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<sst xmlns="http://schemas.openxmlformats.org/spreadsheetml/2006/main" count="1533" uniqueCount="598">
  <si>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</si>
  <si>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</si>
  <si>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</si>
  <si>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</si>
  <si>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</si>
  <si>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</si>
  <si>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</si>
  <si>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</si>
  <si>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</si>
  <si>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</si>
  <si>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</si>
  <si>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</si>
  <si>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</si>
  <si>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</si>
  <si>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</si>
  <si>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</si>
  <si>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</si>
  <si>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</si>
  <si>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</si>
  <si>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</si>
  <si>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</si>
  <si>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</si>
  <si>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</si>
  <si>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</si>
  <si>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</si>
  <si>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</si>
  <si>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</si>
  <si>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</si>
  <si>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</si>
  <si>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</si>
  <si>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</si>
  <si>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</si>
  <si>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</si>
  <si>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</si>
  <si>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</si>
  <si>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</si>
  <si>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</si>
  <si>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</si>
  <si>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</si>
  <si>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</si>
  <si>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</si>
  <si>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</si>
  <si>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</si>
  <si>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</si>
  <si>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</si>
  <si>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</si>
  <si>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</si>
  <si>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</si>
  <si>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</si>
  <si>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</si>
  <si>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</si>
  <si>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</si>
  <si>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</si>
  <si>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</si>
  <si>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</si>
  <si>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</si>
  <si>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295841/CZ00295841</t>
  </si>
  <si>
    <t>45646597/</t>
  </si>
  <si>
    <t>117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</si>
  <si>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</si>
  <si>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</si>
  <si>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</si>
  <si>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</si>
  <si>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</si>
  <si>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</si>
  <si>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</si>
  <si>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</si>
  <si>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</si>
  <si>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</si>
  <si>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</si>
  <si>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</si>
  <si>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</si>
  <si>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</si>
  <si>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</si>
  <si>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</si>
  <si>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</si>
  <si>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</si>
  <si>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</si>
  <si>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</si>
  <si>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</si>
  <si>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</si>
  <si>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</si>
  <si>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</si>
  <si>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</si>
  <si>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</si>
  <si>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</si>
  <si>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</si>
  <si>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</si>
  <si>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</si>
  <si>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</si>
  <si>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</si>
  <si>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</si>
  <si>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</si>
  <si>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</si>
  <si>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</si>
  <si>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</si>
  <si>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</si>
  <si>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</si>
  <si>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</si>
  <si>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</si>
  <si>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</si>
  <si>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</si>
  <si>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</si>
  <si>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</si>
  <si>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</si>
  <si>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</si>
  <si>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</si>
  <si>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</si>
  <si>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</si>
  <si>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</si>
  <si>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</si>
  <si>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</si>
  <si>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</si>
  <si>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</si>
  <si>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</si>
  <si>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</si>
  <si>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</si>
  <si>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</si>
  <si>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</si>
  <si>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</si>
  <si>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</si>
  <si>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</si>
  <si>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</si>
  <si>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</si>
  <si>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</si>
  <si>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</si>
  <si>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</si>
  <si>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</si>
  <si>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</si>
  <si>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</si>
  <si>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</si>
  <si>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</si>
  <si>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</si>
  <si>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</si>
  <si>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</si>
  <si>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</si>
  <si>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</si>
  <si>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</si>
  <si>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</si>
  <si>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</si>
  <si>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</si>
  <si>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</si>
  <si>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</si>
  <si>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</si>
  <si>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</si>
  <si>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</si>
  <si>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</si>
  <si>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</si>
  <si>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</si>
  <si>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</si>
  <si>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</si>
  <si>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</si>
  <si>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</si>
  <si>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</si>
  <si>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</si>
  <si>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</si>
  <si>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</si>
  <si>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</si>
  <si>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</si>
  <si>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</si>
  <si>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</si>
  <si>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</si>
  <si>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</si>
  <si>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</si>
  <si>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</si>
  <si>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</si>
  <si>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</si>
  <si>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</si>
  <si>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</si>
  <si>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</si>
  <si>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</si>
  <si>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</si>
  <si>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</si>
  <si>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</si>
  <si>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</si>
  <si>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</si>
  <si>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</si>
  <si>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</si>
  <si>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</si>
  <si>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</si>
  <si>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</si>
  <si>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</si>
  <si>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</si>
  <si>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</si>
  <si>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</si>
  <si>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</si>
  <si>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</si>
  <si>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</si>
  <si>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</si>
  <si>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</si>
  <si>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Objekt</t>
  </si>
  <si>
    <t>Kód</t>
  </si>
  <si>
    <t>289902111R00</t>
  </si>
  <si>
    <t>342668111R00</t>
  </si>
  <si>
    <t>342270012RA0</t>
  </si>
  <si>
    <t>342264051RT3</t>
  </si>
  <si>
    <t>602016191R00</t>
  </si>
  <si>
    <t>611401311R00</t>
  </si>
  <si>
    <t>612473181R00</t>
  </si>
  <si>
    <t>602011193R00</t>
  </si>
  <si>
    <t>602011141RT1</t>
  </si>
  <si>
    <t>611421221R00</t>
  </si>
  <si>
    <t>601011141RT1</t>
  </si>
  <si>
    <t>612403399RT2</t>
  </si>
  <si>
    <t>11VD</t>
  </si>
  <si>
    <t>632411150R00</t>
  </si>
  <si>
    <t>711</t>
  </si>
  <si>
    <t>711212012R00</t>
  </si>
  <si>
    <t>711212000RW2</t>
  </si>
  <si>
    <t>711212601RW1</t>
  </si>
  <si>
    <t>711212611RU1</t>
  </si>
  <si>
    <t>998711102R00</t>
  </si>
  <si>
    <t>721</t>
  </si>
  <si>
    <t>721171803R00</t>
  </si>
  <si>
    <t>721171808R00</t>
  </si>
  <si>
    <t>721176102R00</t>
  </si>
  <si>
    <t>721176103R00</t>
  </si>
  <si>
    <t>721176104R00</t>
  </si>
  <si>
    <t>721176105R00</t>
  </si>
  <si>
    <t>721194104R00</t>
  </si>
  <si>
    <t>721194105R00</t>
  </si>
  <si>
    <t>721194107R00</t>
  </si>
  <si>
    <t>721177724R00</t>
  </si>
  <si>
    <t>230120046R00</t>
  </si>
  <si>
    <t>721290111R00</t>
  </si>
  <si>
    <t>721170955R00</t>
  </si>
  <si>
    <t>721170963R00</t>
  </si>
  <si>
    <t>721170973R00</t>
  </si>
  <si>
    <t>721210817R00</t>
  </si>
  <si>
    <t>721223450RT2</t>
  </si>
  <si>
    <t>998721101R00</t>
  </si>
  <si>
    <t>722</t>
  </si>
  <si>
    <t>722130801R00IM</t>
  </si>
  <si>
    <t>722130913R00</t>
  </si>
  <si>
    <t>722172631R00</t>
  </si>
  <si>
    <t>722220121R00</t>
  </si>
  <si>
    <t>722181214RT7</t>
  </si>
  <si>
    <t>722190401R00</t>
  </si>
  <si>
    <t>722290234R00</t>
  </si>
  <si>
    <t>722280106R00</t>
  </si>
  <si>
    <t>998722101R00</t>
  </si>
  <si>
    <t>725</t>
  </si>
  <si>
    <t>VLASTNÍ</t>
  </si>
  <si>
    <t>725820801R00</t>
  </si>
  <si>
    <t>725210821R00</t>
  </si>
  <si>
    <t>725860811R00</t>
  </si>
  <si>
    <t>725219401R00</t>
  </si>
  <si>
    <t>725017162R00</t>
  </si>
  <si>
    <t>725860213R00</t>
  </si>
  <si>
    <t>725860107R00</t>
  </si>
  <si>
    <t>725829301R00</t>
  </si>
  <si>
    <t>725823114RT0</t>
  </si>
  <si>
    <t>725849200R00</t>
  </si>
  <si>
    <t>725845111RT0</t>
  </si>
  <si>
    <t>725860222R00</t>
  </si>
  <si>
    <t>725849302R00</t>
  </si>
  <si>
    <t>5922723433</t>
  </si>
  <si>
    <t>725810402R00</t>
  </si>
  <si>
    <t>725249102R00</t>
  </si>
  <si>
    <t>725249106R00</t>
  </si>
  <si>
    <t>725299101R00</t>
  </si>
  <si>
    <t>55149023</t>
  </si>
  <si>
    <t>55149061</t>
  </si>
  <si>
    <t>55484471.A</t>
  </si>
  <si>
    <t>64293836</t>
  </si>
  <si>
    <t>55145356</t>
  </si>
  <si>
    <t>725590813R00</t>
  </si>
  <si>
    <t>728</t>
  </si>
  <si>
    <t>735</t>
  </si>
  <si>
    <t>735110914R00</t>
  </si>
  <si>
    <t>735117110R00</t>
  </si>
  <si>
    <t>735119140R00</t>
  </si>
  <si>
    <t>766</t>
  </si>
  <si>
    <t>766111820R00</t>
  </si>
  <si>
    <t>998766101R00</t>
  </si>
  <si>
    <t>771</t>
  </si>
  <si>
    <t>771775109R00</t>
  </si>
  <si>
    <t>771579792R00</t>
  </si>
  <si>
    <t>771101116R00</t>
  </si>
  <si>
    <t>771101210R00</t>
  </si>
  <si>
    <t>59764231</t>
  </si>
  <si>
    <t>998771101R00</t>
  </si>
  <si>
    <t>781</t>
  </si>
  <si>
    <t>781415013RT6</t>
  </si>
  <si>
    <t>781429711R00</t>
  </si>
  <si>
    <t>781672106R00</t>
  </si>
  <si>
    <t>781441905R00</t>
  </si>
  <si>
    <t>23152419</t>
  </si>
  <si>
    <t>781491001RT1</t>
  </si>
  <si>
    <t>998781101R00</t>
  </si>
  <si>
    <t>783</t>
  </si>
  <si>
    <t>783394140R00</t>
  </si>
  <si>
    <t>783601813R00</t>
  </si>
  <si>
    <t>784</t>
  </si>
  <si>
    <t>784402801R00</t>
  </si>
  <si>
    <t>784161901R00</t>
  </si>
  <si>
    <t>784195112R00</t>
  </si>
  <si>
    <t>900      R03</t>
  </si>
  <si>
    <t>941955002R00</t>
  </si>
  <si>
    <t>952901111R00</t>
  </si>
  <si>
    <t>962031113R00</t>
  </si>
  <si>
    <t>965043331R00</t>
  </si>
  <si>
    <t>965081813R00</t>
  </si>
  <si>
    <t>968061125R00</t>
  </si>
  <si>
    <t>978059511R00</t>
  </si>
  <si>
    <t>973031812R00</t>
  </si>
  <si>
    <t>969021111R00</t>
  </si>
  <si>
    <t>969011121R00</t>
  </si>
  <si>
    <t>974031123R00</t>
  </si>
  <si>
    <t>H99</t>
  </si>
  <si>
    <t>999281105R00</t>
  </si>
  <si>
    <t>M74</t>
  </si>
  <si>
    <t>S</t>
  </si>
  <si>
    <t>979081111R00</t>
  </si>
  <si>
    <t>979086112R00</t>
  </si>
  <si>
    <t>979087311R00IMIM</t>
  </si>
  <si>
    <t>979081121R00</t>
  </si>
  <si>
    <t>979990111R00</t>
  </si>
  <si>
    <t>4ZŠ Švermova 1132/4, ZR-Oprava sprch u tělocvičny</t>
  </si>
  <si>
    <t>Oprava sprch u tělocvičny</t>
  </si>
  <si>
    <t>Základní škola Žďár nad Sázavou-Švermova 1132/4, Žďár nad Sázavou</t>
  </si>
  <si>
    <t>Zkrácený popis</t>
  </si>
  <si>
    <t>Rozměry</t>
  </si>
  <si>
    <t>Nezařazeno</t>
  </si>
  <si>
    <t>Zpevňování hornin a konstrukcí</t>
  </si>
  <si>
    <t>Otlučení nebo odsekání omítek stěn</t>
  </si>
  <si>
    <t>stávající omítka pod obklady ( z tzv. buchet)</t>
  </si>
  <si>
    <t>65,65</t>
  </si>
  <si>
    <t>Stěny a příčky</t>
  </si>
  <si>
    <t>Ukotvení příček k cihelným konstrukcím plochými kotvami</t>
  </si>
  <si>
    <t>2,1*4</t>
  </si>
  <si>
    <t>Příčka z tvárnic pórobetonových, tloušťka 10 cm</t>
  </si>
  <si>
    <t>0,9*2,1*4</t>
  </si>
  <si>
    <t>Podhled sádrokartonový na zavěšenou ocel. konstr.</t>
  </si>
  <si>
    <t>2,8*0,6+1*0,15+1,35*0,15</t>
  </si>
  <si>
    <t>(3,25-2,75)*2,8</t>
  </si>
  <si>
    <t>Omítky ze suchých směsí</t>
  </si>
  <si>
    <t>Penetrační nátěr stěn</t>
  </si>
  <si>
    <t>Úprava povrchů vnitřní</t>
  </si>
  <si>
    <t>Oprava omítky na stropech o ploše do 1 m2</t>
  </si>
  <si>
    <t>strop 1PP- okolo vpustí</t>
  </si>
  <si>
    <t>Omítka vnitřního zdiva ze suché směsi, hladká-pod obklad</t>
  </si>
  <si>
    <t>nové příčky</t>
  </si>
  <si>
    <t>0,9*2,1*8+0,1*2,1*4</t>
  </si>
  <si>
    <t>stávající zdivo pod nové obklady</t>
  </si>
  <si>
    <t>65,65-15,96</t>
  </si>
  <si>
    <t>Kontaktní nátěr pod omítky bílý Cemix K</t>
  </si>
  <si>
    <t>35,71+24,975</t>
  </si>
  <si>
    <t>Štuk na stěnách vnitřní Cemix 033, ručně</t>
  </si>
  <si>
    <t>oprav omítek nad obklady</t>
  </si>
  <si>
    <t>(4,5+0,25+0,25+1,6+0,15*2+0,9*9+0,1+1,1)*(3,25-2,1)</t>
  </si>
  <si>
    <t>(4,5-0,9+2,75+0,15*2+0,9*3+0,1*2+1*5+0,3)*(3,25-2,1)</t>
  </si>
  <si>
    <t>Oprava váp.omítek stropů do 10% plochy - hladkých</t>
  </si>
  <si>
    <t>4,5*2,8+4,5*2,75</t>
  </si>
  <si>
    <t>Štuk na stropech Cemix 033 ručně</t>
  </si>
  <si>
    <t>Hrubá výplň rýh ve stěnách maltou</t>
  </si>
  <si>
    <t>Zednické práce pro elektro a ZTI</t>
  </si>
  <si>
    <t>Podlahy, podlahové konstrukce</t>
  </si>
  <si>
    <t>Potěr ze SMS Cemix, ruční zpracování, tl. 50 mm</t>
  </si>
  <si>
    <t>(4,5*2,8+4,5*2,75)</t>
  </si>
  <si>
    <t>Izolace proti vodě</t>
  </si>
  <si>
    <t>Hydroizolační povlak vyztužený tkaninou</t>
  </si>
  <si>
    <t>vodorovná plocha</t>
  </si>
  <si>
    <t>0,2*(4,5-0,9+2,75+1,45+1,5+0,1+1,85+0,25*2)</t>
  </si>
  <si>
    <t>0,2*(4,5-0,9+1,8+0,25*2+0,1+0,86+1,45+2,8)</t>
  </si>
  <si>
    <t>svislé plochy-</t>
  </si>
  <si>
    <t>0,9*2,1*18+2,5</t>
  </si>
  <si>
    <t>Penetrace podkladu pod hydroizolační nátěr,vč.dod.</t>
  </si>
  <si>
    <t>Těsnicí pás do spoje podlaha - stěna</t>
  </si>
  <si>
    <t>4,5-0,9+2,75+1,45+1,5+0,1+1,85+0,25*2+4,5-0,9+1,8+0,25*2+0,1+0,86+1,45*2*0,25</t>
  </si>
  <si>
    <t>0,9*18</t>
  </si>
  <si>
    <t>Těsnicí pás do svislých koutů</t>
  </si>
  <si>
    <t>2,1*18</t>
  </si>
  <si>
    <t>Přesun hmot pro izolace proti vodě, výšky do 12 m</t>
  </si>
  <si>
    <t>Vnitřní kanalizace</t>
  </si>
  <si>
    <t>Demontáž potrubí z PVC do D 75 mm</t>
  </si>
  <si>
    <t>Demontáž potrubí z PVC do D 114 mm</t>
  </si>
  <si>
    <t>Potrubí HT připojovací D 40 x 1,8 mm</t>
  </si>
  <si>
    <t>Potrubí HT připojovací D 50 x 1,8 mm</t>
  </si>
  <si>
    <t>Potrubí HT připojovací D 75 x 1,9 mm</t>
  </si>
  <si>
    <t>Potrubí HT připojovací D 110 x 2,7 mm</t>
  </si>
  <si>
    <t>Vyvedení odpadních výpustek D 40 x 1,8</t>
  </si>
  <si>
    <t>Vyvedení odpadních výpustek D 50 x 1,8</t>
  </si>
  <si>
    <t>Vyvedení odpadních výpustek D 75 x 1,9</t>
  </si>
  <si>
    <t>Čisticí kus Wavin SiTech+, odpadní svislé D 75</t>
  </si>
  <si>
    <t>Čištění potrubí profukováním nebo proplach. DN 100</t>
  </si>
  <si>
    <t>Zkouška těsnosti kanalizace vodou DN 125</t>
  </si>
  <si>
    <t>Oprava-vsazení odbočky, potrubí PVC hrdlové D 110</t>
  </si>
  <si>
    <t>Oprava - propojení dosavadního potrubí PVC D 75</t>
  </si>
  <si>
    <t>Oprava potrubí z PVC, krácení trub D 75 mm</t>
  </si>
  <si>
    <t>Demontáž vpusti vanové DN 70</t>
  </si>
  <si>
    <t>Vpusť podlahová (sklepní) se zápach. uzávěr. HL 72</t>
  </si>
  <si>
    <t>Přesun hmot pro vnitřní kanalizaci, výšky do 6 m</t>
  </si>
  <si>
    <t>Vnitřní vodovod</t>
  </si>
  <si>
    <t>Demontáž potrubí ocelových závitových DN 25</t>
  </si>
  <si>
    <t>Oprava-přeřezání ocelové trubky DN 25</t>
  </si>
  <si>
    <t>Potrubí z PPR Instaplast, D 20x3,4 mm, PN 20</t>
  </si>
  <si>
    <t>35,5</t>
  </si>
  <si>
    <t>Nástěnka K 247, pro baterii G 1/2</t>
  </si>
  <si>
    <t>Izolace návleková MIRELON PRO tl. stěny 20 mm vnitřní průměr 22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</si>
  <si>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</si>
  <si>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</si>
  <si>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</si>
  <si>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6 m</t>
  </si>
  <si>
    <t>Zařizovací předměty</t>
  </si>
  <si>
    <t>Demontáž  žetonového a sprchového automatu a mincovníku</t>
  </si>
  <si>
    <t>Demontáž baterie nástěnné do G 3/4</t>
  </si>
  <si>
    <t>Demontáž umyvadel bez výtokových armatur</t>
  </si>
  <si>
    <t>Demontáž uzávěrek zápachových jednoduchých</t>
  </si>
  <si>
    <t>Montáž umyvadel na šrouby do zdiva</t>
  </si>
  <si>
    <t>Umyvadlo na šrouby LYRA Plus , 55 x 45 cm, bílé</t>
  </si>
  <si>
    <t>Sifon umyvadlový HL132, D 32, 40 mm</t>
  </si>
  <si>
    <t>Uzávěrka zápachová umyvadlová T 1015,D 40</t>
  </si>
  <si>
    <t>Montáž baterie umyv.a dřezové stojánkové</t>
  </si>
  <si>
    <t>Baterie dřezová stojánková ruční, bez otvír.odpadu</t>
  </si>
  <si>
    <t>Montáž baterií sprchových, nastavitelná výška</t>
  </si>
  <si>
    <t>Baterie sprchová nástěnná ruční, bez příslušenství</t>
  </si>
  <si>
    <t>Sifon sprchový PP HL514SN, D 40/50 mm</t>
  </si>
  <si>
    <t>Montáž držáku sprchy</t>
  </si>
  <si>
    <t>Vpust S 300 K mezidíl typ ZT</t>
  </si>
  <si>
    <t>Ventil rohový bez přípoj. trubičky TE 66 G 1/2</t>
  </si>
  <si>
    <t>Montáž sprchových mís a vaniček</t>
  </si>
  <si>
    <t>Montáž sprchových koutů ostatních typů-zástěna</t>
  </si>
  <si>
    <t>Montáž koupelnových doplňků - mýdelníků, držáků ap</t>
  </si>
  <si>
    <t>Dávkovač tek. mýdla nerez SLZN 07 obsah 0,5 l</t>
  </si>
  <si>
    <t>Zrcadlo nerez SLZN 30 nerozbitné 600 x 400 mm</t>
  </si>
  <si>
    <t>Dveře sprchové třídilné 90 cm Ravak supernova Pearl</t>
  </si>
  <si>
    <t>Vanička sprch. litý mramor RAVAK Perseus 90x90 cm</t>
  </si>
  <si>
    <t>Tyč sprchová 60 cm 972.00</t>
  </si>
  <si>
    <t>Polička na sprchovou tyč</t>
  </si>
  <si>
    <t>Přesun vybour.hmot, zařizovací předměty H 24 m</t>
  </si>
  <si>
    <t>Vzduchotechnika</t>
  </si>
  <si>
    <t>D+M VZT-dle projektové dokumentace</t>
  </si>
  <si>
    <t>Otopná tělesa</t>
  </si>
  <si>
    <t>Oprava-stažení otopného tělesa</t>
  </si>
  <si>
    <t>Odpojení a připojení těles po nátěru</t>
  </si>
  <si>
    <t>Montáž těles otopných litinových článkových</t>
  </si>
  <si>
    <t>Konstrukce truhlářské</t>
  </si>
  <si>
    <t>Demontáž dřevěných stěn plných</t>
  </si>
  <si>
    <t>dělící stěny ve sprchách</t>
  </si>
  <si>
    <t>1,1*2,1</t>
  </si>
  <si>
    <t>Přesun hmot pro truhlářské konstr., výšky do 6 m</t>
  </si>
  <si>
    <t>Podlahy z dlaždic</t>
  </si>
  <si>
    <t>Montáž podlah keram.vnější, hladké, tmel, 30x30 cm</t>
  </si>
  <si>
    <t>4,5/2,8+4,5*2,75-0,1*1,5-0,1*0,86</t>
  </si>
  <si>
    <t>Příplatek za podlahy keram.v omezeném prostoru</t>
  </si>
  <si>
    <t>Vyrovnání podkladů samonivel. hmotou tl. do 30 mm</t>
  </si>
  <si>
    <t>Penetrace podkladu pod dlažby</t>
  </si>
  <si>
    <t>Dlažba Taurus  300x300x9 mm</t>
  </si>
  <si>
    <t>13,75*1,1</t>
  </si>
  <si>
    <t>Přesun hmot pro podlahy z dlaždic, výšky do 6 m</t>
  </si>
  <si>
    <t>Obklady (keramické)</t>
  </si>
  <si>
    <t>Montáž obkladů stěn, porovin., do tmele, 15x15 cm</t>
  </si>
  <si>
    <t>(4,5+0,25+0,25+1,6+0,15*2+0,9*9+0,1+1,1)*2,1</t>
  </si>
  <si>
    <t>(4,5-0,9+2,75+0,15*2+0,9*3+0,1*2+1*5+0,3)*2,1</t>
  </si>
  <si>
    <t>2,95*0,15</t>
  </si>
  <si>
    <t>Příplatek za plochu do 10 m2 (jednotlivě)</t>
  </si>
  <si>
    <t>Příplatek za spárování silikonem</t>
  </si>
  <si>
    <t>Průnik obkladem kruhový řez bez izolace</t>
  </si>
  <si>
    <t>Obklad dle požadavku investora</t>
  </si>
  <si>
    <t>1,1*65,65</t>
  </si>
  <si>
    <t>Tmel silikonový 310 ml</t>
  </si>
  <si>
    <t>Montáž lišt k obkladům</t>
  </si>
  <si>
    <t>4,5+2,8+0,25*2+2,95+0,9*6+0,3</t>
  </si>
  <si>
    <t>4,5-0,9+2,75+0,25*2+2,95+0,9*5+0,3</t>
  </si>
  <si>
    <t>39*2,1</t>
  </si>
  <si>
    <t>Přesun hmot pro obklady keramické, výšky do 6 m</t>
  </si>
  <si>
    <t>Nátěry</t>
  </si>
  <si>
    <t>Nátěr disperzní litin. radiátorů Z + 1x + 1x email</t>
  </si>
  <si>
    <t>Očištění radiátoru před nátěrem</t>
  </si>
  <si>
    <t>(0,6*0,8)*2+(0,12*0,8)*2</t>
  </si>
  <si>
    <t>(0,8*1,5)*2+(0,12*1,5)*2</t>
  </si>
  <si>
    <t>Malby</t>
  </si>
  <si>
    <t>Odstranění malby oškrábáním v místnosti H do 3,8 m</t>
  </si>
  <si>
    <t>Penetrace podkladu   1 x</t>
  </si>
  <si>
    <t>Malba  bílá, bez penetrace, 2 x</t>
  </si>
  <si>
    <t>stropy</t>
  </si>
  <si>
    <t>24,975</t>
  </si>
  <si>
    <t>stěny</t>
  </si>
  <si>
    <t>35,71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</si>
  <si>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</si>
  <si>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</si>
  <si>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</si>
  <si>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</si>
  <si>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pozemních staveb</t>
  </si>
  <si>
    <t>Vyčištění budov o výšce podlaží do 4 m</t>
  </si>
  <si>
    <t>Bourání konstrukcí</t>
  </si>
  <si>
    <t>Bourání příček z cihel pálených plných tl. 65 mm</t>
  </si>
  <si>
    <t>2,95*0,1+2,95*0,1+1,1*2</t>
  </si>
  <si>
    <t>Bourání podkladů bet., potěr tl. 10 cm, pl. 4 m2</t>
  </si>
  <si>
    <t>0,05*(4,5*2,8+4,5*2,75)</t>
  </si>
  <si>
    <t>Bourání dlaždic keramických</t>
  </si>
  <si>
    <t>4,5*1,6+1,45*0,86+2,95*1,1</t>
  </si>
  <si>
    <t>4,5*1,55+0,15*1+1,5*1,45+1,2*2,95</t>
  </si>
  <si>
    <t>Vyvěšení dřevěných dveřních křídel pl. do 2 m2</t>
  </si>
  <si>
    <t>Odsekání vnitřních obkladů stěn do 1 m2</t>
  </si>
  <si>
    <t>(4,5+0,25+1,6+1,1+2,95+1)*2,1+2,95*0,1</t>
  </si>
  <si>
    <t>(4,5+0,25+1,5+0,15+1,1+2,95+1,1*3)*2,1</t>
  </si>
  <si>
    <t>Vysekání kapes pro zavázání příček tl. 10 cm</t>
  </si>
  <si>
    <t>2,12*4</t>
  </si>
  <si>
    <t>Vybourání kanalizačního potrubí DN do 100 mm</t>
  </si>
  <si>
    <t>Vybourání vodovod., plynového vedení DN do 52 mm</t>
  </si>
  <si>
    <t>Zednické práce pro ZTI</t>
  </si>
  <si>
    <t>Prorážení otvorů a ostatní bourací práce</t>
  </si>
  <si>
    <t>Vysekání rýh ve zdi cihelné 3 x 10 cm</t>
  </si>
  <si>
    <t>Ostatní přesuny hmot</t>
  </si>
  <si>
    <t>Přesun hmot pro opravy a údržbu do výšky 6 m</t>
  </si>
  <si>
    <t>Elektromontážní práce (silnoproud)</t>
  </si>
  <si>
    <t>Oprava elektroinstalace</t>
  </si>
  <si>
    <t>Přesuny sutí</t>
  </si>
  <si>
    <t>Odvoz suti a vybour. hmot na skládku do 1 km</t>
  </si>
  <si>
    <t>Nakládání nebo překládání suti a vybouraných hmot</t>
  </si>
  <si>
    <t>Vodorovné přemístění suti nošením do 10 m</t>
  </si>
  <si>
    <t>Příplatek k odvozu za každý další 1 km</t>
  </si>
  <si>
    <t>15*13,56</t>
  </si>
  <si>
    <t>Poplatek za skládku suti - stavební keramika</t>
  </si>
  <si>
    <t>Doba výstavby:</t>
  </si>
  <si>
    <t>Zpracováno dne:</t>
  </si>
  <si>
    <t>MJ</t>
  </si>
  <si>
    <t>m2</t>
  </si>
  <si>
    <t>m</t>
  </si>
  <si>
    <t>kus</t>
  </si>
  <si>
    <t>ks</t>
  </si>
  <si>
    <t>t</t>
  </si>
  <si>
    <t>pár</t>
  </si>
  <si>
    <t>kompl</t>
  </si>
  <si>
    <t>soubor</t>
  </si>
  <si>
    <t>kompl.</t>
  </si>
  <si>
    <t>h</t>
  </si>
  <si>
    <t>m3</t>
  </si>
  <si>
    <t>10.02.2022</t>
  </si>
  <si>
    <t>Množství</t>
  </si>
  <si>
    <t>Cena/MJ</t>
  </si>
  <si>
    <t>(Kč)</t>
  </si>
  <si>
    <t>Město Žďár nad Sázavou</t>
  </si>
  <si>
    <t>ing. Zbyněk Semerád</t>
  </si>
  <si>
    <t> </t>
  </si>
  <si>
    <t>Náklady (Kč)</t>
  </si>
  <si>
    <t>Dodávka</t>
  </si>
  <si>
    <t>Celkem:</t>
  </si>
  <si>
    <t>Celkem</t>
  </si>
  <si>
    <t>Hmotnost (t)</t>
  </si>
  <si>
    <t>Jednot.</t>
  </si>
  <si>
    <t>Cenová</t>
  </si>
  <si>
    <t>soustava</t>
  </si>
  <si>
    <t>RTS I / 2022</t>
  </si>
  <si>
    <t>VLASTNí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</si>
  <si>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</si>
  <si>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</si>
  <si>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</si>
  <si>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</si>
  <si>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</si>
  <si>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</si>
  <si>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</si>
  <si>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</si>
  <si>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</si>
  <si>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28_</t>
  </si>
  <si>
    <t>34_</t>
  </si>
  <si>
    <t>60_</t>
  </si>
  <si>
    <t>61_</t>
  </si>
  <si>
    <t>63_</t>
  </si>
  <si>
    <t>711_</t>
  </si>
  <si>
    <t>721_</t>
  </si>
  <si>
    <t>722_</t>
  </si>
  <si>
    <t>725_</t>
  </si>
  <si>
    <t>728_</t>
  </si>
  <si>
    <t>735_</t>
  </si>
  <si>
    <t>766_</t>
  </si>
  <si>
    <t>771_</t>
  </si>
  <si>
    <t>781_</t>
  </si>
  <si>
    <t>783_</t>
  </si>
  <si>
    <t>784_</t>
  </si>
  <si>
    <t>90_</t>
  </si>
  <si>
    <t>94_</t>
  </si>
  <si>
    <t>95_</t>
  </si>
  <si>
    <t>96_</t>
  </si>
  <si>
    <t>97_</t>
  </si>
  <si>
    <t>H99_</t>
  </si>
  <si>
    <t>M74_</t>
  </si>
  <si>
    <t>S_</t>
  </si>
  <si>
    <t>_2_</t>
  </si>
  <si>
    <t>_3_</t>
  </si>
  <si>
    <t>_6_</t>
  </si>
  <si>
    <t>_71_</t>
  </si>
  <si>
    <t>_72_</t>
  </si>
  <si>
    <t>_73_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</si>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</sst>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8"/>
      <name val="Arial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right" vertical="center"/>
      <protection/>
    </xf>
    <xf numFmtId="49" fontId="14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3" fillId="34" borderId="2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3" fillId="34" borderId="16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21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1" fillId="36" borderId="40" xfId="0" applyNumberFormat="1" applyFont="1" applyFill="1" applyBorder="1" applyAlignment="1" applyProtection="1">
      <alignment horizontal="left" vertical="center"/>
      <protection/>
    </xf>
    <xf numFmtId="4" fontId="1" fillId="36" borderId="40" xfId="0" applyNumberFormat="1" applyFont="1" applyFill="1" applyBorder="1" applyAlignment="1" applyProtection="1">
      <alignment horizontal="right" vertical="center"/>
      <protection/>
    </xf>
    <xf numFmtId="49" fontId="1" fillId="36" borderId="41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49" fontId="1" fillId="36" borderId="43" xfId="0" applyNumberFormat="1" applyFont="1" applyFill="1" applyBorder="1" applyAlignment="1" applyProtection="1">
      <alignment horizontal="left" vertical="center"/>
      <protection/>
    </xf>
    <xf numFmtId="4" fontId="1" fillId="36" borderId="43" xfId="0" applyNumberFormat="1" applyFont="1" applyFill="1" applyBorder="1" applyAlignment="1" applyProtection="1">
      <alignment horizontal="right"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0" fontId="1" fillId="36" borderId="43" xfId="1" applyNumberFormat="1" applyFont="1" applyFill="1" applyBorder="1" applyAlignment="1" applyProtection="1">
      <alignment/>
      <protection/>
    </xf>
    <xf numFmtId="49" fontId="15" fillId="36" borderId="43" xfId="0" applyNumberFormat="1" applyFont="1" applyFill="1" applyBorder="1" applyAlignment="1" applyProtection="1">
      <alignment horizontal="left" vertical="center"/>
      <protection/>
    </xf>
    <xf numFmtId="4" fontId="15" fillId="36" borderId="43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4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33" borderId="48" xfId="0" applyNumberFormat="1" applyFont="1" applyFill="1" applyBorder="1" applyAlignment="1" applyProtection="1">
      <alignment horizontal="left" vertical="center"/>
      <protection/>
    </xf>
    <xf numFmtId="0" fontId="4" fillId="33" borderId="49" xfId="0" applyNumberFormat="1" applyFont="1" applyFill="1" applyBorder="1" applyAlignment="1" applyProtection="1">
      <alignment horizontal="left" vertical="center"/>
      <protection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" fillId="36" borderId="43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" fillId="36" borderId="40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" fontId="1" fillId="37" borderId="0" xfId="0" applyNumberFormat="1" applyFont="1" applyFill="1" applyBorder="1" applyAlignment="1" applyProtection="1">
      <alignment horizontal="right" vertical="center"/>
      <protection/>
    </xf>
    <xf numFmtId="4" fontId="1" fillId="37" borderId="10" xfId="0" applyNumberFormat="1" applyFont="1" applyFill="1" applyBorder="1" applyAlignment="1" applyProtection="1">
      <alignment horizontal="right" vertical="center"/>
      <protection/>
    </xf>
    <xf numFmtId="4" fontId="1" fillId="37" borderId="43" xfId="0" applyNumberFormat="1" applyFont="1" applyFill="1" applyBorder="1" applyAlignment="1" applyProtection="1">
      <alignment horizontal="right" vertical="center"/>
      <protection/>
    </xf>
    <xf numFmtId="4" fontId="1" fillId="37" borderId="4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L19" sqref="L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7"/>
      <c r="B1" s="1"/>
      <c r="C1" s="118" t="s">
        <v>22</v>
      </c>
      <c r="D1" s="119"/>
      <c r="E1" s="119"/>
      <c r="F1" s="119"/>
      <c r="G1" s="119"/>
      <c r="H1" s="119"/>
      <c r="I1" s="119"/>
    </row>
    <row r="2" spans="1:10" ht="12.75">
      <c r="A2" s="120" t="s">
        <v>0</v>
      </c>
      <c r="B2" s="121"/>
      <c r="C2" s="122" t="str">
        <f>'Stavební rozpočet'!D2</f>
        <v>4ZŠ Švermova 1132/4, ZR-Oprava sprch u tělocvičny</v>
      </c>
      <c r="D2" s="123"/>
      <c r="E2" s="125" t="s">
        <v>32</v>
      </c>
      <c r="F2" s="125" t="str">
        <f>'Stavební rozpočet'!I2</f>
        <v>Město Žďár nad Sázavou</v>
      </c>
      <c r="G2" s="121"/>
      <c r="H2" s="125" t="s">
        <v>52</v>
      </c>
      <c r="I2" s="126" t="s">
        <v>56</v>
      </c>
      <c r="J2" s="18"/>
    </row>
    <row r="3" spans="1:10" ht="12.75">
      <c r="A3" s="115"/>
      <c r="B3" s="89"/>
      <c r="C3" s="124"/>
      <c r="D3" s="124"/>
      <c r="E3" s="89"/>
      <c r="F3" s="89"/>
      <c r="G3" s="89"/>
      <c r="H3" s="89"/>
      <c r="I3" s="117"/>
      <c r="J3" s="18"/>
    </row>
    <row r="4" spans="1:10" ht="12.75">
      <c r="A4" s="109" t="s">
        <v>1</v>
      </c>
      <c r="B4" s="89"/>
      <c r="C4" s="88" t="str">
        <f>'Stavební rozpočet'!D4</f>
        <v>Oprava sprch u tělocvičny</v>
      </c>
      <c r="D4" s="89"/>
      <c r="E4" s="88" t="s">
        <v>33</v>
      </c>
      <c r="F4" s="88" t="str">
        <f>'Stavební rozpočet'!I4</f>
        <v>ing. Zbyněk Semerád</v>
      </c>
      <c r="G4" s="89"/>
      <c r="H4" s="88" t="s">
        <v>52</v>
      </c>
      <c r="I4" s="116" t="s">
        <v>57</v>
      </c>
      <c r="J4" s="18"/>
    </row>
    <row r="5" spans="1:10" ht="12.75">
      <c r="A5" s="115"/>
      <c r="B5" s="89"/>
      <c r="C5" s="89"/>
      <c r="D5" s="89"/>
      <c r="E5" s="89"/>
      <c r="F5" s="89"/>
      <c r="G5" s="89"/>
      <c r="H5" s="89"/>
      <c r="I5" s="117"/>
      <c r="J5" s="18"/>
    </row>
    <row r="6" spans="1:10" ht="12.75">
      <c r="A6" s="109" t="s">
        <v>2</v>
      </c>
      <c r="B6" s="89"/>
      <c r="C6" s="88" t="str">
        <f>'Stavební rozpočet'!D6</f>
        <v>Základní škola Žďár nad Sázavou-Švermova 1132/4, Žďár nad Sázavou</v>
      </c>
      <c r="D6" s="89"/>
      <c r="E6" s="88" t="s">
        <v>34</v>
      </c>
      <c r="F6" s="88" t="str">
        <f>'Stavební rozpočet'!I6</f>
        <v> </v>
      </c>
      <c r="G6" s="89"/>
      <c r="H6" s="88" t="s">
        <v>52</v>
      </c>
      <c r="I6" s="116"/>
      <c r="J6" s="18"/>
    </row>
    <row r="7" spans="1:10" ht="12.75">
      <c r="A7" s="115"/>
      <c r="B7" s="89"/>
      <c r="C7" s="89"/>
      <c r="D7" s="89"/>
      <c r="E7" s="89"/>
      <c r="F7" s="89"/>
      <c r="G7" s="89"/>
      <c r="H7" s="89"/>
      <c r="I7" s="117"/>
      <c r="J7" s="18"/>
    </row>
    <row r="8" spans="1:10" ht="12.75">
      <c r="A8" s="109" t="s">
        <v>3</v>
      </c>
      <c r="B8" s="89"/>
      <c r="C8" s="88" t="str">
        <f>'Stavební rozpočet'!G4</f>
        <v> </v>
      </c>
      <c r="D8" s="89"/>
      <c r="E8" s="88" t="s">
        <v>35</v>
      </c>
      <c r="F8" s="88" t="str">
        <f>'Stavební rozpočet'!G6</f>
        <v> </v>
      </c>
      <c r="G8" s="89"/>
      <c r="H8" s="112" t="s">
        <v>53</v>
      </c>
      <c r="I8" s="116" t="s">
        <v>58</v>
      </c>
      <c r="J8" s="18"/>
    </row>
    <row r="9" spans="1:10" ht="12.75">
      <c r="A9" s="115"/>
      <c r="B9" s="89"/>
      <c r="C9" s="89"/>
      <c r="D9" s="89"/>
      <c r="E9" s="89"/>
      <c r="F9" s="89"/>
      <c r="G9" s="89"/>
      <c r="H9" s="89"/>
      <c r="I9" s="117"/>
      <c r="J9" s="18"/>
    </row>
    <row r="10" spans="1:10" ht="12.75">
      <c r="A10" s="109" t="s">
        <v>4</v>
      </c>
      <c r="B10" s="89"/>
      <c r="C10" s="88" t="str">
        <f>'Stavební rozpočet'!D8</f>
        <v> </v>
      </c>
      <c r="D10" s="89"/>
      <c r="E10" s="88" t="s">
        <v>36</v>
      </c>
      <c r="F10" s="88" t="str">
        <f>'Stavební rozpočet'!I8</f>
        <v> </v>
      </c>
      <c r="G10" s="89"/>
      <c r="H10" s="112" t="s">
        <v>54</v>
      </c>
      <c r="I10" s="113" t="str">
        <f>'Stavební rozpočet'!G8</f>
        <v>10.02.2022</v>
      </c>
      <c r="J10" s="18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14"/>
      <c r="J11" s="18"/>
    </row>
    <row r="12" spans="1:9" ht="23.25" customHeight="1">
      <c r="A12" s="105" t="s">
        <v>5</v>
      </c>
      <c r="B12" s="106"/>
      <c r="C12" s="106"/>
      <c r="D12" s="106"/>
      <c r="E12" s="106"/>
      <c r="F12" s="106"/>
      <c r="G12" s="106"/>
      <c r="H12" s="106"/>
      <c r="I12" s="106"/>
    </row>
    <row r="13" spans="1:10" ht="26.25" customHeight="1">
      <c r="A13" s="2" t="s">
        <v>6</v>
      </c>
      <c r="B13" s="107" t="s">
        <v>19</v>
      </c>
      <c r="C13" s="108"/>
      <c r="D13" s="2" t="s">
        <v>23</v>
      </c>
      <c r="E13" s="107" t="s">
        <v>37</v>
      </c>
      <c r="F13" s="108"/>
      <c r="G13" s="2" t="s">
        <v>38</v>
      </c>
      <c r="H13" s="107" t="s">
        <v>55</v>
      </c>
      <c r="I13" s="108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rozpočet'!AB12:AB206)</f>
        <v>0</v>
      </c>
      <c r="D14" s="103" t="s">
        <v>24</v>
      </c>
      <c r="E14" s="104"/>
      <c r="F14" s="12">
        <f>VORN!I15</f>
        <v>0</v>
      </c>
      <c r="G14" s="103" t="s">
        <v>39</v>
      </c>
      <c r="H14" s="104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rozpočet'!AC12:AC206)</f>
        <v>0</v>
      </c>
      <c r="D15" s="103" t="s">
        <v>25</v>
      </c>
      <c r="E15" s="104"/>
      <c r="F15" s="12">
        <f>VORN!I16</f>
        <v>0</v>
      </c>
      <c r="G15" s="103" t="s">
        <v>40</v>
      </c>
      <c r="H15" s="104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rozpočet'!AD12:AD206)</f>
        <v>0</v>
      </c>
      <c r="D16" s="103" t="s">
        <v>26</v>
      </c>
      <c r="E16" s="104"/>
      <c r="F16" s="12">
        <f>VORN!I17</f>
        <v>0</v>
      </c>
      <c r="G16" s="103" t="s">
        <v>41</v>
      </c>
      <c r="H16" s="104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rozpočet'!AE12:AE206)</f>
        <v>0</v>
      </c>
      <c r="D17" s="103"/>
      <c r="E17" s="104"/>
      <c r="F17" s="13"/>
      <c r="G17" s="103" t="s">
        <v>42</v>
      </c>
      <c r="H17" s="104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rozpočet'!AF12:AF206)</f>
        <v>0</v>
      </c>
      <c r="D18" s="103"/>
      <c r="E18" s="104"/>
      <c r="F18" s="13"/>
      <c r="G18" s="103" t="s">
        <v>43</v>
      </c>
      <c r="H18" s="104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rozpočet'!AG12:AG206)</f>
        <v>0</v>
      </c>
      <c r="D19" s="103"/>
      <c r="E19" s="104"/>
      <c r="F19" s="13"/>
      <c r="G19" s="103" t="s">
        <v>44</v>
      </c>
      <c r="H19" s="104"/>
      <c r="I19" s="12">
        <f>VORN!I26</f>
        <v>0</v>
      </c>
      <c r="J19" s="18"/>
    </row>
    <row r="20" spans="1:10" ht="15" customHeight="1">
      <c r="A20" s="101" t="s">
        <v>10</v>
      </c>
      <c r="B20" s="102"/>
      <c r="C20" s="12">
        <f>SUM('Stavební rozpočet'!AH12:AH206)</f>
        <v>0</v>
      </c>
      <c r="D20" s="103"/>
      <c r="E20" s="104"/>
      <c r="F20" s="13"/>
      <c r="G20" s="103"/>
      <c r="H20" s="104"/>
      <c r="I20" s="13"/>
      <c r="J20" s="18"/>
    </row>
    <row r="21" spans="1:10" ht="15" customHeight="1">
      <c r="A21" s="101" t="s">
        <v>11</v>
      </c>
      <c r="B21" s="102"/>
      <c r="C21" s="12">
        <f>SUM('Stavební rozpočet'!Z12:Z206)</f>
        <v>0</v>
      </c>
      <c r="D21" s="103"/>
      <c r="E21" s="104"/>
      <c r="F21" s="13"/>
      <c r="G21" s="103"/>
      <c r="H21" s="104"/>
      <c r="I21" s="13"/>
      <c r="J21" s="18"/>
    </row>
    <row r="22" spans="1:10" ht="16.5" customHeight="1">
      <c r="A22" s="101" t="s">
        <v>12</v>
      </c>
      <c r="B22" s="102"/>
      <c r="C22" s="12">
        <f>SUM(C14:C21)</f>
        <v>0</v>
      </c>
      <c r="D22" s="101" t="s">
        <v>27</v>
      </c>
      <c r="E22" s="102"/>
      <c r="F22" s="12">
        <f>SUM(F14:F21)</f>
        <v>0</v>
      </c>
      <c r="G22" s="101" t="s">
        <v>45</v>
      </c>
      <c r="H22" s="102"/>
      <c r="I22" s="12">
        <f>SUM(I14:I21)</f>
        <v>0</v>
      </c>
      <c r="J22" s="18"/>
    </row>
    <row r="23" spans="1:10" ht="15" customHeight="1">
      <c r="A23" s="5"/>
      <c r="B23" s="5"/>
      <c r="C23" s="10"/>
      <c r="D23" s="101" t="s">
        <v>28</v>
      </c>
      <c r="E23" s="102"/>
      <c r="F23" s="14">
        <v>0</v>
      </c>
      <c r="G23" s="101" t="s">
        <v>46</v>
      </c>
      <c r="H23" s="102"/>
      <c r="I23" s="12">
        <v>0</v>
      </c>
      <c r="J23" s="18"/>
    </row>
    <row r="24" spans="4:10" ht="15" customHeight="1">
      <c r="D24" s="5"/>
      <c r="E24" s="5"/>
      <c r="F24" s="15"/>
      <c r="G24" s="101" t="s">
        <v>47</v>
      </c>
      <c r="H24" s="102"/>
      <c r="I24" s="12">
        <f>vorn_sum</f>
        <v>0</v>
      </c>
      <c r="J24" s="18"/>
    </row>
    <row r="25" spans="6:10" ht="15" customHeight="1">
      <c r="F25" s="16"/>
      <c r="G25" s="101" t="s">
        <v>48</v>
      </c>
      <c r="H25" s="102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96" t="s">
        <v>13</v>
      </c>
      <c r="B27" s="97"/>
      <c r="C27" s="20">
        <f>SUM('Stavební rozpočet'!AJ12:AJ206)</f>
        <v>0</v>
      </c>
      <c r="D27" s="11"/>
      <c r="E27" s="1"/>
      <c r="F27" s="1"/>
      <c r="G27" s="1"/>
      <c r="H27" s="1"/>
      <c r="I27" s="1"/>
    </row>
    <row r="28" spans="1:10" ht="15" customHeight="1">
      <c r="A28" s="96" t="s">
        <v>14</v>
      </c>
      <c r="B28" s="97"/>
      <c r="C28" s="20">
        <f>SUM('Stavební rozpočet'!AK12:AK206)</f>
        <v>0</v>
      </c>
      <c r="D28" s="96" t="s">
        <v>29</v>
      </c>
      <c r="E28" s="97"/>
      <c r="F28" s="20">
        <f>ROUND(C28*(15/100),2)</f>
        <v>0</v>
      </c>
      <c r="G28" s="96" t="s">
        <v>49</v>
      </c>
      <c r="H28" s="97"/>
      <c r="I28" s="20">
        <f>SUM(C27:C29)</f>
        <v>0</v>
      </c>
      <c r="J28" s="18"/>
    </row>
    <row r="29" spans="1:10" ht="15" customHeight="1">
      <c r="A29" s="96" t="s">
        <v>15</v>
      </c>
      <c r="B29" s="97"/>
      <c r="C29" s="20">
        <f>SUM('Stavební rozpočet'!AL12:AL206)+(F22+I22+F23+I23+I24+I25)</f>
        <v>0</v>
      </c>
      <c r="D29" s="96" t="s">
        <v>30</v>
      </c>
      <c r="E29" s="97"/>
      <c r="F29" s="20">
        <f>ROUND(C29*(21/100),2)</f>
        <v>0</v>
      </c>
      <c r="G29" s="96" t="s">
        <v>50</v>
      </c>
      <c r="H29" s="97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98" t="s">
        <v>16</v>
      </c>
      <c r="B31" s="99"/>
      <c r="C31" s="100"/>
      <c r="D31" s="98" t="s">
        <v>31</v>
      </c>
      <c r="E31" s="99"/>
      <c r="F31" s="100"/>
      <c r="G31" s="98" t="s">
        <v>51</v>
      </c>
      <c r="H31" s="99"/>
      <c r="I31" s="100"/>
      <c r="J31" s="19"/>
    </row>
    <row r="32" spans="1:10" ht="14.25" customHeight="1">
      <c r="A32" s="90"/>
      <c r="B32" s="91"/>
      <c r="C32" s="92"/>
      <c r="D32" s="90"/>
      <c r="E32" s="91"/>
      <c r="F32" s="92"/>
      <c r="G32" s="90"/>
      <c r="H32" s="91"/>
      <c r="I32" s="92"/>
      <c r="J32" s="19"/>
    </row>
    <row r="33" spans="1:10" ht="14.25" customHeight="1">
      <c r="A33" s="90"/>
      <c r="B33" s="91"/>
      <c r="C33" s="92"/>
      <c r="D33" s="90"/>
      <c r="E33" s="91"/>
      <c r="F33" s="92"/>
      <c r="G33" s="90"/>
      <c r="H33" s="91"/>
      <c r="I33" s="92"/>
      <c r="J33" s="19"/>
    </row>
    <row r="34" spans="1:10" ht="14.25" customHeight="1">
      <c r="A34" s="90"/>
      <c r="B34" s="91"/>
      <c r="C34" s="92"/>
      <c r="D34" s="90"/>
      <c r="E34" s="91"/>
      <c r="F34" s="92"/>
      <c r="G34" s="90"/>
      <c r="H34" s="91"/>
      <c r="I34" s="92"/>
      <c r="J34" s="19"/>
    </row>
    <row r="35" spans="1:10" ht="14.25" customHeight="1">
      <c r="A35" s="93" t="s">
        <v>17</v>
      </c>
      <c r="B35" s="94"/>
      <c r="C35" s="95"/>
      <c r="D35" s="93" t="s">
        <v>17</v>
      </c>
      <c r="E35" s="94"/>
      <c r="F35" s="95"/>
      <c r="G35" s="93" t="s">
        <v>17</v>
      </c>
      <c r="H35" s="94"/>
      <c r="I35" s="95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88"/>
      <c r="B37" s="89"/>
      <c r="C37" s="89"/>
      <c r="D37" s="89"/>
      <c r="E37" s="89"/>
      <c r="F37" s="89"/>
      <c r="G37" s="89"/>
      <c r="H37" s="89"/>
      <c r="I37" s="89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3.25">
      <c r="A1" s="87"/>
      <c r="B1" s="1"/>
      <c r="C1" s="118" t="s">
        <v>67</v>
      </c>
      <c r="D1" s="119"/>
      <c r="E1" s="119"/>
      <c r="F1" s="119"/>
      <c r="G1" s="119"/>
      <c r="H1" s="119"/>
      <c r="I1" s="119"/>
    </row>
    <row r="2" spans="1:10" ht="12.75">
      <c r="A2" s="120" t="s">
        <v>0</v>
      </c>
      <c r="B2" s="121"/>
      <c r="C2" s="122" t="str">
        <f>'Stavební rozpočet'!D2</f>
        <v>4ZŠ Švermova 1132/4, ZR-Oprava sprch u tělocvičny</v>
      </c>
      <c r="D2" s="123"/>
      <c r="E2" s="125" t="s">
        <v>32</v>
      </c>
      <c r="F2" s="125" t="str">
        <f>'Stavební rozpočet'!I2</f>
        <v>Město Žďár nad Sázavou</v>
      </c>
      <c r="G2" s="121"/>
      <c r="H2" s="125" t="s">
        <v>52</v>
      </c>
      <c r="I2" s="126" t="s">
        <v>56</v>
      </c>
      <c r="J2" s="18"/>
    </row>
    <row r="3" spans="1:10" ht="12.75">
      <c r="A3" s="115"/>
      <c r="B3" s="89"/>
      <c r="C3" s="124"/>
      <c r="D3" s="124"/>
      <c r="E3" s="89"/>
      <c r="F3" s="89"/>
      <c r="G3" s="89"/>
      <c r="H3" s="89"/>
      <c r="I3" s="117"/>
      <c r="J3" s="18"/>
    </row>
    <row r="4" spans="1:10" ht="12.75">
      <c r="A4" s="109" t="s">
        <v>1</v>
      </c>
      <c r="B4" s="89"/>
      <c r="C4" s="88" t="str">
        <f>'Stavební rozpočet'!D4</f>
        <v>Oprava sprch u tělocvičny</v>
      </c>
      <c r="D4" s="89"/>
      <c r="E4" s="88" t="s">
        <v>33</v>
      </c>
      <c r="F4" s="88" t="str">
        <f>'Stavební rozpočet'!I4</f>
        <v>ing. Zbyněk Semerád</v>
      </c>
      <c r="G4" s="89"/>
      <c r="H4" s="88" t="s">
        <v>52</v>
      </c>
      <c r="I4" s="116" t="s">
        <v>57</v>
      </c>
      <c r="J4" s="18"/>
    </row>
    <row r="5" spans="1:10" ht="12.75">
      <c r="A5" s="115"/>
      <c r="B5" s="89"/>
      <c r="C5" s="89"/>
      <c r="D5" s="89"/>
      <c r="E5" s="89"/>
      <c r="F5" s="89"/>
      <c r="G5" s="89"/>
      <c r="H5" s="89"/>
      <c r="I5" s="117"/>
      <c r="J5" s="18"/>
    </row>
    <row r="6" spans="1:10" ht="12.75">
      <c r="A6" s="109" t="s">
        <v>2</v>
      </c>
      <c r="B6" s="89"/>
      <c r="C6" s="88" t="str">
        <f>'Stavební rozpočet'!D6</f>
        <v>Základní škola Žďár nad Sázavou-Švermova 1132/4, Žďár nad Sázavou</v>
      </c>
      <c r="D6" s="89"/>
      <c r="E6" s="88" t="s">
        <v>34</v>
      </c>
      <c r="F6" s="88" t="str">
        <f>'Stavební rozpočet'!I6</f>
        <v> </v>
      </c>
      <c r="G6" s="89"/>
      <c r="H6" s="88" t="s">
        <v>52</v>
      </c>
      <c r="I6" s="116"/>
      <c r="J6" s="18"/>
    </row>
    <row r="7" spans="1:10" ht="12.75">
      <c r="A7" s="115"/>
      <c r="B7" s="89"/>
      <c r="C7" s="89"/>
      <c r="D7" s="89"/>
      <c r="E7" s="89"/>
      <c r="F7" s="89"/>
      <c r="G7" s="89"/>
      <c r="H7" s="89"/>
      <c r="I7" s="117"/>
      <c r="J7" s="18"/>
    </row>
    <row r="8" spans="1:10" ht="12.75">
      <c r="A8" s="109" t="s">
        <v>3</v>
      </c>
      <c r="B8" s="89"/>
      <c r="C8" s="88" t="str">
        <f>'Stavební rozpočet'!G4</f>
        <v> </v>
      </c>
      <c r="D8" s="89"/>
      <c r="E8" s="88" t="s">
        <v>35</v>
      </c>
      <c r="F8" s="88" t="str">
        <f>'Stavební rozpočet'!G6</f>
        <v> </v>
      </c>
      <c r="G8" s="89"/>
      <c r="H8" s="112" t="s">
        <v>53</v>
      </c>
      <c r="I8" s="116" t="s">
        <v>58</v>
      </c>
      <c r="J8" s="18"/>
    </row>
    <row r="9" spans="1:10" ht="12.75">
      <c r="A9" s="115"/>
      <c r="B9" s="89"/>
      <c r="C9" s="89"/>
      <c r="D9" s="89"/>
      <c r="E9" s="89"/>
      <c r="F9" s="89"/>
      <c r="G9" s="89"/>
      <c r="H9" s="89"/>
      <c r="I9" s="117"/>
      <c r="J9" s="18"/>
    </row>
    <row r="10" spans="1:10" ht="12.75">
      <c r="A10" s="109" t="s">
        <v>4</v>
      </c>
      <c r="B10" s="89"/>
      <c r="C10" s="88" t="str">
        <f>'Stavební rozpočet'!D8</f>
        <v> </v>
      </c>
      <c r="D10" s="89"/>
      <c r="E10" s="88" t="s">
        <v>36</v>
      </c>
      <c r="F10" s="88" t="str">
        <f>'Stavební rozpočet'!I8</f>
        <v> </v>
      </c>
      <c r="G10" s="89"/>
      <c r="H10" s="112" t="s">
        <v>54</v>
      </c>
      <c r="I10" s="113" t="str">
        <f>'Stavební rozpočet'!G8</f>
        <v>10.02.2022</v>
      </c>
      <c r="J10" s="18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14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39" t="s">
        <v>59</v>
      </c>
      <c r="B13" s="140"/>
      <c r="C13" s="140"/>
      <c r="D13" s="140"/>
      <c r="E13" s="140"/>
      <c r="F13" s="22"/>
      <c r="G13" s="22"/>
      <c r="H13" s="22"/>
      <c r="I13" s="22"/>
    </row>
    <row r="14" spans="1:10" ht="12.75">
      <c r="A14" s="141" t="s">
        <v>60</v>
      </c>
      <c r="B14" s="142"/>
      <c r="C14" s="142"/>
      <c r="D14" s="142"/>
      <c r="E14" s="143"/>
      <c r="F14" s="23" t="s">
        <v>68</v>
      </c>
      <c r="G14" s="23" t="s">
        <v>69</v>
      </c>
      <c r="H14" s="23" t="s">
        <v>70</v>
      </c>
      <c r="I14" s="23" t="s">
        <v>68</v>
      </c>
      <c r="J14" s="19"/>
    </row>
    <row r="15" spans="1:10" ht="12.75">
      <c r="A15" s="144" t="s">
        <v>24</v>
      </c>
      <c r="B15" s="145"/>
      <c r="C15" s="145"/>
      <c r="D15" s="145"/>
      <c r="E15" s="146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44" t="s">
        <v>25</v>
      </c>
      <c r="B16" s="145"/>
      <c r="C16" s="145"/>
      <c r="D16" s="145"/>
      <c r="E16" s="146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27" t="s">
        <v>26</v>
      </c>
      <c r="B17" s="128"/>
      <c r="C17" s="128"/>
      <c r="D17" s="128"/>
      <c r="E17" s="129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30" t="s">
        <v>61</v>
      </c>
      <c r="B18" s="131"/>
      <c r="C18" s="131"/>
      <c r="D18" s="131"/>
      <c r="E18" s="132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41" t="s">
        <v>55</v>
      </c>
      <c r="B20" s="142"/>
      <c r="C20" s="142"/>
      <c r="D20" s="142"/>
      <c r="E20" s="143"/>
      <c r="F20" s="23" t="s">
        <v>68</v>
      </c>
      <c r="G20" s="23" t="s">
        <v>69</v>
      </c>
      <c r="H20" s="23" t="s">
        <v>70</v>
      </c>
      <c r="I20" s="23" t="s">
        <v>68</v>
      </c>
      <c r="J20" s="19"/>
    </row>
    <row r="21" spans="1:10" ht="12.75">
      <c r="A21" s="144" t="s">
        <v>39</v>
      </c>
      <c r="B21" s="145"/>
      <c r="C21" s="145"/>
      <c r="D21" s="145"/>
      <c r="E21" s="146"/>
      <c r="F21" s="27"/>
      <c r="G21" s="24">
        <v>2.6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144" t="s">
        <v>40</v>
      </c>
      <c r="B22" s="145"/>
      <c r="C22" s="145"/>
      <c r="D22" s="145"/>
      <c r="E22" s="146"/>
      <c r="F22" s="24">
        <v>0</v>
      </c>
      <c r="G22" s="27"/>
      <c r="H22" s="27"/>
      <c r="I22" s="24">
        <f>F22</f>
        <v>0</v>
      </c>
      <c r="J22" s="18"/>
    </row>
    <row r="23" spans="1:10" ht="12.75">
      <c r="A23" s="144" t="s">
        <v>41</v>
      </c>
      <c r="B23" s="145"/>
      <c r="C23" s="145"/>
      <c r="D23" s="145"/>
      <c r="E23" s="146"/>
      <c r="F23" s="24">
        <v>0</v>
      </c>
      <c r="G23" s="27"/>
      <c r="H23" s="27"/>
      <c r="I23" s="24">
        <f>F23</f>
        <v>0</v>
      </c>
      <c r="J23" s="18"/>
    </row>
    <row r="24" spans="1:10" ht="12.75">
      <c r="A24" s="144" t="s">
        <v>42</v>
      </c>
      <c r="B24" s="145"/>
      <c r="C24" s="145"/>
      <c r="D24" s="145"/>
      <c r="E24" s="146"/>
      <c r="F24" s="24">
        <v>0</v>
      </c>
      <c r="G24" s="27"/>
      <c r="H24" s="27"/>
      <c r="I24" s="24">
        <f>F24</f>
        <v>0</v>
      </c>
      <c r="J24" s="18"/>
    </row>
    <row r="25" spans="1:10" ht="12.75">
      <c r="A25" s="144" t="s">
        <v>43</v>
      </c>
      <c r="B25" s="145"/>
      <c r="C25" s="145"/>
      <c r="D25" s="145"/>
      <c r="E25" s="146"/>
      <c r="F25" s="24">
        <v>0</v>
      </c>
      <c r="G25" s="27"/>
      <c r="H25" s="27"/>
      <c r="I25" s="24">
        <f>F25</f>
        <v>0</v>
      </c>
      <c r="J25" s="18"/>
    </row>
    <row r="26" spans="1:10" ht="12.75">
      <c r="A26" s="127" t="s">
        <v>44</v>
      </c>
      <c r="B26" s="128"/>
      <c r="C26" s="128"/>
      <c r="D26" s="128"/>
      <c r="E26" s="129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30" t="s">
        <v>62</v>
      </c>
      <c r="B27" s="131"/>
      <c r="C27" s="131"/>
      <c r="D27" s="131"/>
      <c r="E27" s="132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33" t="s">
        <v>63</v>
      </c>
      <c r="B29" s="134"/>
      <c r="C29" s="134"/>
      <c r="D29" s="134"/>
      <c r="E29" s="135"/>
      <c r="F29" s="136">
        <f>I18+I27</f>
        <v>0</v>
      </c>
      <c r="G29" s="137"/>
      <c r="H29" s="137"/>
      <c r="I29" s="138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39" t="s">
        <v>64</v>
      </c>
      <c r="B33" s="140"/>
      <c r="C33" s="140"/>
      <c r="D33" s="140"/>
      <c r="E33" s="140"/>
      <c r="F33" s="22"/>
      <c r="G33" s="22"/>
      <c r="H33" s="22"/>
      <c r="I33" s="22"/>
    </row>
    <row r="34" spans="1:10" ht="12.75">
      <c r="A34" s="141" t="s">
        <v>65</v>
      </c>
      <c r="B34" s="142"/>
      <c r="C34" s="142"/>
      <c r="D34" s="142"/>
      <c r="E34" s="143"/>
      <c r="F34" s="23" t="s">
        <v>68</v>
      </c>
      <c r="G34" s="23" t="s">
        <v>69</v>
      </c>
      <c r="H34" s="23" t="s">
        <v>70</v>
      </c>
      <c r="I34" s="23" t="s">
        <v>68</v>
      </c>
      <c r="J34" s="19"/>
    </row>
    <row r="35" spans="1:10" ht="12.75">
      <c r="A35" s="127"/>
      <c r="B35" s="128"/>
      <c r="C35" s="128"/>
      <c r="D35" s="128"/>
      <c r="E35" s="129"/>
      <c r="F35" s="25">
        <v>0</v>
      </c>
      <c r="G35" s="28"/>
      <c r="H35" s="28"/>
      <c r="I35" s="25">
        <f>F35</f>
        <v>0</v>
      </c>
      <c r="J35" s="18"/>
    </row>
    <row r="36" spans="1:10" ht="12.75">
      <c r="A36" s="130" t="s">
        <v>66</v>
      </c>
      <c r="B36" s="131"/>
      <c r="C36" s="131"/>
      <c r="D36" s="131"/>
      <c r="E36" s="132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09"/>
  <sheetViews>
    <sheetView zoomScalePageLayoutView="0" workbookViewId="0" topLeftCell="A1">
      <pane ySplit="11" topLeftCell="A192" activePane="bottomLeft" state="frozen"/>
      <selection pane="topLeft" activeCell="A1" sqref="A1"/>
      <selection pane="bottomLeft" activeCell="H127" activeCellId="3" sqref="H123 H125 H126 H12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1.28125" style="0" customWidth="1"/>
    <col min="5" max="5" width="11.281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70" t="s">
        <v>71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2.75">
      <c r="A2" s="120" t="s">
        <v>0</v>
      </c>
      <c r="B2" s="121"/>
      <c r="C2" s="121"/>
      <c r="D2" s="122" t="s">
        <v>318</v>
      </c>
      <c r="E2" s="171" t="s">
        <v>516</v>
      </c>
      <c r="F2" s="121"/>
      <c r="G2" s="171" t="s">
        <v>73</v>
      </c>
      <c r="H2" s="125" t="s">
        <v>32</v>
      </c>
      <c r="I2" s="125" t="s">
        <v>534</v>
      </c>
      <c r="J2" s="121"/>
      <c r="K2" s="121"/>
      <c r="L2" s="121"/>
      <c r="M2" s="121"/>
      <c r="N2" s="172"/>
      <c r="O2" s="18"/>
    </row>
    <row r="3" spans="1:15" ht="12.75">
      <c r="A3" s="115"/>
      <c r="B3" s="89"/>
      <c r="C3" s="89"/>
      <c r="D3" s="124"/>
      <c r="E3" s="89"/>
      <c r="F3" s="89"/>
      <c r="G3" s="89"/>
      <c r="H3" s="89"/>
      <c r="I3" s="89"/>
      <c r="J3" s="89"/>
      <c r="K3" s="89"/>
      <c r="L3" s="89"/>
      <c r="M3" s="89"/>
      <c r="N3" s="117"/>
      <c r="O3" s="18"/>
    </row>
    <row r="4" spans="1:15" ht="12.75">
      <c r="A4" s="109" t="s">
        <v>1</v>
      </c>
      <c r="B4" s="89"/>
      <c r="C4" s="89"/>
      <c r="D4" s="88" t="s">
        <v>319</v>
      </c>
      <c r="E4" s="112" t="s">
        <v>3</v>
      </c>
      <c r="F4" s="89"/>
      <c r="G4" s="112" t="s">
        <v>73</v>
      </c>
      <c r="H4" s="88" t="s">
        <v>33</v>
      </c>
      <c r="I4" s="88" t="s">
        <v>535</v>
      </c>
      <c r="J4" s="89"/>
      <c r="K4" s="89"/>
      <c r="L4" s="89"/>
      <c r="M4" s="89"/>
      <c r="N4" s="117"/>
      <c r="O4" s="18"/>
    </row>
    <row r="5" spans="1:15" ht="12.75">
      <c r="A5" s="115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17"/>
      <c r="O5" s="18"/>
    </row>
    <row r="6" spans="1:15" ht="12.75">
      <c r="A6" s="109" t="s">
        <v>2</v>
      </c>
      <c r="B6" s="89"/>
      <c r="C6" s="89"/>
      <c r="D6" s="88" t="s">
        <v>320</v>
      </c>
      <c r="E6" s="112" t="s">
        <v>35</v>
      </c>
      <c r="F6" s="89"/>
      <c r="G6" s="112" t="s">
        <v>73</v>
      </c>
      <c r="H6" s="88" t="s">
        <v>34</v>
      </c>
      <c r="I6" s="112" t="s">
        <v>536</v>
      </c>
      <c r="J6" s="89"/>
      <c r="K6" s="89"/>
      <c r="L6" s="89"/>
      <c r="M6" s="89"/>
      <c r="N6" s="117"/>
      <c r="O6" s="18"/>
    </row>
    <row r="7" spans="1:15" ht="12.75">
      <c r="A7" s="11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17"/>
      <c r="O7" s="18"/>
    </row>
    <row r="8" spans="1:15" ht="12.75">
      <c r="A8" s="109" t="s">
        <v>4</v>
      </c>
      <c r="B8" s="89"/>
      <c r="C8" s="89"/>
      <c r="D8" s="88" t="s">
        <v>73</v>
      </c>
      <c r="E8" s="112" t="s">
        <v>517</v>
      </c>
      <c r="F8" s="89"/>
      <c r="G8" s="112" t="s">
        <v>530</v>
      </c>
      <c r="H8" s="88" t="s">
        <v>36</v>
      </c>
      <c r="I8" s="112" t="s">
        <v>536</v>
      </c>
      <c r="J8" s="89"/>
      <c r="K8" s="89"/>
      <c r="L8" s="89"/>
      <c r="M8" s="89"/>
      <c r="N8" s="117"/>
      <c r="O8" s="18"/>
    </row>
    <row r="9" spans="1:15" ht="12.75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  <c r="O9" s="18"/>
    </row>
    <row r="10" spans="1:64" ht="12.75">
      <c r="A10" s="31" t="s">
        <v>72</v>
      </c>
      <c r="B10" s="35" t="s">
        <v>190</v>
      </c>
      <c r="C10" s="35" t="s">
        <v>191</v>
      </c>
      <c r="D10" s="158" t="s">
        <v>321</v>
      </c>
      <c r="E10" s="159"/>
      <c r="F10" s="35" t="s">
        <v>518</v>
      </c>
      <c r="G10" s="39" t="s">
        <v>531</v>
      </c>
      <c r="H10" s="42" t="s">
        <v>532</v>
      </c>
      <c r="I10" s="160" t="s">
        <v>537</v>
      </c>
      <c r="J10" s="161"/>
      <c r="K10" s="162"/>
      <c r="L10" s="160" t="s">
        <v>541</v>
      </c>
      <c r="M10" s="162"/>
      <c r="N10" s="49" t="s">
        <v>543</v>
      </c>
      <c r="O10" s="19"/>
      <c r="BK10" s="48" t="s">
        <v>594</v>
      </c>
      <c r="BL10" s="56" t="s">
        <v>597</v>
      </c>
    </row>
    <row r="11" spans="1:62" ht="12.75">
      <c r="A11" s="32" t="s">
        <v>73</v>
      </c>
      <c r="B11" s="36" t="s">
        <v>73</v>
      </c>
      <c r="C11" s="36" t="s">
        <v>73</v>
      </c>
      <c r="D11" s="163" t="s">
        <v>322</v>
      </c>
      <c r="E11" s="164"/>
      <c r="F11" s="36" t="s">
        <v>73</v>
      </c>
      <c r="G11" s="36" t="s">
        <v>73</v>
      </c>
      <c r="H11" s="43" t="s">
        <v>533</v>
      </c>
      <c r="I11" s="44" t="s">
        <v>538</v>
      </c>
      <c r="J11" s="45" t="s">
        <v>21</v>
      </c>
      <c r="K11" s="46" t="s">
        <v>540</v>
      </c>
      <c r="L11" s="44" t="s">
        <v>542</v>
      </c>
      <c r="M11" s="46" t="s">
        <v>540</v>
      </c>
      <c r="N11" s="50" t="s">
        <v>544</v>
      </c>
      <c r="O11" s="19"/>
      <c r="Z11" s="48" t="s">
        <v>547</v>
      </c>
      <c r="AA11" s="48" t="s">
        <v>548</v>
      </c>
      <c r="AB11" s="48" t="s">
        <v>549</v>
      </c>
      <c r="AC11" s="48" t="s">
        <v>550</v>
      </c>
      <c r="AD11" s="48" t="s">
        <v>551</v>
      </c>
      <c r="AE11" s="48" t="s">
        <v>552</v>
      </c>
      <c r="AF11" s="48" t="s">
        <v>553</v>
      </c>
      <c r="AG11" s="48" t="s">
        <v>554</v>
      </c>
      <c r="AH11" s="48" t="s">
        <v>555</v>
      </c>
      <c r="BH11" s="48" t="s">
        <v>591</v>
      </c>
      <c r="BI11" s="48" t="s">
        <v>592</v>
      </c>
      <c r="BJ11" s="48" t="s">
        <v>593</v>
      </c>
    </row>
    <row r="12" spans="1:15" ht="12.75">
      <c r="A12" s="33"/>
      <c r="B12" s="37"/>
      <c r="C12" s="37"/>
      <c r="D12" s="165" t="s">
        <v>323</v>
      </c>
      <c r="E12" s="166"/>
      <c r="F12" s="38" t="s">
        <v>73</v>
      </c>
      <c r="G12" s="38" t="s">
        <v>73</v>
      </c>
      <c r="H12" s="38" t="s">
        <v>73</v>
      </c>
      <c r="I12" s="57">
        <f>I13+I17+I25+I27+I47+I50+I65+I84+I95+I122+I124+I128+I133+I142+I158+I163+I171+I173+I175+I177+I194+I196+I198+I200</f>
        <v>0</v>
      </c>
      <c r="J12" s="57">
        <f>J13+J17+J25+J27+J47+J50+J65+J84+J95+J122+J124+J128+J133+J142+J158+J163+J171+J173+J175+J177+J194+J196+J198+J200</f>
        <v>0</v>
      </c>
      <c r="K12" s="57">
        <f>K13+K17+K25+K27+K47+K50+K65+K84+K95+K122+K124+K128+K133+K142+K158+K163+K171+K173+K175+K177+K194+K196+K198+K200</f>
        <v>0</v>
      </c>
      <c r="L12" s="47"/>
      <c r="M12" s="57">
        <f>M13+M17+M25+M27+M47+M50+M65+M84+M95+M122+M124+M128+M133+M142+M158+M163+M171+M173+M175+M177+M194+M196+M198+M200</f>
        <v>21.695518379600003</v>
      </c>
      <c r="N12" s="51"/>
      <c r="O12" s="18"/>
    </row>
    <row r="13" spans="1:47" ht="12.75">
      <c r="A13" s="60"/>
      <c r="B13" s="61"/>
      <c r="C13" s="61" t="s">
        <v>101</v>
      </c>
      <c r="D13" s="151" t="s">
        <v>324</v>
      </c>
      <c r="E13" s="152"/>
      <c r="F13" s="62" t="s">
        <v>73</v>
      </c>
      <c r="G13" s="62" t="s">
        <v>73</v>
      </c>
      <c r="H13" s="62" t="s">
        <v>73</v>
      </c>
      <c r="I13" s="63">
        <f>SUM(I14:I14)</f>
        <v>0</v>
      </c>
      <c r="J13" s="63">
        <f>SUM(J14:J14)</f>
        <v>0</v>
      </c>
      <c r="K13" s="63">
        <f>SUM(K14:K14)</f>
        <v>0</v>
      </c>
      <c r="L13" s="64"/>
      <c r="M13" s="63">
        <f>SUM(M14:M14)</f>
        <v>4.13595</v>
      </c>
      <c r="N13" s="65"/>
      <c r="O13" s="18"/>
      <c r="AI13" s="48"/>
      <c r="AS13" s="58">
        <f>SUM(AJ14:AJ14)</f>
        <v>0</v>
      </c>
      <c r="AT13" s="58">
        <f>SUM(AK14:AK14)</f>
        <v>0</v>
      </c>
      <c r="AU13" s="58">
        <f>SUM(AL14:AL14)</f>
        <v>0</v>
      </c>
    </row>
    <row r="14" spans="1:64" ht="12.75">
      <c r="A14" s="66" t="s">
        <v>74</v>
      </c>
      <c r="B14" s="17"/>
      <c r="C14" s="17" t="s">
        <v>192</v>
      </c>
      <c r="D14" s="112" t="s">
        <v>325</v>
      </c>
      <c r="E14" s="147"/>
      <c r="F14" s="17" t="s">
        <v>519</v>
      </c>
      <c r="G14" s="52">
        <v>65.65</v>
      </c>
      <c r="H14" s="173"/>
      <c r="I14" s="52">
        <f>G14*AO14</f>
        <v>0</v>
      </c>
      <c r="J14" s="52">
        <f>G14*AP14</f>
        <v>0</v>
      </c>
      <c r="K14" s="52">
        <f>G14*H14</f>
        <v>0</v>
      </c>
      <c r="L14" s="52">
        <v>0.063</v>
      </c>
      <c r="M14" s="52">
        <f>G14*L14</f>
        <v>4.13595</v>
      </c>
      <c r="N14" s="67" t="s">
        <v>545</v>
      </c>
      <c r="O14" s="18"/>
      <c r="Z14" s="52">
        <f>IF(AQ14="5",BJ14,0)</f>
        <v>0</v>
      </c>
      <c r="AB14" s="52">
        <f>IF(AQ14="1",BH14,0)</f>
        <v>0</v>
      </c>
      <c r="AC14" s="52">
        <f>IF(AQ14="1",BI14,0)</f>
        <v>0</v>
      </c>
      <c r="AD14" s="52">
        <f>IF(AQ14="7",BH14,0)</f>
        <v>0</v>
      </c>
      <c r="AE14" s="52">
        <f>IF(AQ14="7",BI14,0)</f>
        <v>0</v>
      </c>
      <c r="AF14" s="52">
        <f>IF(AQ14="2",BH14,0)</f>
        <v>0</v>
      </c>
      <c r="AG14" s="52">
        <f>IF(AQ14="2",BI14,0)</f>
        <v>0</v>
      </c>
      <c r="AH14" s="52">
        <f>IF(AQ14="0",BJ14,0)</f>
        <v>0</v>
      </c>
      <c r="AI14" s="48"/>
      <c r="AJ14" s="40">
        <f>IF(AN14=0,K14,0)</f>
        <v>0</v>
      </c>
      <c r="AK14" s="40">
        <f>IF(AN14=15,K14,0)</f>
        <v>0</v>
      </c>
      <c r="AL14" s="40">
        <f>IF(AN14=21,K14,0)</f>
        <v>0</v>
      </c>
      <c r="AN14" s="52">
        <v>21</v>
      </c>
      <c r="AO14" s="52">
        <f>H14*0</f>
        <v>0</v>
      </c>
      <c r="AP14" s="52">
        <f>H14*(1-0)</f>
        <v>0</v>
      </c>
      <c r="AQ14" s="53" t="s">
        <v>74</v>
      </c>
      <c r="AV14" s="52">
        <f>AW14+AX14</f>
        <v>0</v>
      </c>
      <c r="AW14" s="52">
        <f>G14*AO14</f>
        <v>0</v>
      </c>
      <c r="AX14" s="52">
        <f>G14*AP14</f>
        <v>0</v>
      </c>
      <c r="AY14" s="55" t="s">
        <v>556</v>
      </c>
      <c r="AZ14" s="55" t="s">
        <v>580</v>
      </c>
      <c r="BA14" s="48" t="s">
        <v>590</v>
      </c>
      <c r="BC14" s="52">
        <f>AW14+AX14</f>
        <v>0</v>
      </c>
      <c r="BD14" s="52">
        <f>H14/(100-BE14)*100</f>
        <v>0</v>
      </c>
      <c r="BE14" s="52">
        <v>0</v>
      </c>
      <c r="BF14" s="52">
        <f>M14</f>
        <v>4.13595</v>
      </c>
      <c r="BH14" s="40">
        <f>G14*AO14</f>
        <v>0</v>
      </c>
      <c r="BI14" s="40">
        <f>G14*AP14</f>
        <v>0</v>
      </c>
      <c r="BJ14" s="40">
        <f>G14*H14</f>
        <v>0</v>
      </c>
      <c r="BK14" s="40" t="s">
        <v>595</v>
      </c>
      <c r="BL14" s="52">
        <v>28</v>
      </c>
    </row>
    <row r="15" spans="1:15" ht="12.75">
      <c r="A15" s="18"/>
      <c r="B15" s="68"/>
      <c r="C15" s="68"/>
      <c r="D15" s="69" t="s">
        <v>326</v>
      </c>
      <c r="E15" s="69"/>
      <c r="F15" s="68"/>
      <c r="G15" s="70">
        <v>0</v>
      </c>
      <c r="H15" s="68"/>
      <c r="I15" s="68"/>
      <c r="J15" s="68"/>
      <c r="K15" s="68"/>
      <c r="L15" s="68"/>
      <c r="M15" s="68"/>
      <c r="N15" s="16"/>
      <c r="O15" s="18"/>
    </row>
    <row r="16" spans="1:15" ht="12.75">
      <c r="A16" s="18"/>
      <c r="B16" s="68"/>
      <c r="C16" s="68"/>
      <c r="D16" s="69" t="s">
        <v>327</v>
      </c>
      <c r="E16" s="69"/>
      <c r="F16" s="68"/>
      <c r="G16" s="70">
        <v>65.65</v>
      </c>
      <c r="H16" s="68"/>
      <c r="I16" s="68"/>
      <c r="J16" s="68"/>
      <c r="K16" s="68"/>
      <c r="L16" s="68"/>
      <c r="M16" s="68"/>
      <c r="N16" s="16"/>
      <c r="O16" s="18"/>
    </row>
    <row r="17" spans="1:47" ht="12.75">
      <c r="A17" s="60"/>
      <c r="B17" s="61"/>
      <c r="C17" s="61" t="s">
        <v>107</v>
      </c>
      <c r="D17" s="151" t="s">
        <v>328</v>
      </c>
      <c r="E17" s="152"/>
      <c r="F17" s="62" t="s">
        <v>73</v>
      </c>
      <c r="G17" s="62" t="s">
        <v>73</v>
      </c>
      <c r="H17" s="62" t="s">
        <v>73</v>
      </c>
      <c r="I17" s="63">
        <f>SUM(I18:I22)</f>
        <v>0</v>
      </c>
      <c r="J17" s="63">
        <f>SUM(J18:J22)</f>
        <v>0</v>
      </c>
      <c r="K17" s="63">
        <f>SUM(K18:K22)</f>
        <v>0</v>
      </c>
      <c r="L17" s="64"/>
      <c r="M17" s="63">
        <f>SUM(M18:M22)</f>
        <v>0.7329828749999999</v>
      </c>
      <c r="N17" s="65"/>
      <c r="O17" s="18"/>
      <c r="AI17" s="48"/>
      <c r="AS17" s="58">
        <f>SUM(AJ18:AJ22)</f>
        <v>0</v>
      </c>
      <c r="AT17" s="58">
        <f>SUM(AK18:AK22)</f>
        <v>0</v>
      </c>
      <c r="AU17" s="58">
        <f>SUM(AL18:AL22)</f>
        <v>0</v>
      </c>
    </row>
    <row r="18" spans="1:64" ht="12.75">
      <c r="A18" s="66" t="s">
        <v>75</v>
      </c>
      <c r="B18" s="17"/>
      <c r="C18" s="17" t="s">
        <v>193</v>
      </c>
      <c r="D18" s="112" t="s">
        <v>329</v>
      </c>
      <c r="E18" s="147"/>
      <c r="F18" s="17" t="s">
        <v>520</v>
      </c>
      <c r="G18" s="52">
        <v>8.4</v>
      </c>
      <c r="H18" s="173"/>
      <c r="I18" s="52">
        <f>G18*AO18</f>
        <v>0</v>
      </c>
      <c r="J18" s="52">
        <f>G18*AP18</f>
        <v>0</v>
      </c>
      <c r="K18" s="52">
        <f>G18*H18</f>
        <v>0</v>
      </c>
      <c r="L18" s="52">
        <v>8E-05</v>
      </c>
      <c r="M18" s="52">
        <f>G18*L18</f>
        <v>0.0006720000000000001</v>
      </c>
      <c r="N18" s="67" t="s">
        <v>545</v>
      </c>
      <c r="O18" s="18"/>
      <c r="Z18" s="52">
        <f>IF(AQ18="5",BJ18,0)</f>
        <v>0</v>
      </c>
      <c r="AB18" s="52">
        <f>IF(AQ18="1",BH18,0)</f>
        <v>0</v>
      </c>
      <c r="AC18" s="52">
        <f>IF(AQ18="1",BI18,0)</f>
        <v>0</v>
      </c>
      <c r="AD18" s="52">
        <f>IF(AQ18="7",BH18,0)</f>
        <v>0</v>
      </c>
      <c r="AE18" s="52">
        <f>IF(AQ18="7",BI18,0)</f>
        <v>0</v>
      </c>
      <c r="AF18" s="52">
        <f>IF(AQ18="2",BH18,0)</f>
        <v>0</v>
      </c>
      <c r="AG18" s="52">
        <f>IF(AQ18="2",BI18,0)</f>
        <v>0</v>
      </c>
      <c r="AH18" s="52">
        <f>IF(AQ18="0",BJ18,0)</f>
        <v>0</v>
      </c>
      <c r="AI18" s="48"/>
      <c r="AJ18" s="40">
        <f>IF(AN18=0,K18,0)</f>
        <v>0</v>
      </c>
      <c r="AK18" s="40">
        <f>IF(AN18=15,K18,0)</f>
        <v>0</v>
      </c>
      <c r="AL18" s="40">
        <f>IF(AN18=21,K18,0)</f>
        <v>0</v>
      </c>
      <c r="AN18" s="52">
        <v>21</v>
      </c>
      <c r="AO18" s="52">
        <f>H18*0.191980610596139</f>
        <v>0</v>
      </c>
      <c r="AP18" s="52">
        <f>H18*(1-0.191980610596139)</f>
        <v>0</v>
      </c>
      <c r="AQ18" s="53" t="s">
        <v>74</v>
      </c>
      <c r="AV18" s="52">
        <f>AW18+AX18</f>
        <v>0</v>
      </c>
      <c r="AW18" s="52">
        <f>G18*AO18</f>
        <v>0</v>
      </c>
      <c r="AX18" s="52">
        <f>G18*AP18</f>
        <v>0</v>
      </c>
      <c r="AY18" s="55" t="s">
        <v>557</v>
      </c>
      <c r="AZ18" s="55" t="s">
        <v>581</v>
      </c>
      <c r="BA18" s="48" t="s">
        <v>590</v>
      </c>
      <c r="BC18" s="52">
        <f>AW18+AX18</f>
        <v>0</v>
      </c>
      <c r="BD18" s="52">
        <f>H18/(100-BE18)*100</f>
        <v>0</v>
      </c>
      <c r="BE18" s="52">
        <v>0</v>
      </c>
      <c r="BF18" s="52">
        <f>M18</f>
        <v>0.0006720000000000001</v>
      </c>
      <c r="BH18" s="40">
        <f>G18*AO18</f>
        <v>0</v>
      </c>
      <c r="BI18" s="40">
        <f>G18*AP18</f>
        <v>0</v>
      </c>
      <c r="BJ18" s="40">
        <f>G18*H18</f>
        <v>0</v>
      </c>
      <c r="BK18" s="40" t="s">
        <v>595</v>
      </c>
      <c r="BL18" s="52">
        <v>34</v>
      </c>
    </row>
    <row r="19" spans="1:15" ht="12.75">
      <c r="A19" s="18"/>
      <c r="B19" s="68"/>
      <c r="C19" s="68"/>
      <c r="D19" s="69" t="s">
        <v>330</v>
      </c>
      <c r="E19" s="69"/>
      <c r="F19" s="68"/>
      <c r="G19" s="70">
        <v>8.4</v>
      </c>
      <c r="H19" s="68"/>
      <c r="I19" s="68"/>
      <c r="J19" s="68"/>
      <c r="K19" s="68"/>
      <c r="L19" s="68"/>
      <c r="M19" s="68"/>
      <c r="N19" s="16"/>
      <c r="O19" s="18"/>
    </row>
    <row r="20" spans="1:64" ht="12.75">
      <c r="A20" s="66" t="s">
        <v>76</v>
      </c>
      <c r="B20" s="17"/>
      <c r="C20" s="17" t="s">
        <v>194</v>
      </c>
      <c r="D20" s="112" t="s">
        <v>331</v>
      </c>
      <c r="E20" s="147"/>
      <c r="F20" s="17" t="s">
        <v>519</v>
      </c>
      <c r="G20" s="52">
        <v>7.56</v>
      </c>
      <c r="H20" s="173"/>
      <c r="I20" s="52">
        <f>G20*AO20</f>
        <v>0</v>
      </c>
      <c r="J20" s="52">
        <f>G20*AP20</f>
        <v>0</v>
      </c>
      <c r="K20" s="52">
        <f>G20*H20</f>
        <v>0</v>
      </c>
      <c r="L20" s="52">
        <v>0.09135</v>
      </c>
      <c r="M20" s="52">
        <f>G20*L20</f>
        <v>0.6906059999999999</v>
      </c>
      <c r="N20" s="67" t="s">
        <v>545</v>
      </c>
      <c r="O20" s="18"/>
      <c r="Z20" s="52">
        <f>IF(AQ20="5",BJ20,0)</f>
        <v>0</v>
      </c>
      <c r="AB20" s="52">
        <f>IF(AQ20="1",BH20,0)</f>
        <v>0</v>
      </c>
      <c r="AC20" s="52">
        <f>IF(AQ20="1",BI20,0)</f>
        <v>0</v>
      </c>
      <c r="AD20" s="52">
        <f>IF(AQ20="7",BH20,0)</f>
        <v>0</v>
      </c>
      <c r="AE20" s="52">
        <f>IF(AQ20="7",BI20,0)</f>
        <v>0</v>
      </c>
      <c r="AF20" s="52">
        <f>IF(AQ20="2",BH20,0)</f>
        <v>0</v>
      </c>
      <c r="AG20" s="52">
        <f>IF(AQ20="2",BI20,0)</f>
        <v>0</v>
      </c>
      <c r="AH20" s="52">
        <f>IF(AQ20="0",BJ20,0)</f>
        <v>0</v>
      </c>
      <c r="AI20" s="48"/>
      <c r="AJ20" s="40">
        <f>IF(AN20=0,K20,0)</f>
        <v>0</v>
      </c>
      <c r="AK20" s="40">
        <f>IF(AN20=15,K20,0)</f>
        <v>0</v>
      </c>
      <c r="AL20" s="40">
        <f>IF(AN20=21,K20,0)</f>
        <v>0</v>
      </c>
      <c r="AN20" s="52">
        <v>21</v>
      </c>
      <c r="AO20" s="52">
        <f>H20*0.579893617021277</f>
        <v>0</v>
      </c>
      <c r="AP20" s="52">
        <f>H20*(1-0.579893617021277)</f>
        <v>0</v>
      </c>
      <c r="AQ20" s="53" t="s">
        <v>74</v>
      </c>
      <c r="AV20" s="52">
        <f>AW20+AX20</f>
        <v>0</v>
      </c>
      <c r="AW20" s="52">
        <f>G20*AO20</f>
        <v>0</v>
      </c>
      <c r="AX20" s="52">
        <f>G20*AP20</f>
        <v>0</v>
      </c>
      <c r="AY20" s="55" t="s">
        <v>557</v>
      </c>
      <c r="AZ20" s="55" t="s">
        <v>581</v>
      </c>
      <c r="BA20" s="48" t="s">
        <v>590</v>
      </c>
      <c r="BC20" s="52">
        <f>AW20+AX20</f>
        <v>0</v>
      </c>
      <c r="BD20" s="52">
        <f>H20/(100-BE20)*100</f>
        <v>0</v>
      </c>
      <c r="BE20" s="52">
        <v>0</v>
      </c>
      <c r="BF20" s="52">
        <f>M20</f>
        <v>0.6906059999999999</v>
      </c>
      <c r="BH20" s="40">
        <f>G20*AO20</f>
        <v>0</v>
      </c>
      <c r="BI20" s="40">
        <f>G20*AP20</f>
        <v>0</v>
      </c>
      <c r="BJ20" s="40">
        <f>G20*H20</f>
        <v>0</v>
      </c>
      <c r="BK20" s="40" t="s">
        <v>595</v>
      </c>
      <c r="BL20" s="52">
        <v>34</v>
      </c>
    </row>
    <row r="21" spans="1:15" ht="12.75">
      <c r="A21" s="18"/>
      <c r="B21" s="68"/>
      <c r="C21" s="68"/>
      <c r="D21" s="69" t="s">
        <v>332</v>
      </c>
      <c r="E21" s="69"/>
      <c r="F21" s="68"/>
      <c r="G21" s="70">
        <v>7.56</v>
      </c>
      <c r="H21" s="68"/>
      <c r="I21" s="68"/>
      <c r="J21" s="68"/>
      <c r="K21" s="68"/>
      <c r="L21" s="68"/>
      <c r="M21" s="68"/>
      <c r="N21" s="16"/>
      <c r="O21" s="18"/>
    </row>
    <row r="22" spans="1:64" ht="12.75">
      <c r="A22" s="66" t="s">
        <v>77</v>
      </c>
      <c r="B22" s="17"/>
      <c r="C22" s="17" t="s">
        <v>195</v>
      </c>
      <c r="D22" s="112" t="s">
        <v>333</v>
      </c>
      <c r="E22" s="147"/>
      <c r="F22" s="17" t="s">
        <v>519</v>
      </c>
      <c r="G22" s="52">
        <v>3.4325</v>
      </c>
      <c r="H22" s="173"/>
      <c r="I22" s="52">
        <f>G22*AO22</f>
        <v>0</v>
      </c>
      <c r="J22" s="52">
        <f>G22*AP22</f>
        <v>0</v>
      </c>
      <c r="K22" s="52">
        <f>G22*H22</f>
        <v>0</v>
      </c>
      <c r="L22" s="52">
        <v>0.01215</v>
      </c>
      <c r="M22" s="52">
        <f>G22*L22</f>
        <v>0.041704875</v>
      </c>
      <c r="N22" s="67" t="s">
        <v>545</v>
      </c>
      <c r="O22" s="18"/>
      <c r="Z22" s="52">
        <f>IF(AQ22="5",BJ22,0)</f>
        <v>0</v>
      </c>
      <c r="AB22" s="52">
        <f>IF(AQ22="1",BH22,0)</f>
        <v>0</v>
      </c>
      <c r="AC22" s="52">
        <f>IF(AQ22="1",BI22,0)</f>
        <v>0</v>
      </c>
      <c r="AD22" s="52">
        <f>IF(AQ22="7",BH22,0)</f>
        <v>0</v>
      </c>
      <c r="AE22" s="52">
        <f>IF(AQ22="7",BI22,0)</f>
        <v>0</v>
      </c>
      <c r="AF22" s="52">
        <f>IF(AQ22="2",BH22,0)</f>
        <v>0</v>
      </c>
      <c r="AG22" s="52">
        <f>IF(AQ22="2",BI22,0)</f>
        <v>0</v>
      </c>
      <c r="AH22" s="52">
        <f>IF(AQ22="0",BJ22,0)</f>
        <v>0</v>
      </c>
      <c r="AI22" s="48"/>
      <c r="AJ22" s="40">
        <f>IF(AN22=0,K22,0)</f>
        <v>0</v>
      </c>
      <c r="AK22" s="40">
        <f>IF(AN22=15,K22,0)</f>
        <v>0</v>
      </c>
      <c r="AL22" s="40">
        <f>IF(AN22=21,K22,0)</f>
        <v>0</v>
      </c>
      <c r="AN22" s="52">
        <v>21</v>
      </c>
      <c r="AO22" s="52">
        <f>H22*0.426385758894462</f>
        <v>0</v>
      </c>
      <c r="AP22" s="52">
        <f>H22*(1-0.426385758894462)</f>
        <v>0</v>
      </c>
      <c r="AQ22" s="53" t="s">
        <v>74</v>
      </c>
      <c r="AV22" s="52">
        <f>AW22+AX22</f>
        <v>0</v>
      </c>
      <c r="AW22" s="52">
        <f>G22*AO22</f>
        <v>0</v>
      </c>
      <c r="AX22" s="52">
        <f>G22*AP22</f>
        <v>0</v>
      </c>
      <c r="AY22" s="55" t="s">
        <v>557</v>
      </c>
      <c r="AZ22" s="55" t="s">
        <v>581</v>
      </c>
      <c r="BA22" s="48" t="s">
        <v>590</v>
      </c>
      <c r="BC22" s="52">
        <f>AW22+AX22</f>
        <v>0</v>
      </c>
      <c r="BD22" s="52">
        <f>H22/(100-BE22)*100</f>
        <v>0</v>
      </c>
      <c r="BE22" s="52">
        <v>0</v>
      </c>
      <c r="BF22" s="52">
        <f>M22</f>
        <v>0.041704875</v>
      </c>
      <c r="BH22" s="40">
        <f>G22*AO22</f>
        <v>0</v>
      </c>
      <c r="BI22" s="40">
        <f>G22*AP22</f>
        <v>0</v>
      </c>
      <c r="BJ22" s="40">
        <f>G22*H22</f>
        <v>0</v>
      </c>
      <c r="BK22" s="40" t="s">
        <v>595</v>
      </c>
      <c r="BL22" s="52">
        <v>34</v>
      </c>
    </row>
    <row r="23" spans="1:15" ht="12.75">
      <c r="A23" s="18"/>
      <c r="B23" s="68"/>
      <c r="C23" s="68"/>
      <c r="D23" s="69" t="s">
        <v>334</v>
      </c>
      <c r="E23" s="69"/>
      <c r="F23" s="68"/>
      <c r="G23" s="70">
        <v>2.0325</v>
      </c>
      <c r="H23" s="68"/>
      <c r="I23" s="68"/>
      <c r="J23" s="68"/>
      <c r="K23" s="68"/>
      <c r="L23" s="68"/>
      <c r="M23" s="68"/>
      <c r="N23" s="16"/>
      <c r="O23" s="18"/>
    </row>
    <row r="24" spans="1:15" ht="12.75">
      <c r="A24" s="18"/>
      <c r="B24" s="68"/>
      <c r="C24" s="68"/>
      <c r="D24" s="69" t="s">
        <v>335</v>
      </c>
      <c r="E24" s="69"/>
      <c r="F24" s="68"/>
      <c r="G24" s="70">
        <v>1.4</v>
      </c>
      <c r="H24" s="68"/>
      <c r="I24" s="68"/>
      <c r="J24" s="68"/>
      <c r="K24" s="68"/>
      <c r="L24" s="68"/>
      <c r="M24" s="68"/>
      <c r="N24" s="16"/>
      <c r="O24" s="18"/>
    </row>
    <row r="25" spans="1:47" ht="12.75">
      <c r="A25" s="60"/>
      <c r="B25" s="61"/>
      <c r="C25" s="61" t="s">
        <v>133</v>
      </c>
      <c r="D25" s="151" t="s">
        <v>336</v>
      </c>
      <c r="E25" s="152"/>
      <c r="F25" s="62" t="s">
        <v>73</v>
      </c>
      <c r="G25" s="62" t="s">
        <v>73</v>
      </c>
      <c r="H25" s="62" t="s">
        <v>73</v>
      </c>
      <c r="I25" s="63">
        <f>SUM(I26:I26)</f>
        <v>0</v>
      </c>
      <c r="J25" s="63">
        <f>SUM(J26:J26)</f>
        <v>0</v>
      </c>
      <c r="K25" s="63">
        <f>SUM(K26:K26)</f>
        <v>0</v>
      </c>
      <c r="L25" s="64"/>
      <c r="M25" s="63">
        <f>SUM(M26:M26)</f>
        <v>0.0288</v>
      </c>
      <c r="N25" s="65"/>
      <c r="O25" s="18"/>
      <c r="AI25" s="48"/>
      <c r="AS25" s="58">
        <f>SUM(AJ26:AJ26)</f>
        <v>0</v>
      </c>
      <c r="AT25" s="58">
        <f>SUM(AK26:AK26)</f>
        <v>0</v>
      </c>
      <c r="AU25" s="58">
        <f>SUM(AL26:AL26)</f>
        <v>0</v>
      </c>
    </row>
    <row r="26" spans="1:64" ht="12.75">
      <c r="A26" s="66" t="s">
        <v>78</v>
      </c>
      <c r="B26" s="17"/>
      <c r="C26" s="17" t="s">
        <v>196</v>
      </c>
      <c r="D26" s="112" t="s">
        <v>337</v>
      </c>
      <c r="E26" s="147"/>
      <c r="F26" s="17" t="s">
        <v>519</v>
      </c>
      <c r="G26" s="52">
        <v>96</v>
      </c>
      <c r="H26" s="173"/>
      <c r="I26" s="52">
        <f>G26*AO26</f>
        <v>0</v>
      </c>
      <c r="J26" s="52">
        <f>G26*AP26</f>
        <v>0</v>
      </c>
      <c r="K26" s="52">
        <f>G26*H26</f>
        <v>0</v>
      </c>
      <c r="L26" s="52">
        <v>0.0003</v>
      </c>
      <c r="M26" s="52">
        <f>G26*L26</f>
        <v>0.0288</v>
      </c>
      <c r="N26" s="67" t="s">
        <v>545</v>
      </c>
      <c r="O26" s="18"/>
      <c r="Z26" s="52">
        <f>IF(AQ26="5",BJ26,0)</f>
        <v>0</v>
      </c>
      <c r="AB26" s="52">
        <f>IF(AQ26="1",BH26,0)</f>
        <v>0</v>
      </c>
      <c r="AC26" s="52">
        <f>IF(AQ26="1",BI26,0)</f>
        <v>0</v>
      </c>
      <c r="AD26" s="52">
        <f>IF(AQ26="7",BH26,0)</f>
        <v>0</v>
      </c>
      <c r="AE26" s="52">
        <f>IF(AQ26="7",BI26,0)</f>
        <v>0</v>
      </c>
      <c r="AF26" s="52">
        <f>IF(AQ26="2",BH26,0)</f>
        <v>0</v>
      </c>
      <c r="AG26" s="52">
        <f>IF(AQ26="2",BI26,0)</f>
        <v>0</v>
      </c>
      <c r="AH26" s="52">
        <f>IF(AQ26="0",BJ26,0)</f>
        <v>0</v>
      </c>
      <c r="AI26" s="48"/>
      <c r="AJ26" s="40">
        <f>IF(AN26=0,K26,0)</f>
        <v>0</v>
      </c>
      <c r="AK26" s="40">
        <f>IF(AN26=15,K26,0)</f>
        <v>0</v>
      </c>
      <c r="AL26" s="40">
        <f>IF(AN26=21,K26,0)</f>
        <v>0</v>
      </c>
      <c r="AN26" s="52">
        <v>21</v>
      </c>
      <c r="AO26" s="52">
        <f>H26*0.402966841186736</f>
        <v>0</v>
      </c>
      <c r="AP26" s="52">
        <f>H26*(1-0.402966841186736)</f>
        <v>0</v>
      </c>
      <c r="AQ26" s="53" t="s">
        <v>74</v>
      </c>
      <c r="AV26" s="52">
        <f>AW26+AX26</f>
        <v>0</v>
      </c>
      <c r="AW26" s="52">
        <f>G26*AO26</f>
        <v>0</v>
      </c>
      <c r="AX26" s="52">
        <f>G26*AP26</f>
        <v>0</v>
      </c>
      <c r="AY26" s="55" t="s">
        <v>558</v>
      </c>
      <c r="AZ26" s="55" t="s">
        <v>582</v>
      </c>
      <c r="BA26" s="48" t="s">
        <v>590</v>
      </c>
      <c r="BC26" s="52">
        <f>AW26+AX26</f>
        <v>0</v>
      </c>
      <c r="BD26" s="52">
        <f>H26/(100-BE26)*100</f>
        <v>0</v>
      </c>
      <c r="BE26" s="52">
        <v>0</v>
      </c>
      <c r="BF26" s="52">
        <f>M26</f>
        <v>0.0288</v>
      </c>
      <c r="BH26" s="40">
        <f>G26*AO26</f>
        <v>0</v>
      </c>
      <c r="BI26" s="40">
        <f>G26*AP26</f>
        <v>0</v>
      </c>
      <c r="BJ26" s="40">
        <f>G26*H26</f>
        <v>0</v>
      </c>
      <c r="BK26" s="40" t="s">
        <v>595</v>
      </c>
      <c r="BL26" s="52">
        <v>60</v>
      </c>
    </row>
    <row r="27" spans="1:47" ht="12.75">
      <c r="A27" s="60"/>
      <c r="B27" s="61"/>
      <c r="C27" s="61" t="s">
        <v>134</v>
      </c>
      <c r="D27" s="151" t="s">
        <v>338</v>
      </c>
      <c r="E27" s="152"/>
      <c r="F27" s="62" t="s">
        <v>73</v>
      </c>
      <c r="G27" s="62" t="s">
        <v>73</v>
      </c>
      <c r="H27" s="62" t="s">
        <v>73</v>
      </c>
      <c r="I27" s="63">
        <f>SUM(I28:I46)</f>
        <v>0</v>
      </c>
      <c r="J27" s="63">
        <f>SUM(J28:J46)</f>
        <v>0</v>
      </c>
      <c r="K27" s="63">
        <f>SUM(K28:K46)</f>
        <v>0</v>
      </c>
      <c r="L27" s="64"/>
      <c r="M27" s="63">
        <f>SUM(M28:M46)</f>
        <v>2.3563652</v>
      </c>
      <c r="N27" s="65"/>
      <c r="O27" s="18"/>
      <c r="AI27" s="48"/>
      <c r="AS27" s="58">
        <f>SUM(AJ28:AJ46)</f>
        <v>0</v>
      </c>
      <c r="AT27" s="58">
        <f>SUM(AK28:AK46)</f>
        <v>0</v>
      </c>
      <c r="AU27" s="58">
        <f>SUM(AL28:AL46)</f>
        <v>0</v>
      </c>
    </row>
    <row r="28" spans="1:64" ht="12.75">
      <c r="A28" s="66" t="s">
        <v>79</v>
      </c>
      <c r="B28" s="17"/>
      <c r="C28" s="17" t="s">
        <v>197</v>
      </c>
      <c r="D28" s="112" t="s">
        <v>339</v>
      </c>
      <c r="E28" s="147"/>
      <c r="F28" s="17" t="s">
        <v>521</v>
      </c>
      <c r="G28" s="52">
        <v>4</v>
      </c>
      <c r="H28" s="173"/>
      <c r="I28" s="52">
        <f>G28*AO28</f>
        <v>0</v>
      </c>
      <c r="J28" s="52">
        <f>G28*AP28</f>
        <v>0</v>
      </c>
      <c r="K28" s="52">
        <f>G28*H28</f>
        <v>0</v>
      </c>
      <c r="L28" s="52">
        <v>0.05492</v>
      </c>
      <c r="M28" s="52">
        <f>G28*L28</f>
        <v>0.21968</v>
      </c>
      <c r="N28" s="67" t="s">
        <v>545</v>
      </c>
      <c r="O28" s="18"/>
      <c r="Z28" s="52">
        <f>IF(AQ28="5",BJ28,0)</f>
        <v>0</v>
      </c>
      <c r="AB28" s="52">
        <f>IF(AQ28="1",BH28,0)</f>
        <v>0</v>
      </c>
      <c r="AC28" s="52">
        <f>IF(AQ28="1",BI28,0)</f>
        <v>0</v>
      </c>
      <c r="AD28" s="52">
        <f>IF(AQ28="7",BH28,0)</f>
        <v>0</v>
      </c>
      <c r="AE28" s="52">
        <f>IF(AQ28="7",BI28,0)</f>
        <v>0</v>
      </c>
      <c r="AF28" s="52">
        <f>IF(AQ28="2",BH28,0)</f>
        <v>0</v>
      </c>
      <c r="AG28" s="52">
        <f>IF(AQ28="2",BI28,0)</f>
        <v>0</v>
      </c>
      <c r="AH28" s="52">
        <f>IF(AQ28="0",BJ28,0)</f>
        <v>0</v>
      </c>
      <c r="AI28" s="48"/>
      <c r="AJ28" s="40">
        <f>IF(AN28=0,K28,0)</f>
        <v>0</v>
      </c>
      <c r="AK28" s="40">
        <f>IF(AN28=15,K28,0)</f>
        <v>0</v>
      </c>
      <c r="AL28" s="40">
        <f>IF(AN28=21,K28,0)</f>
        <v>0</v>
      </c>
      <c r="AN28" s="52">
        <v>21</v>
      </c>
      <c r="AO28" s="52">
        <f>H28*0.281744367781039</f>
        <v>0</v>
      </c>
      <c r="AP28" s="52">
        <f>H28*(1-0.281744367781039)</f>
        <v>0</v>
      </c>
      <c r="AQ28" s="53" t="s">
        <v>74</v>
      </c>
      <c r="AV28" s="52">
        <f>AW28+AX28</f>
        <v>0</v>
      </c>
      <c r="AW28" s="52">
        <f>G28*AO28</f>
        <v>0</v>
      </c>
      <c r="AX28" s="52">
        <f>G28*AP28</f>
        <v>0</v>
      </c>
      <c r="AY28" s="55" t="s">
        <v>559</v>
      </c>
      <c r="AZ28" s="55" t="s">
        <v>582</v>
      </c>
      <c r="BA28" s="48" t="s">
        <v>590</v>
      </c>
      <c r="BC28" s="52">
        <f>AW28+AX28</f>
        <v>0</v>
      </c>
      <c r="BD28" s="52">
        <f>H28/(100-BE28)*100</f>
        <v>0</v>
      </c>
      <c r="BE28" s="52">
        <v>0</v>
      </c>
      <c r="BF28" s="52">
        <f>M28</f>
        <v>0.21968</v>
      </c>
      <c r="BH28" s="40">
        <f>G28*AO28</f>
        <v>0</v>
      </c>
      <c r="BI28" s="40">
        <f>G28*AP28</f>
        <v>0</v>
      </c>
      <c r="BJ28" s="40">
        <f>G28*H28</f>
        <v>0</v>
      </c>
      <c r="BK28" s="40" t="s">
        <v>595</v>
      </c>
      <c r="BL28" s="52">
        <v>61</v>
      </c>
    </row>
    <row r="29" spans="1:15" ht="12.75">
      <c r="A29" s="18"/>
      <c r="B29" s="68"/>
      <c r="C29" s="68"/>
      <c r="D29" s="69" t="s">
        <v>340</v>
      </c>
      <c r="E29" s="69"/>
      <c r="F29" s="68"/>
      <c r="G29" s="70">
        <v>0</v>
      </c>
      <c r="H29" s="68"/>
      <c r="I29" s="68"/>
      <c r="J29" s="68"/>
      <c r="K29" s="68"/>
      <c r="L29" s="68"/>
      <c r="M29" s="68"/>
      <c r="N29" s="16"/>
      <c r="O29" s="18"/>
    </row>
    <row r="30" spans="1:15" ht="12.75">
      <c r="A30" s="18"/>
      <c r="B30" s="68"/>
      <c r="C30" s="68"/>
      <c r="D30" s="69" t="s">
        <v>77</v>
      </c>
      <c r="E30" s="69"/>
      <c r="F30" s="68"/>
      <c r="G30" s="70">
        <v>4</v>
      </c>
      <c r="H30" s="68"/>
      <c r="I30" s="68"/>
      <c r="J30" s="68"/>
      <c r="K30" s="68"/>
      <c r="L30" s="68"/>
      <c r="M30" s="68"/>
      <c r="N30" s="16"/>
      <c r="O30" s="18"/>
    </row>
    <row r="31" spans="1:64" ht="12.75">
      <c r="A31" s="66" t="s">
        <v>80</v>
      </c>
      <c r="B31" s="17"/>
      <c r="C31" s="17" t="s">
        <v>198</v>
      </c>
      <c r="D31" s="112" t="s">
        <v>341</v>
      </c>
      <c r="E31" s="147"/>
      <c r="F31" s="17" t="s">
        <v>519</v>
      </c>
      <c r="G31" s="52">
        <v>65.65</v>
      </c>
      <c r="H31" s="173"/>
      <c r="I31" s="52">
        <f>G31*AO31</f>
        <v>0</v>
      </c>
      <c r="J31" s="52">
        <f>G31*AP31</f>
        <v>0</v>
      </c>
      <c r="K31" s="52">
        <f>G31*H31</f>
        <v>0</v>
      </c>
      <c r="L31" s="52">
        <v>0.02495</v>
      </c>
      <c r="M31" s="52">
        <f>G31*L31</f>
        <v>1.6379675000000002</v>
      </c>
      <c r="N31" s="67" t="s">
        <v>545</v>
      </c>
      <c r="O31" s="18"/>
      <c r="Z31" s="52">
        <f>IF(AQ31="5",BJ31,0)</f>
        <v>0</v>
      </c>
      <c r="AB31" s="52">
        <f>IF(AQ31="1",BH31,0)</f>
        <v>0</v>
      </c>
      <c r="AC31" s="52">
        <f>IF(AQ31="1",BI31,0)</f>
        <v>0</v>
      </c>
      <c r="AD31" s="52">
        <f>IF(AQ31="7",BH31,0)</f>
        <v>0</v>
      </c>
      <c r="AE31" s="52">
        <f>IF(AQ31="7",BI31,0)</f>
        <v>0</v>
      </c>
      <c r="AF31" s="52">
        <f>IF(AQ31="2",BH31,0)</f>
        <v>0</v>
      </c>
      <c r="AG31" s="52">
        <f>IF(AQ31="2",BI31,0)</f>
        <v>0</v>
      </c>
      <c r="AH31" s="52">
        <f>IF(AQ31="0",BJ31,0)</f>
        <v>0</v>
      </c>
      <c r="AI31" s="48"/>
      <c r="AJ31" s="40">
        <f>IF(AN31=0,K31,0)</f>
        <v>0</v>
      </c>
      <c r="AK31" s="40">
        <f>IF(AN31=15,K31,0)</f>
        <v>0</v>
      </c>
      <c r="AL31" s="40">
        <f>IF(AN31=21,K31,0)</f>
        <v>0</v>
      </c>
      <c r="AN31" s="52">
        <v>21</v>
      </c>
      <c r="AO31" s="52">
        <f>H31*0.427455621301775</f>
        <v>0</v>
      </c>
      <c r="AP31" s="52">
        <f>H31*(1-0.427455621301775)</f>
        <v>0</v>
      </c>
      <c r="AQ31" s="53" t="s">
        <v>74</v>
      </c>
      <c r="AV31" s="52">
        <f>AW31+AX31</f>
        <v>0</v>
      </c>
      <c r="AW31" s="52">
        <f>G31*AO31</f>
        <v>0</v>
      </c>
      <c r="AX31" s="52">
        <f>G31*AP31</f>
        <v>0</v>
      </c>
      <c r="AY31" s="55" t="s">
        <v>559</v>
      </c>
      <c r="AZ31" s="55" t="s">
        <v>582</v>
      </c>
      <c r="BA31" s="48" t="s">
        <v>590</v>
      </c>
      <c r="BC31" s="52">
        <f>AW31+AX31</f>
        <v>0</v>
      </c>
      <c r="BD31" s="52">
        <f>H31/(100-BE31)*100</f>
        <v>0</v>
      </c>
      <c r="BE31" s="52">
        <v>0</v>
      </c>
      <c r="BF31" s="52">
        <f>M31</f>
        <v>1.6379675000000002</v>
      </c>
      <c r="BH31" s="40">
        <f>G31*AO31</f>
        <v>0</v>
      </c>
      <c r="BI31" s="40">
        <f>G31*AP31</f>
        <v>0</v>
      </c>
      <c r="BJ31" s="40">
        <f>G31*H31</f>
        <v>0</v>
      </c>
      <c r="BK31" s="40" t="s">
        <v>595</v>
      </c>
      <c r="BL31" s="52">
        <v>61</v>
      </c>
    </row>
    <row r="32" spans="1:15" ht="12.75">
      <c r="A32" s="18"/>
      <c r="B32" s="68"/>
      <c r="C32" s="68"/>
      <c r="D32" s="69" t="s">
        <v>342</v>
      </c>
      <c r="E32" s="69"/>
      <c r="F32" s="68"/>
      <c r="G32" s="70">
        <v>0</v>
      </c>
      <c r="H32" s="68"/>
      <c r="I32" s="68"/>
      <c r="J32" s="68"/>
      <c r="K32" s="68"/>
      <c r="L32" s="68"/>
      <c r="M32" s="68"/>
      <c r="N32" s="16"/>
      <c r="O32" s="18"/>
    </row>
    <row r="33" spans="1:15" ht="12.75">
      <c r="A33" s="18"/>
      <c r="B33" s="68"/>
      <c r="C33" s="68"/>
      <c r="D33" s="69" t="s">
        <v>343</v>
      </c>
      <c r="E33" s="69"/>
      <c r="F33" s="68"/>
      <c r="G33" s="70">
        <v>15.96</v>
      </c>
      <c r="H33" s="68"/>
      <c r="I33" s="68"/>
      <c r="J33" s="68"/>
      <c r="K33" s="68"/>
      <c r="L33" s="68"/>
      <c r="M33" s="68"/>
      <c r="N33" s="16"/>
      <c r="O33" s="18"/>
    </row>
    <row r="34" spans="1:15" ht="12.75">
      <c r="A34" s="18"/>
      <c r="B34" s="68"/>
      <c r="C34" s="68"/>
      <c r="D34" s="69" t="s">
        <v>344</v>
      </c>
      <c r="E34" s="69"/>
      <c r="F34" s="68"/>
      <c r="G34" s="70">
        <v>0</v>
      </c>
      <c r="H34" s="68"/>
      <c r="I34" s="68"/>
      <c r="J34" s="68"/>
      <c r="K34" s="68"/>
      <c r="L34" s="68"/>
      <c r="M34" s="68"/>
      <c r="N34" s="16"/>
      <c r="O34" s="18"/>
    </row>
    <row r="35" spans="1:15" ht="12.75">
      <c r="A35" s="18"/>
      <c r="B35" s="68"/>
      <c r="C35" s="68"/>
      <c r="D35" s="69" t="s">
        <v>345</v>
      </c>
      <c r="E35" s="69"/>
      <c r="F35" s="68"/>
      <c r="G35" s="70">
        <v>49.69</v>
      </c>
      <c r="H35" s="68"/>
      <c r="I35" s="68"/>
      <c r="J35" s="68"/>
      <c r="K35" s="68"/>
      <c r="L35" s="68"/>
      <c r="M35" s="68"/>
      <c r="N35" s="16"/>
      <c r="O35" s="18"/>
    </row>
    <row r="36" spans="1:64" ht="12.75">
      <c r="A36" s="77" t="s">
        <v>81</v>
      </c>
      <c r="B36" s="77"/>
      <c r="C36" s="77" t="s">
        <v>199</v>
      </c>
      <c r="D36" s="154" t="s">
        <v>346</v>
      </c>
      <c r="E36" s="155"/>
      <c r="F36" s="77" t="s">
        <v>519</v>
      </c>
      <c r="G36" s="78">
        <v>60.685</v>
      </c>
      <c r="H36" s="175"/>
      <c r="I36" s="78">
        <f>G36*AO36</f>
        <v>0</v>
      </c>
      <c r="J36" s="78">
        <f>G36*AP36</f>
        <v>0</v>
      </c>
      <c r="K36" s="78">
        <f>G36*H36</f>
        <v>0</v>
      </c>
      <c r="L36" s="78">
        <v>0.00032</v>
      </c>
      <c r="M36" s="78">
        <f>G36*L36</f>
        <v>0.0194192</v>
      </c>
      <c r="N36" s="73" t="s">
        <v>545</v>
      </c>
      <c r="O36" s="75"/>
      <c r="Z36" s="52">
        <f>IF(AQ36="5",BJ36,0)</f>
        <v>0</v>
      </c>
      <c r="AB36" s="52">
        <f>IF(AQ36="1",BH36,0)</f>
        <v>0</v>
      </c>
      <c r="AC36" s="52">
        <f>IF(AQ36="1",BI36,0)</f>
        <v>0</v>
      </c>
      <c r="AD36" s="52">
        <f>IF(AQ36="7",BH36,0)</f>
        <v>0</v>
      </c>
      <c r="AE36" s="52">
        <f>IF(AQ36="7",BI36,0)</f>
        <v>0</v>
      </c>
      <c r="AF36" s="52">
        <f>IF(AQ36="2",BH36,0)</f>
        <v>0</v>
      </c>
      <c r="AG36" s="52">
        <f>IF(AQ36="2",BI36,0)</f>
        <v>0</v>
      </c>
      <c r="AH36" s="52">
        <f>IF(AQ36="0",BJ36,0)</f>
        <v>0</v>
      </c>
      <c r="AI36" s="48"/>
      <c r="AJ36" s="40">
        <f>IF(AN36=0,K36,0)</f>
        <v>0</v>
      </c>
      <c r="AK36" s="40">
        <f>IF(AN36=15,K36,0)</f>
        <v>0</v>
      </c>
      <c r="AL36" s="40">
        <f>IF(AN36=21,K36,0)</f>
        <v>0</v>
      </c>
      <c r="AN36" s="52">
        <v>21</v>
      </c>
      <c r="AO36" s="52">
        <f>H36*0.489402383236184</f>
        <v>0</v>
      </c>
      <c r="AP36" s="52">
        <f>H36*(1-0.489402383236184)</f>
        <v>0</v>
      </c>
      <c r="AQ36" s="53" t="s">
        <v>74</v>
      </c>
      <c r="AV36" s="52">
        <f>AW36+AX36</f>
        <v>0</v>
      </c>
      <c r="AW36" s="52">
        <f>G36*AO36</f>
        <v>0</v>
      </c>
      <c r="AX36" s="52">
        <f>G36*AP36</f>
        <v>0</v>
      </c>
      <c r="AY36" s="55" t="s">
        <v>559</v>
      </c>
      <c r="AZ36" s="55" t="s">
        <v>582</v>
      </c>
      <c r="BA36" s="48" t="s">
        <v>590</v>
      </c>
      <c r="BC36" s="52">
        <f>AW36+AX36</f>
        <v>0</v>
      </c>
      <c r="BD36" s="52">
        <f>H36/(100-BE36)*100</f>
        <v>0</v>
      </c>
      <c r="BE36" s="52">
        <v>0</v>
      </c>
      <c r="BF36" s="52">
        <f>M36</f>
        <v>0.0194192</v>
      </c>
      <c r="BH36" s="40">
        <f>G36*AO36</f>
        <v>0</v>
      </c>
      <c r="BI36" s="40">
        <f>G36*AP36</f>
        <v>0</v>
      </c>
      <c r="BJ36" s="40">
        <f>G36*H36</f>
        <v>0</v>
      </c>
      <c r="BK36" s="40" t="s">
        <v>595</v>
      </c>
      <c r="BL36" s="52">
        <v>61</v>
      </c>
    </row>
    <row r="37" spans="1:15" ht="12.75">
      <c r="A37" s="79"/>
      <c r="B37" s="80"/>
      <c r="C37" s="80"/>
      <c r="D37" s="81" t="s">
        <v>347</v>
      </c>
      <c r="E37" s="81"/>
      <c r="F37" s="80"/>
      <c r="G37" s="82">
        <v>60.685</v>
      </c>
      <c r="H37" s="80"/>
      <c r="I37" s="80"/>
      <c r="J37" s="80"/>
      <c r="K37" s="80"/>
      <c r="L37" s="80"/>
      <c r="M37" s="80"/>
      <c r="N37" s="76"/>
      <c r="O37" s="75"/>
    </row>
    <row r="38" spans="1:64" ht="12.75">
      <c r="A38" s="77" t="s">
        <v>82</v>
      </c>
      <c r="B38" s="77"/>
      <c r="C38" s="77" t="s">
        <v>200</v>
      </c>
      <c r="D38" s="154" t="s">
        <v>348</v>
      </c>
      <c r="E38" s="155"/>
      <c r="F38" s="77" t="s">
        <v>519</v>
      </c>
      <c r="G38" s="78">
        <v>35.7075</v>
      </c>
      <c r="H38" s="175"/>
      <c r="I38" s="78">
        <f>G38*AO38</f>
        <v>0</v>
      </c>
      <c r="J38" s="78">
        <f>G38*AP38</f>
        <v>0</v>
      </c>
      <c r="K38" s="78">
        <f>G38*H38</f>
        <v>0</v>
      </c>
      <c r="L38" s="78">
        <v>0.0025</v>
      </c>
      <c r="M38" s="78">
        <f>G38*L38</f>
        <v>0.08926875000000001</v>
      </c>
      <c r="N38" s="73" t="s">
        <v>545</v>
      </c>
      <c r="O38" s="75"/>
      <c r="Z38" s="52">
        <f>IF(AQ38="5",BJ38,0)</f>
        <v>0</v>
      </c>
      <c r="AB38" s="52">
        <f>IF(AQ38="1",BH38,0)</f>
        <v>0</v>
      </c>
      <c r="AC38" s="52">
        <f>IF(AQ38="1",BI38,0)</f>
        <v>0</v>
      </c>
      <c r="AD38" s="52">
        <f>IF(AQ38="7",BH38,0)</f>
        <v>0</v>
      </c>
      <c r="AE38" s="52">
        <f>IF(AQ38="7",BI38,0)</f>
        <v>0</v>
      </c>
      <c r="AF38" s="52">
        <f>IF(AQ38="2",BH38,0)</f>
        <v>0</v>
      </c>
      <c r="AG38" s="52">
        <f>IF(AQ38="2",BI38,0)</f>
        <v>0</v>
      </c>
      <c r="AH38" s="52">
        <f>IF(AQ38="0",BJ38,0)</f>
        <v>0</v>
      </c>
      <c r="AI38" s="48"/>
      <c r="AJ38" s="40">
        <f>IF(AN38=0,K38,0)</f>
        <v>0</v>
      </c>
      <c r="AK38" s="40">
        <f>IF(AN38=15,K38,0)</f>
        <v>0</v>
      </c>
      <c r="AL38" s="40">
        <f>IF(AN38=21,K38,0)</f>
        <v>0</v>
      </c>
      <c r="AN38" s="52">
        <v>21</v>
      </c>
      <c r="AO38" s="52">
        <f>H38*0.114178985163465</f>
        <v>0</v>
      </c>
      <c r="AP38" s="52">
        <f>H38*(1-0.114178985163465)</f>
        <v>0</v>
      </c>
      <c r="AQ38" s="53" t="s">
        <v>74</v>
      </c>
      <c r="AV38" s="52">
        <f>AW38+AX38</f>
        <v>0</v>
      </c>
      <c r="AW38" s="52">
        <f>G38*AO38</f>
        <v>0</v>
      </c>
      <c r="AX38" s="52">
        <f>G38*AP38</f>
        <v>0</v>
      </c>
      <c r="AY38" s="55" t="s">
        <v>559</v>
      </c>
      <c r="AZ38" s="55" t="s">
        <v>582</v>
      </c>
      <c r="BA38" s="48" t="s">
        <v>590</v>
      </c>
      <c r="BC38" s="52">
        <f>AW38+AX38</f>
        <v>0</v>
      </c>
      <c r="BD38" s="52">
        <f>H38/(100-BE38)*100</f>
        <v>0</v>
      </c>
      <c r="BE38" s="52">
        <v>0</v>
      </c>
      <c r="BF38" s="52">
        <f>M38</f>
        <v>0.08926875000000001</v>
      </c>
      <c r="BH38" s="40">
        <f>G38*AO38</f>
        <v>0</v>
      </c>
      <c r="BI38" s="40">
        <f>G38*AP38</f>
        <v>0</v>
      </c>
      <c r="BJ38" s="40">
        <f>G38*H38</f>
        <v>0</v>
      </c>
      <c r="BK38" s="40" t="s">
        <v>595</v>
      </c>
      <c r="BL38" s="52">
        <v>61</v>
      </c>
    </row>
    <row r="39" spans="1:15" ht="12.75">
      <c r="A39" s="79"/>
      <c r="B39" s="80"/>
      <c r="C39" s="80"/>
      <c r="D39" s="81" t="s">
        <v>349</v>
      </c>
      <c r="E39" s="81"/>
      <c r="F39" s="80"/>
      <c r="G39" s="82">
        <v>0</v>
      </c>
      <c r="H39" s="80"/>
      <c r="I39" s="80"/>
      <c r="J39" s="80"/>
      <c r="K39" s="80"/>
      <c r="L39" s="80"/>
      <c r="M39" s="80"/>
      <c r="N39" s="76"/>
      <c r="O39" s="75"/>
    </row>
    <row r="40" spans="1:15" ht="12.75">
      <c r="A40" s="79"/>
      <c r="B40" s="80"/>
      <c r="C40" s="80"/>
      <c r="D40" s="81" t="s">
        <v>350</v>
      </c>
      <c r="E40" s="81"/>
      <c r="F40" s="80"/>
      <c r="G40" s="82">
        <v>18.63</v>
      </c>
      <c r="H40" s="80"/>
      <c r="I40" s="80"/>
      <c r="J40" s="80"/>
      <c r="K40" s="80"/>
      <c r="L40" s="80"/>
      <c r="M40" s="80"/>
      <c r="N40" s="76"/>
      <c r="O40" s="75"/>
    </row>
    <row r="41" spans="1:15" ht="12.75">
      <c r="A41" s="79"/>
      <c r="B41" s="80"/>
      <c r="C41" s="80"/>
      <c r="D41" s="81" t="s">
        <v>351</v>
      </c>
      <c r="E41" s="81"/>
      <c r="F41" s="80"/>
      <c r="G41" s="82">
        <v>17.0775</v>
      </c>
      <c r="H41" s="80"/>
      <c r="I41" s="80"/>
      <c r="J41" s="80"/>
      <c r="K41" s="80"/>
      <c r="L41" s="80"/>
      <c r="M41" s="80"/>
      <c r="N41" s="76"/>
      <c r="O41" s="75"/>
    </row>
    <row r="42" spans="1:64" ht="12.75">
      <c r="A42" s="77" t="s">
        <v>83</v>
      </c>
      <c r="B42" s="77"/>
      <c r="C42" s="77" t="s">
        <v>201</v>
      </c>
      <c r="D42" s="154" t="s">
        <v>352</v>
      </c>
      <c r="E42" s="155"/>
      <c r="F42" s="77" t="s">
        <v>519</v>
      </c>
      <c r="G42" s="78">
        <v>24.975</v>
      </c>
      <c r="H42" s="175"/>
      <c r="I42" s="78">
        <f>G42*AO42</f>
        <v>0</v>
      </c>
      <c r="J42" s="78">
        <f>G42*AP42</f>
        <v>0</v>
      </c>
      <c r="K42" s="78">
        <f>G42*H42</f>
        <v>0</v>
      </c>
      <c r="L42" s="78">
        <v>0.00574</v>
      </c>
      <c r="M42" s="78">
        <f>G42*L42</f>
        <v>0.14335650000000003</v>
      </c>
      <c r="N42" s="73" t="s">
        <v>545</v>
      </c>
      <c r="O42" s="75"/>
      <c r="Z42" s="52">
        <f>IF(AQ42="5",BJ42,0)</f>
        <v>0</v>
      </c>
      <c r="AB42" s="52">
        <f>IF(AQ42="1",BH42,0)</f>
        <v>0</v>
      </c>
      <c r="AC42" s="52">
        <f>IF(AQ42="1",BI42,0)</f>
        <v>0</v>
      </c>
      <c r="AD42" s="52">
        <f>IF(AQ42="7",BH42,0)</f>
        <v>0</v>
      </c>
      <c r="AE42" s="52">
        <f>IF(AQ42="7",BI42,0)</f>
        <v>0</v>
      </c>
      <c r="AF42" s="52">
        <f>IF(AQ42="2",BH42,0)</f>
        <v>0</v>
      </c>
      <c r="AG42" s="52">
        <f>IF(AQ42="2",BI42,0)</f>
        <v>0</v>
      </c>
      <c r="AH42" s="52">
        <f>IF(AQ42="0",BJ42,0)</f>
        <v>0</v>
      </c>
      <c r="AI42" s="48"/>
      <c r="AJ42" s="40">
        <f>IF(AN42=0,K42,0)</f>
        <v>0</v>
      </c>
      <c r="AK42" s="40">
        <f>IF(AN42=15,K42,0)</f>
        <v>0</v>
      </c>
      <c r="AL42" s="40">
        <f>IF(AN42=21,K42,0)</f>
        <v>0</v>
      </c>
      <c r="AN42" s="52">
        <v>21</v>
      </c>
      <c r="AO42" s="52">
        <f>H42*0.146418740990983</f>
        <v>0</v>
      </c>
      <c r="AP42" s="52">
        <f>H42*(1-0.146418740990983)</f>
        <v>0</v>
      </c>
      <c r="AQ42" s="53" t="s">
        <v>74</v>
      </c>
      <c r="AV42" s="52">
        <f>AW42+AX42</f>
        <v>0</v>
      </c>
      <c r="AW42" s="52">
        <f>G42*AO42</f>
        <v>0</v>
      </c>
      <c r="AX42" s="52">
        <f>G42*AP42</f>
        <v>0</v>
      </c>
      <c r="AY42" s="55" t="s">
        <v>559</v>
      </c>
      <c r="AZ42" s="55" t="s">
        <v>582</v>
      </c>
      <c r="BA42" s="48" t="s">
        <v>590</v>
      </c>
      <c r="BC42" s="52">
        <f>AW42+AX42</f>
        <v>0</v>
      </c>
      <c r="BD42" s="52">
        <f>H42/(100-BE42)*100</f>
        <v>0</v>
      </c>
      <c r="BE42" s="52">
        <v>0</v>
      </c>
      <c r="BF42" s="52">
        <f>M42</f>
        <v>0.14335650000000003</v>
      </c>
      <c r="BH42" s="40">
        <f>G42*AO42</f>
        <v>0</v>
      </c>
      <c r="BI42" s="40">
        <f>G42*AP42</f>
        <v>0</v>
      </c>
      <c r="BJ42" s="40">
        <f>G42*H42</f>
        <v>0</v>
      </c>
      <c r="BK42" s="40" t="s">
        <v>595</v>
      </c>
      <c r="BL42" s="52">
        <v>61</v>
      </c>
    </row>
    <row r="43" spans="1:15" ht="12.75">
      <c r="A43" s="79"/>
      <c r="B43" s="80"/>
      <c r="C43" s="80"/>
      <c r="D43" s="81" t="s">
        <v>353</v>
      </c>
      <c r="E43" s="81"/>
      <c r="F43" s="80"/>
      <c r="G43" s="82">
        <v>24.975</v>
      </c>
      <c r="H43" s="80"/>
      <c r="I43" s="80"/>
      <c r="J43" s="80"/>
      <c r="K43" s="80"/>
      <c r="L43" s="80"/>
      <c r="M43" s="80"/>
      <c r="N43" s="76"/>
      <c r="O43" s="75"/>
    </row>
    <row r="44" spans="1:64" ht="12.75">
      <c r="A44" s="77" t="s">
        <v>84</v>
      </c>
      <c r="B44" s="77"/>
      <c r="C44" s="77" t="s">
        <v>202</v>
      </c>
      <c r="D44" s="154" t="s">
        <v>354</v>
      </c>
      <c r="E44" s="155"/>
      <c r="F44" s="77" t="s">
        <v>519</v>
      </c>
      <c r="G44" s="78">
        <v>24.975</v>
      </c>
      <c r="H44" s="175"/>
      <c r="I44" s="78">
        <f>G44*AO44</f>
        <v>0</v>
      </c>
      <c r="J44" s="78">
        <f>G44*AP44</f>
        <v>0</v>
      </c>
      <c r="K44" s="78">
        <f>G44*H44</f>
        <v>0</v>
      </c>
      <c r="L44" s="78">
        <v>0.00307</v>
      </c>
      <c r="M44" s="78">
        <f>G44*L44</f>
        <v>0.07667325</v>
      </c>
      <c r="N44" s="73" t="s">
        <v>545</v>
      </c>
      <c r="O44" s="75"/>
      <c r="Z44" s="52">
        <f>IF(AQ44="5",BJ44,0)</f>
        <v>0</v>
      </c>
      <c r="AB44" s="52">
        <f>IF(AQ44="1",BH44,0)</f>
        <v>0</v>
      </c>
      <c r="AC44" s="52">
        <f>IF(AQ44="1",BI44,0)</f>
        <v>0</v>
      </c>
      <c r="AD44" s="52">
        <f>IF(AQ44="7",BH44,0)</f>
        <v>0</v>
      </c>
      <c r="AE44" s="52">
        <f>IF(AQ44="7",BI44,0)</f>
        <v>0</v>
      </c>
      <c r="AF44" s="52">
        <f>IF(AQ44="2",BH44,0)</f>
        <v>0</v>
      </c>
      <c r="AG44" s="52">
        <f>IF(AQ44="2",BI44,0)</f>
        <v>0</v>
      </c>
      <c r="AH44" s="52">
        <f>IF(AQ44="0",BJ44,0)</f>
        <v>0</v>
      </c>
      <c r="AI44" s="48"/>
      <c r="AJ44" s="40">
        <f>IF(AN44=0,K44,0)</f>
        <v>0</v>
      </c>
      <c r="AK44" s="40">
        <f>IF(AN44=15,K44,0)</f>
        <v>0</v>
      </c>
      <c r="AL44" s="40">
        <f>IF(AN44=21,K44,0)</f>
        <v>0</v>
      </c>
      <c r="AN44" s="52">
        <v>21</v>
      </c>
      <c r="AO44" s="52">
        <f>H44*0.155487551890359</f>
        <v>0</v>
      </c>
      <c r="AP44" s="52">
        <f>H44*(1-0.155487551890359)</f>
        <v>0</v>
      </c>
      <c r="AQ44" s="53" t="s">
        <v>74</v>
      </c>
      <c r="AV44" s="52">
        <f>AW44+AX44</f>
        <v>0</v>
      </c>
      <c r="AW44" s="52">
        <f>G44*AO44</f>
        <v>0</v>
      </c>
      <c r="AX44" s="52">
        <f>G44*AP44</f>
        <v>0</v>
      </c>
      <c r="AY44" s="55" t="s">
        <v>559</v>
      </c>
      <c r="AZ44" s="55" t="s">
        <v>582</v>
      </c>
      <c r="BA44" s="48" t="s">
        <v>590</v>
      </c>
      <c r="BC44" s="52">
        <f>AW44+AX44</f>
        <v>0</v>
      </c>
      <c r="BD44" s="52">
        <f>H44/(100-BE44)*100</f>
        <v>0</v>
      </c>
      <c r="BE44" s="52">
        <v>0</v>
      </c>
      <c r="BF44" s="52">
        <f>M44</f>
        <v>0.07667325</v>
      </c>
      <c r="BH44" s="40">
        <f>G44*AO44</f>
        <v>0</v>
      </c>
      <c r="BI44" s="40">
        <f>G44*AP44</f>
        <v>0</v>
      </c>
      <c r="BJ44" s="40">
        <f>G44*H44</f>
        <v>0</v>
      </c>
      <c r="BK44" s="40" t="s">
        <v>595</v>
      </c>
      <c r="BL44" s="52">
        <v>61</v>
      </c>
    </row>
    <row r="45" spans="1:64" ht="12.75">
      <c r="A45" s="71" t="s">
        <v>85</v>
      </c>
      <c r="B45" s="71"/>
      <c r="C45" s="71" t="s">
        <v>203</v>
      </c>
      <c r="D45" s="156" t="s">
        <v>355</v>
      </c>
      <c r="E45" s="157"/>
      <c r="F45" s="71" t="s">
        <v>519</v>
      </c>
      <c r="G45" s="72">
        <v>2.5</v>
      </c>
      <c r="H45" s="176"/>
      <c r="I45" s="72">
        <f>G45*AO45</f>
        <v>0</v>
      </c>
      <c r="J45" s="72">
        <f>G45*AP45</f>
        <v>0</v>
      </c>
      <c r="K45" s="72">
        <f>G45*H45</f>
        <v>0</v>
      </c>
      <c r="L45" s="72">
        <v>0.068</v>
      </c>
      <c r="M45" s="72">
        <f>G45*L45</f>
        <v>0.17</v>
      </c>
      <c r="N45" s="74" t="s">
        <v>545</v>
      </c>
      <c r="O45" s="75"/>
      <c r="Z45" s="52">
        <f>IF(AQ45="5",BJ45,0)</f>
        <v>0</v>
      </c>
      <c r="AB45" s="52">
        <f>IF(AQ45="1",BH45,0)</f>
        <v>0</v>
      </c>
      <c r="AC45" s="52">
        <f>IF(AQ45="1",BI45,0)</f>
        <v>0</v>
      </c>
      <c r="AD45" s="52">
        <f>IF(AQ45="7",BH45,0)</f>
        <v>0</v>
      </c>
      <c r="AE45" s="52">
        <f>IF(AQ45="7",BI45,0)</f>
        <v>0</v>
      </c>
      <c r="AF45" s="52">
        <f>IF(AQ45="2",BH45,0)</f>
        <v>0</v>
      </c>
      <c r="AG45" s="52">
        <f>IF(AQ45="2",BI45,0)</f>
        <v>0</v>
      </c>
      <c r="AH45" s="52">
        <f>IF(AQ45="0",BJ45,0)</f>
        <v>0</v>
      </c>
      <c r="AI45" s="48"/>
      <c r="AJ45" s="40">
        <f>IF(AN45=0,K45,0)</f>
        <v>0</v>
      </c>
      <c r="AK45" s="40">
        <f>IF(AN45=15,K45,0)</f>
        <v>0</v>
      </c>
      <c r="AL45" s="40">
        <f>IF(AN45=21,K45,0)</f>
        <v>0</v>
      </c>
      <c r="AN45" s="52">
        <v>21</v>
      </c>
      <c r="AO45" s="52">
        <f>H45*0.466099190163741</f>
        <v>0</v>
      </c>
      <c r="AP45" s="52">
        <f>H45*(1-0.466099190163741)</f>
        <v>0</v>
      </c>
      <c r="AQ45" s="53" t="s">
        <v>74</v>
      </c>
      <c r="AV45" s="52">
        <f>AW45+AX45</f>
        <v>0</v>
      </c>
      <c r="AW45" s="52">
        <f>G45*AO45</f>
        <v>0</v>
      </c>
      <c r="AX45" s="52">
        <f>G45*AP45</f>
        <v>0</v>
      </c>
      <c r="AY45" s="55" t="s">
        <v>559</v>
      </c>
      <c r="AZ45" s="55" t="s">
        <v>582</v>
      </c>
      <c r="BA45" s="48" t="s">
        <v>590</v>
      </c>
      <c r="BC45" s="52">
        <f>AW45+AX45</f>
        <v>0</v>
      </c>
      <c r="BD45" s="52">
        <f>H45/(100-BE45)*100</f>
        <v>0</v>
      </c>
      <c r="BE45" s="52">
        <v>0</v>
      </c>
      <c r="BF45" s="52">
        <f>M45</f>
        <v>0.17</v>
      </c>
      <c r="BH45" s="40">
        <f>G45*AO45</f>
        <v>0</v>
      </c>
      <c r="BI45" s="40">
        <f>G45*AP45</f>
        <v>0</v>
      </c>
      <c r="BJ45" s="40">
        <f>G45*H45</f>
        <v>0</v>
      </c>
      <c r="BK45" s="40" t="s">
        <v>595</v>
      </c>
      <c r="BL45" s="52">
        <v>61</v>
      </c>
    </row>
    <row r="46" spans="1:64" ht="12.75">
      <c r="A46" s="66" t="s">
        <v>86</v>
      </c>
      <c r="B46" s="17"/>
      <c r="C46" s="17" t="s">
        <v>204</v>
      </c>
      <c r="D46" s="112" t="s">
        <v>356</v>
      </c>
      <c r="E46" s="153"/>
      <c r="F46" s="17" t="s">
        <v>522</v>
      </c>
      <c r="G46" s="52">
        <v>0</v>
      </c>
      <c r="H46" s="173"/>
      <c r="I46" s="52">
        <f>G46*AO46</f>
        <v>0</v>
      </c>
      <c r="J46" s="52">
        <f>G46*AP46</f>
        <v>0</v>
      </c>
      <c r="K46" s="52">
        <f>G46*H46</f>
        <v>0</v>
      </c>
      <c r="L46" s="52">
        <v>0</v>
      </c>
      <c r="M46" s="52">
        <f>G46*L46</f>
        <v>0</v>
      </c>
      <c r="N46" s="67"/>
      <c r="O46" s="18"/>
      <c r="Z46" s="52">
        <f>IF(AQ46="5",BJ46,0)</f>
        <v>0</v>
      </c>
      <c r="AB46" s="52">
        <f>IF(AQ46="1",BH46,0)</f>
        <v>0</v>
      </c>
      <c r="AC46" s="52">
        <f>IF(AQ46="1",BI46,0)</f>
        <v>0</v>
      </c>
      <c r="AD46" s="52">
        <f>IF(AQ46="7",BH46,0)</f>
        <v>0</v>
      </c>
      <c r="AE46" s="52">
        <f>IF(AQ46="7",BI46,0)</f>
        <v>0</v>
      </c>
      <c r="AF46" s="52">
        <f>IF(AQ46="2",BH46,0)</f>
        <v>0</v>
      </c>
      <c r="AG46" s="52">
        <f>IF(AQ46="2",BI46,0)</f>
        <v>0</v>
      </c>
      <c r="AH46" s="52">
        <f>IF(AQ46="0",BJ46,0)</f>
        <v>0</v>
      </c>
      <c r="AI46" s="48"/>
      <c r="AJ46" s="41">
        <f>IF(AN46=0,K46,0)</f>
        <v>0</v>
      </c>
      <c r="AK46" s="41">
        <f>IF(AN46=15,K46,0)</f>
        <v>0</v>
      </c>
      <c r="AL46" s="41">
        <f>IF(AN46=21,K46,0)</f>
        <v>0</v>
      </c>
      <c r="AN46" s="52">
        <v>21</v>
      </c>
      <c r="AO46" s="52">
        <f>H46*1</f>
        <v>0</v>
      </c>
      <c r="AP46" s="52">
        <f>H46*(1-1)</f>
        <v>0</v>
      </c>
      <c r="AQ46" s="54" t="s">
        <v>74</v>
      </c>
      <c r="AV46" s="52">
        <f>AW46+AX46</f>
        <v>0</v>
      </c>
      <c r="AW46" s="52">
        <f>G46*AO46</f>
        <v>0</v>
      </c>
      <c r="AX46" s="52">
        <f>G46*AP46</f>
        <v>0</v>
      </c>
      <c r="AY46" s="55" t="s">
        <v>559</v>
      </c>
      <c r="AZ46" s="55" t="s">
        <v>582</v>
      </c>
      <c r="BA46" s="48" t="s">
        <v>590</v>
      </c>
      <c r="BC46" s="52">
        <f>AW46+AX46</f>
        <v>0</v>
      </c>
      <c r="BD46" s="52">
        <f>H46/(100-BE46)*100</f>
        <v>0</v>
      </c>
      <c r="BE46" s="52">
        <v>0</v>
      </c>
      <c r="BF46" s="52">
        <f>M46</f>
        <v>0</v>
      </c>
      <c r="BH46" s="41">
        <f>G46*AO46</f>
        <v>0</v>
      </c>
      <c r="BI46" s="41">
        <f>G46*AP46</f>
        <v>0</v>
      </c>
      <c r="BJ46" s="41">
        <f>G46*H46</f>
        <v>0</v>
      </c>
      <c r="BK46" s="41" t="s">
        <v>596</v>
      </c>
      <c r="BL46" s="52">
        <v>61</v>
      </c>
    </row>
    <row r="47" spans="1:47" ht="12.75">
      <c r="A47" s="60"/>
      <c r="B47" s="61"/>
      <c r="C47" s="61" t="s">
        <v>136</v>
      </c>
      <c r="D47" s="151" t="s">
        <v>357</v>
      </c>
      <c r="E47" s="152"/>
      <c r="F47" s="62" t="s">
        <v>73</v>
      </c>
      <c r="G47" s="62" t="s">
        <v>73</v>
      </c>
      <c r="H47" s="62" t="s">
        <v>73</v>
      </c>
      <c r="I47" s="63">
        <f>SUM(I48:I48)</f>
        <v>0</v>
      </c>
      <c r="J47" s="63">
        <f>SUM(J48:J48)</f>
        <v>0</v>
      </c>
      <c r="K47" s="63">
        <f>SUM(K48:K48)</f>
        <v>0</v>
      </c>
      <c r="L47" s="64"/>
      <c r="M47" s="63">
        <f>SUM(M48:M48)</f>
        <v>2.372625</v>
      </c>
      <c r="N47" s="65"/>
      <c r="O47" s="18"/>
      <c r="AI47" s="48"/>
      <c r="AS47" s="58">
        <f>SUM(AJ48:AJ48)</f>
        <v>0</v>
      </c>
      <c r="AT47" s="58">
        <f>SUM(AK48:AK48)</f>
        <v>0</v>
      </c>
      <c r="AU47" s="58">
        <f>SUM(AL48:AL48)</f>
        <v>0</v>
      </c>
    </row>
    <row r="48" spans="1:64" ht="12.75">
      <c r="A48" s="66" t="s">
        <v>87</v>
      </c>
      <c r="B48" s="17"/>
      <c r="C48" s="17" t="s">
        <v>205</v>
      </c>
      <c r="D48" s="112" t="s">
        <v>358</v>
      </c>
      <c r="E48" s="147"/>
      <c r="F48" s="17" t="s">
        <v>519</v>
      </c>
      <c r="G48" s="52">
        <v>24.975</v>
      </c>
      <c r="H48" s="173"/>
      <c r="I48" s="52">
        <f>G48*AO48</f>
        <v>0</v>
      </c>
      <c r="J48" s="52">
        <f>G48*AP48</f>
        <v>0</v>
      </c>
      <c r="K48" s="52">
        <f>G48*H48</f>
        <v>0</v>
      </c>
      <c r="L48" s="52">
        <v>0.095</v>
      </c>
      <c r="M48" s="52">
        <f>G48*L48</f>
        <v>2.372625</v>
      </c>
      <c r="N48" s="67" t="s">
        <v>545</v>
      </c>
      <c r="O48" s="18"/>
      <c r="Z48" s="52">
        <f>IF(AQ48="5",BJ48,0)</f>
        <v>0</v>
      </c>
      <c r="AB48" s="52">
        <f>IF(AQ48="1",BH48,0)</f>
        <v>0</v>
      </c>
      <c r="AC48" s="52">
        <f>IF(AQ48="1",BI48,0)</f>
        <v>0</v>
      </c>
      <c r="AD48" s="52">
        <f>IF(AQ48="7",BH48,0)</f>
        <v>0</v>
      </c>
      <c r="AE48" s="52">
        <f>IF(AQ48="7",BI48,0)</f>
        <v>0</v>
      </c>
      <c r="AF48" s="52">
        <f>IF(AQ48="2",BH48,0)</f>
        <v>0</v>
      </c>
      <c r="AG48" s="52">
        <f>IF(AQ48="2",BI48,0)</f>
        <v>0</v>
      </c>
      <c r="AH48" s="52">
        <f>IF(AQ48="0",BJ48,0)</f>
        <v>0</v>
      </c>
      <c r="AI48" s="48"/>
      <c r="AJ48" s="40">
        <f>IF(AN48=0,K48,0)</f>
        <v>0</v>
      </c>
      <c r="AK48" s="40">
        <f>IF(AN48=15,K48,0)</f>
        <v>0</v>
      </c>
      <c r="AL48" s="40">
        <f>IF(AN48=21,K48,0)</f>
        <v>0</v>
      </c>
      <c r="AN48" s="52">
        <v>21</v>
      </c>
      <c r="AO48" s="52">
        <f>H48*0.679146662985597</f>
        <v>0</v>
      </c>
      <c r="AP48" s="52">
        <f>H48*(1-0.679146662985597)</f>
        <v>0</v>
      </c>
      <c r="AQ48" s="53" t="s">
        <v>74</v>
      </c>
      <c r="AV48" s="52">
        <f>AW48+AX48</f>
        <v>0</v>
      </c>
      <c r="AW48" s="52">
        <f>G48*AO48</f>
        <v>0</v>
      </c>
      <c r="AX48" s="52">
        <f>G48*AP48</f>
        <v>0</v>
      </c>
      <c r="AY48" s="55" t="s">
        <v>560</v>
      </c>
      <c r="AZ48" s="55" t="s">
        <v>582</v>
      </c>
      <c r="BA48" s="48" t="s">
        <v>590</v>
      </c>
      <c r="BC48" s="52">
        <f>AW48+AX48</f>
        <v>0</v>
      </c>
      <c r="BD48" s="52">
        <f>H48/(100-BE48)*100</f>
        <v>0</v>
      </c>
      <c r="BE48" s="52">
        <v>0</v>
      </c>
      <c r="BF48" s="52">
        <f>M48</f>
        <v>2.372625</v>
      </c>
      <c r="BH48" s="40">
        <f>G48*AO48</f>
        <v>0</v>
      </c>
      <c r="BI48" s="40">
        <f>G48*AP48</f>
        <v>0</v>
      </c>
      <c r="BJ48" s="40">
        <f>G48*H48</f>
        <v>0</v>
      </c>
      <c r="BK48" s="40" t="s">
        <v>595</v>
      </c>
      <c r="BL48" s="52">
        <v>63</v>
      </c>
    </row>
    <row r="49" spans="1:15" ht="12.75">
      <c r="A49" s="18"/>
      <c r="B49" s="68"/>
      <c r="C49" s="68"/>
      <c r="D49" s="69" t="s">
        <v>359</v>
      </c>
      <c r="E49" s="69"/>
      <c r="F49" s="68"/>
      <c r="G49" s="70">
        <v>24.975</v>
      </c>
      <c r="H49" s="68"/>
      <c r="I49" s="68"/>
      <c r="J49" s="68"/>
      <c r="K49" s="68"/>
      <c r="L49" s="68"/>
      <c r="M49" s="68"/>
      <c r="N49" s="16"/>
      <c r="O49" s="18"/>
    </row>
    <row r="50" spans="1:47" ht="12.75">
      <c r="A50" s="60"/>
      <c r="B50" s="61"/>
      <c r="C50" s="61" t="s">
        <v>206</v>
      </c>
      <c r="D50" s="151" t="s">
        <v>360</v>
      </c>
      <c r="E50" s="152"/>
      <c r="F50" s="62" t="s">
        <v>73</v>
      </c>
      <c r="G50" s="62" t="s">
        <v>73</v>
      </c>
      <c r="H50" s="62" t="s">
        <v>73</v>
      </c>
      <c r="I50" s="63">
        <f>SUM(I51:I64)</f>
        <v>0</v>
      </c>
      <c r="J50" s="63">
        <f>SUM(J51:J64)</f>
        <v>0</v>
      </c>
      <c r="K50" s="63">
        <f>SUM(K51:K64)</f>
        <v>0</v>
      </c>
      <c r="L50" s="64"/>
      <c r="M50" s="63">
        <f>SUM(M51:M64)</f>
        <v>0.28971439</v>
      </c>
      <c r="N50" s="65"/>
      <c r="O50" s="18"/>
      <c r="AI50" s="48"/>
      <c r="AS50" s="58">
        <f>SUM(AJ51:AJ64)</f>
        <v>0</v>
      </c>
      <c r="AT50" s="58">
        <f>SUM(AK51:AK64)</f>
        <v>0</v>
      </c>
      <c r="AU50" s="58">
        <f>SUM(AL51:AL64)</f>
        <v>0</v>
      </c>
    </row>
    <row r="51" spans="1:64" ht="12.75">
      <c r="A51" s="66" t="s">
        <v>88</v>
      </c>
      <c r="B51" s="17"/>
      <c r="C51" s="17" t="s">
        <v>207</v>
      </c>
      <c r="D51" s="112" t="s">
        <v>361</v>
      </c>
      <c r="E51" s="147"/>
      <c r="F51" s="17" t="s">
        <v>519</v>
      </c>
      <c r="G51" s="52">
        <v>66.067</v>
      </c>
      <c r="H51" s="173"/>
      <c r="I51" s="52">
        <f>G51*AO51</f>
        <v>0</v>
      </c>
      <c r="J51" s="52">
        <f>G51*AP51</f>
        <v>0</v>
      </c>
      <c r="K51" s="52">
        <f>G51*H51</f>
        <v>0</v>
      </c>
      <c r="L51" s="52">
        <v>0.00358</v>
      </c>
      <c r="M51" s="52">
        <f>G51*L51</f>
        <v>0.23651985999999997</v>
      </c>
      <c r="N51" s="67" t="s">
        <v>545</v>
      </c>
      <c r="O51" s="18"/>
      <c r="Z51" s="52">
        <f>IF(AQ51="5",BJ51,0)</f>
        <v>0</v>
      </c>
      <c r="AB51" s="52">
        <f>IF(AQ51="1",BH51,0)</f>
        <v>0</v>
      </c>
      <c r="AC51" s="52">
        <f>IF(AQ51="1",BI51,0)</f>
        <v>0</v>
      </c>
      <c r="AD51" s="52">
        <f>IF(AQ51="7",BH51,0)</f>
        <v>0</v>
      </c>
      <c r="AE51" s="52">
        <f>IF(AQ51="7",BI51,0)</f>
        <v>0</v>
      </c>
      <c r="AF51" s="52">
        <f>IF(AQ51="2",BH51,0)</f>
        <v>0</v>
      </c>
      <c r="AG51" s="52">
        <f>IF(AQ51="2",BI51,0)</f>
        <v>0</v>
      </c>
      <c r="AH51" s="52">
        <f>IF(AQ51="0",BJ51,0)</f>
        <v>0</v>
      </c>
      <c r="AI51" s="48"/>
      <c r="AJ51" s="40">
        <f>IF(AN51=0,K51,0)</f>
        <v>0</v>
      </c>
      <c r="AK51" s="40">
        <f>IF(AN51=15,K51,0)</f>
        <v>0</v>
      </c>
      <c r="AL51" s="40">
        <f>IF(AN51=21,K51,0)</f>
        <v>0</v>
      </c>
      <c r="AN51" s="52">
        <v>21</v>
      </c>
      <c r="AO51" s="52">
        <f>H51*0.618280896869208</f>
        <v>0</v>
      </c>
      <c r="AP51" s="52">
        <f>H51*(1-0.618280896869208)</f>
        <v>0</v>
      </c>
      <c r="AQ51" s="53" t="s">
        <v>80</v>
      </c>
      <c r="AV51" s="52">
        <f>AW51+AX51</f>
        <v>0</v>
      </c>
      <c r="AW51" s="52">
        <f>G51*AO51</f>
        <v>0</v>
      </c>
      <c r="AX51" s="52">
        <f>G51*AP51</f>
        <v>0</v>
      </c>
      <c r="AY51" s="55" t="s">
        <v>561</v>
      </c>
      <c r="AZ51" s="55" t="s">
        <v>583</v>
      </c>
      <c r="BA51" s="48" t="s">
        <v>590</v>
      </c>
      <c r="BC51" s="52">
        <f>AW51+AX51</f>
        <v>0</v>
      </c>
      <c r="BD51" s="52">
        <f>H51/(100-BE51)*100</f>
        <v>0</v>
      </c>
      <c r="BE51" s="52">
        <v>0</v>
      </c>
      <c r="BF51" s="52">
        <f>M51</f>
        <v>0.23651985999999997</v>
      </c>
      <c r="BH51" s="40">
        <f>G51*AO51</f>
        <v>0</v>
      </c>
      <c r="BI51" s="40">
        <f>G51*AP51</f>
        <v>0</v>
      </c>
      <c r="BJ51" s="40">
        <f>G51*H51</f>
        <v>0</v>
      </c>
      <c r="BK51" s="40" t="s">
        <v>595</v>
      </c>
      <c r="BL51" s="52">
        <v>711</v>
      </c>
    </row>
    <row r="52" spans="1:15" ht="12.75">
      <c r="A52" s="18"/>
      <c r="B52" s="68"/>
      <c r="C52" s="68"/>
      <c r="D52" s="69" t="s">
        <v>362</v>
      </c>
      <c r="E52" s="69"/>
      <c r="F52" s="68"/>
      <c r="G52" s="70">
        <v>0</v>
      </c>
      <c r="H52" s="68"/>
      <c r="I52" s="68"/>
      <c r="J52" s="68"/>
      <c r="K52" s="68"/>
      <c r="L52" s="68"/>
      <c r="M52" s="68"/>
      <c r="N52" s="16"/>
      <c r="O52" s="18"/>
    </row>
    <row r="53" spans="1:15" ht="12.75">
      <c r="A53" s="18"/>
      <c r="B53" s="68"/>
      <c r="C53" s="68"/>
      <c r="D53" s="69" t="s">
        <v>353</v>
      </c>
      <c r="E53" s="69"/>
      <c r="F53" s="68"/>
      <c r="G53" s="70">
        <v>24.975</v>
      </c>
      <c r="H53" s="68"/>
      <c r="I53" s="68"/>
      <c r="J53" s="68"/>
      <c r="K53" s="68"/>
      <c r="L53" s="68"/>
      <c r="M53" s="68"/>
      <c r="N53" s="16"/>
      <c r="O53" s="18"/>
    </row>
    <row r="54" spans="1:15" ht="12.75">
      <c r="A54" s="18"/>
      <c r="B54" s="68"/>
      <c r="C54" s="68"/>
      <c r="D54" s="69" t="s">
        <v>363</v>
      </c>
      <c r="E54" s="69"/>
      <c r="F54" s="68"/>
      <c r="G54" s="70">
        <v>2.35</v>
      </c>
      <c r="H54" s="68"/>
      <c r="I54" s="68"/>
      <c r="J54" s="68"/>
      <c r="K54" s="68"/>
      <c r="L54" s="68"/>
      <c r="M54" s="68"/>
      <c r="N54" s="16"/>
      <c r="O54" s="18"/>
    </row>
    <row r="55" spans="1:15" ht="12.75">
      <c r="A55" s="18"/>
      <c r="B55" s="68"/>
      <c r="C55" s="68"/>
      <c r="D55" s="69" t="s">
        <v>364</v>
      </c>
      <c r="E55" s="69"/>
      <c r="F55" s="68"/>
      <c r="G55" s="70">
        <v>2.222</v>
      </c>
      <c r="H55" s="68"/>
      <c r="I55" s="68"/>
      <c r="J55" s="68"/>
      <c r="K55" s="68"/>
      <c r="L55" s="68"/>
      <c r="M55" s="68"/>
      <c r="N55" s="16"/>
      <c r="O55" s="18"/>
    </row>
    <row r="56" spans="1:15" ht="12.75">
      <c r="A56" s="18"/>
      <c r="B56" s="68"/>
      <c r="C56" s="68"/>
      <c r="D56" s="69" t="s">
        <v>365</v>
      </c>
      <c r="E56" s="69"/>
      <c r="F56" s="68"/>
      <c r="G56" s="70">
        <v>0</v>
      </c>
      <c r="H56" s="68"/>
      <c r="I56" s="68"/>
      <c r="J56" s="68"/>
      <c r="K56" s="68"/>
      <c r="L56" s="68"/>
      <c r="M56" s="68"/>
      <c r="N56" s="16"/>
      <c r="O56" s="18"/>
    </row>
    <row r="57" spans="1:15" ht="12.75">
      <c r="A57" s="18"/>
      <c r="B57" s="68"/>
      <c r="C57" s="68"/>
      <c r="D57" s="69" t="s">
        <v>366</v>
      </c>
      <c r="E57" s="69"/>
      <c r="F57" s="68"/>
      <c r="G57" s="70">
        <v>36.52</v>
      </c>
      <c r="H57" s="68"/>
      <c r="I57" s="68"/>
      <c r="J57" s="68"/>
      <c r="K57" s="68"/>
      <c r="L57" s="68"/>
      <c r="M57" s="68"/>
      <c r="N57" s="16"/>
      <c r="O57" s="18"/>
    </row>
    <row r="58" spans="1:64" ht="12.75">
      <c r="A58" s="66" t="s">
        <v>89</v>
      </c>
      <c r="B58" s="17"/>
      <c r="C58" s="17" t="s">
        <v>208</v>
      </c>
      <c r="D58" s="112" t="s">
        <v>367</v>
      </c>
      <c r="E58" s="147"/>
      <c r="F58" s="17" t="s">
        <v>519</v>
      </c>
      <c r="G58" s="52">
        <v>66.067</v>
      </c>
      <c r="H58" s="173"/>
      <c r="I58" s="52">
        <f>G58*AO58</f>
        <v>0</v>
      </c>
      <c r="J58" s="52">
        <f>G58*AP58</f>
        <v>0</v>
      </c>
      <c r="K58" s="52">
        <f>G58*H58</f>
        <v>0</v>
      </c>
      <c r="L58" s="52">
        <v>0.00039</v>
      </c>
      <c r="M58" s="52">
        <f>G58*L58</f>
        <v>0.025766129999999998</v>
      </c>
      <c r="N58" s="67" t="s">
        <v>545</v>
      </c>
      <c r="O58" s="18"/>
      <c r="Z58" s="52">
        <f>IF(AQ58="5",BJ58,0)</f>
        <v>0</v>
      </c>
      <c r="AB58" s="52">
        <f>IF(AQ58="1",BH58,0)</f>
        <v>0</v>
      </c>
      <c r="AC58" s="52">
        <f>IF(AQ58="1",BI58,0)</f>
        <v>0</v>
      </c>
      <c r="AD58" s="52">
        <f>IF(AQ58="7",BH58,0)</f>
        <v>0</v>
      </c>
      <c r="AE58" s="52">
        <f>IF(AQ58="7",BI58,0)</f>
        <v>0</v>
      </c>
      <c r="AF58" s="52">
        <f>IF(AQ58="2",BH58,0)</f>
        <v>0</v>
      </c>
      <c r="AG58" s="52">
        <f>IF(AQ58="2",BI58,0)</f>
        <v>0</v>
      </c>
      <c r="AH58" s="52">
        <f>IF(AQ58="0",BJ58,0)</f>
        <v>0</v>
      </c>
      <c r="AI58" s="48"/>
      <c r="AJ58" s="40">
        <f>IF(AN58=0,K58,0)</f>
        <v>0</v>
      </c>
      <c r="AK58" s="40">
        <f>IF(AN58=15,K58,0)</f>
        <v>0</v>
      </c>
      <c r="AL58" s="40">
        <f>IF(AN58=21,K58,0)</f>
        <v>0</v>
      </c>
      <c r="AN58" s="52">
        <v>21</v>
      </c>
      <c r="AO58" s="52">
        <f>H58*0.468514284745327</f>
        <v>0</v>
      </c>
      <c r="AP58" s="52">
        <f>H58*(1-0.468514284745327)</f>
        <v>0</v>
      </c>
      <c r="AQ58" s="53" t="s">
        <v>80</v>
      </c>
      <c r="AV58" s="52">
        <f>AW58+AX58</f>
        <v>0</v>
      </c>
      <c r="AW58" s="52">
        <f>G58*AO58</f>
        <v>0</v>
      </c>
      <c r="AX58" s="52">
        <f>G58*AP58</f>
        <v>0</v>
      </c>
      <c r="AY58" s="55" t="s">
        <v>561</v>
      </c>
      <c r="AZ58" s="55" t="s">
        <v>583</v>
      </c>
      <c r="BA58" s="48" t="s">
        <v>590</v>
      </c>
      <c r="BC58" s="52">
        <f>AW58+AX58</f>
        <v>0</v>
      </c>
      <c r="BD58" s="52">
        <f>H58/(100-BE58)*100</f>
        <v>0</v>
      </c>
      <c r="BE58" s="52">
        <v>0</v>
      </c>
      <c r="BF58" s="52">
        <f>M58</f>
        <v>0.025766129999999998</v>
      </c>
      <c r="BH58" s="40">
        <f>G58*AO58</f>
        <v>0</v>
      </c>
      <c r="BI58" s="40">
        <f>G58*AP58</f>
        <v>0</v>
      </c>
      <c r="BJ58" s="40">
        <f>G58*H58</f>
        <v>0</v>
      </c>
      <c r="BK58" s="40" t="s">
        <v>595</v>
      </c>
      <c r="BL58" s="52">
        <v>711</v>
      </c>
    </row>
    <row r="59" spans="1:64" ht="12.75">
      <c r="A59" s="66" t="s">
        <v>90</v>
      </c>
      <c r="B59" s="17"/>
      <c r="C59" s="17" t="s">
        <v>209</v>
      </c>
      <c r="D59" s="112" t="s">
        <v>368</v>
      </c>
      <c r="E59" s="147"/>
      <c r="F59" s="17" t="s">
        <v>520</v>
      </c>
      <c r="G59" s="52">
        <v>35.535</v>
      </c>
      <c r="H59" s="173"/>
      <c r="I59" s="52">
        <f>G59*AO59</f>
        <v>0</v>
      </c>
      <c r="J59" s="52">
        <f>G59*AP59</f>
        <v>0</v>
      </c>
      <c r="K59" s="52">
        <f>G59*H59</f>
        <v>0</v>
      </c>
      <c r="L59" s="52">
        <v>0.00024</v>
      </c>
      <c r="M59" s="52">
        <f>G59*L59</f>
        <v>0.0085284</v>
      </c>
      <c r="N59" s="67" t="s">
        <v>545</v>
      </c>
      <c r="O59" s="18"/>
      <c r="Z59" s="52">
        <f>IF(AQ59="5",BJ59,0)</f>
        <v>0</v>
      </c>
      <c r="AB59" s="52">
        <f>IF(AQ59="1",BH59,0)</f>
        <v>0</v>
      </c>
      <c r="AC59" s="52">
        <f>IF(AQ59="1",BI59,0)</f>
        <v>0</v>
      </c>
      <c r="AD59" s="52">
        <f>IF(AQ59="7",BH59,0)</f>
        <v>0</v>
      </c>
      <c r="AE59" s="52">
        <f>IF(AQ59="7",BI59,0)</f>
        <v>0</v>
      </c>
      <c r="AF59" s="52">
        <f>IF(AQ59="2",BH59,0)</f>
        <v>0</v>
      </c>
      <c r="AG59" s="52">
        <f>IF(AQ59="2",BI59,0)</f>
        <v>0</v>
      </c>
      <c r="AH59" s="52">
        <f>IF(AQ59="0",BJ59,0)</f>
        <v>0</v>
      </c>
      <c r="AI59" s="48"/>
      <c r="AJ59" s="40">
        <f>IF(AN59=0,K59,0)</f>
        <v>0</v>
      </c>
      <c r="AK59" s="40">
        <f>IF(AN59=15,K59,0)</f>
        <v>0</v>
      </c>
      <c r="AL59" s="40">
        <f>IF(AN59=21,K59,0)</f>
        <v>0</v>
      </c>
      <c r="AN59" s="52">
        <v>21</v>
      </c>
      <c r="AO59" s="52">
        <f>H59*0.593736357500095</f>
        <v>0</v>
      </c>
      <c r="AP59" s="52">
        <f>H59*(1-0.593736357500095)</f>
        <v>0</v>
      </c>
      <c r="AQ59" s="53" t="s">
        <v>80</v>
      </c>
      <c r="AV59" s="52">
        <f>AW59+AX59</f>
        <v>0</v>
      </c>
      <c r="AW59" s="52">
        <f>G59*AO59</f>
        <v>0</v>
      </c>
      <c r="AX59" s="52">
        <f>G59*AP59</f>
        <v>0</v>
      </c>
      <c r="AY59" s="55" t="s">
        <v>561</v>
      </c>
      <c r="AZ59" s="55" t="s">
        <v>583</v>
      </c>
      <c r="BA59" s="48" t="s">
        <v>590</v>
      </c>
      <c r="BC59" s="52">
        <f>AW59+AX59</f>
        <v>0</v>
      </c>
      <c r="BD59" s="52">
        <f>H59/(100-BE59)*100</f>
        <v>0</v>
      </c>
      <c r="BE59" s="52">
        <v>0</v>
      </c>
      <c r="BF59" s="52">
        <f>M59</f>
        <v>0.0085284</v>
      </c>
      <c r="BH59" s="40">
        <f>G59*AO59</f>
        <v>0</v>
      </c>
      <c r="BI59" s="40">
        <f>G59*AP59</f>
        <v>0</v>
      </c>
      <c r="BJ59" s="40">
        <f>G59*H59</f>
        <v>0</v>
      </c>
      <c r="BK59" s="40" t="s">
        <v>595</v>
      </c>
      <c r="BL59" s="52">
        <v>711</v>
      </c>
    </row>
    <row r="60" spans="1:15" ht="12.75">
      <c r="A60" s="18"/>
      <c r="B60" s="68"/>
      <c r="C60" s="68"/>
      <c r="D60" s="69" t="s">
        <v>369</v>
      </c>
      <c r="E60" s="69"/>
      <c r="F60" s="68"/>
      <c r="G60" s="70">
        <v>19.335</v>
      </c>
      <c r="H60" s="68"/>
      <c r="I60" s="68"/>
      <c r="J60" s="68"/>
      <c r="K60" s="68"/>
      <c r="L60" s="68"/>
      <c r="M60" s="68"/>
      <c r="N60" s="16"/>
      <c r="O60" s="18"/>
    </row>
    <row r="61" spans="1:15" ht="12.75">
      <c r="A61" s="18"/>
      <c r="B61" s="68"/>
      <c r="C61" s="68"/>
      <c r="D61" s="69" t="s">
        <v>370</v>
      </c>
      <c r="E61" s="69"/>
      <c r="F61" s="68"/>
      <c r="G61" s="70">
        <v>16.2</v>
      </c>
      <c r="H61" s="68"/>
      <c r="I61" s="68"/>
      <c r="J61" s="68"/>
      <c r="K61" s="68"/>
      <c r="L61" s="68"/>
      <c r="M61" s="68"/>
      <c r="N61" s="16"/>
      <c r="O61" s="18"/>
    </row>
    <row r="62" spans="1:64" ht="12.75">
      <c r="A62" s="66" t="s">
        <v>91</v>
      </c>
      <c r="B62" s="17"/>
      <c r="C62" s="17" t="s">
        <v>210</v>
      </c>
      <c r="D62" s="112" t="s">
        <v>371</v>
      </c>
      <c r="E62" s="147"/>
      <c r="F62" s="17" t="s">
        <v>520</v>
      </c>
      <c r="G62" s="52">
        <v>37.8</v>
      </c>
      <c r="H62" s="173"/>
      <c r="I62" s="52">
        <f>G62*AO62</f>
        <v>0</v>
      </c>
      <c r="J62" s="52">
        <f>G62*AP62</f>
        <v>0</v>
      </c>
      <c r="K62" s="52">
        <f>G62*H62</f>
        <v>0</v>
      </c>
      <c r="L62" s="52">
        <v>0.0005</v>
      </c>
      <c r="M62" s="52">
        <f>G62*L62</f>
        <v>0.0189</v>
      </c>
      <c r="N62" s="67" t="s">
        <v>545</v>
      </c>
      <c r="O62" s="18"/>
      <c r="Z62" s="52">
        <f>IF(AQ62="5",BJ62,0)</f>
        <v>0</v>
      </c>
      <c r="AB62" s="52">
        <f>IF(AQ62="1",BH62,0)</f>
        <v>0</v>
      </c>
      <c r="AC62" s="52">
        <f>IF(AQ62="1",BI62,0)</f>
        <v>0</v>
      </c>
      <c r="AD62" s="52">
        <f>IF(AQ62="7",BH62,0)</f>
        <v>0</v>
      </c>
      <c r="AE62" s="52">
        <f>IF(AQ62="7",BI62,0)</f>
        <v>0</v>
      </c>
      <c r="AF62" s="52">
        <f>IF(AQ62="2",BH62,0)</f>
        <v>0</v>
      </c>
      <c r="AG62" s="52">
        <f>IF(AQ62="2",BI62,0)</f>
        <v>0</v>
      </c>
      <c r="AH62" s="52">
        <f>IF(AQ62="0",BJ62,0)</f>
        <v>0</v>
      </c>
      <c r="AI62" s="48"/>
      <c r="AJ62" s="40">
        <f>IF(AN62=0,K62,0)</f>
        <v>0</v>
      </c>
      <c r="AK62" s="40">
        <f>IF(AN62=15,K62,0)</f>
        <v>0</v>
      </c>
      <c r="AL62" s="40">
        <f>IF(AN62=21,K62,0)</f>
        <v>0</v>
      </c>
      <c r="AN62" s="52">
        <v>21</v>
      </c>
      <c r="AO62" s="52">
        <f>H62*0.603505617977528</f>
        <v>0</v>
      </c>
      <c r="AP62" s="52">
        <f>H62*(1-0.603505617977528)</f>
        <v>0</v>
      </c>
      <c r="AQ62" s="53" t="s">
        <v>80</v>
      </c>
      <c r="AV62" s="52">
        <f>AW62+AX62</f>
        <v>0</v>
      </c>
      <c r="AW62" s="52">
        <f>G62*AO62</f>
        <v>0</v>
      </c>
      <c r="AX62" s="52">
        <f>G62*AP62</f>
        <v>0</v>
      </c>
      <c r="AY62" s="55" t="s">
        <v>561</v>
      </c>
      <c r="AZ62" s="55" t="s">
        <v>583</v>
      </c>
      <c r="BA62" s="48" t="s">
        <v>590</v>
      </c>
      <c r="BC62" s="52">
        <f>AW62+AX62</f>
        <v>0</v>
      </c>
      <c r="BD62" s="52">
        <f>H62/(100-BE62)*100</f>
        <v>0</v>
      </c>
      <c r="BE62" s="52">
        <v>0</v>
      </c>
      <c r="BF62" s="52">
        <f>M62</f>
        <v>0.0189</v>
      </c>
      <c r="BH62" s="40">
        <f>G62*AO62</f>
        <v>0</v>
      </c>
      <c r="BI62" s="40">
        <f>G62*AP62</f>
        <v>0</v>
      </c>
      <c r="BJ62" s="40">
        <f>G62*H62</f>
        <v>0</v>
      </c>
      <c r="BK62" s="40" t="s">
        <v>595</v>
      </c>
      <c r="BL62" s="52">
        <v>711</v>
      </c>
    </row>
    <row r="63" spans="1:15" ht="12.75">
      <c r="A63" s="18"/>
      <c r="B63" s="68"/>
      <c r="C63" s="68"/>
      <c r="D63" s="69" t="s">
        <v>372</v>
      </c>
      <c r="E63" s="69"/>
      <c r="F63" s="68"/>
      <c r="G63" s="70">
        <v>37.8</v>
      </c>
      <c r="H63" s="68"/>
      <c r="I63" s="68"/>
      <c r="J63" s="68"/>
      <c r="K63" s="68"/>
      <c r="L63" s="68"/>
      <c r="M63" s="68"/>
      <c r="N63" s="16"/>
      <c r="O63" s="18"/>
    </row>
    <row r="64" spans="1:64" ht="12.75">
      <c r="A64" s="66" t="s">
        <v>92</v>
      </c>
      <c r="B64" s="17"/>
      <c r="C64" s="17" t="s">
        <v>211</v>
      </c>
      <c r="D64" s="112" t="s">
        <v>373</v>
      </c>
      <c r="E64" s="147"/>
      <c r="F64" s="17" t="s">
        <v>523</v>
      </c>
      <c r="G64" s="52">
        <v>0.2897</v>
      </c>
      <c r="H64" s="173"/>
      <c r="I64" s="52">
        <f>G64*AO64</f>
        <v>0</v>
      </c>
      <c r="J64" s="52">
        <f>G64*AP64</f>
        <v>0</v>
      </c>
      <c r="K64" s="52">
        <f>G64*H64</f>
        <v>0</v>
      </c>
      <c r="L64" s="52">
        <v>0</v>
      </c>
      <c r="M64" s="52">
        <f>G64*L64</f>
        <v>0</v>
      </c>
      <c r="N64" s="67" t="s">
        <v>545</v>
      </c>
      <c r="O64" s="18"/>
      <c r="Z64" s="52">
        <f>IF(AQ64="5",BJ64,0)</f>
        <v>0</v>
      </c>
      <c r="AB64" s="52">
        <f>IF(AQ64="1",BH64,0)</f>
        <v>0</v>
      </c>
      <c r="AC64" s="52">
        <f>IF(AQ64="1",BI64,0)</f>
        <v>0</v>
      </c>
      <c r="AD64" s="52">
        <f>IF(AQ64="7",BH64,0)</f>
        <v>0</v>
      </c>
      <c r="AE64" s="52">
        <f>IF(AQ64="7",BI64,0)</f>
        <v>0</v>
      </c>
      <c r="AF64" s="52">
        <f>IF(AQ64="2",BH64,0)</f>
        <v>0</v>
      </c>
      <c r="AG64" s="52">
        <f>IF(AQ64="2",BI64,0)</f>
        <v>0</v>
      </c>
      <c r="AH64" s="52">
        <f>IF(AQ64="0",BJ64,0)</f>
        <v>0</v>
      </c>
      <c r="AI64" s="48"/>
      <c r="AJ64" s="40">
        <f>IF(AN64=0,K64,0)</f>
        <v>0</v>
      </c>
      <c r="AK64" s="40">
        <f>IF(AN64=15,K64,0)</f>
        <v>0</v>
      </c>
      <c r="AL64" s="40">
        <f>IF(AN64=21,K64,0)</f>
        <v>0</v>
      </c>
      <c r="AN64" s="52">
        <v>21</v>
      </c>
      <c r="AO64" s="52">
        <f>H64*0</f>
        <v>0</v>
      </c>
      <c r="AP64" s="52">
        <f>H64*(1-0)</f>
        <v>0</v>
      </c>
      <c r="AQ64" s="53" t="s">
        <v>78</v>
      </c>
      <c r="AV64" s="52">
        <f>AW64+AX64</f>
        <v>0</v>
      </c>
      <c r="AW64" s="52">
        <f>G64*AO64</f>
        <v>0</v>
      </c>
      <c r="AX64" s="52">
        <f>G64*AP64</f>
        <v>0</v>
      </c>
      <c r="AY64" s="55" t="s">
        <v>561</v>
      </c>
      <c r="AZ64" s="55" t="s">
        <v>583</v>
      </c>
      <c r="BA64" s="48" t="s">
        <v>590</v>
      </c>
      <c r="BC64" s="52">
        <f>AW64+AX64</f>
        <v>0</v>
      </c>
      <c r="BD64" s="52">
        <f>H64/(100-BE64)*100</f>
        <v>0</v>
      </c>
      <c r="BE64" s="52">
        <v>0</v>
      </c>
      <c r="BF64" s="52">
        <f>M64</f>
        <v>0</v>
      </c>
      <c r="BH64" s="40">
        <f>G64*AO64</f>
        <v>0</v>
      </c>
      <c r="BI64" s="40">
        <f>G64*AP64</f>
        <v>0</v>
      </c>
      <c r="BJ64" s="40">
        <f>G64*H64</f>
        <v>0</v>
      </c>
      <c r="BK64" s="40" t="s">
        <v>595</v>
      </c>
      <c r="BL64" s="52">
        <v>711</v>
      </c>
    </row>
    <row r="65" spans="1:47" ht="12.75">
      <c r="A65" s="60"/>
      <c r="B65" s="61"/>
      <c r="C65" s="61" t="s">
        <v>212</v>
      </c>
      <c r="D65" s="151" t="s">
        <v>374</v>
      </c>
      <c r="E65" s="152"/>
      <c r="F65" s="62" t="s">
        <v>73</v>
      </c>
      <c r="G65" s="62" t="s">
        <v>73</v>
      </c>
      <c r="H65" s="62" t="s">
        <v>73</v>
      </c>
      <c r="I65" s="63">
        <f>SUM(I66:I83)</f>
        <v>0</v>
      </c>
      <c r="J65" s="63">
        <f>SUM(J66:J83)</f>
        <v>0</v>
      </c>
      <c r="K65" s="63">
        <f>SUM(K66:K83)</f>
        <v>0</v>
      </c>
      <c r="L65" s="64"/>
      <c r="M65" s="63">
        <f>SUM(M66:M83)</f>
        <v>0.15041300000000002</v>
      </c>
      <c r="N65" s="65"/>
      <c r="O65" s="18"/>
      <c r="AI65" s="48"/>
      <c r="AS65" s="58">
        <f>SUM(AJ66:AJ83)</f>
        <v>0</v>
      </c>
      <c r="AT65" s="58">
        <f>SUM(AK66:AK83)</f>
        <v>0</v>
      </c>
      <c r="AU65" s="58">
        <f>SUM(AL66:AL83)</f>
        <v>0</v>
      </c>
    </row>
    <row r="66" spans="1:64" ht="12.75">
      <c r="A66" s="66" t="s">
        <v>93</v>
      </c>
      <c r="B66" s="17"/>
      <c r="C66" s="17" t="s">
        <v>213</v>
      </c>
      <c r="D66" s="112" t="s">
        <v>375</v>
      </c>
      <c r="E66" s="147"/>
      <c r="F66" s="17" t="s">
        <v>520</v>
      </c>
      <c r="G66" s="52">
        <v>16</v>
      </c>
      <c r="H66" s="173"/>
      <c r="I66" s="52">
        <f aca="true" t="shared" si="0" ref="I66:I83">G66*AO66</f>
        <v>0</v>
      </c>
      <c r="J66" s="52">
        <f aca="true" t="shared" si="1" ref="J66:J83">G66*AP66</f>
        <v>0</v>
      </c>
      <c r="K66" s="52">
        <f aca="true" t="shared" si="2" ref="K66:K83">G66*H66</f>
        <v>0</v>
      </c>
      <c r="L66" s="52">
        <v>0.0021</v>
      </c>
      <c r="M66" s="52">
        <f aca="true" t="shared" si="3" ref="M66:M83">G66*L66</f>
        <v>0.0336</v>
      </c>
      <c r="N66" s="67" t="s">
        <v>545</v>
      </c>
      <c r="O66" s="18"/>
      <c r="Z66" s="52">
        <f aca="true" t="shared" si="4" ref="Z66:Z83">IF(AQ66="5",BJ66,0)</f>
        <v>0</v>
      </c>
      <c r="AB66" s="52">
        <f aca="true" t="shared" si="5" ref="AB66:AB83">IF(AQ66="1",BH66,0)</f>
        <v>0</v>
      </c>
      <c r="AC66" s="52">
        <f aca="true" t="shared" si="6" ref="AC66:AC83">IF(AQ66="1",BI66,0)</f>
        <v>0</v>
      </c>
      <c r="AD66" s="52">
        <f aca="true" t="shared" si="7" ref="AD66:AD83">IF(AQ66="7",BH66,0)</f>
        <v>0</v>
      </c>
      <c r="AE66" s="52">
        <f aca="true" t="shared" si="8" ref="AE66:AE83">IF(AQ66="7",BI66,0)</f>
        <v>0</v>
      </c>
      <c r="AF66" s="52">
        <f aca="true" t="shared" si="9" ref="AF66:AF83">IF(AQ66="2",BH66,0)</f>
        <v>0</v>
      </c>
      <c r="AG66" s="52">
        <f aca="true" t="shared" si="10" ref="AG66:AG83">IF(AQ66="2",BI66,0)</f>
        <v>0</v>
      </c>
      <c r="AH66" s="52">
        <f aca="true" t="shared" si="11" ref="AH66:AH83">IF(AQ66="0",BJ66,0)</f>
        <v>0</v>
      </c>
      <c r="AI66" s="48"/>
      <c r="AJ66" s="40">
        <f aca="true" t="shared" si="12" ref="AJ66:AJ83">IF(AN66=0,K66,0)</f>
        <v>0</v>
      </c>
      <c r="AK66" s="40">
        <f aca="true" t="shared" si="13" ref="AK66:AK83">IF(AN66=15,K66,0)</f>
        <v>0</v>
      </c>
      <c r="AL66" s="40">
        <f aca="true" t="shared" si="14" ref="AL66:AL83">IF(AN66=21,K66,0)</f>
        <v>0</v>
      </c>
      <c r="AN66" s="52">
        <v>21</v>
      </c>
      <c r="AO66" s="52">
        <f>H66*0</f>
        <v>0</v>
      </c>
      <c r="AP66" s="52">
        <f>H66*(1-0)</f>
        <v>0</v>
      </c>
      <c r="AQ66" s="53" t="s">
        <v>80</v>
      </c>
      <c r="AV66" s="52">
        <f aca="true" t="shared" si="15" ref="AV66:AV83">AW66+AX66</f>
        <v>0</v>
      </c>
      <c r="AW66" s="52">
        <f aca="true" t="shared" si="16" ref="AW66:AW83">G66*AO66</f>
        <v>0</v>
      </c>
      <c r="AX66" s="52">
        <f aca="true" t="shared" si="17" ref="AX66:AX83">G66*AP66</f>
        <v>0</v>
      </c>
      <c r="AY66" s="55" t="s">
        <v>562</v>
      </c>
      <c r="AZ66" s="55" t="s">
        <v>584</v>
      </c>
      <c r="BA66" s="48" t="s">
        <v>590</v>
      </c>
      <c r="BC66" s="52">
        <f aca="true" t="shared" si="18" ref="BC66:BC83">AW66+AX66</f>
        <v>0</v>
      </c>
      <c r="BD66" s="52">
        <f aca="true" t="shared" si="19" ref="BD66:BD83">H66/(100-BE66)*100</f>
        <v>0</v>
      </c>
      <c r="BE66" s="52">
        <v>0</v>
      </c>
      <c r="BF66" s="52">
        <f aca="true" t="shared" si="20" ref="BF66:BF83">M66</f>
        <v>0.0336</v>
      </c>
      <c r="BH66" s="40">
        <f aca="true" t="shared" si="21" ref="BH66:BH83">G66*AO66</f>
        <v>0</v>
      </c>
      <c r="BI66" s="40">
        <f aca="true" t="shared" si="22" ref="BI66:BI83">G66*AP66</f>
        <v>0</v>
      </c>
      <c r="BJ66" s="40">
        <f aca="true" t="shared" si="23" ref="BJ66:BJ83">G66*H66</f>
        <v>0</v>
      </c>
      <c r="BK66" s="40" t="s">
        <v>595</v>
      </c>
      <c r="BL66" s="52">
        <v>721</v>
      </c>
    </row>
    <row r="67" spans="1:64" ht="12.75">
      <c r="A67" s="66" t="s">
        <v>94</v>
      </c>
      <c r="B67" s="17"/>
      <c r="C67" s="17" t="s">
        <v>214</v>
      </c>
      <c r="D67" s="112" t="s">
        <v>376</v>
      </c>
      <c r="E67" s="147"/>
      <c r="F67" s="17" t="s">
        <v>520</v>
      </c>
      <c r="G67" s="52">
        <v>4</v>
      </c>
      <c r="H67" s="173"/>
      <c r="I67" s="52">
        <f t="shared" si="0"/>
        <v>0</v>
      </c>
      <c r="J67" s="52">
        <f t="shared" si="1"/>
        <v>0</v>
      </c>
      <c r="K67" s="52">
        <f t="shared" si="2"/>
        <v>0</v>
      </c>
      <c r="L67" s="52">
        <v>0.00198</v>
      </c>
      <c r="M67" s="52">
        <f t="shared" si="3"/>
        <v>0.00792</v>
      </c>
      <c r="N67" s="67" t="s">
        <v>545</v>
      </c>
      <c r="O67" s="18"/>
      <c r="Z67" s="52">
        <f t="shared" si="4"/>
        <v>0</v>
      </c>
      <c r="AB67" s="52">
        <f t="shared" si="5"/>
        <v>0</v>
      </c>
      <c r="AC67" s="52">
        <f t="shared" si="6"/>
        <v>0</v>
      </c>
      <c r="AD67" s="52">
        <f t="shared" si="7"/>
        <v>0</v>
      </c>
      <c r="AE67" s="52">
        <f t="shared" si="8"/>
        <v>0</v>
      </c>
      <c r="AF67" s="52">
        <f t="shared" si="9"/>
        <v>0</v>
      </c>
      <c r="AG67" s="52">
        <f t="shared" si="10"/>
        <v>0</v>
      </c>
      <c r="AH67" s="52">
        <f t="shared" si="11"/>
        <v>0</v>
      </c>
      <c r="AI67" s="48"/>
      <c r="AJ67" s="40">
        <f t="shared" si="12"/>
        <v>0</v>
      </c>
      <c r="AK67" s="40">
        <f t="shared" si="13"/>
        <v>0</v>
      </c>
      <c r="AL67" s="40">
        <f t="shared" si="14"/>
        <v>0</v>
      </c>
      <c r="AN67" s="52">
        <v>21</v>
      </c>
      <c r="AO67" s="52">
        <f>H67*0</f>
        <v>0</v>
      </c>
      <c r="AP67" s="52">
        <f>H67*(1-0)</f>
        <v>0</v>
      </c>
      <c r="AQ67" s="53" t="s">
        <v>80</v>
      </c>
      <c r="AV67" s="52">
        <f t="shared" si="15"/>
        <v>0</v>
      </c>
      <c r="AW67" s="52">
        <f t="shared" si="16"/>
        <v>0</v>
      </c>
      <c r="AX67" s="52">
        <f t="shared" si="17"/>
        <v>0</v>
      </c>
      <c r="AY67" s="55" t="s">
        <v>562</v>
      </c>
      <c r="AZ67" s="55" t="s">
        <v>584</v>
      </c>
      <c r="BA67" s="48" t="s">
        <v>590</v>
      </c>
      <c r="BC67" s="52">
        <f t="shared" si="18"/>
        <v>0</v>
      </c>
      <c r="BD67" s="52">
        <f t="shared" si="19"/>
        <v>0</v>
      </c>
      <c r="BE67" s="52">
        <v>0</v>
      </c>
      <c r="BF67" s="52">
        <f t="shared" si="20"/>
        <v>0.00792</v>
      </c>
      <c r="BH67" s="40">
        <f t="shared" si="21"/>
        <v>0</v>
      </c>
      <c r="BI67" s="40">
        <f t="shared" si="22"/>
        <v>0</v>
      </c>
      <c r="BJ67" s="40">
        <f t="shared" si="23"/>
        <v>0</v>
      </c>
      <c r="BK67" s="40" t="s">
        <v>595</v>
      </c>
      <c r="BL67" s="52">
        <v>721</v>
      </c>
    </row>
    <row r="68" spans="1:64" ht="12.75">
      <c r="A68" s="66" t="s">
        <v>95</v>
      </c>
      <c r="B68" s="17"/>
      <c r="C68" s="17" t="s">
        <v>215</v>
      </c>
      <c r="D68" s="112" t="s">
        <v>377</v>
      </c>
      <c r="E68" s="147"/>
      <c r="F68" s="17" t="s">
        <v>520</v>
      </c>
      <c r="G68" s="52">
        <v>4</v>
      </c>
      <c r="H68" s="173"/>
      <c r="I68" s="52">
        <f t="shared" si="0"/>
        <v>0</v>
      </c>
      <c r="J68" s="52">
        <f t="shared" si="1"/>
        <v>0</v>
      </c>
      <c r="K68" s="52">
        <f t="shared" si="2"/>
        <v>0</v>
      </c>
      <c r="L68" s="52">
        <v>0.00038</v>
      </c>
      <c r="M68" s="52">
        <f t="shared" si="3"/>
        <v>0.00152</v>
      </c>
      <c r="N68" s="67" t="s">
        <v>545</v>
      </c>
      <c r="O68" s="18"/>
      <c r="Z68" s="52">
        <f t="shared" si="4"/>
        <v>0</v>
      </c>
      <c r="AB68" s="52">
        <f t="shared" si="5"/>
        <v>0</v>
      </c>
      <c r="AC68" s="52">
        <f t="shared" si="6"/>
        <v>0</v>
      </c>
      <c r="AD68" s="52">
        <f t="shared" si="7"/>
        <v>0</v>
      </c>
      <c r="AE68" s="52">
        <f t="shared" si="8"/>
        <v>0</v>
      </c>
      <c r="AF68" s="52">
        <f t="shared" si="9"/>
        <v>0</v>
      </c>
      <c r="AG68" s="52">
        <f t="shared" si="10"/>
        <v>0</v>
      </c>
      <c r="AH68" s="52">
        <f t="shared" si="11"/>
        <v>0</v>
      </c>
      <c r="AI68" s="48"/>
      <c r="AJ68" s="40">
        <f t="shared" si="12"/>
        <v>0</v>
      </c>
      <c r="AK68" s="40">
        <f t="shared" si="13"/>
        <v>0</v>
      </c>
      <c r="AL68" s="40">
        <f t="shared" si="14"/>
        <v>0</v>
      </c>
      <c r="AN68" s="52">
        <v>21</v>
      </c>
      <c r="AO68" s="52">
        <f>H68*0.387232472324723</f>
        <v>0</v>
      </c>
      <c r="AP68" s="52">
        <f>H68*(1-0.387232472324723)</f>
        <v>0</v>
      </c>
      <c r="AQ68" s="53" t="s">
        <v>80</v>
      </c>
      <c r="AV68" s="52">
        <f t="shared" si="15"/>
        <v>0</v>
      </c>
      <c r="AW68" s="52">
        <f t="shared" si="16"/>
        <v>0</v>
      </c>
      <c r="AX68" s="52">
        <f t="shared" si="17"/>
        <v>0</v>
      </c>
      <c r="AY68" s="55" t="s">
        <v>562</v>
      </c>
      <c r="AZ68" s="55" t="s">
        <v>584</v>
      </c>
      <c r="BA68" s="48" t="s">
        <v>590</v>
      </c>
      <c r="BC68" s="52">
        <f t="shared" si="18"/>
        <v>0</v>
      </c>
      <c r="BD68" s="52">
        <f t="shared" si="19"/>
        <v>0</v>
      </c>
      <c r="BE68" s="52">
        <v>0</v>
      </c>
      <c r="BF68" s="52">
        <f t="shared" si="20"/>
        <v>0.00152</v>
      </c>
      <c r="BH68" s="40">
        <f t="shared" si="21"/>
        <v>0</v>
      </c>
      <c r="BI68" s="40">
        <f t="shared" si="22"/>
        <v>0</v>
      </c>
      <c r="BJ68" s="40">
        <f t="shared" si="23"/>
        <v>0</v>
      </c>
      <c r="BK68" s="40" t="s">
        <v>595</v>
      </c>
      <c r="BL68" s="52">
        <v>721</v>
      </c>
    </row>
    <row r="69" spans="1:64" ht="12.75">
      <c r="A69" s="66" t="s">
        <v>96</v>
      </c>
      <c r="B69" s="17"/>
      <c r="C69" s="17" t="s">
        <v>216</v>
      </c>
      <c r="D69" s="112" t="s">
        <v>378</v>
      </c>
      <c r="E69" s="147"/>
      <c r="F69" s="17" t="s">
        <v>520</v>
      </c>
      <c r="G69" s="52">
        <v>12.9</v>
      </c>
      <c r="H69" s="173"/>
      <c r="I69" s="52">
        <f t="shared" si="0"/>
        <v>0</v>
      </c>
      <c r="J69" s="52">
        <f t="shared" si="1"/>
        <v>0</v>
      </c>
      <c r="K69" s="52">
        <f t="shared" si="2"/>
        <v>0</v>
      </c>
      <c r="L69" s="52">
        <v>0.00047</v>
      </c>
      <c r="M69" s="52">
        <f t="shared" si="3"/>
        <v>0.006063</v>
      </c>
      <c r="N69" s="67" t="s">
        <v>545</v>
      </c>
      <c r="O69" s="18"/>
      <c r="Z69" s="52">
        <f t="shared" si="4"/>
        <v>0</v>
      </c>
      <c r="AB69" s="52">
        <f t="shared" si="5"/>
        <v>0</v>
      </c>
      <c r="AC69" s="52">
        <f t="shared" si="6"/>
        <v>0</v>
      </c>
      <c r="AD69" s="52">
        <f t="shared" si="7"/>
        <v>0</v>
      </c>
      <c r="AE69" s="52">
        <f t="shared" si="8"/>
        <v>0</v>
      </c>
      <c r="AF69" s="52">
        <f t="shared" si="9"/>
        <v>0</v>
      </c>
      <c r="AG69" s="52">
        <f t="shared" si="10"/>
        <v>0</v>
      </c>
      <c r="AH69" s="52">
        <f t="shared" si="11"/>
        <v>0</v>
      </c>
      <c r="AI69" s="48"/>
      <c r="AJ69" s="40">
        <f t="shared" si="12"/>
        <v>0</v>
      </c>
      <c r="AK69" s="40">
        <f t="shared" si="13"/>
        <v>0</v>
      </c>
      <c r="AL69" s="40">
        <f t="shared" si="14"/>
        <v>0</v>
      </c>
      <c r="AN69" s="52">
        <v>21</v>
      </c>
      <c r="AO69" s="52">
        <f>H69*0.378966666666667</f>
        <v>0</v>
      </c>
      <c r="AP69" s="52">
        <f>H69*(1-0.378966666666667)</f>
        <v>0</v>
      </c>
      <c r="AQ69" s="53" t="s">
        <v>80</v>
      </c>
      <c r="AV69" s="52">
        <f t="shared" si="15"/>
        <v>0</v>
      </c>
      <c r="AW69" s="52">
        <f t="shared" si="16"/>
        <v>0</v>
      </c>
      <c r="AX69" s="52">
        <f t="shared" si="17"/>
        <v>0</v>
      </c>
      <c r="AY69" s="55" t="s">
        <v>562</v>
      </c>
      <c r="AZ69" s="55" t="s">
        <v>584</v>
      </c>
      <c r="BA69" s="48" t="s">
        <v>590</v>
      </c>
      <c r="BC69" s="52">
        <f t="shared" si="18"/>
        <v>0</v>
      </c>
      <c r="BD69" s="52">
        <f t="shared" si="19"/>
        <v>0</v>
      </c>
      <c r="BE69" s="52">
        <v>0</v>
      </c>
      <c r="BF69" s="52">
        <f t="shared" si="20"/>
        <v>0.006063</v>
      </c>
      <c r="BH69" s="40">
        <f t="shared" si="21"/>
        <v>0</v>
      </c>
      <c r="BI69" s="40">
        <f t="shared" si="22"/>
        <v>0</v>
      </c>
      <c r="BJ69" s="40">
        <f t="shared" si="23"/>
        <v>0</v>
      </c>
      <c r="BK69" s="40" t="s">
        <v>595</v>
      </c>
      <c r="BL69" s="52">
        <v>721</v>
      </c>
    </row>
    <row r="70" spans="1:64" ht="12.75">
      <c r="A70" s="66" t="s">
        <v>97</v>
      </c>
      <c r="B70" s="17"/>
      <c r="C70" s="17" t="s">
        <v>217</v>
      </c>
      <c r="D70" s="112" t="s">
        <v>379</v>
      </c>
      <c r="E70" s="147"/>
      <c r="F70" s="17" t="s">
        <v>520</v>
      </c>
      <c r="G70" s="52">
        <v>7.6</v>
      </c>
      <c r="H70" s="173"/>
      <c r="I70" s="52">
        <f t="shared" si="0"/>
        <v>0</v>
      </c>
      <c r="J70" s="52">
        <f t="shared" si="1"/>
        <v>0</v>
      </c>
      <c r="K70" s="52">
        <f t="shared" si="2"/>
        <v>0</v>
      </c>
      <c r="L70" s="52">
        <v>0.0007</v>
      </c>
      <c r="M70" s="52">
        <f t="shared" si="3"/>
        <v>0.00532</v>
      </c>
      <c r="N70" s="67" t="s">
        <v>545</v>
      </c>
      <c r="O70" s="18"/>
      <c r="Z70" s="52">
        <f t="shared" si="4"/>
        <v>0</v>
      </c>
      <c r="AB70" s="52">
        <f t="shared" si="5"/>
        <v>0</v>
      </c>
      <c r="AC70" s="52">
        <f t="shared" si="6"/>
        <v>0</v>
      </c>
      <c r="AD70" s="52">
        <f t="shared" si="7"/>
        <v>0</v>
      </c>
      <c r="AE70" s="52">
        <f t="shared" si="8"/>
        <v>0</v>
      </c>
      <c r="AF70" s="52">
        <f t="shared" si="9"/>
        <v>0</v>
      </c>
      <c r="AG70" s="52">
        <f t="shared" si="10"/>
        <v>0</v>
      </c>
      <c r="AH70" s="52">
        <f t="shared" si="11"/>
        <v>0</v>
      </c>
      <c r="AI70" s="48"/>
      <c r="AJ70" s="40">
        <f t="shared" si="12"/>
        <v>0</v>
      </c>
      <c r="AK70" s="40">
        <f t="shared" si="13"/>
        <v>0</v>
      </c>
      <c r="AL70" s="40">
        <f t="shared" si="14"/>
        <v>0</v>
      </c>
      <c r="AN70" s="52">
        <v>21</v>
      </c>
      <c r="AO70" s="52">
        <f>H70*0.401658163265306</f>
        <v>0</v>
      </c>
      <c r="AP70" s="52">
        <f>H70*(1-0.401658163265306)</f>
        <v>0</v>
      </c>
      <c r="AQ70" s="53" t="s">
        <v>80</v>
      </c>
      <c r="AV70" s="52">
        <f t="shared" si="15"/>
        <v>0</v>
      </c>
      <c r="AW70" s="52">
        <f t="shared" si="16"/>
        <v>0</v>
      </c>
      <c r="AX70" s="52">
        <f t="shared" si="17"/>
        <v>0</v>
      </c>
      <c r="AY70" s="55" t="s">
        <v>562</v>
      </c>
      <c r="AZ70" s="55" t="s">
        <v>584</v>
      </c>
      <c r="BA70" s="48" t="s">
        <v>590</v>
      </c>
      <c r="BC70" s="52">
        <f t="shared" si="18"/>
        <v>0</v>
      </c>
      <c r="BD70" s="52">
        <f t="shared" si="19"/>
        <v>0</v>
      </c>
      <c r="BE70" s="52">
        <v>0</v>
      </c>
      <c r="BF70" s="52">
        <f t="shared" si="20"/>
        <v>0.00532</v>
      </c>
      <c r="BH70" s="40">
        <f t="shared" si="21"/>
        <v>0</v>
      </c>
      <c r="BI70" s="40">
        <f t="shared" si="22"/>
        <v>0</v>
      </c>
      <c r="BJ70" s="40">
        <f t="shared" si="23"/>
        <v>0</v>
      </c>
      <c r="BK70" s="40" t="s">
        <v>595</v>
      </c>
      <c r="BL70" s="52">
        <v>721</v>
      </c>
    </row>
    <row r="71" spans="1:64" ht="12.75">
      <c r="A71" s="66" t="s">
        <v>98</v>
      </c>
      <c r="B71" s="17"/>
      <c r="C71" s="17" t="s">
        <v>218</v>
      </c>
      <c r="D71" s="112" t="s">
        <v>380</v>
      </c>
      <c r="E71" s="147"/>
      <c r="F71" s="17" t="s">
        <v>520</v>
      </c>
      <c r="G71" s="52">
        <v>1</v>
      </c>
      <c r="H71" s="173"/>
      <c r="I71" s="52">
        <f t="shared" si="0"/>
        <v>0</v>
      </c>
      <c r="J71" s="52">
        <f t="shared" si="1"/>
        <v>0</v>
      </c>
      <c r="K71" s="52">
        <f t="shared" si="2"/>
        <v>0</v>
      </c>
      <c r="L71" s="52">
        <v>0.00152</v>
      </c>
      <c r="M71" s="52">
        <f t="shared" si="3"/>
        <v>0.00152</v>
      </c>
      <c r="N71" s="67" t="s">
        <v>545</v>
      </c>
      <c r="O71" s="18"/>
      <c r="Z71" s="52">
        <f t="shared" si="4"/>
        <v>0</v>
      </c>
      <c r="AB71" s="52">
        <f t="shared" si="5"/>
        <v>0</v>
      </c>
      <c r="AC71" s="52">
        <f t="shared" si="6"/>
        <v>0</v>
      </c>
      <c r="AD71" s="52">
        <f t="shared" si="7"/>
        <v>0</v>
      </c>
      <c r="AE71" s="52">
        <f t="shared" si="8"/>
        <v>0</v>
      </c>
      <c r="AF71" s="52">
        <f t="shared" si="9"/>
        <v>0</v>
      </c>
      <c r="AG71" s="52">
        <f t="shared" si="10"/>
        <v>0</v>
      </c>
      <c r="AH71" s="52">
        <f t="shared" si="11"/>
        <v>0</v>
      </c>
      <c r="AI71" s="48"/>
      <c r="AJ71" s="40">
        <f t="shared" si="12"/>
        <v>0</v>
      </c>
      <c r="AK71" s="40">
        <f t="shared" si="13"/>
        <v>0</v>
      </c>
      <c r="AL71" s="40">
        <f t="shared" si="14"/>
        <v>0</v>
      </c>
      <c r="AN71" s="52">
        <v>21</v>
      </c>
      <c r="AO71" s="52">
        <f>H71*0.3605949517337</f>
        <v>0</v>
      </c>
      <c r="AP71" s="52">
        <f>H71*(1-0.3605949517337)</f>
        <v>0</v>
      </c>
      <c r="AQ71" s="53" t="s">
        <v>80</v>
      </c>
      <c r="AV71" s="52">
        <f t="shared" si="15"/>
        <v>0</v>
      </c>
      <c r="AW71" s="52">
        <f t="shared" si="16"/>
        <v>0</v>
      </c>
      <c r="AX71" s="52">
        <f t="shared" si="17"/>
        <v>0</v>
      </c>
      <c r="AY71" s="55" t="s">
        <v>562</v>
      </c>
      <c r="AZ71" s="55" t="s">
        <v>584</v>
      </c>
      <c r="BA71" s="48" t="s">
        <v>590</v>
      </c>
      <c r="BC71" s="52">
        <f t="shared" si="18"/>
        <v>0</v>
      </c>
      <c r="BD71" s="52">
        <f t="shared" si="19"/>
        <v>0</v>
      </c>
      <c r="BE71" s="52">
        <v>0</v>
      </c>
      <c r="BF71" s="52">
        <f t="shared" si="20"/>
        <v>0.00152</v>
      </c>
      <c r="BH71" s="40">
        <f t="shared" si="21"/>
        <v>0</v>
      </c>
      <c r="BI71" s="40">
        <f t="shared" si="22"/>
        <v>0</v>
      </c>
      <c r="BJ71" s="40">
        <f t="shared" si="23"/>
        <v>0</v>
      </c>
      <c r="BK71" s="40" t="s">
        <v>595</v>
      </c>
      <c r="BL71" s="52">
        <v>721</v>
      </c>
    </row>
    <row r="72" spans="1:64" ht="12.75">
      <c r="A72" s="66" t="s">
        <v>99</v>
      </c>
      <c r="B72" s="17"/>
      <c r="C72" s="17" t="s">
        <v>219</v>
      </c>
      <c r="D72" s="112" t="s">
        <v>381</v>
      </c>
      <c r="E72" s="147"/>
      <c r="F72" s="17" t="s">
        <v>521</v>
      </c>
      <c r="G72" s="52">
        <v>4</v>
      </c>
      <c r="H72" s="173"/>
      <c r="I72" s="52">
        <f t="shared" si="0"/>
        <v>0</v>
      </c>
      <c r="J72" s="52">
        <f t="shared" si="1"/>
        <v>0</v>
      </c>
      <c r="K72" s="52">
        <f t="shared" si="2"/>
        <v>0</v>
      </c>
      <c r="L72" s="52">
        <v>0</v>
      </c>
      <c r="M72" s="52">
        <f t="shared" si="3"/>
        <v>0</v>
      </c>
      <c r="N72" s="67" t="s">
        <v>545</v>
      </c>
      <c r="O72" s="18"/>
      <c r="Z72" s="52">
        <f t="shared" si="4"/>
        <v>0</v>
      </c>
      <c r="AB72" s="52">
        <f t="shared" si="5"/>
        <v>0</v>
      </c>
      <c r="AC72" s="52">
        <f t="shared" si="6"/>
        <v>0</v>
      </c>
      <c r="AD72" s="52">
        <f t="shared" si="7"/>
        <v>0</v>
      </c>
      <c r="AE72" s="52">
        <f t="shared" si="8"/>
        <v>0</v>
      </c>
      <c r="AF72" s="52">
        <f t="shared" si="9"/>
        <v>0</v>
      </c>
      <c r="AG72" s="52">
        <f t="shared" si="10"/>
        <v>0</v>
      </c>
      <c r="AH72" s="52">
        <f t="shared" si="11"/>
        <v>0</v>
      </c>
      <c r="AI72" s="48"/>
      <c r="AJ72" s="40">
        <f t="shared" si="12"/>
        <v>0</v>
      </c>
      <c r="AK72" s="40">
        <f t="shared" si="13"/>
        <v>0</v>
      </c>
      <c r="AL72" s="40">
        <f t="shared" si="14"/>
        <v>0</v>
      </c>
      <c r="AN72" s="52">
        <v>21</v>
      </c>
      <c r="AO72" s="52">
        <f>H72*0</f>
        <v>0</v>
      </c>
      <c r="AP72" s="52">
        <f>H72*(1-0)</f>
        <v>0</v>
      </c>
      <c r="AQ72" s="53" t="s">
        <v>80</v>
      </c>
      <c r="AV72" s="52">
        <f t="shared" si="15"/>
        <v>0</v>
      </c>
      <c r="AW72" s="52">
        <f t="shared" si="16"/>
        <v>0</v>
      </c>
      <c r="AX72" s="52">
        <f t="shared" si="17"/>
        <v>0</v>
      </c>
      <c r="AY72" s="55" t="s">
        <v>562</v>
      </c>
      <c r="AZ72" s="55" t="s">
        <v>584</v>
      </c>
      <c r="BA72" s="48" t="s">
        <v>590</v>
      </c>
      <c r="BC72" s="52">
        <f t="shared" si="18"/>
        <v>0</v>
      </c>
      <c r="BD72" s="52">
        <f t="shared" si="19"/>
        <v>0</v>
      </c>
      <c r="BE72" s="52">
        <v>0</v>
      </c>
      <c r="BF72" s="52">
        <f t="shared" si="20"/>
        <v>0</v>
      </c>
      <c r="BH72" s="40">
        <f t="shared" si="21"/>
        <v>0</v>
      </c>
      <c r="BI72" s="40">
        <f t="shared" si="22"/>
        <v>0</v>
      </c>
      <c r="BJ72" s="40">
        <f t="shared" si="23"/>
        <v>0</v>
      </c>
      <c r="BK72" s="40" t="s">
        <v>595</v>
      </c>
      <c r="BL72" s="52">
        <v>721</v>
      </c>
    </row>
    <row r="73" spans="1:64" ht="12.75">
      <c r="A73" s="66" t="s">
        <v>100</v>
      </c>
      <c r="B73" s="17"/>
      <c r="C73" s="17" t="s">
        <v>220</v>
      </c>
      <c r="D73" s="112" t="s">
        <v>382</v>
      </c>
      <c r="E73" s="147"/>
      <c r="F73" s="17" t="s">
        <v>521</v>
      </c>
      <c r="G73" s="52">
        <v>6</v>
      </c>
      <c r="H73" s="173"/>
      <c r="I73" s="52">
        <f t="shared" si="0"/>
        <v>0</v>
      </c>
      <c r="J73" s="52">
        <f t="shared" si="1"/>
        <v>0</v>
      </c>
      <c r="K73" s="52">
        <f t="shared" si="2"/>
        <v>0</v>
      </c>
      <c r="L73" s="52">
        <v>0</v>
      </c>
      <c r="M73" s="52">
        <f t="shared" si="3"/>
        <v>0</v>
      </c>
      <c r="N73" s="67" t="s">
        <v>545</v>
      </c>
      <c r="O73" s="18"/>
      <c r="Z73" s="52">
        <f t="shared" si="4"/>
        <v>0</v>
      </c>
      <c r="AB73" s="52">
        <f t="shared" si="5"/>
        <v>0</v>
      </c>
      <c r="AC73" s="52">
        <f t="shared" si="6"/>
        <v>0</v>
      </c>
      <c r="AD73" s="52">
        <f t="shared" si="7"/>
        <v>0</v>
      </c>
      <c r="AE73" s="52">
        <f t="shared" si="8"/>
        <v>0</v>
      </c>
      <c r="AF73" s="52">
        <f t="shared" si="9"/>
        <v>0</v>
      </c>
      <c r="AG73" s="52">
        <f t="shared" si="10"/>
        <v>0</v>
      </c>
      <c r="AH73" s="52">
        <f t="shared" si="11"/>
        <v>0</v>
      </c>
      <c r="AI73" s="48"/>
      <c r="AJ73" s="40">
        <f t="shared" si="12"/>
        <v>0</v>
      </c>
      <c r="AK73" s="40">
        <f t="shared" si="13"/>
        <v>0</v>
      </c>
      <c r="AL73" s="40">
        <f t="shared" si="14"/>
        <v>0</v>
      </c>
      <c r="AN73" s="52">
        <v>21</v>
      </c>
      <c r="AO73" s="52">
        <f>H73*0</f>
        <v>0</v>
      </c>
      <c r="AP73" s="52">
        <f>H73*(1-0)</f>
        <v>0</v>
      </c>
      <c r="AQ73" s="53" t="s">
        <v>80</v>
      </c>
      <c r="AV73" s="52">
        <f t="shared" si="15"/>
        <v>0</v>
      </c>
      <c r="AW73" s="52">
        <f t="shared" si="16"/>
        <v>0</v>
      </c>
      <c r="AX73" s="52">
        <f t="shared" si="17"/>
        <v>0</v>
      </c>
      <c r="AY73" s="55" t="s">
        <v>562</v>
      </c>
      <c r="AZ73" s="55" t="s">
        <v>584</v>
      </c>
      <c r="BA73" s="48" t="s">
        <v>590</v>
      </c>
      <c r="BC73" s="52">
        <f t="shared" si="18"/>
        <v>0</v>
      </c>
      <c r="BD73" s="52">
        <f t="shared" si="19"/>
        <v>0</v>
      </c>
      <c r="BE73" s="52">
        <v>0</v>
      </c>
      <c r="BF73" s="52">
        <f t="shared" si="20"/>
        <v>0</v>
      </c>
      <c r="BH73" s="40">
        <f t="shared" si="21"/>
        <v>0</v>
      </c>
      <c r="BI73" s="40">
        <f t="shared" si="22"/>
        <v>0</v>
      </c>
      <c r="BJ73" s="40">
        <f t="shared" si="23"/>
        <v>0</v>
      </c>
      <c r="BK73" s="40" t="s">
        <v>595</v>
      </c>
      <c r="BL73" s="52">
        <v>721</v>
      </c>
    </row>
    <row r="74" spans="1:64" ht="12.75">
      <c r="A74" s="66" t="s">
        <v>101</v>
      </c>
      <c r="B74" s="17"/>
      <c r="C74" s="17" t="s">
        <v>221</v>
      </c>
      <c r="D74" s="112" t="s">
        <v>383</v>
      </c>
      <c r="E74" s="147"/>
      <c r="F74" s="17" t="s">
        <v>521</v>
      </c>
      <c r="G74" s="52">
        <v>2</v>
      </c>
      <c r="H74" s="173"/>
      <c r="I74" s="52">
        <f t="shared" si="0"/>
        <v>0</v>
      </c>
      <c r="J74" s="52">
        <f t="shared" si="1"/>
        <v>0</v>
      </c>
      <c r="K74" s="52">
        <f t="shared" si="2"/>
        <v>0</v>
      </c>
      <c r="L74" s="52">
        <v>0</v>
      </c>
      <c r="M74" s="52">
        <f t="shared" si="3"/>
        <v>0</v>
      </c>
      <c r="N74" s="67" t="s">
        <v>545</v>
      </c>
      <c r="O74" s="18"/>
      <c r="Z74" s="52">
        <f t="shared" si="4"/>
        <v>0</v>
      </c>
      <c r="AB74" s="52">
        <f t="shared" si="5"/>
        <v>0</v>
      </c>
      <c r="AC74" s="52">
        <f t="shared" si="6"/>
        <v>0</v>
      </c>
      <c r="AD74" s="52">
        <f t="shared" si="7"/>
        <v>0</v>
      </c>
      <c r="AE74" s="52">
        <f t="shared" si="8"/>
        <v>0</v>
      </c>
      <c r="AF74" s="52">
        <f t="shared" si="9"/>
        <v>0</v>
      </c>
      <c r="AG74" s="52">
        <f t="shared" si="10"/>
        <v>0</v>
      </c>
      <c r="AH74" s="52">
        <f t="shared" si="11"/>
        <v>0</v>
      </c>
      <c r="AI74" s="48"/>
      <c r="AJ74" s="40">
        <f t="shared" si="12"/>
        <v>0</v>
      </c>
      <c r="AK74" s="40">
        <f t="shared" si="13"/>
        <v>0</v>
      </c>
      <c r="AL74" s="40">
        <f t="shared" si="14"/>
        <v>0</v>
      </c>
      <c r="AN74" s="52">
        <v>21</v>
      </c>
      <c r="AO74" s="52">
        <f>H74*0</f>
        <v>0</v>
      </c>
      <c r="AP74" s="52">
        <f>H74*(1-0)</f>
        <v>0</v>
      </c>
      <c r="AQ74" s="53" t="s">
        <v>80</v>
      </c>
      <c r="AV74" s="52">
        <f t="shared" si="15"/>
        <v>0</v>
      </c>
      <c r="AW74" s="52">
        <f t="shared" si="16"/>
        <v>0</v>
      </c>
      <c r="AX74" s="52">
        <f t="shared" si="17"/>
        <v>0</v>
      </c>
      <c r="AY74" s="55" t="s">
        <v>562</v>
      </c>
      <c r="AZ74" s="55" t="s">
        <v>584</v>
      </c>
      <c r="BA74" s="48" t="s">
        <v>590</v>
      </c>
      <c r="BC74" s="52">
        <f t="shared" si="18"/>
        <v>0</v>
      </c>
      <c r="BD74" s="52">
        <f t="shared" si="19"/>
        <v>0</v>
      </c>
      <c r="BE74" s="52">
        <v>0</v>
      </c>
      <c r="BF74" s="52">
        <f t="shared" si="20"/>
        <v>0</v>
      </c>
      <c r="BH74" s="40">
        <f t="shared" si="21"/>
        <v>0</v>
      </c>
      <c r="BI74" s="40">
        <f t="shared" si="22"/>
        <v>0</v>
      </c>
      <c r="BJ74" s="40">
        <f t="shared" si="23"/>
        <v>0</v>
      </c>
      <c r="BK74" s="40" t="s">
        <v>595</v>
      </c>
      <c r="BL74" s="52">
        <v>721</v>
      </c>
    </row>
    <row r="75" spans="1:64" ht="12.75">
      <c r="A75" s="66" t="s">
        <v>102</v>
      </c>
      <c r="B75" s="17"/>
      <c r="C75" s="17" t="s">
        <v>222</v>
      </c>
      <c r="D75" s="112" t="s">
        <v>384</v>
      </c>
      <c r="E75" s="147"/>
      <c r="F75" s="17" t="s">
        <v>521</v>
      </c>
      <c r="G75" s="52">
        <v>1</v>
      </c>
      <c r="H75" s="173"/>
      <c r="I75" s="52">
        <f t="shared" si="0"/>
        <v>0</v>
      </c>
      <c r="J75" s="52">
        <f t="shared" si="1"/>
        <v>0</v>
      </c>
      <c r="K75" s="52">
        <f t="shared" si="2"/>
        <v>0</v>
      </c>
      <c r="L75" s="52">
        <v>9E-05</v>
      </c>
      <c r="M75" s="52">
        <f t="shared" si="3"/>
        <v>9E-05</v>
      </c>
      <c r="N75" s="67" t="s">
        <v>545</v>
      </c>
      <c r="O75" s="18"/>
      <c r="Z75" s="52">
        <f t="shared" si="4"/>
        <v>0</v>
      </c>
      <c r="AB75" s="52">
        <f t="shared" si="5"/>
        <v>0</v>
      </c>
      <c r="AC75" s="52">
        <f t="shared" si="6"/>
        <v>0</v>
      </c>
      <c r="AD75" s="52">
        <f t="shared" si="7"/>
        <v>0</v>
      </c>
      <c r="AE75" s="52">
        <f t="shared" si="8"/>
        <v>0</v>
      </c>
      <c r="AF75" s="52">
        <f t="shared" si="9"/>
        <v>0</v>
      </c>
      <c r="AG75" s="52">
        <f t="shared" si="10"/>
        <v>0</v>
      </c>
      <c r="AH75" s="52">
        <f t="shared" si="11"/>
        <v>0</v>
      </c>
      <c r="AI75" s="48"/>
      <c r="AJ75" s="40">
        <f t="shared" si="12"/>
        <v>0</v>
      </c>
      <c r="AK75" s="40">
        <f t="shared" si="13"/>
        <v>0</v>
      </c>
      <c r="AL75" s="40">
        <f t="shared" si="14"/>
        <v>0</v>
      </c>
      <c r="AN75" s="52">
        <v>21</v>
      </c>
      <c r="AO75" s="52">
        <f>H75*0.62451519536903</f>
        <v>0</v>
      </c>
      <c r="AP75" s="52">
        <f>H75*(1-0.62451519536903)</f>
        <v>0</v>
      </c>
      <c r="AQ75" s="53" t="s">
        <v>80</v>
      </c>
      <c r="AV75" s="52">
        <f t="shared" si="15"/>
        <v>0</v>
      </c>
      <c r="AW75" s="52">
        <f t="shared" si="16"/>
        <v>0</v>
      </c>
      <c r="AX75" s="52">
        <f t="shared" si="17"/>
        <v>0</v>
      </c>
      <c r="AY75" s="55" t="s">
        <v>562</v>
      </c>
      <c r="AZ75" s="55" t="s">
        <v>584</v>
      </c>
      <c r="BA75" s="48" t="s">
        <v>590</v>
      </c>
      <c r="BC75" s="52">
        <f t="shared" si="18"/>
        <v>0</v>
      </c>
      <c r="BD75" s="52">
        <f t="shared" si="19"/>
        <v>0</v>
      </c>
      <c r="BE75" s="52">
        <v>0</v>
      </c>
      <c r="BF75" s="52">
        <f t="shared" si="20"/>
        <v>9E-05</v>
      </c>
      <c r="BH75" s="40">
        <f t="shared" si="21"/>
        <v>0</v>
      </c>
      <c r="BI75" s="40">
        <f t="shared" si="22"/>
        <v>0</v>
      </c>
      <c r="BJ75" s="40">
        <f t="shared" si="23"/>
        <v>0</v>
      </c>
      <c r="BK75" s="40" t="s">
        <v>595</v>
      </c>
      <c r="BL75" s="52">
        <v>721</v>
      </c>
    </row>
    <row r="76" spans="1:64" ht="12.75">
      <c r="A76" s="66" t="s">
        <v>103</v>
      </c>
      <c r="B76" s="17"/>
      <c r="C76" s="17" t="s">
        <v>223</v>
      </c>
      <c r="D76" s="112" t="s">
        <v>385</v>
      </c>
      <c r="E76" s="147"/>
      <c r="F76" s="17" t="s">
        <v>520</v>
      </c>
      <c r="G76" s="52">
        <v>25.5</v>
      </c>
      <c r="H76" s="173"/>
      <c r="I76" s="52">
        <f t="shared" si="0"/>
        <v>0</v>
      </c>
      <c r="J76" s="52">
        <f t="shared" si="1"/>
        <v>0</v>
      </c>
      <c r="K76" s="52">
        <f t="shared" si="2"/>
        <v>0</v>
      </c>
      <c r="L76" s="52">
        <v>0</v>
      </c>
      <c r="M76" s="52">
        <f t="shared" si="3"/>
        <v>0</v>
      </c>
      <c r="N76" s="67" t="s">
        <v>545</v>
      </c>
      <c r="O76" s="18"/>
      <c r="Z76" s="52">
        <f t="shared" si="4"/>
        <v>0</v>
      </c>
      <c r="AB76" s="52">
        <f t="shared" si="5"/>
        <v>0</v>
      </c>
      <c r="AC76" s="52">
        <f t="shared" si="6"/>
        <v>0</v>
      </c>
      <c r="AD76" s="52">
        <f t="shared" si="7"/>
        <v>0</v>
      </c>
      <c r="AE76" s="52">
        <f t="shared" si="8"/>
        <v>0</v>
      </c>
      <c r="AF76" s="52">
        <f t="shared" si="9"/>
        <v>0</v>
      </c>
      <c r="AG76" s="52">
        <f t="shared" si="10"/>
        <v>0</v>
      </c>
      <c r="AH76" s="52">
        <f t="shared" si="11"/>
        <v>0</v>
      </c>
      <c r="AI76" s="48"/>
      <c r="AJ76" s="40">
        <f t="shared" si="12"/>
        <v>0</v>
      </c>
      <c r="AK76" s="40">
        <f t="shared" si="13"/>
        <v>0</v>
      </c>
      <c r="AL76" s="40">
        <f t="shared" si="14"/>
        <v>0</v>
      </c>
      <c r="AN76" s="52">
        <v>21</v>
      </c>
      <c r="AO76" s="52">
        <f>H76*0</f>
        <v>0</v>
      </c>
      <c r="AP76" s="52">
        <f>H76*(1-0)</f>
        <v>0</v>
      </c>
      <c r="AQ76" s="53" t="s">
        <v>75</v>
      </c>
      <c r="AV76" s="52">
        <f t="shared" si="15"/>
        <v>0</v>
      </c>
      <c r="AW76" s="52">
        <f t="shared" si="16"/>
        <v>0</v>
      </c>
      <c r="AX76" s="52">
        <f t="shared" si="17"/>
        <v>0</v>
      </c>
      <c r="AY76" s="55" t="s">
        <v>562</v>
      </c>
      <c r="AZ76" s="55" t="s">
        <v>584</v>
      </c>
      <c r="BA76" s="48" t="s">
        <v>590</v>
      </c>
      <c r="BC76" s="52">
        <f t="shared" si="18"/>
        <v>0</v>
      </c>
      <c r="BD76" s="52">
        <f t="shared" si="19"/>
        <v>0</v>
      </c>
      <c r="BE76" s="52">
        <v>0</v>
      </c>
      <c r="BF76" s="52">
        <f t="shared" si="20"/>
        <v>0</v>
      </c>
      <c r="BH76" s="40">
        <f t="shared" si="21"/>
        <v>0</v>
      </c>
      <c r="BI76" s="40">
        <f t="shared" si="22"/>
        <v>0</v>
      </c>
      <c r="BJ76" s="40">
        <f t="shared" si="23"/>
        <v>0</v>
      </c>
      <c r="BK76" s="40" t="s">
        <v>595</v>
      </c>
      <c r="BL76" s="52">
        <v>721</v>
      </c>
    </row>
    <row r="77" spans="1:64" ht="12.75">
      <c r="A77" s="66" t="s">
        <v>104</v>
      </c>
      <c r="B77" s="17"/>
      <c r="C77" s="17" t="s">
        <v>224</v>
      </c>
      <c r="D77" s="112" t="s">
        <v>386</v>
      </c>
      <c r="E77" s="147"/>
      <c r="F77" s="17" t="s">
        <v>520</v>
      </c>
      <c r="G77" s="52">
        <v>25.5</v>
      </c>
      <c r="H77" s="173"/>
      <c r="I77" s="52">
        <f t="shared" si="0"/>
        <v>0</v>
      </c>
      <c r="J77" s="52">
        <f t="shared" si="1"/>
        <v>0</v>
      </c>
      <c r="K77" s="52">
        <f t="shared" si="2"/>
        <v>0</v>
      </c>
      <c r="L77" s="52">
        <v>0</v>
      </c>
      <c r="M77" s="52">
        <f t="shared" si="3"/>
        <v>0</v>
      </c>
      <c r="N77" s="67" t="s">
        <v>545</v>
      </c>
      <c r="O77" s="18"/>
      <c r="Z77" s="52">
        <f t="shared" si="4"/>
        <v>0</v>
      </c>
      <c r="AB77" s="52">
        <f t="shared" si="5"/>
        <v>0</v>
      </c>
      <c r="AC77" s="52">
        <f t="shared" si="6"/>
        <v>0</v>
      </c>
      <c r="AD77" s="52">
        <f t="shared" si="7"/>
        <v>0</v>
      </c>
      <c r="AE77" s="52">
        <f t="shared" si="8"/>
        <v>0</v>
      </c>
      <c r="AF77" s="52">
        <f t="shared" si="9"/>
        <v>0</v>
      </c>
      <c r="AG77" s="52">
        <f t="shared" si="10"/>
        <v>0</v>
      </c>
      <c r="AH77" s="52">
        <f t="shared" si="11"/>
        <v>0</v>
      </c>
      <c r="AI77" s="48"/>
      <c r="AJ77" s="40">
        <f t="shared" si="12"/>
        <v>0</v>
      </c>
      <c r="AK77" s="40">
        <f t="shared" si="13"/>
        <v>0</v>
      </c>
      <c r="AL77" s="40">
        <f t="shared" si="14"/>
        <v>0</v>
      </c>
      <c r="AN77" s="52">
        <v>21</v>
      </c>
      <c r="AO77" s="52">
        <f>H77*0.0265726764232626</f>
        <v>0</v>
      </c>
      <c r="AP77" s="52">
        <f>H77*(1-0.0265726764232626)</f>
        <v>0</v>
      </c>
      <c r="AQ77" s="53" t="s">
        <v>80</v>
      </c>
      <c r="AV77" s="52">
        <f t="shared" si="15"/>
        <v>0</v>
      </c>
      <c r="AW77" s="52">
        <f t="shared" si="16"/>
        <v>0</v>
      </c>
      <c r="AX77" s="52">
        <f t="shared" si="17"/>
        <v>0</v>
      </c>
      <c r="AY77" s="55" t="s">
        <v>562</v>
      </c>
      <c r="AZ77" s="55" t="s">
        <v>584</v>
      </c>
      <c r="BA77" s="48" t="s">
        <v>590</v>
      </c>
      <c r="BC77" s="52">
        <f t="shared" si="18"/>
        <v>0</v>
      </c>
      <c r="BD77" s="52">
        <f t="shared" si="19"/>
        <v>0</v>
      </c>
      <c r="BE77" s="52">
        <v>0</v>
      </c>
      <c r="BF77" s="52">
        <f t="shared" si="20"/>
        <v>0</v>
      </c>
      <c r="BH77" s="40">
        <f t="shared" si="21"/>
        <v>0</v>
      </c>
      <c r="BI77" s="40">
        <f t="shared" si="22"/>
        <v>0</v>
      </c>
      <c r="BJ77" s="40">
        <f t="shared" si="23"/>
        <v>0</v>
      </c>
      <c r="BK77" s="40" t="s">
        <v>595</v>
      </c>
      <c r="BL77" s="52">
        <v>721</v>
      </c>
    </row>
    <row r="78" spans="1:64" ht="12.75">
      <c r="A78" s="66" t="s">
        <v>105</v>
      </c>
      <c r="B78" s="17"/>
      <c r="C78" s="17" t="s">
        <v>225</v>
      </c>
      <c r="D78" s="112" t="s">
        <v>387</v>
      </c>
      <c r="E78" s="147"/>
      <c r="F78" s="17" t="s">
        <v>521</v>
      </c>
      <c r="G78" s="52">
        <v>2</v>
      </c>
      <c r="H78" s="173"/>
      <c r="I78" s="52">
        <f t="shared" si="0"/>
        <v>0</v>
      </c>
      <c r="J78" s="52">
        <f t="shared" si="1"/>
        <v>0</v>
      </c>
      <c r="K78" s="52">
        <f t="shared" si="2"/>
        <v>0</v>
      </c>
      <c r="L78" s="52">
        <v>0.00894</v>
      </c>
      <c r="M78" s="52">
        <f t="shared" si="3"/>
        <v>0.01788</v>
      </c>
      <c r="N78" s="67" t="s">
        <v>545</v>
      </c>
      <c r="O78" s="18"/>
      <c r="Z78" s="52">
        <f t="shared" si="4"/>
        <v>0</v>
      </c>
      <c r="AB78" s="52">
        <f t="shared" si="5"/>
        <v>0</v>
      </c>
      <c r="AC78" s="52">
        <f t="shared" si="6"/>
        <v>0</v>
      </c>
      <c r="AD78" s="52">
        <f t="shared" si="7"/>
        <v>0</v>
      </c>
      <c r="AE78" s="52">
        <f t="shared" si="8"/>
        <v>0</v>
      </c>
      <c r="AF78" s="52">
        <f t="shared" si="9"/>
        <v>0</v>
      </c>
      <c r="AG78" s="52">
        <f t="shared" si="10"/>
        <v>0</v>
      </c>
      <c r="AH78" s="52">
        <f t="shared" si="11"/>
        <v>0</v>
      </c>
      <c r="AI78" s="48"/>
      <c r="AJ78" s="40">
        <f t="shared" si="12"/>
        <v>0</v>
      </c>
      <c r="AK78" s="40">
        <f t="shared" si="13"/>
        <v>0</v>
      </c>
      <c r="AL78" s="40">
        <f t="shared" si="14"/>
        <v>0</v>
      </c>
      <c r="AN78" s="52">
        <v>21</v>
      </c>
      <c r="AO78" s="52">
        <f>H78*0.501449912126538</f>
        <v>0</v>
      </c>
      <c r="AP78" s="52">
        <f>H78*(1-0.501449912126538)</f>
        <v>0</v>
      </c>
      <c r="AQ78" s="53" t="s">
        <v>80</v>
      </c>
      <c r="AV78" s="52">
        <f t="shared" si="15"/>
        <v>0</v>
      </c>
      <c r="AW78" s="52">
        <f t="shared" si="16"/>
        <v>0</v>
      </c>
      <c r="AX78" s="52">
        <f t="shared" si="17"/>
        <v>0</v>
      </c>
      <c r="AY78" s="55" t="s">
        <v>562</v>
      </c>
      <c r="AZ78" s="55" t="s">
        <v>584</v>
      </c>
      <c r="BA78" s="48" t="s">
        <v>590</v>
      </c>
      <c r="BC78" s="52">
        <f t="shared" si="18"/>
        <v>0</v>
      </c>
      <c r="BD78" s="52">
        <f t="shared" si="19"/>
        <v>0</v>
      </c>
      <c r="BE78" s="52">
        <v>0</v>
      </c>
      <c r="BF78" s="52">
        <f t="shared" si="20"/>
        <v>0.01788</v>
      </c>
      <c r="BH78" s="40">
        <f t="shared" si="21"/>
        <v>0</v>
      </c>
      <c r="BI78" s="40">
        <f t="shared" si="22"/>
        <v>0</v>
      </c>
      <c r="BJ78" s="40">
        <f t="shared" si="23"/>
        <v>0</v>
      </c>
      <c r="BK78" s="40" t="s">
        <v>595</v>
      </c>
      <c r="BL78" s="52">
        <v>721</v>
      </c>
    </row>
    <row r="79" spans="1:64" ht="12.75">
      <c r="A79" s="66" t="s">
        <v>106</v>
      </c>
      <c r="B79" s="17"/>
      <c r="C79" s="17" t="s">
        <v>226</v>
      </c>
      <c r="D79" s="112" t="s">
        <v>388</v>
      </c>
      <c r="E79" s="147"/>
      <c r="F79" s="17" t="s">
        <v>521</v>
      </c>
      <c r="G79" s="52">
        <v>2</v>
      </c>
      <c r="H79" s="173"/>
      <c r="I79" s="52">
        <f t="shared" si="0"/>
        <v>0</v>
      </c>
      <c r="J79" s="52">
        <f t="shared" si="1"/>
        <v>0</v>
      </c>
      <c r="K79" s="52">
        <f t="shared" si="2"/>
        <v>0</v>
      </c>
      <c r="L79" s="52">
        <v>0.00663</v>
      </c>
      <c r="M79" s="52">
        <f t="shared" si="3"/>
        <v>0.01326</v>
      </c>
      <c r="N79" s="67" t="s">
        <v>545</v>
      </c>
      <c r="O79" s="18"/>
      <c r="Z79" s="52">
        <f t="shared" si="4"/>
        <v>0</v>
      </c>
      <c r="AB79" s="52">
        <f t="shared" si="5"/>
        <v>0</v>
      </c>
      <c r="AC79" s="52">
        <f t="shared" si="6"/>
        <v>0</v>
      </c>
      <c r="AD79" s="52">
        <f t="shared" si="7"/>
        <v>0</v>
      </c>
      <c r="AE79" s="52">
        <f t="shared" si="8"/>
        <v>0</v>
      </c>
      <c r="AF79" s="52">
        <f t="shared" si="9"/>
        <v>0</v>
      </c>
      <c r="AG79" s="52">
        <f t="shared" si="10"/>
        <v>0</v>
      </c>
      <c r="AH79" s="52">
        <f t="shared" si="11"/>
        <v>0</v>
      </c>
      <c r="AI79" s="48"/>
      <c r="AJ79" s="40">
        <f t="shared" si="12"/>
        <v>0</v>
      </c>
      <c r="AK79" s="40">
        <f t="shared" si="13"/>
        <v>0</v>
      </c>
      <c r="AL79" s="40">
        <f t="shared" si="14"/>
        <v>0</v>
      </c>
      <c r="AN79" s="52">
        <v>21</v>
      </c>
      <c r="AO79" s="52">
        <f>H79*0.208699110770192</f>
        <v>0</v>
      </c>
      <c r="AP79" s="52">
        <f>H79*(1-0.208699110770192)</f>
        <v>0</v>
      </c>
      <c r="AQ79" s="53" t="s">
        <v>80</v>
      </c>
      <c r="AV79" s="52">
        <f t="shared" si="15"/>
        <v>0</v>
      </c>
      <c r="AW79" s="52">
        <f t="shared" si="16"/>
        <v>0</v>
      </c>
      <c r="AX79" s="52">
        <f t="shared" si="17"/>
        <v>0</v>
      </c>
      <c r="AY79" s="55" t="s">
        <v>562</v>
      </c>
      <c r="AZ79" s="55" t="s">
        <v>584</v>
      </c>
      <c r="BA79" s="48" t="s">
        <v>590</v>
      </c>
      <c r="BC79" s="52">
        <f t="shared" si="18"/>
        <v>0</v>
      </c>
      <c r="BD79" s="52">
        <f t="shared" si="19"/>
        <v>0</v>
      </c>
      <c r="BE79" s="52">
        <v>0</v>
      </c>
      <c r="BF79" s="52">
        <f t="shared" si="20"/>
        <v>0.01326</v>
      </c>
      <c r="BH79" s="40">
        <f t="shared" si="21"/>
        <v>0</v>
      </c>
      <c r="BI79" s="40">
        <f t="shared" si="22"/>
        <v>0</v>
      </c>
      <c r="BJ79" s="40">
        <f t="shared" si="23"/>
        <v>0</v>
      </c>
      <c r="BK79" s="40" t="s">
        <v>595</v>
      </c>
      <c r="BL79" s="52">
        <v>721</v>
      </c>
    </row>
    <row r="80" spans="1:64" ht="12.75">
      <c r="A80" s="66" t="s">
        <v>107</v>
      </c>
      <c r="B80" s="17"/>
      <c r="C80" s="17" t="s">
        <v>227</v>
      </c>
      <c r="D80" s="112" t="s">
        <v>389</v>
      </c>
      <c r="E80" s="147"/>
      <c r="F80" s="17" t="s">
        <v>521</v>
      </c>
      <c r="G80" s="52">
        <v>2</v>
      </c>
      <c r="H80" s="173"/>
      <c r="I80" s="52">
        <f t="shared" si="0"/>
        <v>0</v>
      </c>
      <c r="J80" s="52">
        <f t="shared" si="1"/>
        <v>0</v>
      </c>
      <c r="K80" s="52">
        <f t="shared" si="2"/>
        <v>0</v>
      </c>
      <c r="L80" s="52">
        <v>0</v>
      </c>
      <c r="M80" s="52">
        <f t="shared" si="3"/>
        <v>0</v>
      </c>
      <c r="N80" s="67" t="s">
        <v>545</v>
      </c>
      <c r="O80" s="18"/>
      <c r="Z80" s="52">
        <f t="shared" si="4"/>
        <v>0</v>
      </c>
      <c r="AB80" s="52">
        <f t="shared" si="5"/>
        <v>0</v>
      </c>
      <c r="AC80" s="52">
        <f t="shared" si="6"/>
        <v>0</v>
      </c>
      <c r="AD80" s="52">
        <f t="shared" si="7"/>
        <v>0</v>
      </c>
      <c r="AE80" s="52">
        <f t="shared" si="8"/>
        <v>0</v>
      </c>
      <c r="AF80" s="52">
        <f t="shared" si="9"/>
        <v>0</v>
      </c>
      <c r="AG80" s="52">
        <f t="shared" si="10"/>
        <v>0</v>
      </c>
      <c r="AH80" s="52">
        <f t="shared" si="11"/>
        <v>0</v>
      </c>
      <c r="AI80" s="48"/>
      <c r="AJ80" s="40">
        <f t="shared" si="12"/>
        <v>0</v>
      </c>
      <c r="AK80" s="40">
        <f t="shared" si="13"/>
        <v>0</v>
      </c>
      <c r="AL80" s="40">
        <f t="shared" si="14"/>
        <v>0</v>
      </c>
      <c r="AN80" s="52">
        <v>21</v>
      </c>
      <c r="AO80" s="52">
        <f>H80*0</f>
        <v>0</v>
      </c>
      <c r="AP80" s="52">
        <f>H80*(1-0)</f>
        <v>0</v>
      </c>
      <c r="AQ80" s="53" t="s">
        <v>80</v>
      </c>
      <c r="AV80" s="52">
        <f t="shared" si="15"/>
        <v>0</v>
      </c>
      <c r="AW80" s="52">
        <f t="shared" si="16"/>
        <v>0</v>
      </c>
      <c r="AX80" s="52">
        <f t="shared" si="17"/>
        <v>0</v>
      </c>
      <c r="AY80" s="55" t="s">
        <v>562</v>
      </c>
      <c r="AZ80" s="55" t="s">
        <v>584</v>
      </c>
      <c r="BA80" s="48" t="s">
        <v>590</v>
      </c>
      <c r="BC80" s="52">
        <f t="shared" si="18"/>
        <v>0</v>
      </c>
      <c r="BD80" s="52">
        <f t="shared" si="19"/>
        <v>0</v>
      </c>
      <c r="BE80" s="52">
        <v>0</v>
      </c>
      <c r="BF80" s="52">
        <f t="shared" si="20"/>
        <v>0</v>
      </c>
      <c r="BH80" s="40">
        <f t="shared" si="21"/>
        <v>0</v>
      </c>
      <c r="BI80" s="40">
        <f t="shared" si="22"/>
        <v>0</v>
      </c>
      <c r="BJ80" s="40">
        <f t="shared" si="23"/>
        <v>0</v>
      </c>
      <c r="BK80" s="40" t="s">
        <v>595</v>
      </c>
      <c r="BL80" s="52">
        <v>721</v>
      </c>
    </row>
    <row r="81" spans="1:64" ht="12.75">
      <c r="A81" s="66" t="s">
        <v>108</v>
      </c>
      <c r="B81" s="17"/>
      <c r="C81" s="17" t="s">
        <v>228</v>
      </c>
      <c r="D81" s="112" t="s">
        <v>390</v>
      </c>
      <c r="E81" s="147"/>
      <c r="F81" s="17" t="s">
        <v>521</v>
      </c>
      <c r="G81" s="52">
        <v>5</v>
      </c>
      <c r="H81" s="173"/>
      <c r="I81" s="52">
        <f t="shared" si="0"/>
        <v>0</v>
      </c>
      <c r="J81" s="52">
        <f t="shared" si="1"/>
        <v>0</v>
      </c>
      <c r="K81" s="52">
        <f t="shared" si="2"/>
        <v>0</v>
      </c>
      <c r="L81" s="52">
        <v>0.01218</v>
      </c>
      <c r="M81" s="52">
        <f t="shared" si="3"/>
        <v>0.060899999999999996</v>
      </c>
      <c r="N81" s="67" t="s">
        <v>545</v>
      </c>
      <c r="O81" s="18"/>
      <c r="Z81" s="52">
        <f t="shared" si="4"/>
        <v>0</v>
      </c>
      <c r="AB81" s="52">
        <f t="shared" si="5"/>
        <v>0</v>
      </c>
      <c r="AC81" s="52">
        <f t="shared" si="6"/>
        <v>0</v>
      </c>
      <c r="AD81" s="52">
        <f t="shared" si="7"/>
        <v>0</v>
      </c>
      <c r="AE81" s="52">
        <f t="shared" si="8"/>
        <v>0</v>
      </c>
      <c r="AF81" s="52">
        <f t="shared" si="9"/>
        <v>0</v>
      </c>
      <c r="AG81" s="52">
        <f t="shared" si="10"/>
        <v>0</v>
      </c>
      <c r="AH81" s="52">
        <f t="shared" si="11"/>
        <v>0</v>
      </c>
      <c r="AI81" s="48"/>
      <c r="AJ81" s="40">
        <f t="shared" si="12"/>
        <v>0</v>
      </c>
      <c r="AK81" s="40">
        <f t="shared" si="13"/>
        <v>0</v>
      </c>
      <c r="AL81" s="40">
        <f t="shared" si="14"/>
        <v>0</v>
      </c>
      <c r="AN81" s="52">
        <v>21</v>
      </c>
      <c r="AO81" s="52">
        <f>H81*0</f>
        <v>0</v>
      </c>
      <c r="AP81" s="52">
        <f>H81*(1-0)</f>
        <v>0</v>
      </c>
      <c r="AQ81" s="53" t="s">
        <v>80</v>
      </c>
      <c r="AV81" s="52">
        <f t="shared" si="15"/>
        <v>0</v>
      </c>
      <c r="AW81" s="52">
        <f t="shared" si="16"/>
        <v>0</v>
      </c>
      <c r="AX81" s="52">
        <f t="shared" si="17"/>
        <v>0</v>
      </c>
      <c r="AY81" s="55" t="s">
        <v>562</v>
      </c>
      <c r="AZ81" s="55" t="s">
        <v>584</v>
      </c>
      <c r="BA81" s="48" t="s">
        <v>590</v>
      </c>
      <c r="BC81" s="52">
        <f t="shared" si="18"/>
        <v>0</v>
      </c>
      <c r="BD81" s="52">
        <f t="shared" si="19"/>
        <v>0</v>
      </c>
      <c r="BE81" s="52">
        <v>0</v>
      </c>
      <c r="BF81" s="52">
        <f t="shared" si="20"/>
        <v>0.060899999999999996</v>
      </c>
      <c r="BH81" s="40">
        <f t="shared" si="21"/>
        <v>0</v>
      </c>
      <c r="BI81" s="40">
        <f t="shared" si="22"/>
        <v>0</v>
      </c>
      <c r="BJ81" s="40">
        <f t="shared" si="23"/>
        <v>0</v>
      </c>
      <c r="BK81" s="40" t="s">
        <v>595</v>
      </c>
      <c r="BL81" s="52">
        <v>721</v>
      </c>
    </row>
    <row r="82" spans="1:64" ht="12.75">
      <c r="A82" s="66" t="s">
        <v>109</v>
      </c>
      <c r="B82" s="17"/>
      <c r="C82" s="17" t="s">
        <v>229</v>
      </c>
      <c r="D82" s="112" t="s">
        <v>391</v>
      </c>
      <c r="E82" s="147"/>
      <c r="F82" s="17" t="s">
        <v>521</v>
      </c>
      <c r="G82" s="52">
        <v>2</v>
      </c>
      <c r="H82" s="173"/>
      <c r="I82" s="52">
        <f t="shared" si="0"/>
        <v>0</v>
      </c>
      <c r="J82" s="52">
        <f t="shared" si="1"/>
        <v>0</v>
      </c>
      <c r="K82" s="52">
        <f t="shared" si="2"/>
        <v>0</v>
      </c>
      <c r="L82" s="52">
        <v>0.00117</v>
      </c>
      <c r="M82" s="52">
        <f t="shared" si="3"/>
        <v>0.00234</v>
      </c>
      <c r="N82" s="67" t="s">
        <v>545</v>
      </c>
      <c r="O82" s="18"/>
      <c r="Z82" s="52">
        <f t="shared" si="4"/>
        <v>0</v>
      </c>
      <c r="AB82" s="52">
        <f t="shared" si="5"/>
        <v>0</v>
      </c>
      <c r="AC82" s="52">
        <f t="shared" si="6"/>
        <v>0</v>
      </c>
      <c r="AD82" s="52">
        <f t="shared" si="7"/>
        <v>0</v>
      </c>
      <c r="AE82" s="52">
        <f t="shared" si="8"/>
        <v>0</v>
      </c>
      <c r="AF82" s="52">
        <f t="shared" si="9"/>
        <v>0</v>
      </c>
      <c r="AG82" s="52">
        <f t="shared" si="10"/>
        <v>0</v>
      </c>
      <c r="AH82" s="52">
        <f t="shared" si="11"/>
        <v>0</v>
      </c>
      <c r="AI82" s="48"/>
      <c r="AJ82" s="40">
        <f t="shared" si="12"/>
        <v>0</v>
      </c>
      <c r="AK82" s="40">
        <f t="shared" si="13"/>
        <v>0</v>
      </c>
      <c r="AL82" s="40">
        <f t="shared" si="14"/>
        <v>0</v>
      </c>
      <c r="AN82" s="52">
        <v>21</v>
      </c>
      <c r="AO82" s="52">
        <f>H82*0.966634655532359</f>
        <v>0</v>
      </c>
      <c r="AP82" s="52">
        <f>H82*(1-0.966634655532359)</f>
        <v>0</v>
      </c>
      <c r="AQ82" s="53" t="s">
        <v>80</v>
      </c>
      <c r="AV82" s="52">
        <f t="shared" si="15"/>
        <v>0</v>
      </c>
      <c r="AW82" s="52">
        <f t="shared" si="16"/>
        <v>0</v>
      </c>
      <c r="AX82" s="52">
        <f t="shared" si="17"/>
        <v>0</v>
      </c>
      <c r="AY82" s="55" t="s">
        <v>562</v>
      </c>
      <c r="AZ82" s="55" t="s">
        <v>584</v>
      </c>
      <c r="BA82" s="48" t="s">
        <v>590</v>
      </c>
      <c r="BC82" s="52">
        <f t="shared" si="18"/>
        <v>0</v>
      </c>
      <c r="BD82" s="52">
        <f t="shared" si="19"/>
        <v>0</v>
      </c>
      <c r="BE82" s="52">
        <v>0</v>
      </c>
      <c r="BF82" s="52">
        <f t="shared" si="20"/>
        <v>0.00234</v>
      </c>
      <c r="BH82" s="40">
        <f t="shared" si="21"/>
        <v>0</v>
      </c>
      <c r="BI82" s="40">
        <f t="shared" si="22"/>
        <v>0</v>
      </c>
      <c r="BJ82" s="40">
        <f t="shared" si="23"/>
        <v>0</v>
      </c>
      <c r="BK82" s="40" t="s">
        <v>595</v>
      </c>
      <c r="BL82" s="52">
        <v>721</v>
      </c>
    </row>
    <row r="83" spans="1:64" ht="12.75">
      <c r="A83" s="66" t="s">
        <v>110</v>
      </c>
      <c r="B83" s="17"/>
      <c r="C83" s="17" t="s">
        <v>230</v>
      </c>
      <c r="D83" s="112" t="s">
        <v>392</v>
      </c>
      <c r="E83" s="147"/>
      <c r="F83" s="17" t="s">
        <v>523</v>
      </c>
      <c r="G83" s="52">
        <v>0.1139</v>
      </c>
      <c r="H83" s="173"/>
      <c r="I83" s="52">
        <f t="shared" si="0"/>
        <v>0</v>
      </c>
      <c r="J83" s="52">
        <f t="shared" si="1"/>
        <v>0</v>
      </c>
      <c r="K83" s="52">
        <f t="shared" si="2"/>
        <v>0</v>
      </c>
      <c r="L83" s="52">
        <v>0</v>
      </c>
      <c r="M83" s="52">
        <f t="shared" si="3"/>
        <v>0</v>
      </c>
      <c r="N83" s="67" t="s">
        <v>545</v>
      </c>
      <c r="O83" s="18"/>
      <c r="Z83" s="52">
        <f t="shared" si="4"/>
        <v>0</v>
      </c>
      <c r="AB83" s="52">
        <f t="shared" si="5"/>
        <v>0</v>
      </c>
      <c r="AC83" s="52">
        <f t="shared" si="6"/>
        <v>0</v>
      </c>
      <c r="AD83" s="52">
        <f t="shared" si="7"/>
        <v>0</v>
      </c>
      <c r="AE83" s="52">
        <f t="shared" si="8"/>
        <v>0</v>
      </c>
      <c r="AF83" s="52">
        <f t="shared" si="9"/>
        <v>0</v>
      </c>
      <c r="AG83" s="52">
        <f t="shared" si="10"/>
        <v>0</v>
      </c>
      <c r="AH83" s="52">
        <f t="shared" si="11"/>
        <v>0</v>
      </c>
      <c r="AI83" s="48"/>
      <c r="AJ83" s="40">
        <f t="shared" si="12"/>
        <v>0</v>
      </c>
      <c r="AK83" s="40">
        <f t="shared" si="13"/>
        <v>0</v>
      </c>
      <c r="AL83" s="40">
        <f t="shared" si="14"/>
        <v>0</v>
      </c>
      <c r="AN83" s="52">
        <v>21</v>
      </c>
      <c r="AO83" s="52">
        <f>H83*0</f>
        <v>0</v>
      </c>
      <c r="AP83" s="52">
        <f>H83*(1-0)</f>
        <v>0</v>
      </c>
      <c r="AQ83" s="53" t="s">
        <v>78</v>
      </c>
      <c r="AV83" s="52">
        <f t="shared" si="15"/>
        <v>0</v>
      </c>
      <c r="AW83" s="52">
        <f t="shared" si="16"/>
        <v>0</v>
      </c>
      <c r="AX83" s="52">
        <f t="shared" si="17"/>
        <v>0</v>
      </c>
      <c r="AY83" s="55" t="s">
        <v>562</v>
      </c>
      <c r="AZ83" s="55" t="s">
        <v>584</v>
      </c>
      <c r="BA83" s="48" t="s">
        <v>590</v>
      </c>
      <c r="BC83" s="52">
        <f t="shared" si="18"/>
        <v>0</v>
      </c>
      <c r="BD83" s="52">
        <f t="shared" si="19"/>
        <v>0</v>
      </c>
      <c r="BE83" s="52">
        <v>0</v>
      </c>
      <c r="BF83" s="52">
        <f t="shared" si="20"/>
        <v>0</v>
      </c>
      <c r="BH83" s="40">
        <f t="shared" si="21"/>
        <v>0</v>
      </c>
      <c r="BI83" s="40">
        <f t="shared" si="22"/>
        <v>0</v>
      </c>
      <c r="BJ83" s="40">
        <f t="shared" si="23"/>
        <v>0</v>
      </c>
      <c r="BK83" s="40" t="s">
        <v>595</v>
      </c>
      <c r="BL83" s="52">
        <v>721</v>
      </c>
    </row>
    <row r="84" spans="1:47" ht="12.75">
      <c r="A84" s="60"/>
      <c r="B84" s="61"/>
      <c r="C84" s="61" t="s">
        <v>231</v>
      </c>
      <c r="D84" s="151" t="s">
        <v>393</v>
      </c>
      <c r="E84" s="152"/>
      <c r="F84" s="62" t="s">
        <v>73</v>
      </c>
      <c r="G84" s="62" t="s">
        <v>73</v>
      </c>
      <c r="H84" s="62" t="s">
        <v>73</v>
      </c>
      <c r="I84" s="63">
        <f>SUM(I85:I94)</f>
        <v>0</v>
      </c>
      <c r="J84" s="63">
        <f>SUM(J85:J94)</f>
        <v>0</v>
      </c>
      <c r="K84" s="63">
        <f>SUM(K85:K94)</f>
        <v>0</v>
      </c>
      <c r="L84" s="64"/>
      <c r="M84" s="63">
        <f>SUM(M85:M94)</f>
        <v>0.07504</v>
      </c>
      <c r="N84" s="65"/>
      <c r="O84" s="18"/>
      <c r="AI84" s="48"/>
      <c r="AS84" s="58">
        <f>SUM(AJ85:AJ94)</f>
        <v>0</v>
      </c>
      <c r="AT84" s="58">
        <f>SUM(AK85:AK94)</f>
        <v>0</v>
      </c>
      <c r="AU84" s="58">
        <f>SUM(AL85:AL94)</f>
        <v>0</v>
      </c>
    </row>
    <row r="85" spans="1:64" ht="12.75">
      <c r="A85" s="66" t="s">
        <v>111</v>
      </c>
      <c r="B85" s="17"/>
      <c r="C85" s="17" t="s">
        <v>232</v>
      </c>
      <c r="D85" s="112" t="s">
        <v>394</v>
      </c>
      <c r="E85" s="147"/>
      <c r="F85" s="17" t="s">
        <v>520</v>
      </c>
      <c r="G85" s="52">
        <v>12</v>
      </c>
      <c r="H85" s="173"/>
      <c r="I85" s="52">
        <f>G85*AO85</f>
        <v>0</v>
      </c>
      <c r="J85" s="52">
        <f>G85*AP85</f>
        <v>0</v>
      </c>
      <c r="K85" s="52">
        <f>G85*H85</f>
        <v>0</v>
      </c>
      <c r="L85" s="52">
        <v>0.00213</v>
      </c>
      <c r="M85" s="52">
        <f>G85*L85</f>
        <v>0.02556</v>
      </c>
      <c r="N85" s="67" t="s">
        <v>545</v>
      </c>
      <c r="O85" s="18"/>
      <c r="Z85" s="52">
        <f>IF(AQ85="5",BJ85,0)</f>
        <v>0</v>
      </c>
      <c r="AB85" s="52">
        <f>IF(AQ85="1",BH85,0)</f>
        <v>0</v>
      </c>
      <c r="AC85" s="52">
        <f>IF(AQ85="1",BI85,0)</f>
        <v>0</v>
      </c>
      <c r="AD85" s="52">
        <f>IF(AQ85="7",BH85,0)</f>
        <v>0</v>
      </c>
      <c r="AE85" s="52">
        <f>IF(AQ85="7",BI85,0)</f>
        <v>0</v>
      </c>
      <c r="AF85" s="52">
        <f>IF(AQ85="2",BH85,0)</f>
        <v>0</v>
      </c>
      <c r="AG85" s="52">
        <f>IF(AQ85="2",BI85,0)</f>
        <v>0</v>
      </c>
      <c r="AH85" s="52">
        <f>IF(AQ85="0",BJ85,0)</f>
        <v>0</v>
      </c>
      <c r="AI85" s="48"/>
      <c r="AJ85" s="40">
        <f>IF(AN85=0,K85,0)</f>
        <v>0</v>
      </c>
      <c r="AK85" s="40">
        <f>IF(AN85=15,K85,0)</f>
        <v>0</v>
      </c>
      <c r="AL85" s="40">
        <f>IF(AN85=21,K85,0)</f>
        <v>0</v>
      </c>
      <c r="AN85" s="52">
        <v>21</v>
      </c>
      <c r="AO85" s="52">
        <f>H85*0</f>
        <v>0</v>
      </c>
      <c r="AP85" s="52">
        <f>H85*(1-0)</f>
        <v>0</v>
      </c>
      <c r="AQ85" s="53" t="s">
        <v>80</v>
      </c>
      <c r="AV85" s="52">
        <f>AW85+AX85</f>
        <v>0</v>
      </c>
      <c r="AW85" s="52">
        <f>G85*AO85</f>
        <v>0</v>
      </c>
      <c r="AX85" s="52">
        <f>G85*AP85</f>
        <v>0</v>
      </c>
      <c r="AY85" s="55" t="s">
        <v>563</v>
      </c>
      <c r="AZ85" s="55" t="s">
        <v>584</v>
      </c>
      <c r="BA85" s="48" t="s">
        <v>590</v>
      </c>
      <c r="BC85" s="52">
        <f>AW85+AX85</f>
        <v>0</v>
      </c>
      <c r="BD85" s="52">
        <f>H85/(100-BE85)*100</f>
        <v>0</v>
      </c>
      <c r="BE85" s="52">
        <v>0</v>
      </c>
      <c r="BF85" s="52">
        <f>M85</f>
        <v>0.02556</v>
      </c>
      <c r="BH85" s="40">
        <f>G85*AO85</f>
        <v>0</v>
      </c>
      <c r="BI85" s="40">
        <f>G85*AP85</f>
        <v>0</v>
      </c>
      <c r="BJ85" s="40">
        <f>G85*H85</f>
        <v>0</v>
      </c>
      <c r="BK85" s="40" t="s">
        <v>595</v>
      </c>
      <c r="BL85" s="52">
        <v>722</v>
      </c>
    </row>
    <row r="86" spans="1:64" ht="12.75">
      <c r="A86" s="66" t="s">
        <v>112</v>
      </c>
      <c r="B86" s="17"/>
      <c r="C86" s="17" t="s">
        <v>233</v>
      </c>
      <c r="D86" s="112" t="s">
        <v>395</v>
      </c>
      <c r="E86" s="147"/>
      <c r="F86" s="17" t="s">
        <v>521</v>
      </c>
      <c r="G86" s="52">
        <v>4</v>
      </c>
      <c r="H86" s="173"/>
      <c r="I86" s="52">
        <f>G86*AO86</f>
        <v>0</v>
      </c>
      <c r="J86" s="52">
        <f>G86*AP86</f>
        <v>0</v>
      </c>
      <c r="K86" s="52">
        <f>G86*H86</f>
        <v>0</v>
      </c>
      <c r="L86" s="52">
        <v>0</v>
      </c>
      <c r="M86" s="52">
        <f>G86*L86</f>
        <v>0</v>
      </c>
      <c r="N86" s="67" t="s">
        <v>545</v>
      </c>
      <c r="O86" s="18"/>
      <c r="Z86" s="52">
        <f>IF(AQ86="5",BJ86,0)</f>
        <v>0</v>
      </c>
      <c r="AB86" s="52">
        <f>IF(AQ86="1",BH86,0)</f>
        <v>0</v>
      </c>
      <c r="AC86" s="52">
        <f>IF(AQ86="1",BI86,0)</f>
        <v>0</v>
      </c>
      <c r="AD86" s="52">
        <f>IF(AQ86="7",BH86,0)</f>
        <v>0</v>
      </c>
      <c r="AE86" s="52">
        <f>IF(AQ86="7",BI86,0)</f>
        <v>0</v>
      </c>
      <c r="AF86" s="52">
        <f>IF(AQ86="2",BH86,0)</f>
        <v>0</v>
      </c>
      <c r="AG86" s="52">
        <f>IF(AQ86="2",BI86,0)</f>
        <v>0</v>
      </c>
      <c r="AH86" s="52">
        <f>IF(AQ86="0",BJ86,0)</f>
        <v>0</v>
      </c>
      <c r="AI86" s="48"/>
      <c r="AJ86" s="40">
        <f>IF(AN86=0,K86,0)</f>
        <v>0</v>
      </c>
      <c r="AK86" s="40">
        <f>IF(AN86=15,K86,0)</f>
        <v>0</v>
      </c>
      <c r="AL86" s="40">
        <f>IF(AN86=21,K86,0)</f>
        <v>0</v>
      </c>
      <c r="AN86" s="52">
        <v>21</v>
      </c>
      <c r="AO86" s="52">
        <f>H86*0</f>
        <v>0</v>
      </c>
      <c r="AP86" s="52">
        <f>H86*(1-0)</f>
        <v>0</v>
      </c>
      <c r="AQ86" s="53" t="s">
        <v>80</v>
      </c>
      <c r="AV86" s="52">
        <f>AW86+AX86</f>
        <v>0</v>
      </c>
      <c r="AW86" s="52">
        <f>G86*AO86</f>
        <v>0</v>
      </c>
      <c r="AX86" s="52">
        <f>G86*AP86</f>
        <v>0</v>
      </c>
      <c r="AY86" s="55" t="s">
        <v>563</v>
      </c>
      <c r="AZ86" s="55" t="s">
        <v>584</v>
      </c>
      <c r="BA86" s="48" t="s">
        <v>590</v>
      </c>
      <c r="BC86" s="52">
        <f>AW86+AX86</f>
        <v>0</v>
      </c>
      <c r="BD86" s="52">
        <f>H86/(100-BE86)*100</f>
        <v>0</v>
      </c>
      <c r="BE86" s="52">
        <v>0</v>
      </c>
      <c r="BF86" s="52">
        <f>M86</f>
        <v>0</v>
      </c>
      <c r="BH86" s="40">
        <f>G86*AO86</f>
        <v>0</v>
      </c>
      <c r="BI86" s="40">
        <f>G86*AP86</f>
        <v>0</v>
      </c>
      <c r="BJ86" s="40">
        <f>G86*H86</f>
        <v>0</v>
      </c>
      <c r="BK86" s="40" t="s">
        <v>595</v>
      </c>
      <c r="BL86" s="52">
        <v>722</v>
      </c>
    </row>
    <row r="87" spans="1:64" ht="12.75">
      <c r="A87" s="66" t="s">
        <v>113</v>
      </c>
      <c r="B87" s="17"/>
      <c r="C87" s="17" t="s">
        <v>234</v>
      </c>
      <c r="D87" s="112" t="s">
        <v>396</v>
      </c>
      <c r="E87" s="147"/>
      <c r="F87" s="17" t="s">
        <v>520</v>
      </c>
      <c r="G87" s="52">
        <v>35.5</v>
      </c>
      <c r="H87" s="173"/>
      <c r="I87" s="52">
        <f>G87*AO87</f>
        <v>0</v>
      </c>
      <c r="J87" s="52">
        <f>G87*AP87</f>
        <v>0</v>
      </c>
      <c r="K87" s="52">
        <f>G87*H87</f>
        <v>0</v>
      </c>
      <c r="L87" s="52">
        <v>0.0005</v>
      </c>
      <c r="M87" s="52">
        <f>G87*L87</f>
        <v>0.017750000000000002</v>
      </c>
      <c r="N87" s="67" t="s">
        <v>545</v>
      </c>
      <c r="O87" s="18"/>
      <c r="Z87" s="52">
        <f>IF(AQ87="5",BJ87,0)</f>
        <v>0</v>
      </c>
      <c r="AB87" s="52">
        <f>IF(AQ87="1",BH87,0)</f>
        <v>0</v>
      </c>
      <c r="AC87" s="52">
        <f>IF(AQ87="1",BI87,0)</f>
        <v>0</v>
      </c>
      <c r="AD87" s="52">
        <f>IF(AQ87="7",BH87,0)</f>
        <v>0</v>
      </c>
      <c r="AE87" s="52">
        <f>IF(AQ87="7",BI87,0)</f>
        <v>0</v>
      </c>
      <c r="AF87" s="52">
        <f>IF(AQ87="2",BH87,0)</f>
        <v>0</v>
      </c>
      <c r="AG87" s="52">
        <f>IF(AQ87="2",BI87,0)</f>
        <v>0</v>
      </c>
      <c r="AH87" s="52">
        <f>IF(AQ87="0",BJ87,0)</f>
        <v>0</v>
      </c>
      <c r="AI87" s="48"/>
      <c r="AJ87" s="40">
        <f>IF(AN87=0,K87,0)</f>
        <v>0</v>
      </c>
      <c r="AK87" s="40">
        <f>IF(AN87=15,K87,0)</f>
        <v>0</v>
      </c>
      <c r="AL87" s="40">
        <f>IF(AN87=21,K87,0)</f>
        <v>0</v>
      </c>
      <c r="AN87" s="52">
        <v>21</v>
      </c>
      <c r="AO87" s="52">
        <f>H87*0.352889715352986</f>
        <v>0</v>
      </c>
      <c r="AP87" s="52">
        <f>H87*(1-0.352889715352986)</f>
        <v>0</v>
      </c>
      <c r="AQ87" s="53" t="s">
        <v>80</v>
      </c>
      <c r="AV87" s="52">
        <f>AW87+AX87</f>
        <v>0</v>
      </c>
      <c r="AW87" s="52">
        <f>G87*AO87</f>
        <v>0</v>
      </c>
      <c r="AX87" s="52">
        <f>G87*AP87</f>
        <v>0</v>
      </c>
      <c r="AY87" s="55" t="s">
        <v>563</v>
      </c>
      <c r="AZ87" s="55" t="s">
        <v>584</v>
      </c>
      <c r="BA87" s="48" t="s">
        <v>590</v>
      </c>
      <c r="BC87" s="52">
        <f>AW87+AX87</f>
        <v>0</v>
      </c>
      <c r="BD87" s="52">
        <f>H87/(100-BE87)*100</f>
        <v>0</v>
      </c>
      <c r="BE87" s="52">
        <v>0</v>
      </c>
      <c r="BF87" s="52">
        <f>M87</f>
        <v>0.017750000000000002</v>
      </c>
      <c r="BH87" s="40">
        <f>G87*AO87</f>
        <v>0</v>
      </c>
      <c r="BI87" s="40">
        <f>G87*AP87</f>
        <v>0</v>
      </c>
      <c r="BJ87" s="40">
        <f>G87*H87</f>
        <v>0</v>
      </c>
      <c r="BK87" s="40" t="s">
        <v>595</v>
      </c>
      <c r="BL87" s="52">
        <v>722</v>
      </c>
    </row>
    <row r="88" spans="1:15" ht="12.75">
      <c r="A88" s="18"/>
      <c r="B88" s="68"/>
      <c r="C88" s="68"/>
      <c r="D88" s="69" t="s">
        <v>397</v>
      </c>
      <c r="E88" s="69"/>
      <c r="F88" s="68"/>
      <c r="G88" s="70">
        <v>35.5</v>
      </c>
      <c r="H88" s="68"/>
      <c r="I88" s="68"/>
      <c r="J88" s="68"/>
      <c r="K88" s="68"/>
      <c r="L88" s="68"/>
      <c r="M88" s="68"/>
      <c r="N88" s="16"/>
      <c r="O88" s="18"/>
    </row>
    <row r="89" spans="1:64" ht="12.75">
      <c r="A89" s="66" t="s">
        <v>114</v>
      </c>
      <c r="B89" s="17"/>
      <c r="C89" s="17" t="s">
        <v>235</v>
      </c>
      <c r="D89" s="112" t="s">
        <v>398</v>
      </c>
      <c r="E89" s="147"/>
      <c r="F89" s="17" t="s">
        <v>524</v>
      </c>
      <c r="G89" s="52">
        <v>20</v>
      </c>
      <c r="H89" s="173"/>
      <c r="I89" s="52">
        <f aca="true" t="shared" si="24" ref="I89:I94">G89*AO89</f>
        <v>0</v>
      </c>
      <c r="J89" s="52">
        <f aca="true" t="shared" si="25" ref="J89:J94">G89*AP89</f>
        <v>0</v>
      </c>
      <c r="K89" s="52">
        <f aca="true" t="shared" si="26" ref="K89:K94">G89*H89</f>
        <v>0</v>
      </c>
      <c r="L89" s="52">
        <v>0.00148</v>
      </c>
      <c r="M89" s="52">
        <f aca="true" t="shared" si="27" ref="M89:M94">G89*L89</f>
        <v>0.0296</v>
      </c>
      <c r="N89" s="67" t="s">
        <v>545</v>
      </c>
      <c r="O89" s="18"/>
      <c r="Z89" s="52">
        <f aca="true" t="shared" si="28" ref="Z89:Z94">IF(AQ89="5",BJ89,0)</f>
        <v>0</v>
      </c>
      <c r="AB89" s="52">
        <f aca="true" t="shared" si="29" ref="AB89:AB94">IF(AQ89="1",BH89,0)</f>
        <v>0</v>
      </c>
      <c r="AC89" s="52">
        <f aca="true" t="shared" si="30" ref="AC89:AC94">IF(AQ89="1",BI89,0)</f>
        <v>0</v>
      </c>
      <c r="AD89" s="52">
        <f aca="true" t="shared" si="31" ref="AD89:AD94">IF(AQ89="7",BH89,0)</f>
        <v>0</v>
      </c>
      <c r="AE89" s="52">
        <f aca="true" t="shared" si="32" ref="AE89:AE94">IF(AQ89="7",BI89,0)</f>
        <v>0</v>
      </c>
      <c r="AF89" s="52">
        <f aca="true" t="shared" si="33" ref="AF89:AF94">IF(AQ89="2",BH89,0)</f>
        <v>0</v>
      </c>
      <c r="AG89" s="52">
        <f aca="true" t="shared" si="34" ref="AG89:AG94">IF(AQ89="2",BI89,0)</f>
        <v>0</v>
      </c>
      <c r="AH89" s="52">
        <f aca="true" t="shared" si="35" ref="AH89:AH94">IF(AQ89="0",BJ89,0)</f>
        <v>0</v>
      </c>
      <c r="AI89" s="48"/>
      <c r="AJ89" s="40">
        <f aca="true" t="shared" si="36" ref="AJ89:AJ94">IF(AN89=0,K89,0)</f>
        <v>0</v>
      </c>
      <c r="AK89" s="40">
        <f aca="true" t="shared" si="37" ref="AK89:AK94">IF(AN89=15,K89,0)</f>
        <v>0</v>
      </c>
      <c r="AL89" s="40">
        <f aca="true" t="shared" si="38" ref="AL89:AL94">IF(AN89=21,K89,0)</f>
        <v>0</v>
      </c>
      <c r="AN89" s="52">
        <v>21</v>
      </c>
      <c r="AO89" s="52">
        <f>H89*0.500380666268853</f>
        <v>0</v>
      </c>
      <c r="AP89" s="52">
        <f>H89*(1-0.500380666268853)</f>
        <v>0</v>
      </c>
      <c r="AQ89" s="53" t="s">
        <v>80</v>
      </c>
      <c r="AV89" s="52">
        <f aca="true" t="shared" si="39" ref="AV89:AV94">AW89+AX89</f>
        <v>0</v>
      </c>
      <c r="AW89" s="52">
        <f aca="true" t="shared" si="40" ref="AW89:AW94">G89*AO89</f>
        <v>0</v>
      </c>
      <c r="AX89" s="52">
        <f aca="true" t="shared" si="41" ref="AX89:AX94">G89*AP89</f>
        <v>0</v>
      </c>
      <c r="AY89" s="55" t="s">
        <v>563</v>
      </c>
      <c r="AZ89" s="55" t="s">
        <v>584</v>
      </c>
      <c r="BA89" s="48" t="s">
        <v>590</v>
      </c>
      <c r="BC89" s="52">
        <f aca="true" t="shared" si="42" ref="BC89:BC94">AW89+AX89</f>
        <v>0</v>
      </c>
      <c r="BD89" s="52">
        <f aca="true" t="shared" si="43" ref="BD89:BD94">H89/(100-BE89)*100</f>
        <v>0</v>
      </c>
      <c r="BE89" s="52">
        <v>0</v>
      </c>
      <c r="BF89" s="52">
        <f aca="true" t="shared" si="44" ref="BF89:BF94">M89</f>
        <v>0.0296</v>
      </c>
      <c r="BH89" s="40">
        <f aca="true" t="shared" si="45" ref="BH89:BH94">G89*AO89</f>
        <v>0</v>
      </c>
      <c r="BI89" s="40">
        <f aca="true" t="shared" si="46" ref="BI89:BI94">G89*AP89</f>
        <v>0</v>
      </c>
      <c r="BJ89" s="40">
        <f aca="true" t="shared" si="47" ref="BJ89:BJ94">G89*H89</f>
        <v>0</v>
      </c>
      <c r="BK89" s="40" t="s">
        <v>595</v>
      </c>
      <c r="BL89" s="52">
        <v>722</v>
      </c>
    </row>
    <row r="90" spans="1:64" ht="12.75">
      <c r="A90" s="66" t="s">
        <v>115</v>
      </c>
      <c r="B90" s="17"/>
      <c r="C90" s="17" t="s">
        <v>236</v>
      </c>
      <c r="D90" s="112" t="s">
        <v>399</v>
      </c>
      <c r="E90" s="147"/>
      <c r="F90" s="17" t="s">
        <v>520</v>
      </c>
      <c r="G90" s="52">
        <v>35.5</v>
      </c>
      <c r="H90" s="173"/>
      <c r="I90" s="52">
        <f t="shared" si="24"/>
        <v>0</v>
      </c>
      <c r="J90" s="52">
        <f t="shared" si="25"/>
        <v>0</v>
      </c>
      <c r="K90" s="52">
        <f t="shared" si="26"/>
        <v>0</v>
      </c>
      <c r="L90" s="52">
        <v>5E-05</v>
      </c>
      <c r="M90" s="52">
        <f t="shared" si="27"/>
        <v>0.001775</v>
      </c>
      <c r="N90" s="67" t="s">
        <v>545</v>
      </c>
      <c r="O90" s="18"/>
      <c r="Z90" s="52">
        <f t="shared" si="28"/>
        <v>0</v>
      </c>
      <c r="AB90" s="52">
        <f t="shared" si="29"/>
        <v>0</v>
      </c>
      <c r="AC90" s="52">
        <f t="shared" si="30"/>
        <v>0</v>
      </c>
      <c r="AD90" s="52">
        <f t="shared" si="31"/>
        <v>0</v>
      </c>
      <c r="AE90" s="52">
        <f t="shared" si="32"/>
        <v>0</v>
      </c>
      <c r="AF90" s="52">
        <f t="shared" si="33"/>
        <v>0</v>
      </c>
      <c r="AG90" s="52">
        <f t="shared" si="34"/>
        <v>0</v>
      </c>
      <c r="AH90" s="52">
        <f t="shared" si="35"/>
        <v>0</v>
      </c>
      <c r="AI90" s="48"/>
      <c r="AJ90" s="40">
        <f t="shared" si="36"/>
        <v>0</v>
      </c>
      <c r="AK90" s="40">
        <f t="shared" si="37"/>
        <v>0</v>
      </c>
      <c r="AL90" s="40">
        <f t="shared" si="38"/>
        <v>0</v>
      </c>
      <c r="AN90" s="52">
        <v>21</v>
      </c>
      <c r="AO90" s="52">
        <f>H90*0.417047619047619</f>
        <v>0</v>
      </c>
      <c r="AP90" s="52">
        <f>H90*(1-0.417047619047619)</f>
        <v>0</v>
      </c>
      <c r="AQ90" s="53" t="s">
        <v>80</v>
      </c>
      <c r="AV90" s="52">
        <f t="shared" si="39"/>
        <v>0</v>
      </c>
      <c r="AW90" s="52">
        <f t="shared" si="40"/>
        <v>0</v>
      </c>
      <c r="AX90" s="52">
        <f t="shared" si="41"/>
        <v>0</v>
      </c>
      <c r="AY90" s="55" t="s">
        <v>563</v>
      </c>
      <c r="AZ90" s="55" t="s">
        <v>584</v>
      </c>
      <c r="BA90" s="48" t="s">
        <v>590</v>
      </c>
      <c r="BC90" s="52">
        <f t="shared" si="42"/>
        <v>0</v>
      </c>
      <c r="BD90" s="52">
        <f t="shared" si="43"/>
        <v>0</v>
      </c>
      <c r="BE90" s="52">
        <v>0</v>
      </c>
      <c r="BF90" s="52">
        <f t="shared" si="44"/>
        <v>0.001775</v>
      </c>
      <c r="BH90" s="40">
        <f t="shared" si="45"/>
        <v>0</v>
      </c>
      <c r="BI90" s="40">
        <f t="shared" si="46"/>
        <v>0</v>
      </c>
      <c r="BJ90" s="40">
        <f t="shared" si="47"/>
        <v>0</v>
      </c>
      <c r="BK90" s="40" t="s">
        <v>595</v>
      </c>
      <c r="BL90" s="52">
        <v>722</v>
      </c>
    </row>
    <row r="91" spans="1:64" ht="12.75">
      <c r="A91" s="66" t="s">
        <v>116</v>
      </c>
      <c r="B91" s="17"/>
      <c r="C91" s="17" t="s">
        <v>237</v>
      </c>
      <c r="D91" s="112" t="s">
        <v>400</v>
      </c>
      <c r="E91" s="147"/>
      <c r="F91" s="17" t="s">
        <v>521</v>
      </c>
      <c r="G91" s="52">
        <v>20</v>
      </c>
      <c r="H91" s="173"/>
      <c r="I91" s="52">
        <f t="shared" si="24"/>
        <v>0</v>
      </c>
      <c r="J91" s="52">
        <f t="shared" si="25"/>
        <v>0</v>
      </c>
      <c r="K91" s="52">
        <f t="shared" si="26"/>
        <v>0</v>
      </c>
      <c r="L91" s="52">
        <v>0</v>
      </c>
      <c r="M91" s="52">
        <f t="shared" si="27"/>
        <v>0</v>
      </c>
      <c r="N91" s="67" t="s">
        <v>545</v>
      </c>
      <c r="O91" s="18"/>
      <c r="Z91" s="52">
        <f t="shared" si="28"/>
        <v>0</v>
      </c>
      <c r="AB91" s="52">
        <f t="shared" si="29"/>
        <v>0</v>
      </c>
      <c r="AC91" s="52">
        <f t="shared" si="30"/>
        <v>0</v>
      </c>
      <c r="AD91" s="52">
        <f t="shared" si="31"/>
        <v>0</v>
      </c>
      <c r="AE91" s="52">
        <f t="shared" si="32"/>
        <v>0</v>
      </c>
      <c r="AF91" s="52">
        <f t="shared" si="33"/>
        <v>0</v>
      </c>
      <c r="AG91" s="52">
        <f t="shared" si="34"/>
        <v>0</v>
      </c>
      <c r="AH91" s="52">
        <f t="shared" si="35"/>
        <v>0</v>
      </c>
      <c r="AI91" s="48"/>
      <c r="AJ91" s="40">
        <f t="shared" si="36"/>
        <v>0</v>
      </c>
      <c r="AK91" s="40">
        <f t="shared" si="37"/>
        <v>0</v>
      </c>
      <c r="AL91" s="40">
        <f t="shared" si="38"/>
        <v>0</v>
      </c>
      <c r="AN91" s="52">
        <v>21</v>
      </c>
      <c r="AO91" s="52">
        <f>H91*0</f>
        <v>0</v>
      </c>
      <c r="AP91" s="52">
        <f>H91*(1-0)</f>
        <v>0</v>
      </c>
      <c r="AQ91" s="53" t="s">
        <v>80</v>
      </c>
      <c r="AV91" s="52">
        <f t="shared" si="39"/>
        <v>0</v>
      </c>
      <c r="AW91" s="52">
        <f t="shared" si="40"/>
        <v>0</v>
      </c>
      <c r="AX91" s="52">
        <f t="shared" si="41"/>
        <v>0</v>
      </c>
      <c r="AY91" s="55" t="s">
        <v>563</v>
      </c>
      <c r="AZ91" s="55" t="s">
        <v>584</v>
      </c>
      <c r="BA91" s="48" t="s">
        <v>590</v>
      </c>
      <c r="BC91" s="52">
        <f t="shared" si="42"/>
        <v>0</v>
      </c>
      <c r="BD91" s="52">
        <f t="shared" si="43"/>
        <v>0</v>
      </c>
      <c r="BE91" s="52">
        <v>0</v>
      </c>
      <c r="BF91" s="52">
        <f t="shared" si="44"/>
        <v>0</v>
      </c>
      <c r="BH91" s="40">
        <f t="shared" si="45"/>
        <v>0</v>
      </c>
      <c r="BI91" s="40">
        <f t="shared" si="46"/>
        <v>0</v>
      </c>
      <c r="BJ91" s="40">
        <f t="shared" si="47"/>
        <v>0</v>
      </c>
      <c r="BK91" s="40" t="s">
        <v>595</v>
      </c>
      <c r="BL91" s="52">
        <v>722</v>
      </c>
    </row>
    <row r="92" spans="1:64" ht="12.75">
      <c r="A92" s="66" t="s">
        <v>117</v>
      </c>
      <c r="B92" s="17"/>
      <c r="C92" s="17" t="s">
        <v>238</v>
      </c>
      <c r="D92" s="112" t="s">
        <v>401</v>
      </c>
      <c r="E92" s="147"/>
      <c r="F92" s="17" t="s">
        <v>520</v>
      </c>
      <c r="G92" s="52">
        <v>35.5</v>
      </c>
      <c r="H92" s="173"/>
      <c r="I92" s="52">
        <f t="shared" si="24"/>
        <v>0</v>
      </c>
      <c r="J92" s="52">
        <f t="shared" si="25"/>
        <v>0</v>
      </c>
      <c r="K92" s="52">
        <f t="shared" si="26"/>
        <v>0</v>
      </c>
      <c r="L92" s="52">
        <v>1E-05</v>
      </c>
      <c r="M92" s="52">
        <f t="shared" si="27"/>
        <v>0.000355</v>
      </c>
      <c r="N92" s="67" t="s">
        <v>545</v>
      </c>
      <c r="O92" s="18"/>
      <c r="Z92" s="52">
        <f t="shared" si="28"/>
        <v>0</v>
      </c>
      <c r="AB92" s="52">
        <f t="shared" si="29"/>
        <v>0</v>
      </c>
      <c r="AC92" s="52">
        <f t="shared" si="30"/>
        <v>0</v>
      </c>
      <c r="AD92" s="52">
        <f t="shared" si="31"/>
        <v>0</v>
      </c>
      <c r="AE92" s="52">
        <f t="shared" si="32"/>
        <v>0</v>
      </c>
      <c r="AF92" s="52">
        <f t="shared" si="33"/>
        <v>0</v>
      </c>
      <c r="AG92" s="52">
        <f t="shared" si="34"/>
        <v>0</v>
      </c>
      <c r="AH92" s="52">
        <f t="shared" si="35"/>
        <v>0</v>
      </c>
      <c r="AI92" s="48"/>
      <c r="AJ92" s="40">
        <f t="shared" si="36"/>
        <v>0</v>
      </c>
      <c r="AK92" s="40">
        <f t="shared" si="37"/>
        <v>0</v>
      </c>
      <c r="AL92" s="40">
        <f t="shared" si="38"/>
        <v>0</v>
      </c>
      <c r="AN92" s="52">
        <v>21</v>
      </c>
      <c r="AO92" s="52">
        <f>H92*0.0501620812900008</f>
        <v>0</v>
      </c>
      <c r="AP92" s="52">
        <f>H92*(1-0.0501620812900008)</f>
        <v>0</v>
      </c>
      <c r="AQ92" s="53" t="s">
        <v>80</v>
      </c>
      <c r="AV92" s="52">
        <f t="shared" si="39"/>
        <v>0</v>
      </c>
      <c r="AW92" s="52">
        <f t="shared" si="40"/>
        <v>0</v>
      </c>
      <c r="AX92" s="52">
        <f t="shared" si="41"/>
        <v>0</v>
      </c>
      <c r="AY92" s="55" t="s">
        <v>563</v>
      </c>
      <c r="AZ92" s="55" t="s">
        <v>584</v>
      </c>
      <c r="BA92" s="48" t="s">
        <v>590</v>
      </c>
      <c r="BC92" s="52">
        <f t="shared" si="42"/>
        <v>0</v>
      </c>
      <c r="BD92" s="52">
        <f t="shared" si="43"/>
        <v>0</v>
      </c>
      <c r="BE92" s="52">
        <v>0</v>
      </c>
      <c r="BF92" s="52">
        <f t="shared" si="44"/>
        <v>0.000355</v>
      </c>
      <c r="BH92" s="40">
        <f t="shared" si="45"/>
        <v>0</v>
      </c>
      <c r="BI92" s="40">
        <f t="shared" si="46"/>
        <v>0</v>
      </c>
      <c r="BJ92" s="40">
        <f t="shared" si="47"/>
        <v>0</v>
      </c>
      <c r="BK92" s="40" t="s">
        <v>595</v>
      </c>
      <c r="BL92" s="52">
        <v>722</v>
      </c>
    </row>
    <row r="93" spans="1:64" ht="12.75">
      <c r="A93" s="66" t="s">
        <v>118</v>
      </c>
      <c r="B93" s="17"/>
      <c r="C93" s="17" t="s">
        <v>239</v>
      </c>
      <c r="D93" s="112" t="s">
        <v>402</v>
      </c>
      <c r="E93" s="147"/>
      <c r="F93" s="17" t="s">
        <v>520</v>
      </c>
      <c r="G93" s="52">
        <v>35.5</v>
      </c>
      <c r="H93" s="173"/>
      <c r="I93" s="52">
        <f t="shared" si="24"/>
        <v>0</v>
      </c>
      <c r="J93" s="52">
        <f t="shared" si="25"/>
        <v>0</v>
      </c>
      <c r="K93" s="52">
        <f t="shared" si="26"/>
        <v>0</v>
      </c>
      <c r="L93" s="52">
        <v>0</v>
      </c>
      <c r="M93" s="52">
        <f t="shared" si="27"/>
        <v>0</v>
      </c>
      <c r="N93" s="67" t="s">
        <v>545</v>
      </c>
      <c r="O93" s="18"/>
      <c r="Z93" s="52">
        <f t="shared" si="28"/>
        <v>0</v>
      </c>
      <c r="AB93" s="52">
        <f t="shared" si="29"/>
        <v>0</v>
      </c>
      <c r="AC93" s="52">
        <f t="shared" si="30"/>
        <v>0</v>
      </c>
      <c r="AD93" s="52">
        <f t="shared" si="31"/>
        <v>0</v>
      </c>
      <c r="AE93" s="52">
        <f t="shared" si="32"/>
        <v>0</v>
      </c>
      <c r="AF93" s="52">
        <f t="shared" si="33"/>
        <v>0</v>
      </c>
      <c r="AG93" s="52">
        <f t="shared" si="34"/>
        <v>0</v>
      </c>
      <c r="AH93" s="52">
        <f t="shared" si="35"/>
        <v>0</v>
      </c>
      <c r="AI93" s="48"/>
      <c r="AJ93" s="40">
        <f t="shared" si="36"/>
        <v>0</v>
      </c>
      <c r="AK93" s="40">
        <f t="shared" si="37"/>
        <v>0</v>
      </c>
      <c r="AL93" s="40">
        <f t="shared" si="38"/>
        <v>0</v>
      </c>
      <c r="AN93" s="52">
        <v>21</v>
      </c>
      <c r="AO93" s="52">
        <f>H93*0.0137254901960784</f>
        <v>0</v>
      </c>
      <c r="AP93" s="52">
        <f>H93*(1-0.0137254901960784)</f>
        <v>0</v>
      </c>
      <c r="AQ93" s="53" t="s">
        <v>80</v>
      </c>
      <c r="AV93" s="52">
        <f t="shared" si="39"/>
        <v>0</v>
      </c>
      <c r="AW93" s="52">
        <f t="shared" si="40"/>
        <v>0</v>
      </c>
      <c r="AX93" s="52">
        <f t="shared" si="41"/>
        <v>0</v>
      </c>
      <c r="AY93" s="55" t="s">
        <v>563</v>
      </c>
      <c r="AZ93" s="55" t="s">
        <v>584</v>
      </c>
      <c r="BA93" s="48" t="s">
        <v>590</v>
      </c>
      <c r="BC93" s="52">
        <f t="shared" si="42"/>
        <v>0</v>
      </c>
      <c r="BD93" s="52">
        <f t="shared" si="43"/>
        <v>0</v>
      </c>
      <c r="BE93" s="52">
        <v>0</v>
      </c>
      <c r="BF93" s="52">
        <f t="shared" si="44"/>
        <v>0</v>
      </c>
      <c r="BH93" s="40">
        <f t="shared" si="45"/>
        <v>0</v>
      </c>
      <c r="BI93" s="40">
        <f t="shared" si="46"/>
        <v>0</v>
      </c>
      <c r="BJ93" s="40">
        <f t="shared" si="47"/>
        <v>0</v>
      </c>
      <c r="BK93" s="40" t="s">
        <v>595</v>
      </c>
      <c r="BL93" s="52">
        <v>722</v>
      </c>
    </row>
    <row r="94" spans="1:64" ht="12.75">
      <c r="A94" s="66" t="s">
        <v>119</v>
      </c>
      <c r="B94" s="17"/>
      <c r="C94" s="17" t="s">
        <v>240</v>
      </c>
      <c r="D94" s="112" t="s">
        <v>403</v>
      </c>
      <c r="E94" s="147"/>
      <c r="F94" s="17" t="s">
        <v>523</v>
      </c>
      <c r="G94" s="52">
        <v>0.0751</v>
      </c>
      <c r="H94" s="173"/>
      <c r="I94" s="52">
        <f t="shared" si="24"/>
        <v>0</v>
      </c>
      <c r="J94" s="52">
        <f t="shared" si="25"/>
        <v>0</v>
      </c>
      <c r="K94" s="52">
        <f t="shared" si="26"/>
        <v>0</v>
      </c>
      <c r="L94" s="52">
        <v>0</v>
      </c>
      <c r="M94" s="52">
        <f t="shared" si="27"/>
        <v>0</v>
      </c>
      <c r="N94" s="67" t="s">
        <v>545</v>
      </c>
      <c r="O94" s="18"/>
      <c r="Z94" s="52">
        <f t="shared" si="28"/>
        <v>0</v>
      </c>
      <c r="AB94" s="52">
        <f t="shared" si="29"/>
        <v>0</v>
      </c>
      <c r="AC94" s="52">
        <f t="shared" si="30"/>
        <v>0</v>
      </c>
      <c r="AD94" s="52">
        <f t="shared" si="31"/>
        <v>0</v>
      </c>
      <c r="AE94" s="52">
        <f t="shared" si="32"/>
        <v>0</v>
      </c>
      <c r="AF94" s="52">
        <f t="shared" si="33"/>
        <v>0</v>
      </c>
      <c r="AG94" s="52">
        <f t="shared" si="34"/>
        <v>0</v>
      </c>
      <c r="AH94" s="52">
        <f t="shared" si="35"/>
        <v>0</v>
      </c>
      <c r="AI94" s="48"/>
      <c r="AJ94" s="40">
        <f t="shared" si="36"/>
        <v>0</v>
      </c>
      <c r="AK94" s="40">
        <f t="shared" si="37"/>
        <v>0</v>
      </c>
      <c r="AL94" s="40">
        <f t="shared" si="38"/>
        <v>0</v>
      </c>
      <c r="AN94" s="52">
        <v>21</v>
      </c>
      <c r="AO94" s="52">
        <f>H94*0</f>
        <v>0</v>
      </c>
      <c r="AP94" s="52">
        <f>H94*(1-0)</f>
        <v>0</v>
      </c>
      <c r="AQ94" s="53" t="s">
        <v>78</v>
      </c>
      <c r="AV94" s="52">
        <f t="shared" si="39"/>
        <v>0</v>
      </c>
      <c r="AW94" s="52">
        <f t="shared" si="40"/>
        <v>0</v>
      </c>
      <c r="AX94" s="52">
        <f t="shared" si="41"/>
        <v>0</v>
      </c>
      <c r="AY94" s="55" t="s">
        <v>563</v>
      </c>
      <c r="AZ94" s="55" t="s">
        <v>584</v>
      </c>
      <c r="BA94" s="48" t="s">
        <v>590</v>
      </c>
      <c r="BC94" s="52">
        <f t="shared" si="42"/>
        <v>0</v>
      </c>
      <c r="BD94" s="52">
        <f t="shared" si="43"/>
        <v>0</v>
      </c>
      <c r="BE94" s="52">
        <v>0</v>
      </c>
      <c r="BF94" s="52">
        <f t="shared" si="44"/>
        <v>0</v>
      </c>
      <c r="BH94" s="40">
        <f t="shared" si="45"/>
        <v>0</v>
      </c>
      <c r="BI94" s="40">
        <f t="shared" si="46"/>
        <v>0</v>
      </c>
      <c r="BJ94" s="40">
        <f t="shared" si="47"/>
        <v>0</v>
      </c>
      <c r="BK94" s="40" t="s">
        <v>595</v>
      </c>
      <c r="BL94" s="52">
        <v>722</v>
      </c>
    </row>
    <row r="95" spans="1:47" ht="12.75">
      <c r="A95" s="60"/>
      <c r="B95" s="61"/>
      <c r="C95" s="61" t="s">
        <v>241</v>
      </c>
      <c r="D95" s="151" t="s">
        <v>404</v>
      </c>
      <c r="E95" s="152"/>
      <c r="F95" s="62" t="s">
        <v>73</v>
      </c>
      <c r="G95" s="62" t="s">
        <v>73</v>
      </c>
      <c r="H95" s="62" t="s">
        <v>73</v>
      </c>
      <c r="I95" s="63">
        <f>SUM(I96:I121)</f>
        <v>0</v>
      </c>
      <c r="J95" s="63">
        <f>SUM(J96:J121)</f>
        <v>0</v>
      </c>
      <c r="K95" s="63">
        <f>SUM(K96:K121)</f>
        <v>0</v>
      </c>
      <c r="L95" s="64"/>
      <c r="M95" s="63">
        <f>SUM(M96:M121)</f>
        <v>0.42669</v>
      </c>
      <c r="N95" s="65"/>
      <c r="O95" s="18"/>
      <c r="AI95" s="48"/>
      <c r="AS95" s="58">
        <f>SUM(AJ96:AJ121)</f>
        <v>0</v>
      </c>
      <c r="AT95" s="58">
        <f>SUM(AK96:AK121)</f>
        <v>0</v>
      </c>
      <c r="AU95" s="58">
        <f>SUM(AL96:AL121)</f>
        <v>0</v>
      </c>
    </row>
    <row r="96" spans="1:64" ht="12.75">
      <c r="A96" s="66" t="s">
        <v>120</v>
      </c>
      <c r="B96" s="17"/>
      <c r="C96" s="17" t="s">
        <v>242</v>
      </c>
      <c r="D96" s="112" t="s">
        <v>405</v>
      </c>
      <c r="E96" s="147"/>
      <c r="F96" s="17" t="s">
        <v>525</v>
      </c>
      <c r="G96" s="52">
        <v>1</v>
      </c>
      <c r="H96" s="173"/>
      <c r="I96" s="52">
        <f aca="true" t="shared" si="48" ref="I96:I121">G96*AO96</f>
        <v>0</v>
      </c>
      <c r="J96" s="52">
        <f aca="true" t="shared" si="49" ref="J96:J121">G96*AP96</f>
        <v>0</v>
      </c>
      <c r="K96" s="52">
        <f aca="true" t="shared" si="50" ref="K96:K121">G96*H96</f>
        <v>0</v>
      </c>
      <c r="L96" s="52">
        <v>0</v>
      </c>
      <c r="M96" s="52">
        <f aca="true" t="shared" si="51" ref="M96:M121">G96*L96</f>
        <v>0</v>
      </c>
      <c r="N96" s="67" t="s">
        <v>242</v>
      </c>
      <c r="O96" s="18"/>
      <c r="Z96" s="52">
        <f aca="true" t="shared" si="52" ref="Z96:Z121">IF(AQ96="5",BJ96,0)</f>
        <v>0</v>
      </c>
      <c r="AB96" s="52">
        <f aca="true" t="shared" si="53" ref="AB96:AB121">IF(AQ96="1",BH96,0)</f>
        <v>0</v>
      </c>
      <c r="AC96" s="52">
        <f aca="true" t="shared" si="54" ref="AC96:AC121">IF(AQ96="1",BI96,0)</f>
        <v>0</v>
      </c>
      <c r="AD96" s="52">
        <f aca="true" t="shared" si="55" ref="AD96:AD121">IF(AQ96="7",BH96,0)</f>
        <v>0</v>
      </c>
      <c r="AE96" s="52">
        <f aca="true" t="shared" si="56" ref="AE96:AE121">IF(AQ96="7",BI96,0)</f>
        <v>0</v>
      </c>
      <c r="AF96" s="52">
        <f aca="true" t="shared" si="57" ref="AF96:AF121">IF(AQ96="2",BH96,0)</f>
        <v>0</v>
      </c>
      <c r="AG96" s="52">
        <f aca="true" t="shared" si="58" ref="AG96:AG121">IF(AQ96="2",BI96,0)</f>
        <v>0</v>
      </c>
      <c r="AH96" s="52">
        <f aca="true" t="shared" si="59" ref="AH96:AH121">IF(AQ96="0",BJ96,0)</f>
        <v>0</v>
      </c>
      <c r="AI96" s="48"/>
      <c r="AJ96" s="40">
        <f aca="true" t="shared" si="60" ref="AJ96:AJ121">IF(AN96=0,K96,0)</f>
        <v>0</v>
      </c>
      <c r="AK96" s="40">
        <f aca="true" t="shared" si="61" ref="AK96:AK121">IF(AN96=15,K96,0)</f>
        <v>0</v>
      </c>
      <c r="AL96" s="40">
        <f aca="true" t="shared" si="62" ref="AL96:AL121">IF(AN96=21,K96,0)</f>
        <v>0</v>
      </c>
      <c r="AN96" s="52">
        <v>21</v>
      </c>
      <c r="AO96" s="52">
        <f>H96*0</f>
        <v>0</v>
      </c>
      <c r="AP96" s="52">
        <f>H96*(1-0)</f>
        <v>0</v>
      </c>
      <c r="AQ96" s="53" t="s">
        <v>80</v>
      </c>
      <c r="AV96" s="52">
        <f aca="true" t="shared" si="63" ref="AV96:AV121">AW96+AX96</f>
        <v>0</v>
      </c>
      <c r="AW96" s="52">
        <f aca="true" t="shared" si="64" ref="AW96:AW121">G96*AO96</f>
        <v>0</v>
      </c>
      <c r="AX96" s="52">
        <f aca="true" t="shared" si="65" ref="AX96:AX121">G96*AP96</f>
        <v>0</v>
      </c>
      <c r="AY96" s="55" t="s">
        <v>564</v>
      </c>
      <c r="AZ96" s="55" t="s">
        <v>584</v>
      </c>
      <c r="BA96" s="48" t="s">
        <v>590</v>
      </c>
      <c r="BC96" s="52">
        <f aca="true" t="shared" si="66" ref="BC96:BC121">AW96+AX96</f>
        <v>0</v>
      </c>
      <c r="BD96" s="52">
        <f aca="true" t="shared" si="67" ref="BD96:BD121">H96/(100-BE96)*100</f>
        <v>0</v>
      </c>
      <c r="BE96" s="52">
        <v>0</v>
      </c>
      <c r="BF96" s="52">
        <f aca="true" t="shared" si="68" ref="BF96:BF121">M96</f>
        <v>0</v>
      </c>
      <c r="BH96" s="40">
        <f aca="true" t="shared" si="69" ref="BH96:BH121">G96*AO96</f>
        <v>0</v>
      </c>
      <c r="BI96" s="40">
        <f aca="true" t="shared" si="70" ref="BI96:BI121">G96*AP96</f>
        <v>0</v>
      </c>
      <c r="BJ96" s="40">
        <f aca="true" t="shared" si="71" ref="BJ96:BJ121">G96*H96</f>
        <v>0</v>
      </c>
      <c r="BK96" s="40" t="s">
        <v>595</v>
      </c>
      <c r="BL96" s="52">
        <v>725</v>
      </c>
    </row>
    <row r="97" spans="1:64" ht="12.75">
      <c r="A97" s="66" t="s">
        <v>121</v>
      </c>
      <c r="B97" s="17"/>
      <c r="C97" s="17" t="s">
        <v>243</v>
      </c>
      <c r="D97" s="112" t="s">
        <v>406</v>
      </c>
      <c r="E97" s="147"/>
      <c r="F97" s="17" t="s">
        <v>526</v>
      </c>
      <c r="G97" s="52">
        <v>5</v>
      </c>
      <c r="H97" s="173"/>
      <c r="I97" s="52">
        <f t="shared" si="48"/>
        <v>0</v>
      </c>
      <c r="J97" s="52">
        <f t="shared" si="49"/>
        <v>0</v>
      </c>
      <c r="K97" s="52">
        <f t="shared" si="50"/>
        <v>0</v>
      </c>
      <c r="L97" s="52">
        <v>0.00156</v>
      </c>
      <c r="M97" s="52">
        <f t="shared" si="51"/>
        <v>0.0078</v>
      </c>
      <c r="N97" s="67" t="s">
        <v>545</v>
      </c>
      <c r="O97" s="18"/>
      <c r="Z97" s="52">
        <f t="shared" si="52"/>
        <v>0</v>
      </c>
      <c r="AB97" s="52">
        <f t="shared" si="53"/>
        <v>0</v>
      </c>
      <c r="AC97" s="52">
        <f t="shared" si="54"/>
        <v>0</v>
      </c>
      <c r="AD97" s="52">
        <f t="shared" si="55"/>
        <v>0</v>
      </c>
      <c r="AE97" s="52">
        <f t="shared" si="56"/>
        <v>0</v>
      </c>
      <c r="AF97" s="52">
        <f t="shared" si="57"/>
        <v>0</v>
      </c>
      <c r="AG97" s="52">
        <f t="shared" si="58"/>
        <v>0</v>
      </c>
      <c r="AH97" s="52">
        <f t="shared" si="59"/>
        <v>0</v>
      </c>
      <c r="AI97" s="48"/>
      <c r="AJ97" s="40">
        <f t="shared" si="60"/>
        <v>0</v>
      </c>
      <c r="AK97" s="40">
        <f t="shared" si="61"/>
        <v>0</v>
      </c>
      <c r="AL97" s="40">
        <f t="shared" si="62"/>
        <v>0</v>
      </c>
      <c r="AN97" s="52">
        <v>21</v>
      </c>
      <c r="AO97" s="52">
        <f>H97*0</f>
        <v>0</v>
      </c>
      <c r="AP97" s="52">
        <f>H97*(1-0)</f>
        <v>0</v>
      </c>
      <c r="AQ97" s="53" t="s">
        <v>80</v>
      </c>
      <c r="AV97" s="52">
        <f t="shared" si="63"/>
        <v>0</v>
      </c>
      <c r="AW97" s="52">
        <f t="shared" si="64"/>
        <v>0</v>
      </c>
      <c r="AX97" s="52">
        <f t="shared" si="65"/>
        <v>0</v>
      </c>
      <c r="AY97" s="55" t="s">
        <v>564</v>
      </c>
      <c r="AZ97" s="55" t="s">
        <v>584</v>
      </c>
      <c r="BA97" s="48" t="s">
        <v>590</v>
      </c>
      <c r="BC97" s="52">
        <f t="shared" si="66"/>
        <v>0</v>
      </c>
      <c r="BD97" s="52">
        <f t="shared" si="67"/>
        <v>0</v>
      </c>
      <c r="BE97" s="52">
        <v>0</v>
      </c>
      <c r="BF97" s="52">
        <f t="shared" si="68"/>
        <v>0.0078</v>
      </c>
      <c r="BH97" s="40">
        <f t="shared" si="69"/>
        <v>0</v>
      </c>
      <c r="BI97" s="40">
        <f t="shared" si="70"/>
        <v>0</v>
      </c>
      <c r="BJ97" s="40">
        <f t="shared" si="71"/>
        <v>0</v>
      </c>
      <c r="BK97" s="40" t="s">
        <v>595</v>
      </c>
      <c r="BL97" s="52">
        <v>725</v>
      </c>
    </row>
    <row r="98" spans="1:64" ht="12.75">
      <c r="A98" s="66" t="s">
        <v>122</v>
      </c>
      <c r="B98" s="17"/>
      <c r="C98" s="17" t="s">
        <v>244</v>
      </c>
      <c r="D98" s="112" t="s">
        <v>407</v>
      </c>
      <c r="E98" s="147"/>
      <c r="F98" s="17" t="s">
        <v>526</v>
      </c>
      <c r="G98" s="52">
        <v>2</v>
      </c>
      <c r="H98" s="173"/>
      <c r="I98" s="52">
        <f t="shared" si="48"/>
        <v>0</v>
      </c>
      <c r="J98" s="52">
        <f t="shared" si="49"/>
        <v>0</v>
      </c>
      <c r="K98" s="52">
        <f t="shared" si="50"/>
        <v>0</v>
      </c>
      <c r="L98" s="52">
        <v>0.01946</v>
      </c>
      <c r="M98" s="52">
        <f t="shared" si="51"/>
        <v>0.03892</v>
      </c>
      <c r="N98" s="67" t="s">
        <v>545</v>
      </c>
      <c r="O98" s="18"/>
      <c r="Z98" s="52">
        <f t="shared" si="52"/>
        <v>0</v>
      </c>
      <c r="AB98" s="52">
        <f t="shared" si="53"/>
        <v>0</v>
      </c>
      <c r="AC98" s="52">
        <f t="shared" si="54"/>
        <v>0</v>
      </c>
      <c r="AD98" s="52">
        <f t="shared" si="55"/>
        <v>0</v>
      </c>
      <c r="AE98" s="52">
        <f t="shared" si="56"/>
        <v>0</v>
      </c>
      <c r="AF98" s="52">
        <f t="shared" si="57"/>
        <v>0</v>
      </c>
      <c r="AG98" s="52">
        <f t="shared" si="58"/>
        <v>0</v>
      </c>
      <c r="AH98" s="52">
        <f t="shared" si="59"/>
        <v>0</v>
      </c>
      <c r="AI98" s="48"/>
      <c r="AJ98" s="40">
        <f t="shared" si="60"/>
        <v>0</v>
      </c>
      <c r="AK98" s="40">
        <f t="shared" si="61"/>
        <v>0</v>
      </c>
      <c r="AL98" s="40">
        <f t="shared" si="62"/>
        <v>0</v>
      </c>
      <c r="AN98" s="52">
        <v>21</v>
      </c>
      <c r="AO98" s="52">
        <f>H98*0</f>
        <v>0</v>
      </c>
      <c r="AP98" s="52">
        <f>H98*(1-0)</f>
        <v>0</v>
      </c>
      <c r="AQ98" s="53" t="s">
        <v>80</v>
      </c>
      <c r="AV98" s="52">
        <f t="shared" si="63"/>
        <v>0</v>
      </c>
      <c r="AW98" s="52">
        <f t="shared" si="64"/>
        <v>0</v>
      </c>
      <c r="AX98" s="52">
        <f t="shared" si="65"/>
        <v>0</v>
      </c>
      <c r="AY98" s="55" t="s">
        <v>564</v>
      </c>
      <c r="AZ98" s="55" t="s">
        <v>584</v>
      </c>
      <c r="BA98" s="48" t="s">
        <v>590</v>
      </c>
      <c r="BC98" s="52">
        <f t="shared" si="66"/>
        <v>0</v>
      </c>
      <c r="BD98" s="52">
        <f t="shared" si="67"/>
        <v>0</v>
      </c>
      <c r="BE98" s="52">
        <v>0</v>
      </c>
      <c r="BF98" s="52">
        <f t="shared" si="68"/>
        <v>0.03892</v>
      </c>
      <c r="BH98" s="40">
        <f t="shared" si="69"/>
        <v>0</v>
      </c>
      <c r="BI98" s="40">
        <f t="shared" si="70"/>
        <v>0</v>
      </c>
      <c r="BJ98" s="40">
        <f t="shared" si="71"/>
        <v>0</v>
      </c>
      <c r="BK98" s="40" t="s">
        <v>595</v>
      </c>
      <c r="BL98" s="52">
        <v>725</v>
      </c>
    </row>
    <row r="99" spans="1:64" ht="12.75">
      <c r="A99" s="66" t="s">
        <v>123</v>
      </c>
      <c r="B99" s="17"/>
      <c r="C99" s="17" t="s">
        <v>245</v>
      </c>
      <c r="D99" s="112" t="s">
        <v>408</v>
      </c>
      <c r="E99" s="147"/>
      <c r="F99" s="17" t="s">
        <v>521</v>
      </c>
      <c r="G99" s="52">
        <v>5</v>
      </c>
      <c r="H99" s="173"/>
      <c r="I99" s="52">
        <f t="shared" si="48"/>
        <v>0</v>
      </c>
      <c r="J99" s="52">
        <f t="shared" si="49"/>
        <v>0</v>
      </c>
      <c r="K99" s="52">
        <f t="shared" si="50"/>
        <v>0</v>
      </c>
      <c r="L99" s="52">
        <v>0.00085</v>
      </c>
      <c r="M99" s="52">
        <f t="shared" si="51"/>
        <v>0.0042499999999999994</v>
      </c>
      <c r="N99" s="67" t="s">
        <v>545</v>
      </c>
      <c r="O99" s="18"/>
      <c r="Z99" s="52">
        <f t="shared" si="52"/>
        <v>0</v>
      </c>
      <c r="AB99" s="52">
        <f t="shared" si="53"/>
        <v>0</v>
      </c>
      <c r="AC99" s="52">
        <f t="shared" si="54"/>
        <v>0</v>
      </c>
      <c r="AD99" s="52">
        <f t="shared" si="55"/>
        <v>0</v>
      </c>
      <c r="AE99" s="52">
        <f t="shared" si="56"/>
        <v>0</v>
      </c>
      <c r="AF99" s="52">
        <f t="shared" si="57"/>
        <v>0</v>
      </c>
      <c r="AG99" s="52">
        <f t="shared" si="58"/>
        <v>0</v>
      </c>
      <c r="AH99" s="52">
        <f t="shared" si="59"/>
        <v>0</v>
      </c>
      <c r="AI99" s="48"/>
      <c r="AJ99" s="40">
        <f t="shared" si="60"/>
        <v>0</v>
      </c>
      <c r="AK99" s="40">
        <f t="shared" si="61"/>
        <v>0</v>
      </c>
      <c r="AL99" s="40">
        <f t="shared" si="62"/>
        <v>0</v>
      </c>
      <c r="AN99" s="52">
        <v>21</v>
      </c>
      <c r="AO99" s="52">
        <f>H99*0</f>
        <v>0</v>
      </c>
      <c r="AP99" s="52">
        <f>H99*(1-0)</f>
        <v>0</v>
      </c>
      <c r="AQ99" s="53" t="s">
        <v>80</v>
      </c>
      <c r="AV99" s="52">
        <f t="shared" si="63"/>
        <v>0</v>
      </c>
      <c r="AW99" s="52">
        <f t="shared" si="64"/>
        <v>0</v>
      </c>
      <c r="AX99" s="52">
        <f t="shared" si="65"/>
        <v>0</v>
      </c>
      <c r="AY99" s="55" t="s">
        <v>564</v>
      </c>
      <c r="AZ99" s="55" t="s">
        <v>584</v>
      </c>
      <c r="BA99" s="48" t="s">
        <v>590</v>
      </c>
      <c r="BC99" s="52">
        <f t="shared" si="66"/>
        <v>0</v>
      </c>
      <c r="BD99" s="52">
        <f t="shared" si="67"/>
        <v>0</v>
      </c>
      <c r="BE99" s="52">
        <v>0</v>
      </c>
      <c r="BF99" s="52">
        <f t="shared" si="68"/>
        <v>0.0042499999999999994</v>
      </c>
      <c r="BH99" s="40">
        <f t="shared" si="69"/>
        <v>0</v>
      </c>
      <c r="BI99" s="40">
        <f t="shared" si="70"/>
        <v>0</v>
      </c>
      <c r="BJ99" s="40">
        <f t="shared" si="71"/>
        <v>0</v>
      </c>
      <c r="BK99" s="40" t="s">
        <v>595</v>
      </c>
      <c r="BL99" s="52">
        <v>725</v>
      </c>
    </row>
    <row r="100" spans="1:64" ht="12.75">
      <c r="A100" s="66" t="s">
        <v>124</v>
      </c>
      <c r="B100" s="17"/>
      <c r="C100" s="17" t="s">
        <v>246</v>
      </c>
      <c r="D100" s="112" t="s">
        <v>409</v>
      </c>
      <c r="E100" s="147"/>
      <c r="F100" s="17" t="s">
        <v>526</v>
      </c>
      <c r="G100" s="52">
        <v>4</v>
      </c>
      <c r="H100" s="173"/>
      <c r="I100" s="52">
        <f t="shared" si="48"/>
        <v>0</v>
      </c>
      <c r="J100" s="52">
        <f t="shared" si="49"/>
        <v>0</v>
      </c>
      <c r="K100" s="52">
        <f t="shared" si="50"/>
        <v>0</v>
      </c>
      <c r="L100" s="52">
        <v>0.00141</v>
      </c>
      <c r="M100" s="52">
        <f t="shared" si="51"/>
        <v>0.00564</v>
      </c>
      <c r="N100" s="67" t="s">
        <v>545</v>
      </c>
      <c r="O100" s="18"/>
      <c r="Z100" s="52">
        <f t="shared" si="52"/>
        <v>0</v>
      </c>
      <c r="AB100" s="52">
        <f t="shared" si="53"/>
        <v>0</v>
      </c>
      <c r="AC100" s="52">
        <f t="shared" si="54"/>
        <v>0</v>
      </c>
      <c r="AD100" s="52">
        <f t="shared" si="55"/>
        <v>0</v>
      </c>
      <c r="AE100" s="52">
        <f t="shared" si="56"/>
        <v>0</v>
      </c>
      <c r="AF100" s="52">
        <f t="shared" si="57"/>
        <v>0</v>
      </c>
      <c r="AG100" s="52">
        <f t="shared" si="58"/>
        <v>0</v>
      </c>
      <c r="AH100" s="52">
        <f t="shared" si="59"/>
        <v>0</v>
      </c>
      <c r="AI100" s="48"/>
      <c r="AJ100" s="40">
        <f t="shared" si="60"/>
        <v>0</v>
      </c>
      <c r="AK100" s="40">
        <f t="shared" si="61"/>
        <v>0</v>
      </c>
      <c r="AL100" s="40">
        <f t="shared" si="62"/>
        <v>0</v>
      </c>
      <c r="AN100" s="52">
        <v>21</v>
      </c>
      <c r="AO100" s="52">
        <f>H100*0.115237556561086</f>
        <v>0</v>
      </c>
      <c r="AP100" s="52">
        <f>H100*(1-0.115237556561086)</f>
        <v>0</v>
      </c>
      <c r="AQ100" s="53" t="s">
        <v>80</v>
      </c>
      <c r="AV100" s="52">
        <f t="shared" si="63"/>
        <v>0</v>
      </c>
      <c r="AW100" s="52">
        <f t="shared" si="64"/>
        <v>0</v>
      </c>
      <c r="AX100" s="52">
        <f t="shared" si="65"/>
        <v>0</v>
      </c>
      <c r="AY100" s="55" t="s">
        <v>564</v>
      </c>
      <c r="AZ100" s="55" t="s">
        <v>584</v>
      </c>
      <c r="BA100" s="48" t="s">
        <v>590</v>
      </c>
      <c r="BC100" s="52">
        <f t="shared" si="66"/>
        <v>0</v>
      </c>
      <c r="BD100" s="52">
        <f t="shared" si="67"/>
        <v>0</v>
      </c>
      <c r="BE100" s="52">
        <v>0</v>
      </c>
      <c r="BF100" s="52">
        <f t="shared" si="68"/>
        <v>0.00564</v>
      </c>
      <c r="BH100" s="40">
        <f t="shared" si="69"/>
        <v>0</v>
      </c>
      <c r="BI100" s="40">
        <f t="shared" si="70"/>
        <v>0</v>
      </c>
      <c r="BJ100" s="40">
        <f t="shared" si="71"/>
        <v>0</v>
      </c>
      <c r="BK100" s="40" t="s">
        <v>595</v>
      </c>
      <c r="BL100" s="52">
        <v>725</v>
      </c>
    </row>
    <row r="101" spans="1:64" ht="12.75">
      <c r="A101" s="66" t="s">
        <v>125</v>
      </c>
      <c r="B101" s="17"/>
      <c r="C101" s="17" t="s">
        <v>247</v>
      </c>
      <c r="D101" s="112" t="s">
        <v>410</v>
      </c>
      <c r="E101" s="147"/>
      <c r="F101" s="17" t="s">
        <v>526</v>
      </c>
      <c r="G101" s="52">
        <v>4</v>
      </c>
      <c r="H101" s="173"/>
      <c r="I101" s="52">
        <f t="shared" si="48"/>
        <v>0</v>
      </c>
      <c r="J101" s="52">
        <f t="shared" si="49"/>
        <v>0</v>
      </c>
      <c r="K101" s="52">
        <f t="shared" si="50"/>
        <v>0</v>
      </c>
      <c r="L101" s="52">
        <v>0.01401</v>
      </c>
      <c r="M101" s="52">
        <f t="shared" si="51"/>
        <v>0.05604</v>
      </c>
      <c r="N101" s="67" t="s">
        <v>545</v>
      </c>
      <c r="O101" s="18"/>
      <c r="Z101" s="52">
        <f t="shared" si="52"/>
        <v>0</v>
      </c>
      <c r="AB101" s="52">
        <f t="shared" si="53"/>
        <v>0</v>
      </c>
      <c r="AC101" s="52">
        <f t="shared" si="54"/>
        <v>0</v>
      </c>
      <c r="AD101" s="52">
        <f t="shared" si="55"/>
        <v>0</v>
      </c>
      <c r="AE101" s="52">
        <f t="shared" si="56"/>
        <v>0</v>
      </c>
      <c r="AF101" s="52">
        <f t="shared" si="57"/>
        <v>0</v>
      </c>
      <c r="AG101" s="52">
        <f t="shared" si="58"/>
        <v>0</v>
      </c>
      <c r="AH101" s="52">
        <f t="shared" si="59"/>
        <v>0</v>
      </c>
      <c r="AI101" s="48"/>
      <c r="AJ101" s="40">
        <f t="shared" si="60"/>
        <v>0</v>
      </c>
      <c r="AK101" s="40">
        <f t="shared" si="61"/>
        <v>0</v>
      </c>
      <c r="AL101" s="40">
        <f t="shared" si="62"/>
        <v>0</v>
      </c>
      <c r="AN101" s="52">
        <v>21</v>
      </c>
      <c r="AO101" s="52">
        <f>H101*0.661334681496461</f>
        <v>0</v>
      </c>
      <c r="AP101" s="52">
        <f>H101*(1-0.661334681496461)</f>
        <v>0</v>
      </c>
      <c r="AQ101" s="53" t="s">
        <v>80</v>
      </c>
      <c r="AV101" s="52">
        <f t="shared" si="63"/>
        <v>0</v>
      </c>
      <c r="AW101" s="52">
        <f t="shared" si="64"/>
        <v>0</v>
      </c>
      <c r="AX101" s="52">
        <f t="shared" si="65"/>
        <v>0</v>
      </c>
      <c r="AY101" s="55" t="s">
        <v>564</v>
      </c>
      <c r="AZ101" s="55" t="s">
        <v>584</v>
      </c>
      <c r="BA101" s="48" t="s">
        <v>590</v>
      </c>
      <c r="BC101" s="52">
        <f t="shared" si="66"/>
        <v>0</v>
      </c>
      <c r="BD101" s="52">
        <f t="shared" si="67"/>
        <v>0</v>
      </c>
      <c r="BE101" s="52">
        <v>0</v>
      </c>
      <c r="BF101" s="52">
        <f t="shared" si="68"/>
        <v>0.05604</v>
      </c>
      <c r="BH101" s="40">
        <f t="shared" si="69"/>
        <v>0</v>
      </c>
      <c r="BI101" s="40">
        <f t="shared" si="70"/>
        <v>0</v>
      </c>
      <c r="BJ101" s="40">
        <f t="shared" si="71"/>
        <v>0</v>
      </c>
      <c r="BK101" s="40" t="s">
        <v>595</v>
      </c>
      <c r="BL101" s="52">
        <v>725</v>
      </c>
    </row>
    <row r="102" spans="1:64" ht="12.75">
      <c r="A102" s="66" t="s">
        <v>126</v>
      </c>
      <c r="B102" s="17"/>
      <c r="C102" s="17" t="s">
        <v>248</v>
      </c>
      <c r="D102" s="112" t="s">
        <v>411</v>
      </c>
      <c r="E102" s="147"/>
      <c r="F102" s="17" t="s">
        <v>521</v>
      </c>
      <c r="G102" s="52">
        <v>4</v>
      </c>
      <c r="H102" s="173"/>
      <c r="I102" s="52">
        <f t="shared" si="48"/>
        <v>0</v>
      </c>
      <c r="J102" s="52">
        <f t="shared" si="49"/>
        <v>0</v>
      </c>
      <c r="K102" s="52">
        <f t="shared" si="50"/>
        <v>0</v>
      </c>
      <c r="L102" s="52">
        <v>0.0002</v>
      </c>
      <c r="M102" s="52">
        <f t="shared" si="51"/>
        <v>0.0008</v>
      </c>
      <c r="N102" s="67" t="s">
        <v>545</v>
      </c>
      <c r="O102" s="18"/>
      <c r="Z102" s="52">
        <f t="shared" si="52"/>
        <v>0</v>
      </c>
      <c r="AB102" s="52">
        <f t="shared" si="53"/>
        <v>0</v>
      </c>
      <c r="AC102" s="52">
        <f t="shared" si="54"/>
        <v>0</v>
      </c>
      <c r="AD102" s="52">
        <f t="shared" si="55"/>
        <v>0</v>
      </c>
      <c r="AE102" s="52">
        <f t="shared" si="56"/>
        <v>0</v>
      </c>
      <c r="AF102" s="52">
        <f t="shared" si="57"/>
        <v>0</v>
      </c>
      <c r="AG102" s="52">
        <f t="shared" si="58"/>
        <v>0</v>
      </c>
      <c r="AH102" s="52">
        <f t="shared" si="59"/>
        <v>0</v>
      </c>
      <c r="AI102" s="48"/>
      <c r="AJ102" s="40">
        <f t="shared" si="60"/>
        <v>0</v>
      </c>
      <c r="AK102" s="40">
        <f t="shared" si="61"/>
        <v>0</v>
      </c>
      <c r="AL102" s="40">
        <f t="shared" si="62"/>
        <v>0</v>
      </c>
      <c r="AN102" s="52">
        <v>21</v>
      </c>
      <c r="AO102" s="52">
        <f>H102*0.673503836317136</f>
        <v>0</v>
      </c>
      <c r="AP102" s="52">
        <f>H102*(1-0.673503836317136)</f>
        <v>0</v>
      </c>
      <c r="AQ102" s="53" t="s">
        <v>80</v>
      </c>
      <c r="AV102" s="52">
        <f t="shared" si="63"/>
        <v>0</v>
      </c>
      <c r="AW102" s="52">
        <f t="shared" si="64"/>
        <v>0</v>
      </c>
      <c r="AX102" s="52">
        <f t="shared" si="65"/>
        <v>0</v>
      </c>
      <c r="AY102" s="55" t="s">
        <v>564</v>
      </c>
      <c r="AZ102" s="55" t="s">
        <v>584</v>
      </c>
      <c r="BA102" s="48" t="s">
        <v>590</v>
      </c>
      <c r="BC102" s="52">
        <f t="shared" si="66"/>
        <v>0</v>
      </c>
      <c r="BD102" s="52">
        <f t="shared" si="67"/>
        <v>0</v>
      </c>
      <c r="BE102" s="52">
        <v>0</v>
      </c>
      <c r="BF102" s="52">
        <f t="shared" si="68"/>
        <v>0.0008</v>
      </c>
      <c r="BH102" s="40">
        <f t="shared" si="69"/>
        <v>0</v>
      </c>
      <c r="BI102" s="40">
        <f t="shared" si="70"/>
        <v>0</v>
      </c>
      <c r="BJ102" s="40">
        <f t="shared" si="71"/>
        <v>0</v>
      </c>
      <c r="BK102" s="40" t="s">
        <v>595</v>
      </c>
      <c r="BL102" s="52">
        <v>725</v>
      </c>
    </row>
    <row r="103" spans="1:64" ht="12.75">
      <c r="A103" s="66" t="s">
        <v>127</v>
      </c>
      <c r="B103" s="17"/>
      <c r="C103" s="17" t="s">
        <v>249</v>
      </c>
      <c r="D103" s="112" t="s">
        <v>412</v>
      </c>
      <c r="E103" s="147"/>
      <c r="F103" s="17" t="s">
        <v>521</v>
      </c>
      <c r="G103" s="52">
        <v>4</v>
      </c>
      <c r="H103" s="173"/>
      <c r="I103" s="52">
        <f t="shared" si="48"/>
        <v>0</v>
      </c>
      <c r="J103" s="52">
        <f t="shared" si="49"/>
        <v>0</v>
      </c>
      <c r="K103" s="52">
        <f t="shared" si="50"/>
        <v>0</v>
      </c>
      <c r="L103" s="52">
        <v>0.00041</v>
      </c>
      <c r="M103" s="52">
        <f t="shared" si="51"/>
        <v>0.00164</v>
      </c>
      <c r="N103" s="67" t="s">
        <v>545</v>
      </c>
      <c r="O103" s="18"/>
      <c r="Z103" s="52">
        <f t="shared" si="52"/>
        <v>0</v>
      </c>
      <c r="AB103" s="52">
        <f t="shared" si="53"/>
        <v>0</v>
      </c>
      <c r="AC103" s="52">
        <f t="shared" si="54"/>
        <v>0</v>
      </c>
      <c r="AD103" s="52">
        <f t="shared" si="55"/>
        <v>0</v>
      </c>
      <c r="AE103" s="52">
        <f t="shared" si="56"/>
        <v>0</v>
      </c>
      <c r="AF103" s="52">
        <f t="shared" si="57"/>
        <v>0</v>
      </c>
      <c r="AG103" s="52">
        <f t="shared" si="58"/>
        <v>0</v>
      </c>
      <c r="AH103" s="52">
        <f t="shared" si="59"/>
        <v>0</v>
      </c>
      <c r="AI103" s="48"/>
      <c r="AJ103" s="40">
        <f t="shared" si="60"/>
        <v>0</v>
      </c>
      <c r="AK103" s="40">
        <f t="shared" si="61"/>
        <v>0</v>
      </c>
      <c r="AL103" s="40">
        <f t="shared" si="62"/>
        <v>0</v>
      </c>
      <c r="AN103" s="52">
        <v>21</v>
      </c>
      <c r="AO103" s="52">
        <f>H103*0.494415841584158</f>
        <v>0</v>
      </c>
      <c r="AP103" s="52">
        <f>H103*(1-0.494415841584158)</f>
        <v>0</v>
      </c>
      <c r="AQ103" s="53" t="s">
        <v>80</v>
      </c>
      <c r="AV103" s="52">
        <f t="shared" si="63"/>
        <v>0</v>
      </c>
      <c r="AW103" s="52">
        <f t="shared" si="64"/>
        <v>0</v>
      </c>
      <c r="AX103" s="52">
        <f t="shared" si="65"/>
        <v>0</v>
      </c>
      <c r="AY103" s="55" t="s">
        <v>564</v>
      </c>
      <c r="AZ103" s="55" t="s">
        <v>584</v>
      </c>
      <c r="BA103" s="48" t="s">
        <v>590</v>
      </c>
      <c r="BC103" s="52">
        <f t="shared" si="66"/>
        <v>0</v>
      </c>
      <c r="BD103" s="52">
        <f t="shared" si="67"/>
        <v>0</v>
      </c>
      <c r="BE103" s="52">
        <v>0</v>
      </c>
      <c r="BF103" s="52">
        <f t="shared" si="68"/>
        <v>0.00164</v>
      </c>
      <c r="BH103" s="40">
        <f t="shared" si="69"/>
        <v>0</v>
      </c>
      <c r="BI103" s="40">
        <f t="shared" si="70"/>
        <v>0</v>
      </c>
      <c r="BJ103" s="40">
        <f t="shared" si="71"/>
        <v>0</v>
      </c>
      <c r="BK103" s="40" t="s">
        <v>595</v>
      </c>
      <c r="BL103" s="52">
        <v>725</v>
      </c>
    </row>
    <row r="104" spans="1:64" ht="12.75">
      <c r="A104" s="66" t="s">
        <v>128</v>
      </c>
      <c r="B104" s="17"/>
      <c r="C104" s="17" t="s">
        <v>250</v>
      </c>
      <c r="D104" s="112" t="s">
        <v>413</v>
      </c>
      <c r="E104" s="147"/>
      <c r="F104" s="17" t="s">
        <v>521</v>
      </c>
      <c r="G104" s="52">
        <v>4</v>
      </c>
      <c r="H104" s="173"/>
      <c r="I104" s="52">
        <f t="shared" si="48"/>
        <v>0</v>
      </c>
      <c r="J104" s="52">
        <f t="shared" si="49"/>
        <v>0</v>
      </c>
      <c r="K104" s="52">
        <f t="shared" si="50"/>
        <v>0</v>
      </c>
      <c r="L104" s="52">
        <v>4E-05</v>
      </c>
      <c r="M104" s="52">
        <f t="shared" si="51"/>
        <v>0.00016</v>
      </c>
      <c r="N104" s="67" t="s">
        <v>545</v>
      </c>
      <c r="O104" s="18"/>
      <c r="Z104" s="52">
        <f t="shared" si="52"/>
        <v>0</v>
      </c>
      <c r="AB104" s="52">
        <f t="shared" si="53"/>
        <v>0</v>
      </c>
      <c r="AC104" s="52">
        <f t="shared" si="54"/>
        <v>0</v>
      </c>
      <c r="AD104" s="52">
        <f t="shared" si="55"/>
        <v>0</v>
      </c>
      <c r="AE104" s="52">
        <f t="shared" si="56"/>
        <v>0</v>
      </c>
      <c r="AF104" s="52">
        <f t="shared" si="57"/>
        <v>0</v>
      </c>
      <c r="AG104" s="52">
        <f t="shared" si="58"/>
        <v>0</v>
      </c>
      <c r="AH104" s="52">
        <f t="shared" si="59"/>
        <v>0</v>
      </c>
      <c r="AI104" s="48"/>
      <c r="AJ104" s="40">
        <f t="shared" si="60"/>
        <v>0</v>
      </c>
      <c r="AK104" s="40">
        <f t="shared" si="61"/>
        <v>0</v>
      </c>
      <c r="AL104" s="40">
        <f t="shared" si="62"/>
        <v>0</v>
      </c>
      <c r="AN104" s="52">
        <v>21</v>
      </c>
      <c r="AO104" s="52">
        <f>H104*0.0298739495798319</f>
        <v>0</v>
      </c>
      <c r="AP104" s="52">
        <f>H104*(1-0.0298739495798319)</f>
        <v>0</v>
      </c>
      <c r="AQ104" s="53" t="s">
        <v>80</v>
      </c>
      <c r="AV104" s="52">
        <f t="shared" si="63"/>
        <v>0</v>
      </c>
      <c r="AW104" s="52">
        <f t="shared" si="64"/>
        <v>0</v>
      </c>
      <c r="AX104" s="52">
        <f t="shared" si="65"/>
        <v>0</v>
      </c>
      <c r="AY104" s="55" t="s">
        <v>564</v>
      </c>
      <c r="AZ104" s="55" t="s">
        <v>584</v>
      </c>
      <c r="BA104" s="48" t="s">
        <v>590</v>
      </c>
      <c r="BC104" s="52">
        <f t="shared" si="66"/>
        <v>0</v>
      </c>
      <c r="BD104" s="52">
        <f t="shared" si="67"/>
        <v>0</v>
      </c>
      <c r="BE104" s="52">
        <v>0</v>
      </c>
      <c r="BF104" s="52">
        <f t="shared" si="68"/>
        <v>0.00016</v>
      </c>
      <c r="BH104" s="40">
        <f t="shared" si="69"/>
        <v>0</v>
      </c>
      <c r="BI104" s="40">
        <f t="shared" si="70"/>
        <v>0</v>
      </c>
      <c r="BJ104" s="40">
        <f t="shared" si="71"/>
        <v>0</v>
      </c>
      <c r="BK104" s="40" t="s">
        <v>595</v>
      </c>
      <c r="BL104" s="52">
        <v>725</v>
      </c>
    </row>
    <row r="105" spans="1:64" ht="12.75">
      <c r="A105" s="66" t="s">
        <v>129</v>
      </c>
      <c r="B105" s="17"/>
      <c r="C105" s="17" t="s">
        <v>251</v>
      </c>
      <c r="D105" s="112" t="s">
        <v>414</v>
      </c>
      <c r="E105" s="147"/>
      <c r="F105" s="17" t="s">
        <v>521</v>
      </c>
      <c r="G105" s="52">
        <v>4</v>
      </c>
      <c r="H105" s="173"/>
      <c r="I105" s="52">
        <f t="shared" si="48"/>
        <v>0</v>
      </c>
      <c r="J105" s="52">
        <f t="shared" si="49"/>
        <v>0</v>
      </c>
      <c r="K105" s="52">
        <f t="shared" si="50"/>
        <v>0</v>
      </c>
      <c r="L105" s="52">
        <v>0.0012</v>
      </c>
      <c r="M105" s="52">
        <f t="shared" si="51"/>
        <v>0.0048</v>
      </c>
      <c r="N105" s="67" t="s">
        <v>545</v>
      </c>
      <c r="O105" s="18"/>
      <c r="Z105" s="52">
        <f t="shared" si="52"/>
        <v>0</v>
      </c>
      <c r="AB105" s="52">
        <f t="shared" si="53"/>
        <v>0</v>
      </c>
      <c r="AC105" s="52">
        <f t="shared" si="54"/>
        <v>0</v>
      </c>
      <c r="AD105" s="52">
        <f t="shared" si="55"/>
        <v>0</v>
      </c>
      <c r="AE105" s="52">
        <f t="shared" si="56"/>
        <v>0</v>
      </c>
      <c r="AF105" s="52">
        <f t="shared" si="57"/>
        <v>0</v>
      </c>
      <c r="AG105" s="52">
        <f t="shared" si="58"/>
        <v>0</v>
      </c>
      <c r="AH105" s="52">
        <f t="shared" si="59"/>
        <v>0</v>
      </c>
      <c r="AI105" s="48"/>
      <c r="AJ105" s="40">
        <f t="shared" si="60"/>
        <v>0</v>
      </c>
      <c r="AK105" s="40">
        <f t="shared" si="61"/>
        <v>0</v>
      </c>
      <c r="AL105" s="40">
        <f t="shared" si="62"/>
        <v>0</v>
      </c>
      <c r="AN105" s="52">
        <v>21</v>
      </c>
      <c r="AO105" s="52">
        <f>H105*0.764597349643221</f>
        <v>0</v>
      </c>
      <c r="AP105" s="52">
        <f>H105*(1-0.764597349643221)</f>
        <v>0</v>
      </c>
      <c r="AQ105" s="53" t="s">
        <v>80</v>
      </c>
      <c r="AV105" s="52">
        <f t="shared" si="63"/>
        <v>0</v>
      </c>
      <c r="AW105" s="52">
        <f t="shared" si="64"/>
        <v>0</v>
      </c>
      <c r="AX105" s="52">
        <f t="shared" si="65"/>
        <v>0</v>
      </c>
      <c r="AY105" s="55" t="s">
        <v>564</v>
      </c>
      <c r="AZ105" s="55" t="s">
        <v>584</v>
      </c>
      <c r="BA105" s="48" t="s">
        <v>590</v>
      </c>
      <c r="BC105" s="52">
        <f t="shared" si="66"/>
        <v>0</v>
      </c>
      <c r="BD105" s="52">
        <f t="shared" si="67"/>
        <v>0</v>
      </c>
      <c r="BE105" s="52">
        <v>0</v>
      </c>
      <c r="BF105" s="52">
        <f t="shared" si="68"/>
        <v>0.0048</v>
      </c>
      <c r="BH105" s="40">
        <f t="shared" si="69"/>
        <v>0</v>
      </c>
      <c r="BI105" s="40">
        <f t="shared" si="70"/>
        <v>0</v>
      </c>
      <c r="BJ105" s="40">
        <f t="shared" si="71"/>
        <v>0</v>
      </c>
      <c r="BK105" s="40" t="s">
        <v>595</v>
      </c>
      <c r="BL105" s="52">
        <v>725</v>
      </c>
    </row>
    <row r="106" spans="1:64" ht="12.75">
      <c r="A106" s="66" t="s">
        <v>130</v>
      </c>
      <c r="B106" s="17"/>
      <c r="C106" s="17" t="s">
        <v>252</v>
      </c>
      <c r="D106" s="112" t="s">
        <v>415</v>
      </c>
      <c r="E106" s="147"/>
      <c r="F106" s="17" t="s">
        <v>521</v>
      </c>
      <c r="G106" s="52">
        <v>6</v>
      </c>
      <c r="H106" s="173"/>
      <c r="I106" s="52">
        <f t="shared" si="48"/>
        <v>0</v>
      </c>
      <c r="J106" s="52">
        <f t="shared" si="49"/>
        <v>0</v>
      </c>
      <c r="K106" s="52">
        <f t="shared" si="50"/>
        <v>0</v>
      </c>
      <c r="L106" s="52">
        <v>0.00013</v>
      </c>
      <c r="M106" s="52">
        <f t="shared" si="51"/>
        <v>0.0007799999999999999</v>
      </c>
      <c r="N106" s="67" t="s">
        <v>545</v>
      </c>
      <c r="O106" s="18"/>
      <c r="Z106" s="52">
        <f t="shared" si="52"/>
        <v>0</v>
      </c>
      <c r="AB106" s="52">
        <f t="shared" si="53"/>
        <v>0</v>
      </c>
      <c r="AC106" s="52">
        <f t="shared" si="54"/>
        <v>0</v>
      </c>
      <c r="AD106" s="52">
        <f t="shared" si="55"/>
        <v>0</v>
      </c>
      <c r="AE106" s="52">
        <f t="shared" si="56"/>
        <v>0</v>
      </c>
      <c r="AF106" s="52">
        <f t="shared" si="57"/>
        <v>0</v>
      </c>
      <c r="AG106" s="52">
        <f t="shared" si="58"/>
        <v>0</v>
      </c>
      <c r="AH106" s="52">
        <f t="shared" si="59"/>
        <v>0</v>
      </c>
      <c r="AI106" s="48"/>
      <c r="AJ106" s="40">
        <f t="shared" si="60"/>
        <v>0</v>
      </c>
      <c r="AK106" s="40">
        <f t="shared" si="61"/>
        <v>0</v>
      </c>
      <c r="AL106" s="40">
        <f t="shared" si="62"/>
        <v>0</v>
      </c>
      <c r="AN106" s="52">
        <v>21</v>
      </c>
      <c r="AO106" s="52">
        <f>H106*0.20188679245283</f>
        <v>0</v>
      </c>
      <c r="AP106" s="52">
        <f>H106*(1-0.20188679245283)</f>
        <v>0</v>
      </c>
      <c r="AQ106" s="53" t="s">
        <v>80</v>
      </c>
      <c r="AV106" s="52">
        <f t="shared" si="63"/>
        <v>0</v>
      </c>
      <c r="AW106" s="52">
        <f t="shared" si="64"/>
        <v>0</v>
      </c>
      <c r="AX106" s="52">
        <f t="shared" si="65"/>
        <v>0</v>
      </c>
      <c r="AY106" s="55" t="s">
        <v>564</v>
      </c>
      <c r="AZ106" s="55" t="s">
        <v>584</v>
      </c>
      <c r="BA106" s="48" t="s">
        <v>590</v>
      </c>
      <c r="BC106" s="52">
        <f t="shared" si="66"/>
        <v>0</v>
      </c>
      <c r="BD106" s="52">
        <f t="shared" si="67"/>
        <v>0</v>
      </c>
      <c r="BE106" s="52">
        <v>0</v>
      </c>
      <c r="BF106" s="52">
        <f t="shared" si="68"/>
        <v>0.0007799999999999999</v>
      </c>
      <c r="BH106" s="40">
        <f t="shared" si="69"/>
        <v>0</v>
      </c>
      <c r="BI106" s="40">
        <f t="shared" si="70"/>
        <v>0</v>
      </c>
      <c r="BJ106" s="40">
        <f t="shared" si="71"/>
        <v>0</v>
      </c>
      <c r="BK106" s="40" t="s">
        <v>595</v>
      </c>
      <c r="BL106" s="52">
        <v>725</v>
      </c>
    </row>
    <row r="107" spans="1:64" ht="12.75">
      <c r="A107" s="66" t="s">
        <v>131</v>
      </c>
      <c r="B107" s="17"/>
      <c r="C107" s="17" t="s">
        <v>253</v>
      </c>
      <c r="D107" s="112" t="s">
        <v>416</v>
      </c>
      <c r="E107" s="147"/>
      <c r="F107" s="17" t="s">
        <v>521</v>
      </c>
      <c r="G107" s="52">
        <v>6</v>
      </c>
      <c r="H107" s="173"/>
      <c r="I107" s="52">
        <f t="shared" si="48"/>
        <v>0</v>
      </c>
      <c r="J107" s="52">
        <f t="shared" si="49"/>
        <v>0</v>
      </c>
      <c r="K107" s="52">
        <f t="shared" si="50"/>
        <v>0</v>
      </c>
      <c r="L107" s="52">
        <v>0.00092</v>
      </c>
      <c r="M107" s="52">
        <f t="shared" si="51"/>
        <v>0.005520000000000001</v>
      </c>
      <c r="N107" s="67" t="s">
        <v>545</v>
      </c>
      <c r="O107" s="18"/>
      <c r="Z107" s="52">
        <f t="shared" si="52"/>
        <v>0</v>
      </c>
      <c r="AB107" s="52">
        <f t="shared" si="53"/>
        <v>0</v>
      </c>
      <c r="AC107" s="52">
        <f t="shared" si="54"/>
        <v>0</v>
      </c>
      <c r="AD107" s="52">
        <f t="shared" si="55"/>
        <v>0</v>
      </c>
      <c r="AE107" s="52">
        <f t="shared" si="56"/>
        <v>0</v>
      </c>
      <c r="AF107" s="52">
        <f t="shared" si="57"/>
        <v>0</v>
      </c>
      <c r="AG107" s="52">
        <f t="shared" si="58"/>
        <v>0</v>
      </c>
      <c r="AH107" s="52">
        <f t="shared" si="59"/>
        <v>0</v>
      </c>
      <c r="AI107" s="48"/>
      <c r="AJ107" s="40">
        <f t="shared" si="60"/>
        <v>0</v>
      </c>
      <c r="AK107" s="40">
        <f t="shared" si="61"/>
        <v>0</v>
      </c>
      <c r="AL107" s="40">
        <f t="shared" si="62"/>
        <v>0</v>
      </c>
      <c r="AN107" s="52">
        <v>21</v>
      </c>
      <c r="AO107" s="52">
        <f>H107*0.748455821635012</f>
        <v>0</v>
      </c>
      <c r="AP107" s="52">
        <f>H107*(1-0.748455821635012)</f>
        <v>0</v>
      </c>
      <c r="AQ107" s="53" t="s">
        <v>80</v>
      </c>
      <c r="AV107" s="52">
        <f t="shared" si="63"/>
        <v>0</v>
      </c>
      <c r="AW107" s="52">
        <f t="shared" si="64"/>
        <v>0</v>
      </c>
      <c r="AX107" s="52">
        <f t="shared" si="65"/>
        <v>0</v>
      </c>
      <c r="AY107" s="55" t="s">
        <v>564</v>
      </c>
      <c r="AZ107" s="55" t="s">
        <v>584</v>
      </c>
      <c r="BA107" s="48" t="s">
        <v>590</v>
      </c>
      <c r="BC107" s="52">
        <f t="shared" si="66"/>
        <v>0</v>
      </c>
      <c r="BD107" s="52">
        <f t="shared" si="67"/>
        <v>0</v>
      </c>
      <c r="BE107" s="52">
        <v>0</v>
      </c>
      <c r="BF107" s="52">
        <f t="shared" si="68"/>
        <v>0.005520000000000001</v>
      </c>
      <c r="BH107" s="40">
        <f t="shared" si="69"/>
        <v>0</v>
      </c>
      <c r="BI107" s="40">
        <f t="shared" si="70"/>
        <v>0</v>
      </c>
      <c r="BJ107" s="40">
        <f t="shared" si="71"/>
        <v>0</v>
      </c>
      <c r="BK107" s="40" t="s">
        <v>595</v>
      </c>
      <c r="BL107" s="52">
        <v>725</v>
      </c>
    </row>
    <row r="108" spans="1:64" ht="12.75">
      <c r="A108" s="66" t="s">
        <v>132</v>
      </c>
      <c r="B108" s="17"/>
      <c r="C108" s="17" t="s">
        <v>254</v>
      </c>
      <c r="D108" s="112" t="s">
        <v>417</v>
      </c>
      <c r="E108" s="147"/>
      <c r="F108" s="17" t="s">
        <v>521</v>
      </c>
      <c r="G108" s="52">
        <v>6</v>
      </c>
      <c r="H108" s="173"/>
      <c r="I108" s="52">
        <f t="shared" si="48"/>
        <v>0</v>
      </c>
      <c r="J108" s="52">
        <f t="shared" si="49"/>
        <v>0</v>
      </c>
      <c r="K108" s="52">
        <f t="shared" si="50"/>
        <v>0</v>
      </c>
      <c r="L108" s="52">
        <v>0.00033</v>
      </c>
      <c r="M108" s="52">
        <f t="shared" si="51"/>
        <v>0.00198</v>
      </c>
      <c r="N108" s="67" t="s">
        <v>545</v>
      </c>
      <c r="O108" s="18"/>
      <c r="Z108" s="52">
        <f t="shared" si="52"/>
        <v>0</v>
      </c>
      <c r="AB108" s="52">
        <f t="shared" si="53"/>
        <v>0</v>
      </c>
      <c r="AC108" s="52">
        <f t="shared" si="54"/>
        <v>0</v>
      </c>
      <c r="AD108" s="52">
        <f t="shared" si="55"/>
        <v>0</v>
      </c>
      <c r="AE108" s="52">
        <f t="shared" si="56"/>
        <v>0</v>
      </c>
      <c r="AF108" s="52">
        <f t="shared" si="57"/>
        <v>0</v>
      </c>
      <c r="AG108" s="52">
        <f t="shared" si="58"/>
        <v>0</v>
      </c>
      <c r="AH108" s="52">
        <f t="shared" si="59"/>
        <v>0</v>
      </c>
      <c r="AI108" s="48"/>
      <c r="AJ108" s="40">
        <f t="shared" si="60"/>
        <v>0</v>
      </c>
      <c r="AK108" s="40">
        <f t="shared" si="61"/>
        <v>0</v>
      </c>
      <c r="AL108" s="40">
        <f t="shared" si="62"/>
        <v>0</v>
      </c>
      <c r="AN108" s="52">
        <v>21</v>
      </c>
      <c r="AO108" s="52">
        <f>H108*0.829103078982597</f>
        <v>0</v>
      </c>
      <c r="AP108" s="52">
        <f>H108*(1-0.829103078982597)</f>
        <v>0</v>
      </c>
      <c r="AQ108" s="53" t="s">
        <v>80</v>
      </c>
      <c r="AV108" s="52">
        <f t="shared" si="63"/>
        <v>0</v>
      </c>
      <c r="AW108" s="52">
        <f t="shared" si="64"/>
        <v>0</v>
      </c>
      <c r="AX108" s="52">
        <f t="shared" si="65"/>
        <v>0</v>
      </c>
      <c r="AY108" s="55" t="s">
        <v>564</v>
      </c>
      <c r="AZ108" s="55" t="s">
        <v>584</v>
      </c>
      <c r="BA108" s="48" t="s">
        <v>590</v>
      </c>
      <c r="BC108" s="52">
        <f t="shared" si="66"/>
        <v>0</v>
      </c>
      <c r="BD108" s="52">
        <f t="shared" si="67"/>
        <v>0</v>
      </c>
      <c r="BE108" s="52">
        <v>0</v>
      </c>
      <c r="BF108" s="52">
        <f t="shared" si="68"/>
        <v>0.00198</v>
      </c>
      <c r="BH108" s="40">
        <f t="shared" si="69"/>
        <v>0</v>
      </c>
      <c r="BI108" s="40">
        <f t="shared" si="70"/>
        <v>0</v>
      </c>
      <c r="BJ108" s="40">
        <f t="shared" si="71"/>
        <v>0</v>
      </c>
      <c r="BK108" s="40" t="s">
        <v>595</v>
      </c>
      <c r="BL108" s="52">
        <v>725</v>
      </c>
    </row>
    <row r="109" spans="1:64" ht="12.75">
      <c r="A109" s="66" t="s">
        <v>133</v>
      </c>
      <c r="B109" s="17"/>
      <c r="C109" s="17" t="s">
        <v>255</v>
      </c>
      <c r="D109" s="112" t="s">
        <v>418</v>
      </c>
      <c r="E109" s="147"/>
      <c r="F109" s="17" t="s">
        <v>521</v>
      </c>
      <c r="G109" s="52">
        <v>6</v>
      </c>
      <c r="H109" s="173"/>
      <c r="I109" s="52">
        <f t="shared" si="48"/>
        <v>0</v>
      </c>
      <c r="J109" s="52">
        <f t="shared" si="49"/>
        <v>0</v>
      </c>
      <c r="K109" s="52">
        <f t="shared" si="50"/>
        <v>0</v>
      </c>
      <c r="L109" s="52">
        <v>2E-05</v>
      </c>
      <c r="M109" s="52">
        <f t="shared" si="51"/>
        <v>0.00012000000000000002</v>
      </c>
      <c r="N109" s="67" t="s">
        <v>545</v>
      </c>
      <c r="O109" s="18"/>
      <c r="Z109" s="52">
        <f t="shared" si="52"/>
        <v>0</v>
      </c>
      <c r="AB109" s="52">
        <f t="shared" si="53"/>
        <v>0</v>
      </c>
      <c r="AC109" s="52">
        <f t="shared" si="54"/>
        <v>0</v>
      </c>
      <c r="AD109" s="52">
        <f t="shared" si="55"/>
        <v>0</v>
      </c>
      <c r="AE109" s="52">
        <f t="shared" si="56"/>
        <v>0</v>
      </c>
      <c r="AF109" s="52">
        <f t="shared" si="57"/>
        <v>0</v>
      </c>
      <c r="AG109" s="52">
        <f t="shared" si="58"/>
        <v>0</v>
      </c>
      <c r="AH109" s="52">
        <f t="shared" si="59"/>
        <v>0</v>
      </c>
      <c r="AI109" s="48"/>
      <c r="AJ109" s="40">
        <f t="shared" si="60"/>
        <v>0</v>
      </c>
      <c r="AK109" s="40">
        <f t="shared" si="61"/>
        <v>0</v>
      </c>
      <c r="AL109" s="40">
        <f t="shared" si="62"/>
        <v>0</v>
      </c>
      <c r="AN109" s="52">
        <v>21</v>
      </c>
      <c r="AO109" s="52">
        <f>H109*0.296256968409875</f>
        <v>0</v>
      </c>
      <c r="AP109" s="52">
        <f>H109*(1-0.296256968409875)</f>
        <v>0</v>
      </c>
      <c r="AQ109" s="53" t="s">
        <v>80</v>
      </c>
      <c r="AV109" s="52">
        <f t="shared" si="63"/>
        <v>0</v>
      </c>
      <c r="AW109" s="52">
        <f t="shared" si="64"/>
        <v>0</v>
      </c>
      <c r="AX109" s="52">
        <f t="shared" si="65"/>
        <v>0</v>
      </c>
      <c r="AY109" s="55" t="s">
        <v>564</v>
      </c>
      <c r="AZ109" s="55" t="s">
        <v>584</v>
      </c>
      <c r="BA109" s="48" t="s">
        <v>590</v>
      </c>
      <c r="BC109" s="52">
        <f t="shared" si="66"/>
        <v>0</v>
      </c>
      <c r="BD109" s="52">
        <f t="shared" si="67"/>
        <v>0</v>
      </c>
      <c r="BE109" s="52">
        <v>0</v>
      </c>
      <c r="BF109" s="52">
        <f t="shared" si="68"/>
        <v>0.00012000000000000002</v>
      </c>
      <c r="BH109" s="40">
        <f t="shared" si="69"/>
        <v>0</v>
      </c>
      <c r="BI109" s="40">
        <f t="shared" si="70"/>
        <v>0</v>
      </c>
      <c r="BJ109" s="40">
        <f t="shared" si="71"/>
        <v>0</v>
      </c>
      <c r="BK109" s="40" t="s">
        <v>595</v>
      </c>
      <c r="BL109" s="52">
        <v>725</v>
      </c>
    </row>
    <row r="110" spans="1:64" ht="12.75">
      <c r="A110" s="66" t="s">
        <v>134</v>
      </c>
      <c r="B110" s="17"/>
      <c r="C110" s="17" t="s">
        <v>256</v>
      </c>
      <c r="D110" s="112" t="s">
        <v>419</v>
      </c>
      <c r="E110" s="153"/>
      <c r="F110" s="17" t="s">
        <v>521</v>
      </c>
      <c r="G110" s="52">
        <v>2</v>
      </c>
      <c r="H110" s="173"/>
      <c r="I110" s="52">
        <f t="shared" si="48"/>
        <v>0</v>
      </c>
      <c r="J110" s="52">
        <f t="shared" si="49"/>
        <v>0</v>
      </c>
      <c r="K110" s="52">
        <f t="shared" si="50"/>
        <v>0</v>
      </c>
      <c r="L110" s="52">
        <v>0.0207</v>
      </c>
      <c r="M110" s="52">
        <f t="shared" si="51"/>
        <v>0.0414</v>
      </c>
      <c r="N110" s="67" t="s">
        <v>545</v>
      </c>
      <c r="O110" s="18"/>
      <c r="Z110" s="52">
        <f t="shared" si="52"/>
        <v>0</v>
      </c>
      <c r="AB110" s="52">
        <f t="shared" si="53"/>
        <v>0</v>
      </c>
      <c r="AC110" s="52">
        <f t="shared" si="54"/>
        <v>0</v>
      </c>
      <c r="AD110" s="52">
        <f t="shared" si="55"/>
        <v>0</v>
      </c>
      <c r="AE110" s="52">
        <f t="shared" si="56"/>
        <v>0</v>
      </c>
      <c r="AF110" s="52">
        <f t="shared" si="57"/>
        <v>0</v>
      </c>
      <c r="AG110" s="52">
        <f t="shared" si="58"/>
        <v>0</v>
      </c>
      <c r="AH110" s="52">
        <f t="shared" si="59"/>
        <v>0</v>
      </c>
      <c r="AI110" s="48"/>
      <c r="AJ110" s="41">
        <f t="shared" si="60"/>
        <v>0</v>
      </c>
      <c r="AK110" s="41">
        <f t="shared" si="61"/>
        <v>0</v>
      </c>
      <c r="AL110" s="41">
        <f t="shared" si="62"/>
        <v>0</v>
      </c>
      <c r="AN110" s="52">
        <v>21</v>
      </c>
      <c r="AO110" s="52">
        <f>H110*1</f>
        <v>0</v>
      </c>
      <c r="AP110" s="52">
        <f>H110*(1-1)</f>
        <v>0</v>
      </c>
      <c r="AQ110" s="54" t="s">
        <v>80</v>
      </c>
      <c r="AV110" s="52">
        <f t="shared" si="63"/>
        <v>0</v>
      </c>
      <c r="AW110" s="52">
        <f t="shared" si="64"/>
        <v>0</v>
      </c>
      <c r="AX110" s="52">
        <f t="shared" si="65"/>
        <v>0</v>
      </c>
      <c r="AY110" s="55" t="s">
        <v>564</v>
      </c>
      <c r="AZ110" s="55" t="s">
        <v>584</v>
      </c>
      <c r="BA110" s="48" t="s">
        <v>590</v>
      </c>
      <c r="BC110" s="52">
        <f t="shared" si="66"/>
        <v>0</v>
      </c>
      <c r="BD110" s="52">
        <f t="shared" si="67"/>
        <v>0</v>
      </c>
      <c r="BE110" s="52">
        <v>0</v>
      </c>
      <c r="BF110" s="52">
        <f t="shared" si="68"/>
        <v>0.0414</v>
      </c>
      <c r="BH110" s="41">
        <f t="shared" si="69"/>
        <v>0</v>
      </c>
      <c r="BI110" s="41">
        <f t="shared" si="70"/>
        <v>0</v>
      </c>
      <c r="BJ110" s="41">
        <f t="shared" si="71"/>
        <v>0</v>
      </c>
      <c r="BK110" s="41" t="s">
        <v>596</v>
      </c>
      <c r="BL110" s="52">
        <v>725</v>
      </c>
    </row>
    <row r="111" spans="1:64" ht="12.75">
      <c r="A111" s="66" t="s">
        <v>135</v>
      </c>
      <c r="B111" s="17"/>
      <c r="C111" s="17" t="s">
        <v>257</v>
      </c>
      <c r="D111" s="112" t="s">
        <v>420</v>
      </c>
      <c r="E111" s="147"/>
      <c r="F111" s="17" t="s">
        <v>526</v>
      </c>
      <c r="G111" s="52">
        <v>8</v>
      </c>
      <c r="H111" s="173"/>
      <c r="I111" s="52">
        <f t="shared" si="48"/>
        <v>0</v>
      </c>
      <c r="J111" s="52">
        <f t="shared" si="49"/>
        <v>0</v>
      </c>
      <c r="K111" s="52">
        <f t="shared" si="50"/>
        <v>0</v>
      </c>
      <c r="L111" s="52">
        <v>0.00017</v>
      </c>
      <c r="M111" s="52">
        <f t="shared" si="51"/>
        <v>0.00136</v>
      </c>
      <c r="N111" s="67" t="s">
        <v>545</v>
      </c>
      <c r="O111" s="18"/>
      <c r="Z111" s="52">
        <f t="shared" si="52"/>
        <v>0</v>
      </c>
      <c r="AB111" s="52">
        <f t="shared" si="53"/>
        <v>0</v>
      </c>
      <c r="AC111" s="52">
        <f t="shared" si="54"/>
        <v>0</v>
      </c>
      <c r="AD111" s="52">
        <f t="shared" si="55"/>
        <v>0</v>
      </c>
      <c r="AE111" s="52">
        <f t="shared" si="56"/>
        <v>0</v>
      </c>
      <c r="AF111" s="52">
        <f t="shared" si="57"/>
        <v>0</v>
      </c>
      <c r="AG111" s="52">
        <f t="shared" si="58"/>
        <v>0</v>
      </c>
      <c r="AH111" s="52">
        <f t="shared" si="59"/>
        <v>0</v>
      </c>
      <c r="AI111" s="48"/>
      <c r="AJ111" s="40">
        <f t="shared" si="60"/>
        <v>0</v>
      </c>
      <c r="AK111" s="40">
        <f t="shared" si="61"/>
        <v>0</v>
      </c>
      <c r="AL111" s="40">
        <f t="shared" si="62"/>
        <v>0</v>
      </c>
      <c r="AN111" s="52">
        <v>21</v>
      </c>
      <c r="AO111" s="52">
        <f>H111*0.523036437246964</f>
        <v>0</v>
      </c>
      <c r="AP111" s="52">
        <f>H111*(1-0.523036437246964)</f>
        <v>0</v>
      </c>
      <c r="AQ111" s="53" t="s">
        <v>80</v>
      </c>
      <c r="AV111" s="52">
        <f t="shared" si="63"/>
        <v>0</v>
      </c>
      <c r="AW111" s="52">
        <f t="shared" si="64"/>
        <v>0</v>
      </c>
      <c r="AX111" s="52">
        <f t="shared" si="65"/>
        <v>0</v>
      </c>
      <c r="AY111" s="55" t="s">
        <v>564</v>
      </c>
      <c r="AZ111" s="55" t="s">
        <v>584</v>
      </c>
      <c r="BA111" s="48" t="s">
        <v>590</v>
      </c>
      <c r="BC111" s="52">
        <f t="shared" si="66"/>
        <v>0</v>
      </c>
      <c r="BD111" s="52">
        <f t="shared" si="67"/>
        <v>0</v>
      </c>
      <c r="BE111" s="52">
        <v>0</v>
      </c>
      <c r="BF111" s="52">
        <f t="shared" si="68"/>
        <v>0.00136</v>
      </c>
      <c r="BH111" s="40">
        <f t="shared" si="69"/>
        <v>0</v>
      </c>
      <c r="BI111" s="40">
        <f t="shared" si="70"/>
        <v>0</v>
      </c>
      <c r="BJ111" s="40">
        <f t="shared" si="71"/>
        <v>0</v>
      </c>
      <c r="BK111" s="40" t="s">
        <v>595</v>
      </c>
      <c r="BL111" s="52">
        <v>725</v>
      </c>
    </row>
    <row r="112" spans="1:64" ht="12.75">
      <c r="A112" s="66" t="s">
        <v>136</v>
      </c>
      <c r="B112" s="17"/>
      <c r="C112" s="17" t="s">
        <v>258</v>
      </c>
      <c r="D112" s="112" t="s">
        <v>421</v>
      </c>
      <c r="E112" s="147"/>
      <c r="F112" s="17" t="s">
        <v>526</v>
      </c>
      <c r="G112" s="52">
        <v>6</v>
      </c>
      <c r="H112" s="173"/>
      <c r="I112" s="52">
        <f t="shared" si="48"/>
        <v>0</v>
      </c>
      <c r="J112" s="52">
        <f t="shared" si="49"/>
        <v>0</v>
      </c>
      <c r="K112" s="52">
        <f t="shared" si="50"/>
        <v>0</v>
      </c>
      <c r="L112" s="52">
        <v>0.00062</v>
      </c>
      <c r="M112" s="52">
        <f t="shared" si="51"/>
        <v>0.00372</v>
      </c>
      <c r="N112" s="67" t="s">
        <v>545</v>
      </c>
      <c r="O112" s="18"/>
      <c r="Z112" s="52">
        <f t="shared" si="52"/>
        <v>0</v>
      </c>
      <c r="AB112" s="52">
        <f t="shared" si="53"/>
        <v>0</v>
      </c>
      <c r="AC112" s="52">
        <f t="shared" si="54"/>
        <v>0</v>
      </c>
      <c r="AD112" s="52">
        <f t="shared" si="55"/>
        <v>0</v>
      </c>
      <c r="AE112" s="52">
        <f t="shared" si="56"/>
        <v>0</v>
      </c>
      <c r="AF112" s="52">
        <f t="shared" si="57"/>
        <v>0</v>
      </c>
      <c r="AG112" s="52">
        <f t="shared" si="58"/>
        <v>0</v>
      </c>
      <c r="AH112" s="52">
        <f t="shared" si="59"/>
        <v>0</v>
      </c>
      <c r="AI112" s="48"/>
      <c r="AJ112" s="40">
        <f t="shared" si="60"/>
        <v>0</v>
      </c>
      <c r="AK112" s="40">
        <f t="shared" si="61"/>
        <v>0</v>
      </c>
      <c r="AL112" s="40">
        <f t="shared" si="62"/>
        <v>0</v>
      </c>
      <c r="AN112" s="52">
        <v>21</v>
      </c>
      <c r="AO112" s="52">
        <f>H112*0.325393373033135</f>
        <v>0</v>
      </c>
      <c r="AP112" s="52">
        <f>H112*(1-0.325393373033135)</f>
        <v>0</v>
      </c>
      <c r="AQ112" s="53" t="s">
        <v>80</v>
      </c>
      <c r="AV112" s="52">
        <f t="shared" si="63"/>
        <v>0</v>
      </c>
      <c r="AW112" s="52">
        <f t="shared" si="64"/>
        <v>0</v>
      </c>
      <c r="AX112" s="52">
        <f t="shared" si="65"/>
        <v>0</v>
      </c>
      <c r="AY112" s="55" t="s">
        <v>564</v>
      </c>
      <c r="AZ112" s="55" t="s">
        <v>584</v>
      </c>
      <c r="BA112" s="48" t="s">
        <v>590</v>
      </c>
      <c r="BC112" s="52">
        <f t="shared" si="66"/>
        <v>0</v>
      </c>
      <c r="BD112" s="52">
        <f t="shared" si="67"/>
        <v>0</v>
      </c>
      <c r="BE112" s="52">
        <v>0</v>
      </c>
      <c r="BF112" s="52">
        <f t="shared" si="68"/>
        <v>0.00372</v>
      </c>
      <c r="BH112" s="40">
        <f t="shared" si="69"/>
        <v>0</v>
      </c>
      <c r="BI112" s="40">
        <f t="shared" si="70"/>
        <v>0</v>
      </c>
      <c r="BJ112" s="40">
        <f t="shared" si="71"/>
        <v>0</v>
      </c>
      <c r="BK112" s="40" t="s">
        <v>595</v>
      </c>
      <c r="BL112" s="52">
        <v>725</v>
      </c>
    </row>
    <row r="113" spans="1:64" ht="12.75">
      <c r="A113" s="66" t="s">
        <v>137</v>
      </c>
      <c r="B113" s="17"/>
      <c r="C113" s="17" t="s">
        <v>259</v>
      </c>
      <c r="D113" s="112" t="s">
        <v>422</v>
      </c>
      <c r="E113" s="147"/>
      <c r="F113" s="17" t="s">
        <v>526</v>
      </c>
      <c r="G113" s="52">
        <v>6</v>
      </c>
      <c r="H113" s="173"/>
      <c r="I113" s="52">
        <f t="shared" si="48"/>
        <v>0</v>
      </c>
      <c r="J113" s="52">
        <f t="shared" si="49"/>
        <v>0</v>
      </c>
      <c r="K113" s="52">
        <f t="shared" si="50"/>
        <v>0</v>
      </c>
      <c r="L113" s="52">
        <v>0.00017</v>
      </c>
      <c r="M113" s="52">
        <f t="shared" si="51"/>
        <v>0.00102</v>
      </c>
      <c r="N113" s="67" t="s">
        <v>545</v>
      </c>
      <c r="O113" s="18"/>
      <c r="Z113" s="52">
        <f t="shared" si="52"/>
        <v>0</v>
      </c>
      <c r="AB113" s="52">
        <f t="shared" si="53"/>
        <v>0</v>
      </c>
      <c r="AC113" s="52">
        <f t="shared" si="54"/>
        <v>0</v>
      </c>
      <c r="AD113" s="52">
        <f t="shared" si="55"/>
        <v>0</v>
      </c>
      <c r="AE113" s="52">
        <f t="shared" si="56"/>
        <v>0</v>
      </c>
      <c r="AF113" s="52">
        <f t="shared" si="57"/>
        <v>0</v>
      </c>
      <c r="AG113" s="52">
        <f t="shared" si="58"/>
        <v>0</v>
      </c>
      <c r="AH113" s="52">
        <f t="shared" si="59"/>
        <v>0</v>
      </c>
      <c r="AI113" s="48"/>
      <c r="AJ113" s="40">
        <f t="shared" si="60"/>
        <v>0</v>
      </c>
      <c r="AK113" s="40">
        <f t="shared" si="61"/>
        <v>0</v>
      </c>
      <c r="AL113" s="40">
        <f t="shared" si="62"/>
        <v>0</v>
      </c>
      <c r="AN113" s="52">
        <v>21</v>
      </c>
      <c r="AO113" s="52">
        <f>H113*0.0494693619709413</f>
        <v>0</v>
      </c>
      <c r="AP113" s="52">
        <f>H113*(1-0.0494693619709413)</f>
        <v>0</v>
      </c>
      <c r="AQ113" s="53" t="s">
        <v>80</v>
      </c>
      <c r="AV113" s="52">
        <f t="shared" si="63"/>
        <v>0</v>
      </c>
      <c r="AW113" s="52">
        <f t="shared" si="64"/>
        <v>0</v>
      </c>
      <c r="AX113" s="52">
        <f t="shared" si="65"/>
        <v>0</v>
      </c>
      <c r="AY113" s="55" t="s">
        <v>564</v>
      </c>
      <c r="AZ113" s="55" t="s">
        <v>584</v>
      </c>
      <c r="BA113" s="48" t="s">
        <v>590</v>
      </c>
      <c r="BC113" s="52">
        <f t="shared" si="66"/>
        <v>0</v>
      </c>
      <c r="BD113" s="52">
        <f t="shared" si="67"/>
        <v>0</v>
      </c>
      <c r="BE113" s="52">
        <v>0</v>
      </c>
      <c r="BF113" s="52">
        <f t="shared" si="68"/>
        <v>0.00102</v>
      </c>
      <c r="BH113" s="40">
        <f t="shared" si="69"/>
        <v>0</v>
      </c>
      <c r="BI113" s="40">
        <f t="shared" si="70"/>
        <v>0</v>
      </c>
      <c r="BJ113" s="40">
        <f t="shared" si="71"/>
        <v>0</v>
      </c>
      <c r="BK113" s="40" t="s">
        <v>595</v>
      </c>
      <c r="BL113" s="52">
        <v>725</v>
      </c>
    </row>
    <row r="114" spans="1:64" ht="12.75">
      <c r="A114" s="66" t="s">
        <v>138</v>
      </c>
      <c r="B114" s="17"/>
      <c r="C114" s="17" t="s">
        <v>260</v>
      </c>
      <c r="D114" s="112" t="s">
        <v>423</v>
      </c>
      <c r="E114" s="147"/>
      <c r="F114" s="17" t="s">
        <v>526</v>
      </c>
      <c r="G114" s="52">
        <v>2</v>
      </c>
      <c r="H114" s="173"/>
      <c r="I114" s="52">
        <f t="shared" si="48"/>
        <v>0</v>
      </c>
      <c r="J114" s="52">
        <f t="shared" si="49"/>
        <v>0</v>
      </c>
      <c r="K114" s="52">
        <f t="shared" si="50"/>
        <v>0</v>
      </c>
      <c r="L114" s="52">
        <v>3E-05</v>
      </c>
      <c r="M114" s="52">
        <f t="shared" si="51"/>
        <v>6E-05</v>
      </c>
      <c r="N114" s="67" t="s">
        <v>545</v>
      </c>
      <c r="O114" s="18"/>
      <c r="Z114" s="52">
        <f t="shared" si="52"/>
        <v>0</v>
      </c>
      <c r="AB114" s="52">
        <f t="shared" si="53"/>
        <v>0</v>
      </c>
      <c r="AC114" s="52">
        <f t="shared" si="54"/>
        <v>0</v>
      </c>
      <c r="AD114" s="52">
        <f t="shared" si="55"/>
        <v>0</v>
      </c>
      <c r="AE114" s="52">
        <f t="shared" si="56"/>
        <v>0</v>
      </c>
      <c r="AF114" s="52">
        <f t="shared" si="57"/>
        <v>0</v>
      </c>
      <c r="AG114" s="52">
        <f t="shared" si="58"/>
        <v>0</v>
      </c>
      <c r="AH114" s="52">
        <f t="shared" si="59"/>
        <v>0</v>
      </c>
      <c r="AI114" s="48"/>
      <c r="AJ114" s="40">
        <f t="shared" si="60"/>
        <v>0</v>
      </c>
      <c r="AK114" s="40">
        <f t="shared" si="61"/>
        <v>0</v>
      </c>
      <c r="AL114" s="40">
        <f t="shared" si="62"/>
        <v>0</v>
      </c>
      <c r="AN114" s="52">
        <v>21</v>
      </c>
      <c r="AO114" s="52">
        <f>H114*0.122762148337596</f>
        <v>0</v>
      </c>
      <c r="AP114" s="52">
        <f>H114*(1-0.122762148337596)</f>
        <v>0</v>
      </c>
      <c r="AQ114" s="53" t="s">
        <v>80</v>
      </c>
      <c r="AV114" s="52">
        <f t="shared" si="63"/>
        <v>0</v>
      </c>
      <c r="AW114" s="52">
        <f t="shared" si="64"/>
        <v>0</v>
      </c>
      <c r="AX114" s="52">
        <f t="shared" si="65"/>
        <v>0</v>
      </c>
      <c r="AY114" s="55" t="s">
        <v>564</v>
      </c>
      <c r="AZ114" s="55" t="s">
        <v>584</v>
      </c>
      <c r="BA114" s="48" t="s">
        <v>590</v>
      </c>
      <c r="BC114" s="52">
        <f t="shared" si="66"/>
        <v>0</v>
      </c>
      <c r="BD114" s="52">
        <f t="shared" si="67"/>
        <v>0</v>
      </c>
      <c r="BE114" s="52">
        <v>0</v>
      </c>
      <c r="BF114" s="52">
        <f t="shared" si="68"/>
        <v>6E-05</v>
      </c>
      <c r="BH114" s="40">
        <f t="shared" si="69"/>
        <v>0</v>
      </c>
      <c r="BI114" s="40">
        <f t="shared" si="70"/>
        <v>0</v>
      </c>
      <c r="BJ114" s="40">
        <f t="shared" si="71"/>
        <v>0</v>
      </c>
      <c r="BK114" s="40" t="s">
        <v>595</v>
      </c>
      <c r="BL114" s="52">
        <v>725</v>
      </c>
    </row>
    <row r="115" spans="1:64" ht="12.75">
      <c r="A115" s="66" t="s">
        <v>139</v>
      </c>
      <c r="B115" s="17"/>
      <c r="C115" s="17" t="s">
        <v>261</v>
      </c>
      <c r="D115" s="112" t="s">
        <v>424</v>
      </c>
      <c r="E115" s="153"/>
      <c r="F115" s="17" t="s">
        <v>521</v>
      </c>
      <c r="G115" s="52">
        <v>2</v>
      </c>
      <c r="H115" s="173"/>
      <c r="I115" s="52">
        <f t="shared" si="48"/>
        <v>0</v>
      </c>
      <c r="J115" s="52">
        <f t="shared" si="49"/>
        <v>0</v>
      </c>
      <c r="K115" s="52">
        <f t="shared" si="50"/>
        <v>0</v>
      </c>
      <c r="L115" s="52">
        <v>0.0005</v>
      </c>
      <c r="M115" s="52">
        <f t="shared" si="51"/>
        <v>0.001</v>
      </c>
      <c r="N115" s="67" t="s">
        <v>545</v>
      </c>
      <c r="O115" s="18"/>
      <c r="Z115" s="52">
        <f t="shared" si="52"/>
        <v>0</v>
      </c>
      <c r="AB115" s="52">
        <f t="shared" si="53"/>
        <v>0</v>
      </c>
      <c r="AC115" s="52">
        <f t="shared" si="54"/>
        <v>0</v>
      </c>
      <c r="AD115" s="52">
        <f t="shared" si="55"/>
        <v>0</v>
      </c>
      <c r="AE115" s="52">
        <f t="shared" si="56"/>
        <v>0</v>
      </c>
      <c r="AF115" s="52">
        <f t="shared" si="57"/>
        <v>0</v>
      </c>
      <c r="AG115" s="52">
        <f t="shared" si="58"/>
        <v>0</v>
      </c>
      <c r="AH115" s="52">
        <f t="shared" si="59"/>
        <v>0</v>
      </c>
      <c r="AI115" s="48"/>
      <c r="AJ115" s="41">
        <f t="shared" si="60"/>
        <v>0</v>
      </c>
      <c r="AK115" s="41">
        <f t="shared" si="61"/>
        <v>0</v>
      </c>
      <c r="AL115" s="41">
        <f t="shared" si="62"/>
        <v>0</v>
      </c>
      <c r="AN115" s="52">
        <v>21</v>
      </c>
      <c r="AO115" s="52">
        <f aca="true" t="shared" si="72" ref="AO115:AO120">H115*1</f>
        <v>0</v>
      </c>
      <c r="AP115" s="52">
        <f aca="true" t="shared" si="73" ref="AP115:AP120">H115*(1-1)</f>
        <v>0</v>
      </c>
      <c r="AQ115" s="54" t="s">
        <v>80</v>
      </c>
      <c r="AV115" s="52">
        <f t="shared" si="63"/>
        <v>0</v>
      </c>
      <c r="AW115" s="52">
        <f t="shared" si="64"/>
        <v>0</v>
      </c>
      <c r="AX115" s="52">
        <f t="shared" si="65"/>
        <v>0</v>
      </c>
      <c r="AY115" s="55" t="s">
        <v>564</v>
      </c>
      <c r="AZ115" s="55" t="s">
        <v>584</v>
      </c>
      <c r="BA115" s="48" t="s">
        <v>590</v>
      </c>
      <c r="BC115" s="52">
        <f t="shared" si="66"/>
        <v>0</v>
      </c>
      <c r="BD115" s="52">
        <f t="shared" si="67"/>
        <v>0</v>
      </c>
      <c r="BE115" s="52">
        <v>0</v>
      </c>
      <c r="BF115" s="52">
        <f t="shared" si="68"/>
        <v>0.001</v>
      </c>
      <c r="BH115" s="41">
        <f t="shared" si="69"/>
        <v>0</v>
      </c>
      <c r="BI115" s="41">
        <f t="shared" si="70"/>
        <v>0</v>
      </c>
      <c r="BJ115" s="41">
        <f t="shared" si="71"/>
        <v>0</v>
      </c>
      <c r="BK115" s="41" t="s">
        <v>596</v>
      </c>
      <c r="BL115" s="52">
        <v>725</v>
      </c>
    </row>
    <row r="116" spans="1:64" ht="12.75">
      <c r="A116" s="66" t="s">
        <v>140</v>
      </c>
      <c r="B116" s="17"/>
      <c r="C116" s="17" t="s">
        <v>262</v>
      </c>
      <c r="D116" s="112" t="s">
        <v>425</v>
      </c>
      <c r="E116" s="153"/>
      <c r="F116" s="17" t="s">
        <v>521</v>
      </c>
      <c r="G116" s="52">
        <v>4</v>
      </c>
      <c r="H116" s="173"/>
      <c r="I116" s="52">
        <f t="shared" si="48"/>
        <v>0</v>
      </c>
      <c r="J116" s="52">
        <f t="shared" si="49"/>
        <v>0</v>
      </c>
      <c r="K116" s="52">
        <f t="shared" si="50"/>
        <v>0</v>
      </c>
      <c r="L116" s="52">
        <v>0.002</v>
      </c>
      <c r="M116" s="52">
        <f t="shared" si="51"/>
        <v>0.008</v>
      </c>
      <c r="N116" s="67" t="s">
        <v>545</v>
      </c>
      <c r="O116" s="18"/>
      <c r="Z116" s="52">
        <f t="shared" si="52"/>
        <v>0</v>
      </c>
      <c r="AB116" s="52">
        <f t="shared" si="53"/>
        <v>0</v>
      </c>
      <c r="AC116" s="52">
        <f t="shared" si="54"/>
        <v>0</v>
      </c>
      <c r="AD116" s="52">
        <f t="shared" si="55"/>
        <v>0</v>
      </c>
      <c r="AE116" s="52">
        <f t="shared" si="56"/>
        <v>0</v>
      </c>
      <c r="AF116" s="52">
        <f t="shared" si="57"/>
        <v>0</v>
      </c>
      <c r="AG116" s="52">
        <f t="shared" si="58"/>
        <v>0</v>
      </c>
      <c r="AH116" s="52">
        <f t="shared" si="59"/>
        <v>0</v>
      </c>
      <c r="AI116" s="48"/>
      <c r="AJ116" s="41">
        <f t="shared" si="60"/>
        <v>0</v>
      </c>
      <c r="AK116" s="41">
        <f t="shared" si="61"/>
        <v>0</v>
      </c>
      <c r="AL116" s="41">
        <f t="shared" si="62"/>
        <v>0</v>
      </c>
      <c r="AN116" s="52">
        <v>21</v>
      </c>
      <c r="AO116" s="52">
        <f t="shared" si="72"/>
        <v>0</v>
      </c>
      <c r="AP116" s="52">
        <f t="shared" si="73"/>
        <v>0</v>
      </c>
      <c r="AQ116" s="54" t="s">
        <v>80</v>
      </c>
      <c r="AV116" s="52">
        <f t="shared" si="63"/>
        <v>0</v>
      </c>
      <c r="AW116" s="52">
        <f t="shared" si="64"/>
        <v>0</v>
      </c>
      <c r="AX116" s="52">
        <f t="shared" si="65"/>
        <v>0</v>
      </c>
      <c r="AY116" s="55" t="s">
        <v>564</v>
      </c>
      <c r="AZ116" s="55" t="s">
        <v>584</v>
      </c>
      <c r="BA116" s="48" t="s">
        <v>590</v>
      </c>
      <c r="BC116" s="52">
        <f t="shared" si="66"/>
        <v>0</v>
      </c>
      <c r="BD116" s="52">
        <f t="shared" si="67"/>
        <v>0</v>
      </c>
      <c r="BE116" s="52">
        <v>0</v>
      </c>
      <c r="BF116" s="52">
        <f t="shared" si="68"/>
        <v>0.008</v>
      </c>
      <c r="BH116" s="41">
        <f t="shared" si="69"/>
        <v>0</v>
      </c>
      <c r="BI116" s="41">
        <f t="shared" si="70"/>
        <v>0</v>
      </c>
      <c r="BJ116" s="41">
        <f t="shared" si="71"/>
        <v>0</v>
      </c>
      <c r="BK116" s="41" t="s">
        <v>596</v>
      </c>
      <c r="BL116" s="52">
        <v>725</v>
      </c>
    </row>
    <row r="117" spans="1:64" ht="12.75">
      <c r="A117" s="66" t="s">
        <v>141</v>
      </c>
      <c r="B117" s="17"/>
      <c r="C117" s="17" t="s">
        <v>263</v>
      </c>
      <c r="D117" s="112" t="s">
        <v>426</v>
      </c>
      <c r="E117" s="153"/>
      <c r="F117" s="17" t="s">
        <v>521</v>
      </c>
      <c r="G117" s="52">
        <v>6</v>
      </c>
      <c r="H117" s="173"/>
      <c r="I117" s="52">
        <f t="shared" si="48"/>
        <v>0</v>
      </c>
      <c r="J117" s="52">
        <f t="shared" si="49"/>
        <v>0</v>
      </c>
      <c r="K117" s="52">
        <f t="shared" si="50"/>
        <v>0</v>
      </c>
      <c r="L117" s="52">
        <v>0.01</v>
      </c>
      <c r="M117" s="52">
        <f t="shared" si="51"/>
        <v>0.06</v>
      </c>
      <c r="N117" s="67" t="s">
        <v>545</v>
      </c>
      <c r="O117" s="18"/>
      <c r="Z117" s="52">
        <f t="shared" si="52"/>
        <v>0</v>
      </c>
      <c r="AB117" s="52">
        <f t="shared" si="53"/>
        <v>0</v>
      </c>
      <c r="AC117" s="52">
        <f t="shared" si="54"/>
        <v>0</v>
      </c>
      <c r="AD117" s="52">
        <f t="shared" si="55"/>
        <v>0</v>
      </c>
      <c r="AE117" s="52">
        <f t="shared" si="56"/>
        <v>0</v>
      </c>
      <c r="AF117" s="52">
        <f t="shared" si="57"/>
        <v>0</v>
      </c>
      <c r="AG117" s="52">
        <f t="shared" si="58"/>
        <v>0</v>
      </c>
      <c r="AH117" s="52">
        <f t="shared" si="59"/>
        <v>0</v>
      </c>
      <c r="AI117" s="48"/>
      <c r="AJ117" s="41">
        <f t="shared" si="60"/>
        <v>0</v>
      </c>
      <c r="AK117" s="41">
        <f t="shared" si="61"/>
        <v>0</v>
      </c>
      <c r="AL117" s="41">
        <f t="shared" si="62"/>
        <v>0</v>
      </c>
      <c r="AN117" s="52">
        <v>21</v>
      </c>
      <c r="AO117" s="52">
        <f t="shared" si="72"/>
        <v>0</v>
      </c>
      <c r="AP117" s="52">
        <f t="shared" si="73"/>
        <v>0</v>
      </c>
      <c r="AQ117" s="54" t="s">
        <v>80</v>
      </c>
      <c r="AV117" s="52">
        <f t="shared" si="63"/>
        <v>0</v>
      </c>
      <c r="AW117" s="52">
        <f t="shared" si="64"/>
        <v>0</v>
      </c>
      <c r="AX117" s="52">
        <f t="shared" si="65"/>
        <v>0</v>
      </c>
      <c r="AY117" s="55" t="s">
        <v>564</v>
      </c>
      <c r="AZ117" s="55" t="s">
        <v>584</v>
      </c>
      <c r="BA117" s="48" t="s">
        <v>590</v>
      </c>
      <c r="BC117" s="52">
        <f t="shared" si="66"/>
        <v>0</v>
      </c>
      <c r="BD117" s="52">
        <f t="shared" si="67"/>
        <v>0</v>
      </c>
      <c r="BE117" s="52">
        <v>0</v>
      </c>
      <c r="BF117" s="52">
        <f t="shared" si="68"/>
        <v>0.06</v>
      </c>
      <c r="BH117" s="41">
        <f t="shared" si="69"/>
        <v>0</v>
      </c>
      <c r="BI117" s="41">
        <f t="shared" si="70"/>
        <v>0</v>
      </c>
      <c r="BJ117" s="41">
        <f t="shared" si="71"/>
        <v>0</v>
      </c>
      <c r="BK117" s="41" t="s">
        <v>596</v>
      </c>
      <c r="BL117" s="52">
        <v>725</v>
      </c>
    </row>
    <row r="118" spans="1:64" ht="12.75">
      <c r="A118" s="66" t="s">
        <v>142</v>
      </c>
      <c r="B118" s="17"/>
      <c r="C118" s="17" t="s">
        <v>264</v>
      </c>
      <c r="D118" s="112" t="s">
        <v>427</v>
      </c>
      <c r="E118" s="153"/>
      <c r="F118" s="17" t="s">
        <v>521</v>
      </c>
      <c r="G118" s="52">
        <v>6</v>
      </c>
      <c r="H118" s="173"/>
      <c r="I118" s="52">
        <f t="shared" si="48"/>
        <v>0</v>
      </c>
      <c r="J118" s="52">
        <f t="shared" si="49"/>
        <v>0</v>
      </c>
      <c r="K118" s="52">
        <f t="shared" si="50"/>
        <v>0</v>
      </c>
      <c r="L118" s="52">
        <v>0.03</v>
      </c>
      <c r="M118" s="52">
        <f t="shared" si="51"/>
        <v>0.18</v>
      </c>
      <c r="N118" s="67" t="s">
        <v>545</v>
      </c>
      <c r="O118" s="18"/>
      <c r="Z118" s="52">
        <f t="shared" si="52"/>
        <v>0</v>
      </c>
      <c r="AB118" s="52">
        <f t="shared" si="53"/>
        <v>0</v>
      </c>
      <c r="AC118" s="52">
        <f t="shared" si="54"/>
        <v>0</v>
      </c>
      <c r="AD118" s="52">
        <f t="shared" si="55"/>
        <v>0</v>
      </c>
      <c r="AE118" s="52">
        <f t="shared" si="56"/>
        <v>0</v>
      </c>
      <c r="AF118" s="52">
        <f t="shared" si="57"/>
        <v>0</v>
      </c>
      <c r="AG118" s="52">
        <f t="shared" si="58"/>
        <v>0</v>
      </c>
      <c r="AH118" s="52">
        <f t="shared" si="59"/>
        <v>0</v>
      </c>
      <c r="AI118" s="48"/>
      <c r="AJ118" s="41">
        <f t="shared" si="60"/>
        <v>0</v>
      </c>
      <c r="AK118" s="41">
        <f t="shared" si="61"/>
        <v>0</v>
      </c>
      <c r="AL118" s="41">
        <f t="shared" si="62"/>
        <v>0</v>
      </c>
      <c r="AN118" s="52">
        <v>21</v>
      </c>
      <c r="AO118" s="52">
        <f t="shared" si="72"/>
        <v>0</v>
      </c>
      <c r="AP118" s="52">
        <f t="shared" si="73"/>
        <v>0</v>
      </c>
      <c r="AQ118" s="54" t="s">
        <v>80</v>
      </c>
      <c r="AV118" s="52">
        <f t="shared" si="63"/>
        <v>0</v>
      </c>
      <c r="AW118" s="52">
        <f t="shared" si="64"/>
        <v>0</v>
      </c>
      <c r="AX118" s="52">
        <f t="shared" si="65"/>
        <v>0</v>
      </c>
      <c r="AY118" s="55" t="s">
        <v>564</v>
      </c>
      <c r="AZ118" s="55" t="s">
        <v>584</v>
      </c>
      <c r="BA118" s="48" t="s">
        <v>590</v>
      </c>
      <c r="BC118" s="52">
        <f t="shared" si="66"/>
        <v>0</v>
      </c>
      <c r="BD118" s="52">
        <f t="shared" si="67"/>
        <v>0</v>
      </c>
      <c r="BE118" s="52">
        <v>0</v>
      </c>
      <c r="BF118" s="52">
        <f t="shared" si="68"/>
        <v>0.18</v>
      </c>
      <c r="BH118" s="41">
        <f t="shared" si="69"/>
        <v>0</v>
      </c>
      <c r="BI118" s="41">
        <f t="shared" si="70"/>
        <v>0</v>
      </c>
      <c r="BJ118" s="41">
        <f t="shared" si="71"/>
        <v>0</v>
      </c>
      <c r="BK118" s="41" t="s">
        <v>596</v>
      </c>
      <c r="BL118" s="52">
        <v>725</v>
      </c>
    </row>
    <row r="119" spans="1:64" ht="12.75">
      <c r="A119" s="66" t="s">
        <v>143</v>
      </c>
      <c r="B119" s="17"/>
      <c r="C119" s="17" t="s">
        <v>265</v>
      </c>
      <c r="D119" s="112" t="s">
        <v>428</v>
      </c>
      <c r="E119" s="153"/>
      <c r="F119" s="17" t="s">
        <v>521</v>
      </c>
      <c r="G119" s="52">
        <v>6</v>
      </c>
      <c r="H119" s="173"/>
      <c r="I119" s="52">
        <f t="shared" si="48"/>
        <v>0</v>
      </c>
      <c r="J119" s="52">
        <f t="shared" si="49"/>
        <v>0</v>
      </c>
      <c r="K119" s="52">
        <f t="shared" si="50"/>
        <v>0</v>
      </c>
      <c r="L119" s="52">
        <v>0</v>
      </c>
      <c r="M119" s="52">
        <f t="shared" si="51"/>
        <v>0</v>
      </c>
      <c r="N119" s="67" t="s">
        <v>545</v>
      </c>
      <c r="O119" s="18"/>
      <c r="Z119" s="52">
        <f t="shared" si="52"/>
        <v>0</v>
      </c>
      <c r="AB119" s="52">
        <f t="shared" si="53"/>
        <v>0</v>
      </c>
      <c r="AC119" s="52">
        <f t="shared" si="54"/>
        <v>0</v>
      </c>
      <c r="AD119" s="52">
        <f t="shared" si="55"/>
        <v>0</v>
      </c>
      <c r="AE119" s="52">
        <f t="shared" si="56"/>
        <v>0</v>
      </c>
      <c r="AF119" s="52">
        <f t="shared" si="57"/>
        <v>0</v>
      </c>
      <c r="AG119" s="52">
        <f t="shared" si="58"/>
        <v>0</v>
      </c>
      <c r="AH119" s="52">
        <f t="shared" si="59"/>
        <v>0</v>
      </c>
      <c r="AI119" s="48"/>
      <c r="AJ119" s="41">
        <f t="shared" si="60"/>
        <v>0</v>
      </c>
      <c r="AK119" s="41">
        <f t="shared" si="61"/>
        <v>0</v>
      </c>
      <c r="AL119" s="41">
        <f t="shared" si="62"/>
        <v>0</v>
      </c>
      <c r="AN119" s="52">
        <v>21</v>
      </c>
      <c r="AO119" s="52">
        <f t="shared" si="72"/>
        <v>0</v>
      </c>
      <c r="AP119" s="52">
        <f t="shared" si="73"/>
        <v>0</v>
      </c>
      <c r="AQ119" s="54" t="s">
        <v>80</v>
      </c>
      <c r="AV119" s="52">
        <f t="shared" si="63"/>
        <v>0</v>
      </c>
      <c r="AW119" s="52">
        <f t="shared" si="64"/>
        <v>0</v>
      </c>
      <c r="AX119" s="52">
        <f t="shared" si="65"/>
        <v>0</v>
      </c>
      <c r="AY119" s="55" t="s">
        <v>564</v>
      </c>
      <c r="AZ119" s="55" t="s">
        <v>584</v>
      </c>
      <c r="BA119" s="48" t="s">
        <v>590</v>
      </c>
      <c r="BC119" s="52">
        <f t="shared" si="66"/>
        <v>0</v>
      </c>
      <c r="BD119" s="52">
        <f t="shared" si="67"/>
        <v>0</v>
      </c>
      <c r="BE119" s="52">
        <v>0</v>
      </c>
      <c r="BF119" s="52">
        <f t="shared" si="68"/>
        <v>0</v>
      </c>
      <c r="BH119" s="41">
        <f t="shared" si="69"/>
        <v>0</v>
      </c>
      <c r="BI119" s="41">
        <f t="shared" si="70"/>
        <v>0</v>
      </c>
      <c r="BJ119" s="41">
        <f t="shared" si="71"/>
        <v>0</v>
      </c>
      <c r="BK119" s="41" t="s">
        <v>596</v>
      </c>
      <c r="BL119" s="52">
        <v>725</v>
      </c>
    </row>
    <row r="120" spans="1:64" ht="12.75">
      <c r="A120" s="66" t="s">
        <v>144</v>
      </c>
      <c r="B120" s="17"/>
      <c r="C120" s="17" t="s">
        <v>242</v>
      </c>
      <c r="D120" s="112" t="s">
        <v>429</v>
      </c>
      <c r="E120" s="153"/>
      <c r="F120" s="17" t="s">
        <v>521</v>
      </c>
      <c r="G120" s="52">
        <v>6</v>
      </c>
      <c r="H120" s="173"/>
      <c r="I120" s="52">
        <f t="shared" si="48"/>
        <v>0</v>
      </c>
      <c r="J120" s="52">
        <f t="shared" si="49"/>
        <v>0</v>
      </c>
      <c r="K120" s="52">
        <f t="shared" si="50"/>
        <v>0</v>
      </c>
      <c r="L120" s="52">
        <v>0.00028</v>
      </c>
      <c r="M120" s="52">
        <f t="shared" si="51"/>
        <v>0.0016799999999999999</v>
      </c>
      <c r="N120" s="67" t="s">
        <v>242</v>
      </c>
      <c r="O120" s="18"/>
      <c r="Z120" s="52">
        <f t="shared" si="52"/>
        <v>0</v>
      </c>
      <c r="AB120" s="52">
        <f t="shared" si="53"/>
        <v>0</v>
      </c>
      <c r="AC120" s="52">
        <f t="shared" si="54"/>
        <v>0</v>
      </c>
      <c r="AD120" s="52">
        <f t="shared" si="55"/>
        <v>0</v>
      </c>
      <c r="AE120" s="52">
        <f t="shared" si="56"/>
        <v>0</v>
      </c>
      <c r="AF120" s="52">
        <f t="shared" si="57"/>
        <v>0</v>
      </c>
      <c r="AG120" s="52">
        <f t="shared" si="58"/>
        <v>0</v>
      </c>
      <c r="AH120" s="52">
        <f t="shared" si="59"/>
        <v>0</v>
      </c>
      <c r="AI120" s="48"/>
      <c r="AJ120" s="41">
        <f t="shared" si="60"/>
        <v>0</v>
      </c>
      <c r="AK120" s="41">
        <f t="shared" si="61"/>
        <v>0</v>
      </c>
      <c r="AL120" s="41">
        <f t="shared" si="62"/>
        <v>0</v>
      </c>
      <c r="AN120" s="52">
        <v>21</v>
      </c>
      <c r="AO120" s="52">
        <f t="shared" si="72"/>
        <v>0</v>
      </c>
      <c r="AP120" s="52">
        <f t="shared" si="73"/>
        <v>0</v>
      </c>
      <c r="AQ120" s="54" t="s">
        <v>80</v>
      </c>
      <c r="AV120" s="52">
        <f t="shared" si="63"/>
        <v>0</v>
      </c>
      <c r="AW120" s="52">
        <f t="shared" si="64"/>
        <v>0</v>
      </c>
      <c r="AX120" s="52">
        <f t="shared" si="65"/>
        <v>0</v>
      </c>
      <c r="AY120" s="55" t="s">
        <v>564</v>
      </c>
      <c r="AZ120" s="55" t="s">
        <v>584</v>
      </c>
      <c r="BA120" s="48" t="s">
        <v>590</v>
      </c>
      <c r="BC120" s="52">
        <f t="shared" si="66"/>
        <v>0</v>
      </c>
      <c r="BD120" s="52">
        <f t="shared" si="67"/>
        <v>0</v>
      </c>
      <c r="BE120" s="52">
        <v>0</v>
      </c>
      <c r="BF120" s="52">
        <f t="shared" si="68"/>
        <v>0.0016799999999999999</v>
      </c>
      <c r="BH120" s="41">
        <f t="shared" si="69"/>
        <v>0</v>
      </c>
      <c r="BI120" s="41">
        <f t="shared" si="70"/>
        <v>0</v>
      </c>
      <c r="BJ120" s="41">
        <f t="shared" si="71"/>
        <v>0</v>
      </c>
      <c r="BK120" s="41" t="s">
        <v>596</v>
      </c>
      <c r="BL120" s="52">
        <v>725</v>
      </c>
    </row>
    <row r="121" spans="1:64" ht="12.75">
      <c r="A121" s="66" t="s">
        <v>145</v>
      </c>
      <c r="B121" s="17"/>
      <c r="C121" s="17" t="s">
        <v>266</v>
      </c>
      <c r="D121" s="112" t="s">
        <v>430</v>
      </c>
      <c r="E121" s="147"/>
      <c r="F121" s="17" t="s">
        <v>523</v>
      </c>
      <c r="G121" s="52">
        <v>0.4284</v>
      </c>
      <c r="H121" s="173"/>
      <c r="I121" s="52">
        <f t="shared" si="48"/>
        <v>0</v>
      </c>
      <c r="J121" s="52">
        <f t="shared" si="49"/>
        <v>0</v>
      </c>
      <c r="K121" s="52">
        <f t="shared" si="50"/>
        <v>0</v>
      </c>
      <c r="L121" s="52">
        <v>0</v>
      </c>
      <c r="M121" s="52">
        <f t="shared" si="51"/>
        <v>0</v>
      </c>
      <c r="N121" s="67" t="s">
        <v>545</v>
      </c>
      <c r="O121" s="18"/>
      <c r="Z121" s="52">
        <f t="shared" si="52"/>
        <v>0</v>
      </c>
      <c r="AB121" s="52">
        <f t="shared" si="53"/>
        <v>0</v>
      </c>
      <c r="AC121" s="52">
        <f t="shared" si="54"/>
        <v>0</v>
      </c>
      <c r="AD121" s="52">
        <f t="shared" si="55"/>
        <v>0</v>
      </c>
      <c r="AE121" s="52">
        <f t="shared" si="56"/>
        <v>0</v>
      </c>
      <c r="AF121" s="52">
        <f t="shared" si="57"/>
        <v>0</v>
      </c>
      <c r="AG121" s="52">
        <f t="shared" si="58"/>
        <v>0</v>
      </c>
      <c r="AH121" s="52">
        <f t="shared" si="59"/>
        <v>0</v>
      </c>
      <c r="AI121" s="48"/>
      <c r="AJ121" s="40">
        <f t="shared" si="60"/>
        <v>0</v>
      </c>
      <c r="AK121" s="40">
        <f t="shared" si="61"/>
        <v>0</v>
      </c>
      <c r="AL121" s="40">
        <f t="shared" si="62"/>
        <v>0</v>
      </c>
      <c r="AN121" s="52">
        <v>21</v>
      </c>
      <c r="AO121" s="52">
        <f>H121*0</f>
        <v>0</v>
      </c>
      <c r="AP121" s="52">
        <f>H121*(1-0)</f>
        <v>0</v>
      </c>
      <c r="AQ121" s="53" t="s">
        <v>80</v>
      </c>
      <c r="AV121" s="52">
        <f t="shared" si="63"/>
        <v>0</v>
      </c>
      <c r="AW121" s="52">
        <f t="shared" si="64"/>
        <v>0</v>
      </c>
      <c r="AX121" s="52">
        <f t="shared" si="65"/>
        <v>0</v>
      </c>
      <c r="AY121" s="55" t="s">
        <v>564</v>
      </c>
      <c r="AZ121" s="55" t="s">
        <v>584</v>
      </c>
      <c r="BA121" s="48" t="s">
        <v>590</v>
      </c>
      <c r="BC121" s="52">
        <f t="shared" si="66"/>
        <v>0</v>
      </c>
      <c r="BD121" s="52">
        <f t="shared" si="67"/>
        <v>0</v>
      </c>
      <c r="BE121" s="52">
        <v>0</v>
      </c>
      <c r="BF121" s="52">
        <f t="shared" si="68"/>
        <v>0</v>
      </c>
      <c r="BH121" s="40">
        <f t="shared" si="69"/>
        <v>0</v>
      </c>
      <c r="BI121" s="40">
        <f t="shared" si="70"/>
        <v>0</v>
      </c>
      <c r="BJ121" s="40">
        <f t="shared" si="71"/>
        <v>0</v>
      </c>
      <c r="BK121" s="40" t="s">
        <v>595</v>
      </c>
      <c r="BL121" s="52">
        <v>725</v>
      </c>
    </row>
    <row r="122" spans="1:47" ht="12.75">
      <c r="A122" s="60"/>
      <c r="B122" s="61"/>
      <c r="C122" s="61" t="s">
        <v>267</v>
      </c>
      <c r="D122" s="151" t="s">
        <v>431</v>
      </c>
      <c r="E122" s="152"/>
      <c r="F122" s="62" t="s">
        <v>73</v>
      </c>
      <c r="G122" s="62" t="s">
        <v>73</v>
      </c>
      <c r="H122" s="62" t="s">
        <v>73</v>
      </c>
      <c r="I122" s="63">
        <f>SUM(I123:I123)</f>
        <v>0</v>
      </c>
      <c r="J122" s="63">
        <f>SUM(J123:J123)</f>
        <v>0</v>
      </c>
      <c r="K122" s="63">
        <f>SUM(K123:K123)</f>
        <v>0</v>
      </c>
      <c r="L122" s="64"/>
      <c r="M122" s="63">
        <f>SUM(M123:M123)</f>
        <v>0</v>
      </c>
      <c r="N122" s="65"/>
      <c r="O122" s="18"/>
      <c r="AI122" s="48"/>
      <c r="AS122" s="58">
        <f>SUM(AJ123:AJ123)</f>
        <v>0</v>
      </c>
      <c r="AT122" s="58">
        <f>SUM(AK123:AK123)</f>
        <v>0</v>
      </c>
      <c r="AU122" s="58">
        <f>SUM(AL123:AL123)</f>
        <v>0</v>
      </c>
    </row>
    <row r="123" spans="1:64" ht="12.75">
      <c r="A123" s="66" t="s">
        <v>146</v>
      </c>
      <c r="B123" s="17"/>
      <c r="C123" s="17" t="s">
        <v>242</v>
      </c>
      <c r="D123" s="112" t="s">
        <v>432</v>
      </c>
      <c r="E123" s="147"/>
      <c r="F123" s="17" t="s">
        <v>527</v>
      </c>
      <c r="G123" s="52">
        <v>1</v>
      </c>
      <c r="H123" s="173"/>
      <c r="I123" s="52">
        <f>G123*AO123</f>
        <v>0</v>
      </c>
      <c r="J123" s="52">
        <f>G123*AP123</f>
        <v>0</v>
      </c>
      <c r="K123" s="52">
        <f>G123*H123</f>
        <v>0</v>
      </c>
      <c r="L123" s="52">
        <v>0</v>
      </c>
      <c r="M123" s="52">
        <f>G123*L123</f>
        <v>0</v>
      </c>
      <c r="N123" s="67" t="s">
        <v>546</v>
      </c>
      <c r="O123" s="18"/>
      <c r="Z123" s="52">
        <f>IF(AQ123="5",BJ123,0)</f>
        <v>0</v>
      </c>
      <c r="AB123" s="52">
        <f>IF(AQ123="1",BH123,0)</f>
        <v>0</v>
      </c>
      <c r="AC123" s="52">
        <f>IF(AQ123="1",BI123,0)</f>
        <v>0</v>
      </c>
      <c r="AD123" s="52">
        <f>IF(AQ123="7",BH123,0)</f>
        <v>0</v>
      </c>
      <c r="AE123" s="52">
        <f>IF(AQ123="7",BI123,0)</f>
        <v>0</v>
      </c>
      <c r="AF123" s="52">
        <f>IF(AQ123="2",BH123,0)</f>
        <v>0</v>
      </c>
      <c r="AG123" s="52">
        <f>IF(AQ123="2",BI123,0)</f>
        <v>0</v>
      </c>
      <c r="AH123" s="52">
        <f>IF(AQ123="0",BJ123,0)</f>
        <v>0</v>
      </c>
      <c r="AI123" s="48"/>
      <c r="AJ123" s="40">
        <f>IF(AN123=0,K123,0)</f>
        <v>0</v>
      </c>
      <c r="AK123" s="40">
        <f>IF(AN123=15,K123,0)</f>
        <v>0</v>
      </c>
      <c r="AL123" s="40">
        <f>IF(AN123=21,K123,0)</f>
        <v>0</v>
      </c>
      <c r="AN123" s="52">
        <v>21</v>
      </c>
      <c r="AO123" s="52">
        <f>H123*0</f>
        <v>0</v>
      </c>
      <c r="AP123" s="52">
        <f>H123*(1-0)</f>
        <v>0</v>
      </c>
      <c r="AQ123" s="53" t="s">
        <v>80</v>
      </c>
      <c r="AV123" s="52">
        <f>AW123+AX123</f>
        <v>0</v>
      </c>
      <c r="AW123" s="52">
        <f>G123*AO123</f>
        <v>0</v>
      </c>
      <c r="AX123" s="52">
        <f>G123*AP123</f>
        <v>0</v>
      </c>
      <c r="AY123" s="55" t="s">
        <v>565</v>
      </c>
      <c r="AZ123" s="55" t="s">
        <v>584</v>
      </c>
      <c r="BA123" s="48" t="s">
        <v>590</v>
      </c>
      <c r="BC123" s="52">
        <f>AW123+AX123</f>
        <v>0</v>
      </c>
      <c r="BD123" s="52">
        <f>H123/(100-BE123)*100</f>
        <v>0</v>
      </c>
      <c r="BE123" s="52">
        <v>0</v>
      </c>
      <c r="BF123" s="52">
        <f>M123</f>
        <v>0</v>
      </c>
      <c r="BH123" s="40">
        <f>G123*AO123</f>
        <v>0</v>
      </c>
      <c r="BI123" s="40">
        <f>G123*AP123</f>
        <v>0</v>
      </c>
      <c r="BJ123" s="40">
        <f>G123*H123</f>
        <v>0</v>
      </c>
      <c r="BK123" s="40" t="s">
        <v>595</v>
      </c>
      <c r="BL123" s="52">
        <v>728</v>
      </c>
    </row>
    <row r="124" spans="1:47" ht="12.75">
      <c r="A124" s="60"/>
      <c r="B124" s="61"/>
      <c r="C124" s="61" t="s">
        <v>268</v>
      </c>
      <c r="D124" s="151" t="s">
        <v>433</v>
      </c>
      <c r="E124" s="152"/>
      <c r="F124" s="62" t="s">
        <v>73</v>
      </c>
      <c r="G124" s="62" t="s">
        <v>73</v>
      </c>
      <c r="H124" s="62" t="s">
        <v>73</v>
      </c>
      <c r="I124" s="63">
        <f>SUM(I125:I127)</f>
        <v>0</v>
      </c>
      <c r="J124" s="63">
        <f>SUM(J125:J127)</f>
        <v>0</v>
      </c>
      <c r="K124" s="63">
        <f>SUM(K125:K127)</f>
        <v>0</v>
      </c>
      <c r="L124" s="64"/>
      <c r="M124" s="63">
        <f>SUM(M125:M127)</f>
        <v>0.06530000000000001</v>
      </c>
      <c r="N124" s="65"/>
      <c r="O124" s="18"/>
      <c r="AI124" s="48"/>
      <c r="AS124" s="58">
        <f>SUM(AJ125:AJ127)</f>
        <v>0</v>
      </c>
      <c r="AT124" s="58">
        <f>SUM(AK125:AK127)</f>
        <v>0</v>
      </c>
      <c r="AU124" s="58">
        <f>SUM(AL125:AL127)</f>
        <v>0</v>
      </c>
    </row>
    <row r="125" spans="1:64" ht="12.75">
      <c r="A125" s="66" t="s">
        <v>147</v>
      </c>
      <c r="B125" s="17"/>
      <c r="C125" s="17" t="s">
        <v>269</v>
      </c>
      <c r="D125" s="112" t="s">
        <v>434</v>
      </c>
      <c r="E125" s="147"/>
      <c r="F125" s="17" t="s">
        <v>521</v>
      </c>
      <c r="G125" s="52">
        <v>2</v>
      </c>
      <c r="H125" s="173"/>
      <c r="I125" s="52">
        <f>G125*AO125</f>
        <v>0</v>
      </c>
      <c r="J125" s="52">
        <f>G125*AP125</f>
        <v>0</v>
      </c>
      <c r="K125" s="52">
        <f>G125*H125</f>
        <v>0</v>
      </c>
      <c r="L125" s="52">
        <v>1E-05</v>
      </c>
      <c r="M125" s="52">
        <f>G125*L125</f>
        <v>2E-05</v>
      </c>
      <c r="N125" s="67" t="s">
        <v>545</v>
      </c>
      <c r="O125" s="18"/>
      <c r="Z125" s="52">
        <f>IF(AQ125="5",BJ125,0)</f>
        <v>0</v>
      </c>
      <c r="AB125" s="52">
        <f>IF(AQ125="1",BH125,0)</f>
        <v>0</v>
      </c>
      <c r="AC125" s="52">
        <f>IF(AQ125="1",BI125,0)</f>
        <v>0</v>
      </c>
      <c r="AD125" s="52">
        <f>IF(AQ125="7",BH125,0)</f>
        <v>0</v>
      </c>
      <c r="AE125" s="52">
        <f>IF(AQ125="7",BI125,0)</f>
        <v>0</v>
      </c>
      <c r="AF125" s="52">
        <f>IF(AQ125="2",BH125,0)</f>
        <v>0</v>
      </c>
      <c r="AG125" s="52">
        <f>IF(AQ125="2",BI125,0)</f>
        <v>0</v>
      </c>
      <c r="AH125" s="52">
        <f>IF(AQ125="0",BJ125,0)</f>
        <v>0</v>
      </c>
      <c r="AI125" s="48"/>
      <c r="AJ125" s="40">
        <f>IF(AN125=0,K125,0)</f>
        <v>0</v>
      </c>
      <c r="AK125" s="40">
        <f>IF(AN125=15,K125,0)</f>
        <v>0</v>
      </c>
      <c r="AL125" s="40">
        <f>IF(AN125=21,K125,0)</f>
        <v>0</v>
      </c>
      <c r="AN125" s="52">
        <v>21</v>
      </c>
      <c r="AO125" s="52">
        <f>H125*0.170951156812339</f>
        <v>0</v>
      </c>
      <c r="AP125" s="52">
        <f>H125*(1-0.170951156812339)</f>
        <v>0</v>
      </c>
      <c r="AQ125" s="53" t="s">
        <v>80</v>
      </c>
      <c r="AV125" s="52">
        <f>AW125+AX125</f>
        <v>0</v>
      </c>
      <c r="AW125" s="52">
        <f>G125*AO125</f>
        <v>0</v>
      </c>
      <c r="AX125" s="52">
        <f>G125*AP125</f>
        <v>0</v>
      </c>
      <c r="AY125" s="55" t="s">
        <v>566</v>
      </c>
      <c r="AZ125" s="55" t="s">
        <v>585</v>
      </c>
      <c r="BA125" s="48" t="s">
        <v>590</v>
      </c>
      <c r="BC125" s="52">
        <f>AW125+AX125</f>
        <v>0</v>
      </c>
      <c r="BD125" s="52">
        <f>H125/(100-BE125)*100</f>
        <v>0</v>
      </c>
      <c r="BE125" s="52">
        <v>0</v>
      </c>
      <c r="BF125" s="52">
        <f>M125</f>
        <v>2E-05</v>
      </c>
      <c r="BH125" s="40">
        <f>G125*AO125</f>
        <v>0</v>
      </c>
      <c r="BI125" s="40">
        <f>G125*AP125</f>
        <v>0</v>
      </c>
      <c r="BJ125" s="40">
        <f>G125*H125</f>
        <v>0</v>
      </c>
      <c r="BK125" s="40" t="s">
        <v>595</v>
      </c>
      <c r="BL125" s="52">
        <v>735</v>
      </c>
    </row>
    <row r="126" spans="1:64" ht="12.75">
      <c r="A126" s="66" t="s">
        <v>148</v>
      </c>
      <c r="B126" s="17"/>
      <c r="C126" s="17" t="s">
        <v>270</v>
      </c>
      <c r="D126" s="112" t="s">
        <v>435</v>
      </c>
      <c r="E126" s="147"/>
      <c r="F126" s="17" t="s">
        <v>519</v>
      </c>
      <c r="G126" s="52">
        <v>4</v>
      </c>
      <c r="H126" s="173"/>
      <c r="I126" s="52">
        <f>G126*AO126</f>
        <v>0</v>
      </c>
      <c r="J126" s="52">
        <f>G126*AP126</f>
        <v>0</v>
      </c>
      <c r="K126" s="52">
        <f>G126*H126</f>
        <v>0</v>
      </c>
      <c r="L126" s="52">
        <v>0</v>
      </c>
      <c r="M126" s="52">
        <f>G126*L126</f>
        <v>0</v>
      </c>
      <c r="N126" s="67" t="s">
        <v>545</v>
      </c>
      <c r="O126" s="18"/>
      <c r="Z126" s="52">
        <f>IF(AQ126="5",BJ126,0)</f>
        <v>0</v>
      </c>
      <c r="AB126" s="52">
        <f>IF(AQ126="1",BH126,0)</f>
        <v>0</v>
      </c>
      <c r="AC126" s="52">
        <f>IF(AQ126="1",BI126,0)</f>
        <v>0</v>
      </c>
      <c r="AD126" s="52">
        <f>IF(AQ126="7",BH126,0)</f>
        <v>0</v>
      </c>
      <c r="AE126" s="52">
        <f>IF(AQ126="7",BI126,0)</f>
        <v>0</v>
      </c>
      <c r="AF126" s="52">
        <f>IF(AQ126="2",BH126,0)</f>
        <v>0</v>
      </c>
      <c r="AG126" s="52">
        <f>IF(AQ126="2",BI126,0)</f>
        <v>0</v>
      </c>
      <c r="AH126" s="52">
        <f>IF(AQ126="0",BJ126,0)</f>
        <v>0</v>
      </c>
      <c r="AI126" s="48"/>
      <c r="AJ126" s="40">
        <f>IF(AN126=0,K126,0)</f>
        <v>0</v>
      </c>
      <c r="AK126" s="40">
        <f>IF(AN126=15,K126,0)</f>
        <v>0</v>
      </c>
      <c r="AL126" s="40">
        <f>IF(AN126=21,K126,0)</f>
        <v>0</v>
      </c>
      <c r="AN126" s="52">
        <v>21</v>
      </c>
      <c r="AO126" s="52">
        <f>H126*0</f>
        <v>0</v>
      </c>
      <c r="AP126" s="52">
        <f>H126*(1-0)</f>
        <v>0</v>
      </c>
      <c r="AQ126" s="53" t="s">
        <v>80</v>
      </c>
      <c r="AV126" s="52">
        <f>AW126+AX126</f>
        <v>0</v>
      </c>
      <c r="AW126" s="52">
        <f>G126*AO126</f>
        <v>0</v>
      </c>
      <c r="AX126" s="52">
        <f>G126*AP126</f>
        <v>0</v>
      </c>
      <c r="AY126" s="55" t="s">
        <v>566</v>
      </c>
      <c r="AZ126" s="55" t="s">
        <v>585</v>
      </c>
      <c r="BA126" s="48" t="s">
        <v>590</v>
      </c>
      <c r="BC126" s="52">
        <f>AW126+AX126</f>
        <v>0</v>
      </c>
      <c r="BD126" s="52">
        <f>H126/(100-BE126)*100</f>
        <v>0</v>
      </c>
      <c r="BE126" s="52">
        <v>0</v>
      </c>
      <c r="BF126" s="52">
        <f>M126</f>
        <v>0</v>
      </c>
      <c r="BH126" s="40">
        <f>G126*AO126</f>
        <v>0</v>
      </c>
      <c r="BI126" s="40">
        <f>G126*AP126</f>
        <v>0</v>
      </c>
      <c r="BJ126" s="40">
        <f>G126*H126</f>
        <v>0</v>
      </c>
      <c r="BK126" s="40" t="s">
        <v>595</v>
      </c>
      <c r="BL126" s="52">
        <v>735</v>
      </c>
    </row>
    <row r="127" spans="1:64" ht="12.75">
      <c r="A127" s="66" t="s">
        <v>149</v>
      </c>
      <c r="B127" s="17"/>
      <c r="C127" s="17" t="s">
        <v>271</v>
      </c>
      <c r="D127" s="112" t="s">
        <v>436</v>
      </c>
      <c r="E127" s="147"/>
      <c r="F127" s="17" t="s">
        <v>519</v>
      </c>
      <c r="G127" s="52">
        <v>4</v>
      </c>
      <c r="H127" s="173"/>
      <c r="I127" s="52">
        <f>G127*AO127</f>
        <v>0</v>
      </c>
      <c r="J127" s="52">
        <f>G127*AP127</f>
        <v>0</v>
      </c>
      <c r="K127" s="52">
        <f>G127*H127</f>
        <v>0</v>
      </c>
      <c r="L127" s="52">
        <v>0.01632</v>
      </c>
      <c r="M127" s="52">
        <f>G127*L127</f>
        <v>0.06528</v>
      </c>
      <c r="N127" s="67" t="s">
        <v>545</v>
      </c>
      <c r="O127" s="18"/>
      <c r="Z127" s="52">
        <f>IF(AQ127="5",BJ127,0)</f>
        <v>0</v>
      </c>
      <c r="AB127" s="52">
        <f>IF(AQ127="1",BH127,0)</f>
        <v>0</v>
      </c>
      <c r="AC127" s="52">
        <f>IF(AQ127="1",BI127,0)</f>
        <v>0</v>
      </c>
      <c r="AD127" s="52">
        <f>IF(AQ127="7",BH127,0)</f>
        <v>0</v>
      </c>
      <c r="AE127" s="52">
        <f>IF(AQ127="7",BI127,0)</f>
        <v>0</v>
      </c>
      <c r="AF127" s="52">
        <f>IF(AQ127="2",BH127,0)</f>
        <v>0</v>
      </c>
      <c r="AG127" s="52">
        <f>IF(AQ127="2",BI127,0)</f>
        <v>0</v>
      </c>
      <c r="AH127" s="52">
        <f>IF(AQ127="0",BJ127,0)</f>
        <v>0</v>
      </c>
      <c r="AI127" s="48"/>
      <c r="AJ127" s="40">
        <f>IF(AN127=0,K127,0)</f>
        <v>0</v>
      </c>
      <c r="AK127" s="40">
        <f>IF(AN127=15,K127,0)</f>
        <v>0</v>
      </c>
      <c r="AL127" s="40">
        <f>IF(AN127=21,K127,0)</f>
        <v>0</v>
      </c>
      <c r="AN127" s="52">
        <v>21</v>
      </c>
      <c r="AO127" s="52">
        <f>H127*0.38385911179173</f>
        <v>0</v>
      </c>
      <c r="AP127" s="52">
        <f>H127*(1-0.38385911179173)</f>
        <v>0</v>
      </c>
      <c r="AQ127" s="53" t="s">
        <v>80</v>
      </c>
      <c r="AV127" s="52">
        <f>AW127+AX127</f>
        <v>0</v>
      </c>
      <c r="AW127" s="52">
        <f>G127*AO127</f>
        <v>0</v>
      </c>
      <c r="AX127" s="52">
        <f>G127*AP127</f>
        <v>0</v>
      </c>
      <c r="AY127" s="55" t="s">
        <v>566</v>
      </c>
      <c r="AZ127" s="55" t="s">
        <v>585</v>
      </c>
      <c r="BA127" s="48" t="s">
        <v>590</v>
      </c>
      <c r="BC127" s="52">
        <f>AW127+AX127</f>
        <v>0</v>
      </c>
      <c r="BD127" s="52">
        <f>H127/(100-BE127)*100</f>
        <v>0</v>
      </c>
      <c r="BE127" s="52">
        <v>0</v>
      </c>
      <c r="BF127" s="52">
        <f>M127</f>
        <v>0.06528</v>
      </c>
      <c r="BH127" s="40">
        <f>G127*AO127</f>
        <v>0</v>
      </c>
      <c r="BI127" s="40">
        <f>G127*AP127</f>
        <v>0</v>
      </c>
      <c r="BJ127" s="40">
        <f>G127*H127</f>
        <v>0</v>
      </c>
      <c r="BK127" s="40" t="s">
        <v>595</v>
      </c>
      <c r="BL127" s="52">
        <v>735</v>
      </c>
    </row>
    <row r="128" spans="1:47" ht="12.75">
      <c r="A128" s="60"/>
      <c r="B128" s="61"/>
      <c r="C128" s="61" t="s">
        <v>272</v>
      </c>
      <c r="D128" s="151" t="s">
        <v>437</v>
      </c>
      <c r="E128" s="152"/>
      <c r="F128" s="62" t="s">
        <v>73</v>
      </c>
      <c r="G128" s="62" t="s">
        <v>73</v>
      </c>
      <c r="H128" s="62" t="s">
        <v>73</v>
      </c>
      <c r="I128" s="63">
        <f>SUM(I129:I132)</f>
        <v>0</v>
      </c>
      <c r="J128" s="63">
        <f>SUM(J129:J132)</f>
        <v>0</v>
      </c>
      <c r="K128" s="63">
        <f>SUM(K129:K132)</f>
        <v>0</v>
      </c>
      <c r="L128" s="64"/>
      <c r="M128" s="63">
        <f>SUM(M129:M132)</f>
        <v>0.0391545</v>
      </c>
      <c r="N128" s="65"/>
      <c r="O128" s="18"/>
      <c r="AI128" s="48"/>
      <c r="AS128" s="58">
        <f>SUM(AJ129:AJ132)</f>
        <v>0</v>
      </c>
      <c r="AT128" s="58">
        <f>SUM(AK129:AK132)</f>
        <v>0</v>
      </c>
      <c r="AU128" s="58">
        <f>SUM(AL129:AL132)</f>
        <v>0</v>
      </c>
    </row>
    <row r="129" spans="1:64" ht="12.75">
      <c r="A129" s="66" t="s">
        <v>150</v>
      </c>
      <c r="B129" s="17"/>
      <c r="C129" s="17" t="s">
        <v>273</v>
      </c>
      <c r="D129" s="112" t="s">
        <v>438</v>
      </c>
      <c r="E129" s="147"/>
      <c r="F129" s="17" t="s">
        <v>519</v>
      </c>
      <c r="G129" s="52">
        <v>2.31</v>
      </c>
      <c r="H129" s="173"/>
      <c r="I129" s="52">
        <f>G129*AO129</f>
        <v>0</v>
      </c>
      <c r="J129" s="52">
        <f>G129*AP129</f>
        <v>0</v>
      </c>
      <c r="K129" s="52">
        <f>G129*H129</f>
        <v>0</v>
      </c>
      <c r="L129" s="52">
        <v>0.01695</v>
      </c>
      <c r="M129" s="52">
        <f>G129*L129</f>
        <v>0.0391545</v>
      </c>
      <c r="N129" s="67" t="s">
        <v>545</v>
      </c>
      <c r="O129" s="18"/>
      <c r="Z129" s="52">
        <f>IF(AQ129="5",BJ129,0)</f>
        <v>0</v>
      </c>
      <c r="AB129" s="52">
        <f>IF(AQ129="1",BH129,0)</f>
        <v>0</v>
      </c>
      <c r="AC129" s="52">
        <f>IF(AQ129="1",BI129,0)</f>
        <v>0</v>
      </c>
      <c r="AD129" s="52">
        <f>IF(AQ129="7",BH129,0)</f>
        <v>0</v>
      </c>
      <c r="AE129" s="52">
        <f>IF(AQ129="7",BI129,0)</f>
        <v>0</v>
      </c>
      <c r="AF129" s="52">
        <f>IF(AQ129="2",BH129,0)</f>
        <v>0</v>
      </c>
      <c r="AG129" s="52">
        <f>IF(AQ129="2",BI129,0)</f>
        <v>0</v>
      </c>
      <c r="AH129" s="52">
        <f>IF(AQ129="0",BJ129,0)</f>
        <v>0</v>
      </c>
      <c r="AI129" s="48"/>
      <c r="AJ129" s="40">
        <f>IF(AN129=0,K129,0)</f>
        <v>0</v>
      </c>
      <c r="AK129" s="40">
        <f>IF(AN129=15,K129,0)</f>
        <v>0</v>
      </c>
      <c r="AL129" s="40">
        <f>IF(AN129=21,K129,0)</f>
        <v>0</v>
      </c>
      <c r="AN129" s="52">
        <v>21</v>
      </c>
      <c r="AO129" s="52">
        <f>H129*0</f>
        <v>0</v>
      </c>
      <c r="AP129" s="52">
        <f>H129*(1-0)</f>
        <v>0</v>
      </c>
      <c r="AQ129" s="53" t="s">
        <v>80</v>
      </c>
      <c r="AV129" s="52">
        <f>AW129+AX129</f>
        <v>0</v>
      </c>
      <c r="AW129" s="52">
        <f>G129*AO129</f>
        <v>0</v>
      </c>
      <c r="AX129" s="52">
        <f>G129*AP129</f>
        <v>0</v>
      </c>
      <c r="AY129" s="55" t="s">
        <v>567</v>
      </c>
      <c r="AZ129" s="55" t="s">
        <v>586</v>
      </c>
      <c r="BA129" s="48" t="s">
        <v>590</v>
      </c>
      <c r="BC129" s="52">
        <f>AW129+AX129</f>
        <v>0</v>
      </c>
      <c r="BD129" s="52">
        <f>H129/(100-BE129)*100</f>
        <v>0</v>
      </c>
      <c r="BE129" s="52">
        <v>0</v>
      </c>
      <c r="BF129" s="52">
        <f>M129</f>
        <v>0.0391545</v>
      </c>
      <c r="BH129" s="40">
        <f>G129*AO129</f>
        <v>0</v>
      </c>
      <c r="BI129" s="40">
        <f>G129*AP129</f>
        <v>0</v>
      </c>
      <c r="BJ129" s="40">
        <f>G129*H129</f>
        <v>0</v>
      </c>
      <c r="BK129" s="40" t="s">
        <v>595</v>
      </c>
      <c r="BL129" s="52">
        <v>766</v>
      </c>
    </row>
    <row r="130" spans="1:15" ht="12.75">
      <c r="A130" s="18"/>
      <c r="B130" s="68"/>
      <c r="C130" s="68"/>
      <c r="D130" s="69" t="s">
        <v>439</v>
      </c>
      <c r="E130" s="69"/>
      <c r="F130" s="68"/>
      <c r="G130" s="70">
        <v>0</v>
      </c>
      <c r="H130" s="68"/>
      <c r="I130" s="68"/>
      <c r="J130" s="68"/>
      <c r="K130" s="68"/>
      <c r="L130" s="68"/>
      <c r="M130" s="68"/>
      <c r="N130" s="16"/>
      <c r="O130" s="18"/>
    </row>
    <row r="131" spans="1:15" ht="12.75">
      <c r="A131" s="18"/>
      <c r="B131" s="68"/>
      <c r="C131" s="68"/>
      <c r="D131" s="69" t="s">
        <v>440</v>
      </c>
      <c r="E131" s="69"/>
      <c r="F131" s="68"/>
      <c r="G131" s="70">
        <v>2.31</v>
      </c>
      <c r="H131" s="68"/>
      <c r="I131" s="68"/>
      <c r="J131" s="68"/>
      <c r="K131" s="68"/>
      <c r="L131" s="68"/>
      <c r="M131" s="68"/>
      <c r="N131" s="16"/>
      <c r="O131" s="18"/>
    </row>
    <row r="132" spans="1:64" ht="12.75">
      <c r="A132" s="66" t="s">
        <v>151</v>
      </c>
      <c r="B132" s="17"/>
      <c r="C132" s="17" t="s">
        <v>274</v>
      </c>
      <c r="D132" s="112" t="s">
        <v>441</v>
      </c>
      <c r="E132" s="147"/>
      <c r="F132" s="17" t="s">
        <v>523</v>
      </c>
      <c r="G132" s="52">
        <v>0.0392</v>
      </c>
      <c r="H132" s="173"/>
      <c r="I132" s="52">
        <f>G132*AO132</f>
        <v>0</v>
      </c>
      <c r="J132" s="52">
        <f>G132*AP132</f>
        <v>0</v>
      </c>
      <c r="K132" s="52">
        <f>G132*H132</f>
        <v>0</v>
      </c>
      <c r="L132" s="52">
        <v>0</v>
      </c>
      <c r="M132" s="52">
        <f>G132*L132</f>
        <v>0</v>
      </c>
      <c r="N132" s="67" t="s">
        <v>545</v>
      </c>
      <c r="O132" s="18"/>
      <c r="Z132" s="52">
        <f>IF(AQ132="5",BJ132,0)</f>
        <v>0</v>
      </c>
      <c r="AB132" s="52">
        <f>IF(AQ132="1",BH132,0)</f>
        <v>0</v>
      </c>
      <c r="AC132" s="52">
        <f>IF(AQ132="1",BI132,0)</f>
        <v>0</v>
      </c>
      <c r="AD132" s="52">
        <f>IF(AQ132="7",BH132,0)</f>
        <v>0</v>
      </c>
      <c r="AE132" s="52">
        <f>IF(AQ132="7",BI132,0)</f>
        <v>0</v>
      </c>
      <c r="AF132" s="52">
        <f>IF(AQ132="2",BH132,0)</f>
        <v>0</v>
      </c>
      <c r="AG132" s="52">
        <f>IF(AQ132="2",BI132,0)</f>
        <v>0</v>
      </c>
      <c r="AH132" s="52">
        <f>IF(AQ132="0",BJ132,0)</f>
        <v>0</v>
      </c>
      <c r="AI132" s="48"/>
      <c r="AJ132" s="40">
        <f>IF(AN132=0,K132,0)</f>
        <v>0</v>
      </c>
      <c r="AK132" s="40">
        <f>IF(AN132=15,K132,0)</f>
        <v>0</v>
      </c>
      <c r="AL132" s="40">
        <f>IF(AN132=21,K132,0)</f>
        <v>0</v>
      </c>
      <c r="AN132" s="52">
        <v>21</v>
      </c>
      <c r="AO132" s="52">
        <f>H132*0</f>
        <v>0</v>
      </c>
      <c r="AP132" s="52">
        <f>H132*(1-0)</f>
        <v>0</v>
      </c>
      <c r="AQ132" s="53" t="s">
        <v>78</v>
      </c>
      <c r="AV132" s="52">
        <f>AW132+AX132</f>
        <v>0</v>
      </c>
      <c r="AW132" s="52">
        <f>G132*AO132</f>
        <v>0</v>
      </c>
      <c r="AX132" s="52">
        <f>G132*AP132</f>
        <v>0</v>
      </c>
      <c r="AY132" s="55" t="s">
        <v>567</v>
      </c>
      <c r="AZ132" s="55" t="s">
        <v>586</v>
      </c>
      <c r="BA132" s="48" t="s">
        <v>590</v>
      </c>
      <c r="BC132" s="52">
        <f>AW132+AX132</f>
        <v>0</v>
      </c>
      <c r="BD132" s="52">
        <f>H132/(100-BE132)*100</f>
        <v>0</v>
      </c>
      <c r="BE132" s="52">
        <v>0</v>
      </c>
      <c r="BF132" s="52">
        <f>M132</f>
        <v>0</v>
      </c>
      <c r="BH132" s="40">
        <f>G132*AO132</f>
        <v>0</v>
      </c>
      <c r="BI132" s="40">
        <f>G132*AP132</f>
        <v>0</v>
      </c>
      <c r="BJ132" s="40">
        <f>G132*H132</f>
        <v>0</v>
      </c>
      <c r="BK132" s="40" t="s">
        <v>595</v>
      </c>
      <c r="BL132" s="52">
        <v>766</v>
      </c>
    </row>
    <row r="133" spans="1:47" ht="12.75">
      <c r="A133" s="60"/>
      <c r="B133" s="61"/>
      <c r="C133" s="61" t="s">
        <v>275</v>
      </c>
      <c r="D133" s="151" t="s">
        <v>442</v>
      </c>
      <c r="E133" s="152"/>
      <c r="F133" s="62" t="s">
        <v>73</v>
      </c>
      <c r="G133" s="62" t="s">
        <v>73</v>
      </c>
      <c r="H133" s="62" t="s">
        <v>73</v>
      </c>
      <c r="I133" s="63">
        <f>SUM(I134:I141)</f>
        <v>0</v>
      </c>
      <c r="J133" s="63">
        <f>SUM(J134:J141)</f>
        <v>0</v>
      </c>
      <c r="K133" s="63">
        <f>SUM(K134:K141)</f>
        <v>0</v>
      </c>
      <c r="L133" s="64"/>
      <c r="M133" s="63">
        <f>SUM(M134:M141)</f>
        <v>0.3914349396</v>
      </c>
      <c r="N133" s="65"/>
      <c r="O133" s="18"/>
      <c r="AI133" s="48"/>
      <c r="AS133" s="58">
        <f>SUM(AJ134:AJ141)</f>
        <v>0</v>
      </c>
      <c r="AT133" s="58">
        <f>SUM(AK134:AK141)</f>
        <v>0</v>
      </c>
      <c r="AU133" s="58">
        <f>SUM(AL134:AL141)</f>
        <v>0</v>
      </c>
    </row>
    <row r="134" spans="1:64" ht="12.75">
      <c r="A134" s="66" t="s">
        <v>152</v>
      </c>
      <c r="B134" s="17"/>
      <c r="C134" s="17" t="s">
        <v>276</v>
      </c>
      <c r="D134" s="112" t="s">
        <v>443</v>
      </c>
      <c r="E134" s="147"/>
      <c r="F134" s="17" t="s">
        <v>519</v>
      </c>
      <c r="G134" s="52">
        <v>13.74614</v>
      </c>
      <c r="H134" s="173"/>
      <c r="I134" s="52">
        <f>G134*AO134</f>
        <v>0</v>
      </c>
      <c r="J134" s="52">
        <f>G134*AP134</f>
        <v>0</v>
      </c>
      <c r="K134" s="52">
        <f>G134*H134</f>
        <v>0</v>
      </c>
      <c r="L134" s="52">
        <v>0.00714</v>
      </c>
      <c r="M134" s="52">
        <f>G134*L134</f>
        <v>0.0981474396</v>
      </c>
      <c r="N134" s="67" t="s">
        <v>545</v>
      </c>
      <c r="O134" s="18"/>
      <c r="Z134" s="52">
        <f>IF(AQ134="5",BJ134,0)</f>
        <v>0</v>
      </c>
      <c r="AB134" s="52">
        <f>IF(AQ134="1",BH134,0)</f>
        <v>0</v>
      </c>
      <c r="AC134" s="52">
        <f>IF(AQ134="1",BI134,0)</f>
        <v>0</v>
      </c>
      <c r="AD134" s="52">
        <f>IF(AQ134="7",BH134,0)</f>
        <v>0</v>
      </c>
      <c r="AE134" s="52">
        <f>IF(AQ134="7",BI134,0)</f>
        <v>0</v>
      </c>
      <c r="AF134" s="52">
        <f>IF(AQ134="2",BH134,0)</f>
        <v>0</v>
      </c>
      <c r="AG134" s="52">
        <f>IF(AQ134="2",BI134,0)</f>
        <v>0</v>
      </c>
      <c r="AH134" s="52">
        <f>IF(AQ134="0",BJ134,0)</f>
        <v>0</v>
      </c>
      <c r="AI134" s="48"/>
      <c r="AJ134" s="40">
        <f>IF(AN134=0,K134,0)</f>
        <v>0</v>
      </c>
      <c r="AK134" s="40">
        <f>IF(AN134=15,K134,0)</f>
        <v>0</v>
      </c>
      <c r="AL134" s="40">
        <f>IF(AN134=21,K134,0)</f>
        <v>0</v>
      </c>
      <c r="AN134" s="52">
        <v>21</v>
      </c>
      <c r="AO134" s="52">
        <f>H134*0.228982251979338</f>
        <v>0</v>
      </c>
      <c r="AP134" s="52">
        <f>H134*(1-0.228982251979338)</f>
        <v>0</v>
      </c>
      <c r="AQ134" s="53" t="s">
        <v>80</v>
      </c>
      <c r="AV134" s="52">
        <f>AW134+AX134</f>
        <v>0</v>
      </c>
      <c r="AW134" s="52">
        <f>G134*AO134</f>
        <v>0</v>
      </c>
      <c r="AX134" s="52">
        <f>G134*AP134</f>
        <v>0</v>
      </c>
      <c r="AY134" s="55" t="s">
        <v>568</v>
      </c>
      <c r="AZ134" s="55" t="s">
        <v>587</v>
      </c>
      <c r="BA134" s="48" t="s">
        <v>590</v>
      </c>
      <c r="BC134" s="52">
        <f>AW134+AX134</f>
        <v>0</v>
      </c>
      <c r="BD134" s="52">
        <f>H134/(100-BE134)*100</f>
        <v>0</v>
      </c>
      <c r="BE134" s="52">
        <v>0</v>
      </c>
      <c r="BF134" s="52">
        <f>M134</f>
        <v>0.0981474396</v>
      </c>
      <c r="BH134" s="40">
        <f>G134*AO134</f>
        <v>0</v>
      </c>
      <c r="BI134" s="40">
        <f>G134*AP134</f>
        <v>0</v>
      </c>
      <c r="BJ134" s="40">
        <f>G134*H134</f>
        <v>0</v>
      </c>
      <c r="BK134" s="40" t="s">
        <v>595</v>
      </c>
      <c r="BL134" s="52">
        <v>771</v>
      </c>
    </row>
    <row r="135" spans="1:15" ht="12.75">
      <c r="A135" s="18"/>
      <c r="B135" s="68"/>
      <c r="C135" s="68"/>
      <c r="D135" s="69" t="s">
        <v>444</v>
      </c>
      <c r="E135" s="69"/>
      <c r="F135" s="68"/>
      <c r="G135" s="70">
        <v>13.74614</v>
      </c>
      <c r="H135" s="68"/>
      <c r="I135" s="68"/>
      <c r="J135" s="68"/>
      <c r="K135" s="68"/>
      <c r="L135" s="68"/>
      <c r="M135" s="68"/>
      <c r="N135" s="16"/>
      <c r="O135" s="18"/>
    </row>
    <row r="136" spans="1:64" ht="12.75">
      <c r="A136" s="66" t="s">
        <v>153</v>
      </c>
      <c r="B136" s="17"/>
      <c r="C136" s="17" t="s">
        <v>277</v>
      </c>
      <c r="D136" s="112" t="s">
        <v>445</v>
      </c>
      <c r="E136" s="147"/>
      <c r="F136" s="17" t="s">
        <v>519</v>
      </c>
      <c r="G136" s="52">
        <v>13.75</v>
      </c>
      <c r="H136" s="173"/>
      <c r="I136" s="52">
        <f>G136*AO136</f>
        <v>0</v>
      </c>
      <c r="J136" s="52">
        <f>G136*AP136</f>
        <v>0</v>
      </c>
      <c r="K136" s="52">
        <f>G136*H136</f>
        <v>0</v>
      </c>
      <c r="L136" s="52">
        <v>0</v>
      </c>
      <c r="M136" s="52">
        <f>G136*L136</f>
        <v>0</v>
      </c>
      <c r="N136" s="67" t="s">
        <v>545</v>
      </c>
      <c r="O136" s="18"/>
      <c r="Z136" s="52">
        <f>IF(AQ136="5",BJ136,0)</f>
        <v>0</v>
      </c>
      <c r="AB136" s="52">
        <f>IF(AQ136="1",BH136,0)</f>
        <v>0</v>
      </c>
      <c r="AC136" s="52">
        <f>IF(AQ136="1",BI136,0)</f>
        <v>0</v>
      </c>
      <c r="AD136" s="52">
        <f>IF(AQ136="7",BH136,0)</f>
        <v>0</v>
      </c>
      <c r="AE136" s="52">
        <f>IF(AQ136="7",BI136,0)</f>
        <v>0</v>
      </c>
      <c r="AF136" s="52">
        <f>IF(AQ136="2",BH136,0)</f>
        <v>0</v>
      </c>
      <c r="AG136" s="52">
        <f>IF(AQ136="2",BI136,0)</f>
        <v>0</v>
      </c>
      <c r="AH136" s="52">
        <f>IF(AQ136="0",BJ136,0)</f>
        <v>0</v>
      </c>
      <c r="AI136" s="48"/>
      <c r="AJ136" s="40">
        <f>IF(AN136=0,K136,0)</f>
        <v>0</v>
      </c>
      <c r="AK136" s="40">
        <f>IF(AN136=15,K136,0)</f>
        <v>0</v>
      </c>
      <c r="AL136" s="40">
        <f>IF(AN136=21,K136,0)</f>
        <v>0</v>
      </c>
      <c r="AN136" s="52">
        <v>21</v>
      </c>
      <c r="AO136" s="52">
        <f>H136*0</f>
        <v>0</v>
      </c>
      <c r="AP136" s="52">
        <f>H136*(1-0)</f>
        <v>0</v>
      </c>
      <c r="AQ136" s="53" t="s">
        <v>80</v>
      </c>
      <c r="AV136" s="52">
        <f>AW136+AX136</f>
        <v>0</v>
      </c>
      <c r="AW136" s="52">
        <f>G136*AO136</f>
        <v>0</v>
      </c>
      <c r="AX136" s="52">
        <f>G136*AP136</f>
        <v>0</v>
      </c>
      <c r="AY136" s="55" t="s">
        <v>568</v>
      </c>
      <c r="AZ136" s="55" t="s">
        <v>587</v>
      </c>
      <c r="BA136" s="48" t="s">
        <v>590</v>
      </c>
      <c r="BC136" s="52">
        <f>AW136+AX136</f>
        <v>0</v>
      </c>
      <c r="BD136" s="52">
        <f>H136/(100-BE136)*100</f>
        <v>0</v>
      </c>
      <c r="BE136" s="52">
        <v>0</v>
      </c>
      <c r="BF136" s="52">
        <f>M136</f>
        <v>0</v>
      </c>
      <c r="BH136" s="40">
        <f>G136*AO136</f>
        <v>0</v>
      </c>
      <c r="BI136" s="40">
        <f>G136*AP136</f>
        <v>0</v>
      </c>
      <c r="BJ136" s="40">
        <f>G136*H136</f>
        <v>0</v>
      </c>
      <c r="BK136" s="40" t="s">
        <v>595</v>
      </c>
      <c r="BL136" s="52">
        <v>771</v>
      </c>
    </row>
    <row r="137" spans="1:64" ht="12.75">
      <c r="A137" s="66" t="s">
        <v>154</v>
      </c>
      <c r="B137" s="17"/>
      <c r="C137" s="17" t="s">
        <v>278</v>
      </c>
      <c r="D137" s="112" t="s">
        <v>446</v>
      </c>
      <c r="E137" s="147"/>
      <c r="F137" s="17" t="s">
        <v>519</v>
      </c>
      <c r="G137" s="52">
        <v>13.75</v>
      </c>
      <c r="H137" s="173"/>
      <c r="I137" s="52">
        <f>G137*AO137</f>
        <v>0</v>
      </c>
      <c r="J137" s="52">
        <f>G137*AP137</f>
        <v>0</v>
      </c>
      <c r="K137" s="52">
        <f>G137*H137</f>
        <v>0</v>
      </c>
      <c r="L137" s="52">
        <v>0</v>
      </c>
      <c r="M137" s="52">
        <f>G137*L137</f>
        <v>0</v>
      </c>
      <c r="N137" s="67" t="s">
        <v>545</v>
      </c>
      <c r="O137" s="18"/>
      <c r="Z137" s="52">
        <f>IF(AQ137="5",BJ137,0)</f>
        <v>0</v>
      </c>
      <c r="AB137" s="52">
        <f>IF(AQ137="1",BH137,0)</f>
        <v>0</v>
      </c>
      <c r="AC137" s="52">
        <f>IF(AQ137="1",BI137,0)</f>
        <v>0</v>
      </c>
      <c r="AD137" s="52">
        <f>IF(AQ137="7",BH137,0)</f>
        <v>0</v>
      </c>
      <c r="AE137" s="52">
        <f>IF(AQ137="7",BI137,0)</f>
        <v>0</v>
      </c>
      <c r="AF137" s="52">
        <f>IF(AQ137="2",BH137,0)</f>
        <v>0</v>
      </c>
      <c r="AG137" s="52">
        <f>IF(AQ137="2",BI137,0)</f>
        <v>0</v>
      </c>
      <c r="AH137" s="52">
        <f>IF(AQ137="0",BJ137,0)</f>
        <v>0</v>
      </c>
      <c r="AI137" s="48"/>
      <c r="AJ137" s="40">
        <f>IF(AN137=0,K137,0)</f>
        <v>0</v>
      </c>
      <c r="AK137" s="40">
        <f>IF(AN137=15,K137,0)</f>
        <v>0</v>
      </c>
      <c r="AL137" s="40">
        <f>IF(AN137=21,K137,0)</f>
        <v>0</v>
      </c>
      <c r="AN137" s="52">
        <v>21</v>
      </c>
      <c r="AO137" s="52">
        <f>H137*0</f>
        <v>0</v>
      </c>
      <c r="AP137" s="52">
        <f>H137*(1-0)</f>
        <v>0</v>
      </c>
      <c r="AQ137" s="53" t="s">
        <v>80</v>
      </c>
      <c r="AV137" s="52">
        <f>AW137+AX137</f>
        <v>0</v>
      </c>
      <c r="AW137" s="52">
        <f>G137*AO137</f>
        <v>0</v>
      </c>
      <c r="AX137" s="52">
        <f>G137*AP137</f>
        <v>0</v>
      </c>
      <c r="AY137" s="55" t="s">
        <v>568</v>
      </c>
      <c r="AZ137" s="55" t="s">
        <v>587</v>
      </c>
      <c r="BA137" s="48" t="s">
        <v>590</v>
      </c>
      <c r="BC137" s="52">
        <f>AW137+AX137</f>
        <v>0</v>
      </c>
      <c r="BD137" s="52">
        <f>H137/(100-BE137)*100</f>
        <v>0</v>
      </c>
      <c r="BE137" s="52">
        <v>0</v>
      </c>
      <c r="BF137" s="52">
        <f>M137</f>
        <v>0</v>
      </c>
      <c r="BH137" s="40">
        <f>G137*AO137</f>
        <v>0</v>
      </c>
      <c r="BI137" s="40">
        <f>G137*AP137</f>
        <v>0</v>
      </c>
      <c r="BJ137" s="40">
        <f>G137*H137</f>
        <v>0</v>
      </c>
      <c r="BK137" s="40" t="s">
        <v>595</v>
      </c>
      <c r="BL137" s="52">
        <v>771</v>
      </c>
    </row>
    <row r="138" spans="1:64" ht="12.75">
      <c r="A138" s="66" t="s">
        <v>155</v>
      </c>
      <c r="B138" s="17"/>
      <c r="C138" s="17" t="s">
        <v>279</v>
      </c>
      <c r="D138" s="112" t="s">
        <v>447</v>
      </c>
      <c r="E138" s="147"/>
      <c r="F138" s="17" t="s">
        <v>519</v>
      </c>
      <c r="G138" s="52">
        <v>13.75</v>
      </c>
      <c r="H138" s="173"/>
      <c r="I138" s="52">
        <f>G138*AO138</f>
        <v>0</v>
      </c>
      <c r="J138" s="52">
        <f>G138*AP138</f>
        <v>0</v>
      </c>
      <c r="K138" s="52">
        <f>G138*H138</f>
        <v>0</v>
      </c>
      <c r="L138" s="52">
        <v>0.00021</v>
      </c>
      <c r="M138" s="52">
        <f>G138*L138</f>
        <v>0.0028875000000000003</v>
      </c>
      <c r="N138" s="67" t="s">
        <v>545</v>
      </c>
      <c r="O138" s="18"/>
      <c r="Z138" s="52">
        <f>IF(AQ138="5",BJ138,0)</f>
        <v>0</v>
      </c>
      <c r="AB138" s="52">
        <f>IF(AQ138="1",BH138,0)</f>
        <v>0</v>
      </c>
      <c r="AC138" s="52">
        <f>IF(AQ138="1",BI138,0)</f>
        <v>0</v>
      </c>
      <c r="AD138" s="52">
        <f>IF(AQ138="7",BH138,0)</f>
        <v>0</v>
      </c>
      <c r="AE138" s="52">
        <f>IF(AQ138="7",BI138,0)</f>
        <v>0</v>
      </c>
      <c r="AF138" s="52">
        <f>IF(AQ138="2",BH138,0)</f>
        <v>0</v>
      </c>
      <c r="AG138" s="52">
        <f>IF(AQ138="2",BI138,0)</f>
        <v>0</v>
      </c>
      <c r="AH138" s="52">
        <f>IF(AQ138="0",BJ138,0)</f>
        <v>0</v>
      </c>
      <c r="AI138" s="48"/>
      <c r="AJ138" s="40">
        <f>IF(AN138=0,K138,0)</f>
        <v>0</v>
      </c>
      <c r="AK138" s="40">
        <f>IF(AN138=15,K138,0)</f>
        <v>0</v>
      </c>
      <c r="AL138" s="40">
        <f>IF(AN138=21,K138,0)</f>
        <v>0</v>
      </c>
      <c r="AN138" s="52">
        <v>21</v>
      </c>
      <c r="AO138" s="52">
        <f>H138*0.506653992395437</f>
        <v>0</v>
      </c>
      <c r="AP138" s="52">
        <f>H138*(1-0.506653992395437)</f>
        <v>0</v>
      </c>
      <c r="AQ138" s="53" t="s">
        <v>80</v>
      </c>
      <c r="AV138" s="52">
        <f>AW138+AX138</f>
        <v>0</v>
      </c>
      <c r="AW138" s="52">
        <f>G138*AO138</f>
        <v>0</v>
      </c>
      <c r="AX138" s="52">
        <f>G138*AP138</f>
        <v>0</v>
      </c>
      <c r="AY138" s="55" t="s">
        <v>568</v>
      </c>
      <c r="AZ138" s="55" t="s">
        <v>587</v>
      </c>
      <c r="BA138" s="48" t="s">
        <v>590</v>
      </c>
      <c r="BC138" s="52">
        <f>AW138+AX138</f>
        <v>0</v>
      </c>
      <c r="BD138" s="52">
        <f>H138/(100-BE138)*100</f>
        <v>0</v>
      </c>
      <c r="BE138" s="52">
        <v>0</v>
      </c>
      <c r="BF138" s="52">
        <f>M138</f>
        <v>0.0028875000000000003</v>
      </c>
      <c r="BH138" s="40">
        <f>G138*AO138</f>
        <v>0</v>
      </c>
      <c r="BI138" s="40">
        <f>G138*AP138</f>
        <v>0</v>
      </c>
      <c r="BJ138" s="40">
        <f>G138*H138</f>
        <v>0</v>
      </c>
      <c r="BK138" s="40" t="s">
        <v>595</v>
      </c>
      <c r="BL138" s="52">
        <v>771</v>
      </c>
    </row>
    <row r="139" spans="1:64" ht="12.75">
      <c r="A139" s="66" t="s">
        <v>156</v>
      </c>
      <c r="B139" s="17"/>
      <c r="C139" s="17" t="s">
        <v>280</v>
      </c>
      <c r="D139" s="112" t="s">
        <v>448</v>
      </c>
      <c r="E139" s="153"/>
      <c r="F139" s="17" t="s">
        <v>519</v>
      </c>
      <c r="G139" s="52">
        <v>15.125</v>
      </c>
      <c r="H139" s="173"/>
      <c r="I139" s="52">
        <f>G139*AO139</f>
        <v>0</v>
      </c>
      <c r="J139" s="52">
        <f>G139*AP139</f>
        <v>0</v>
      </c>
      <c r="K139" s="52">
        <f>G139*H139</f>
        <v>0</v>
      </c>
      <c r="L139" s="52">
        <v>0.0192</v>
      </c>
      <c r="M139" s="52">
        <f>G139*L139</f>
        <v>0.2904</v>
      </c>
      <c r="N139" s="67" t="s">
        <v>545</v>
      </c>
      <c r="O139" s="18"/>
      <c r="Z139" s="52">
        <f>IF(AQ139="5",BJ139,0)</f>
        <v>0</v>
      </c>
      <c r="AB139" s="52">
        <f>IF(AQ139="1",BH139,0)</f>
        <v>0</v>
      </c>
      <c r="AC139" s="52">
        <f>IF(AQ139="1",BI139,0)</f>
        <v>0</v>
      </c>
      <c r="AD139" s="52">
        <f>IF(AQ139="7",BH139,0)</f>
        <v>0</v>
      </c>
      <c r="AE139" s="52">
        <f>IF(AQ139="7",BI139,0)</f>
        <v>0</v>
      </c>
      <c r="AF139" s="52">
        <f>IF(AQ139="2",BH139,0)</f>
        <v>0</v>
      </c>
      <c r="AG139" s="52">
        <f>IF(AQ139="2",BI139,0)</f>
        <v>0</v>
      </c>
      <c r="AH139" s="52">
        <f>IF(AQ139="0",BJ139,0)</f>
        <v>0</v>
      </c>
      <c r="AI139" s="48"/>
      <c r="AJ139" s="41">
        <f>IF(AN139=0,K139,0)</f>
        <v>0</v>
      </c>
      <c r="AK139" s="41">
        <f>IF(AN139=15,K139,0)</f>
        <v>0</v>
      </c>
      <c r="AL139" s="41">
        <f>IF(AN139=21,K139,0)</f>
        <v>0</v>
      </c>
      <c r="AN139" s="52">
        <v>21</v>
      </c>
      <c r="AO139" s="52">
        <f>H139*1</f>
        <v>0</v>
      </c>
      <c r="AP139" s="52">
        <f>H139*(1-1)</f>
        <v>0</v>
      </c>
      <c r="AQ139" s="54" t="s">
        <v>80</v>
      </c>
      <c r="AV139" s="52">
        <f>AW139+AX139</f>
        <v>0</v>
      </c>
      <c r="AW139" s="52">
        <f>G139*AO139</f>
        <v>0</v>
      </c>
      <c r="AX139" s="52">
        <f>G139*AP139</f>
        <v>0</v>
      </c>
      <c r="AY139" s="55" t="s">
        <v>568</v>
      </c>
      <c r="AZ139" s="55" t="s">
        <v>587</v>
      </c>
      <c r="BA139" s="48" t="s">
        <v>590</v>
      </c>
      <c r="BC139" s="52">
        <f>AW139+AX139</f>
        <v>0</v>
      </c>
      <c r="BD139" s="52">
        <f>H139/(100-BE139)*100</f>
        <v>0</v>
      </c>
      <c r="BE139" s="52">
        <v>0</v>
      </c>
      <c r="BF139" s="52">
        <f>M139</f>
        <v>0.2904</v>
      </c>
      <c r="BH139" s="41">
        <f>G139*AO139</f>
        <v>0</v>
      </c>
      <c r="BI139" s="41">
        <f>G139*AP139</f>
        <v>0</v>
      </c>
      <c r="BJ139" s="41">
        <f>G139*H139</f>
        <v>0</v>
      </c>
      <c r="BK139" s="41" t="s">
        <v>596</v>
      </c>
      <c r="BL139" s="52">
        <v>771</v>
      </c>
    </row>
    <row r="140" spans="1:15" ht="12.75">
      <c r="A140" s="18"/>
      <c r="B140" s="68"/>
      <c r="C140" s="68"/>
      <c r="D140" s="69" t="s">
        <v>449</v>
      </c>
      <c r="E140" s="69"/>
      <c r="F140" s="68"/>
      <c r="G140" s="70">
        <v>15.125</v>
      </c>
      <c r="H140" s="68"/>
      <c r="I140" s="68"/>
      <c r="J140" s="68"/>
      <c r="K140" s="68"/>
      <c r="L140" s="68"/>
      <c r="M140" s="68"/>
      <c r="N140" s="16"/>
      <c r="O140" s="18"/>
    </row>
    <row r="141" spans="1:64" ht="12.75">
      <c r="A141" s="66" t="s">
        <v>157</v>
      </c>
      <c r="B141" s="17"/>
      <c r="C141" s="17" t="s">
        <v>281</v>
      </c>
      <c r="D141" s="112" t="s">
        <v>450</v>
      </c>
      <c r="E141" s="147"/>
      <c r="F141" s="17" t="s">
        <v>523</v>
      </c>
      <c r="G141" s="52">
        <v>0.3914</v>
      </c>
      <c r="H141" s="173"/>
      <c r="I141" s="52">
        <f>G141*AO141</f>
        <v>0</v>
      </c>
      <c r="J141" s="52">
        <f>G141*AP141</f>
        <v>0</v>
      </c>
      <c r="K141" s="52">
        <f>G141*H141</f>
        <v>0</v>
      </c>
      <c r="L141" s="52">
        <v>0</v>
      </c>
      <c r="M141" s="52">
        <f>G141*L141</f>
        <v>0</v>
      </c>
      <c r="N141" s="67" t="s">
        <v>545</v>
      </c>
      <c r="O141" s="18"/>
      <c r="Z141" s="52">
        <f>IF(AQ141="5",BJ141,0)</f>
        <v>0</v>
      </c>
      <c r="AB141" s="52">
        <f>IF(AQ141="1",BH141,0)</f>
        <v>0</v>
      </c>
      <c r="AC141" s="52">
        <f>IF(AQ141="1",BI141,0)</f>
        <v>0</v>
      </c>
      <c r="AD141" s="52">
        <f>IF(AQ141="7",BH141,0)</f>
        <v>0</v>
      </c>
      <c r="AE141" s="52">
        <f>IF(AQ141="7",BI141,0)</f>
        <v>0</v>
      </c>
      <c r="AF141" s="52">
        <f>IF(AQ141="2",BH141,0)</f>
        <v>0</v>
      </c>
      <c r="AG141" s="52">
        <f>IF(AQ141="2",BI141,0)</f>
        <v>0</v>
      </c>
      <c r="AH141" s="52">
        <f>IF(AQ141="0",BJ141,0)</f>
        <v>0</v>
      </c>
      <c r="AI141" s="48"/>
      <c r="AJ141" s="40">
        <f>IF(AN141=0,K141,0)</f>
        <v>0</v>
      </c>
      <c r="AK141" s="40">
        <f>IF(AN141=15,K141,0)</f>
        <v>0</v>
      </c>
      <c r="AL141" s="40">
        <f>IF(AN141=21,K141,0)</f>
        <v>0</v>
      </c>
      <c r="AN141" s="52">
        <v>21</v>
      </c>
      <c r="AO141" s="52">
        <f>H141*0</f>
        <v>0</v>
      </c>
      <c r="AP141" s="52">
        <f>H141*(1-0)</f>
        <v>0</v>
      </c>
      <c r="AQ141" s="53" t="s">
        <v>78</v>
      </c>
      <c r="AV141" s="52">
        <f>AW141+AX141</f>
        <v>0</v>
      </c>
      <c r="AW141" s="52">
        <f>G141*AO141</f>
        <v>0</v>
      </c>
      <c r="AX141" s="52">
        <f>G141*AP141</f>
        <v>0</v>
      </c>
      <c r="AY141" s="55" t="s">
        <v>568</v>
      </c>
      <c r="AZ141" s="55" t="s">
        <v>587</v>
      </c>
      <c r="BA141" s="48" t="s">
        <v>590</v>
      </c>
      <c r="BC141" s="52">
        <f>AW141+AX141</f>
        <v>0</v>
      </c>
      <c r="BD141" s="52">
        <f>H141/(100-BE141)*100</f>
        <v>0</v>
      </c>
      <c r="BE141" s="52">
        <v>0</v>
      </c>
      <c r="BF141" s="52">
        <f>M141</f>
        <v>0</v>
      </c>
      <c r="BH141" s="40">
        <f>G141*AO141</f>
        <v>0</v>
      </c>
      <c r="BI141" s="40">
        <f>G141*AP141</f>
        <v>0</v>
      </c>
      <c r="BJ141" s="40">
        <f>G141*H141</f>
        <v>0</v>
      </c>
      <c r="BK141" s="40" t="s">
        <v>595</v>
      </c>
      <c r="BL141" s="52">
        <v>771</v>
      </c>
    </row>
    <row r="142" spans="1:47" ht="12.75">
      <c r="A142" s="60"/>
      <c r="B142" s="61"/>
      <c r="C142" s="61" t="s">
        <v>282</v>
      </c>
      <c r="D142" s="151" t="s">
        <v>451</v>
      </c>
      <c r="E142" s="152"/>
      <c r="F142" s="62" t="s">
        <v>73</v>
      </c>
      <c r="G142" s="62" t="s">
        <v>73</v>
      </c>
      <c r="H142" s="62" t="s">
        <v>73</v>
      </c>
      <c r="I142" s="63">
        <f>SUM(I143:I157)</f>
        <v>0</v>
      </c>
      <c r="J142" s="63">
        <f>SUM(J143:J157)</f>
        <v>0</v>
      </c>
      <c r="K142" s="63">
        <f>SUM(K143:K157)</f>
        <v>0</v>
      </c>
      <c r="L142" s="64"/>
      <c r="M142" s="63">
        <f>SUM(M143:M157)</f>
        <v>1.244288625</v>
      </c>
      <c r="N142" s="65"/>
      <c r="O142" s="18"/>
      <c r="AI142" s="48"/>
      <c r="AS142" s="58">
        <f>SUM(AJ143:AJ157)</f>
        <v>0</v>
      </c>
      <c r="AT142" s="58">
        <f>SUM(AK143:AK157)</f>
        <v>0</v>
      </c>
      <c r="AU142" s="58">
        <f>SUM(AL143:AL157)</f>
        <v>0</v>
      </c>
    </row>
    <row r="143" spans="1:64" ht="12.75">
      <c r="A143" s="66" t="s">
        <v>158</v>
      </c>
      <c r="B143" s="17"/>
      <c r="C143" s="17" t="s">
        <v>283</v>
      </c>
      <c r="D143" s="112" t="s">
        <v>452</v>
      </c>
      <c r="E143" s="147"/>
      <c r="F143" s="17" t="s">
        <v>519</v>
      </c>
      <c r="G143" s="52">
        <v>65.6475</v>
      </c>
      <c r="H143" s="173"/>
      <c r="I143" s="52">
        <f>G143*AO143</f>
        <v>0</v>
      </c>
      <c r="J143" s="52">
        <f>G143*AP143</f>
        <v>0</v>
      </c>
      <c r="K143" s="52">
        <f>G143*H143</f>
        <v>0</v>
      </c>
      <c r="L143" s="52">
        <v>0.00235</v>
      </c>
      <c r="M143" s="52">
        <f>G143*L143</f>
        <v>0.154271625</v>
      </c>
      <c r="N143" s="67" t="s">
        <v>545</v>
      </c>
      <c r="O143" s="18"/>
      <c r="Z143" s="52">
        <f>IF(AQ143="5",BJ143,0)</f>
        <v>0</v>
      </c>
      <c r="AB143" s="52">
        <f>IF(AQ143="1",BH143,0)</f>
        <v>0</v>
      </c>
      <c r="AC143" s="52">
        <f>IF(AQ143="1",BI143,0)</f>
        <v>0</v>
      </c>
      <c r="AD143" s="52">
        <f>IF(AQ143="7",BH143,0)</f>
        <v>0</v>
      </c>
      <c r="AE143" s="52">
        <f>IF(AQ143="7",BI143,0)</f>
        <v>0</v>
      </c>
      <c r="AF143" s="52">
        <f>IF(AQ143="2",BH143,0)</f>
        <v>0</v>
      </c>
      <c r="AG143" s="52">
        <f>IF(AQ143="2",BI143,0)</f>
        <v>0</v>
      </c>
      <c r="AH143" s="52">
        <f>IF(AQ143="0",BJ143,0)</f>
        <v>0</v>
      </c>
      <c r="AI143" s="48"/>
      <c r="AJ143" s="40">
        <f>IF(AN143=0,K143,0)</f>
        <v>0</v>
      </c>
      <c r="AK143" s="40">
        <f>IF(AN143=15,K143,0)</f>
        <v>0</v>
      </c>
      <c r="AL143" s="40">
        <f>IF(AN143=21,K143,0)</f>
        <v>0</v>
      </c>
      <c r="AN143" s="52">
        <v>21</v>
      </c>
      <c r="AO143" s="52">
        <f>H143*0.271302257668122</f>
        <v>0</v>
      </c>
      <c r="AP143" s="52">
        <f>H143*(1-0.271302257668122)</f>
        <v>0</v>
      </c>
      <c r="AQ143" s="53" t="s">
        <v>80</v>
      </c>
      <c r="AV143" s="52">
        <f>AW143+AX143</f>
        <v>0</v>
      </c>
      <c r="AW143" s="52">
        <f>G143*AO143</f>
        <v>0</v>
      </c>
      <c r="AX143" s="52">
        <f>G143*AP143</f>
        <v>0</v>
      </c>
      <c r="AY143" s="55" t="s">
        <v>569</v>
      </c>
      <c r="AZ143" s="55" t="s">
        <v>588</v>
      </c>
      <c r="BA143" s="48" t="s">
        <v>590</v>
      </c>
      <c r="BC143" s="52">
        <f>AW143+AX143</f>
        <v>0</v>
      </c>
      <c r="BD143" s="52">
        <f>H143/(100-BE143)*100</f>
        <v>0</v>
      </c>
      <c r="BE143" s="52">
        <v>0</v>
      </c>
      <c r="BF143" s="52">
        <f>M143</f>
        <v>0.154271625</v>
      </c>
      <c r="BH143" s="40">
        <f>G143*AO143</f>
        <v>0</v>
      </c>
      <c r="BI143" s="40">
        <f>G143*AP143</f>
        <v>0</v>
      </c>
      <c r="BJ143" s="40">
        <f>G143*H143</f>
        <v>0</v>
      </c>
      <c r="BK143" s="40" t="s">
        <v>595</v>
      </c>
      <c r="BL143" s="52">
        <v>781</v>
      </c>
    </row>
    <row r="144" spans="1:15" ht="12.75">
      <c r="A144" s="18"/>
      <c r="B144" s="68"/>
      <c r="C144" s="68"/>
      <c r="D144" s="69" t="s">
        <v>453</v>
      </c>
      <c r="E144" s="69"/>
      <c r="F144" s="68"/>
      <c r="G144" s="70">
        <v>34.02</v>
      </c>
      <c r="H144" s="68"/>
      <c r="I144" s="68"/>
      <c r="J144" s="68"/>
      <c r="K144" s="68"/>
      <c r="L144" s="68"/>
      <c r="M144" s="68"/>
      <c r="N144" s="16"/>
      <c r="O144" s="18"/>
    </row>
    <row r="145" spans="1:15" ht="12.75">
      <c r="A145" s="18"/>
      <c r="B145" s="68"/>
      <c r="C145" s="68"/>
      <c r="D145" s="69" t="s">
        <v>454</v>
      </c>
      <c r="E145" s="69"/>
      <c r="F145" s="68"/>
      <c r="G145" s="70">
        <v>31.185</v>
      </c>
      <c r="H145" s="68"/>
      <c r="I145" s="68"/>
      <c r="J145" s="68"/>
      <c r="K145" s="68"/>
      <c r="L145" s="68"/>
      <c r="M145" s="68"/>
      <c r="N145" s="16"/>
      <c r="O145" s="18"/>
    </row>
    <row r="146" spans="1:15" ht="12.75">
      <c r="A146" s="18"/>
      <c r="B146" s="68"/>
      <c r="C146" s="68"/>
      <c r="D146" s="69" t="s">
        <v>455</v>
      </c>
      <c r="E146" s="69"/>
      <c r="F146" s="68"/>
      <c r="G146" s="70">
        <v>0.4425</v>
      </c>
      <c r="H146" s="68"/>
      <c r="I146" s="68"/>
      <c r="J146" s="68"/>
      <c r="K146" s="68"/>
      <c r="L146" s="68"/>
      <c r="M146" s="68"/>
      <c r="N146" s="16"/>
      <c r="O146" s="18"/>
    </row>
    <row r="147" spans="1:64" ht="12.75">
      <c r="A147" s="66" t="s">
        <v>159</v>
      </c>
      <c r="B147" s="17"/>
      <c r="C147" s="17" t="s">
        <v>284</v>
      </c>
      <c r="D147" s="112" t="s">
        <v>456</v>
      </c>
      <c r="E147" s="147"/>
      <c r="F147" s="17" t="s">
        <v>519</v>
      </c>
      <c r="G147" s="52">
        <v>65.65</v>
      </c>
      <c r="H147" s="173"/>
      <c r="I147" s="52">
        <f>G147*AO147</f>
        <v>0</v>
      </c>
      <c r="J147" s="52">
        <f>G147*AP147</f>
        <v>0</v>
      </c>
      <c r="K147" s="52">
        <f>G147*H147</f>
        <v>0</v>
      </c>
      <c r="L147" s="52">
        <v>0</v>
      </c>
      <c r="M147" s="52">
        <f>G147*L147</f>
        <v>0</v>
      </c>
      <c r="N147" s="67" t="s">
        <v>545</v>
      </c>
      <c r="O147" s="18"/>
      <c r="Z147" s="52">
        <f>IF(AQ147="5",BJ147,0)</f>
        <v>0</v>
      </c>
      <c r="AB147" s="52">
        <f>IF(AQ147="1",BH147,0)</f>
        <v>0</v>
      </c>
      <c r="AC147" s="52">
        <f>IF(AQ147="1",BI147,0)</f>
        <v>0</v>
      </c>
      <c r="AD147" s="52">
        <f>IF(AQ147="7",BH147,0)</f>
        <v>0</v>
      </c>
      <c r="AE147" s="52">
        <f>IF(AQ147="7",BI147,0)</f>
        <v>0</v>
      </c>
      <c r="AF147" s="52">
        <f>IF(AQ147="2",BH147,0)</f>
        <v>0</v>
      </c>
      <c r="AG147" s="52">
        <f>IF(AQ147="2",BI147,0)</f>
        <v>0</v>
      </c>
      <c r="AH147" s="52">
        <f>IF(AQ147="0",BJ147,0)</f>
        <v>0</v>
      </c>
      <c r="AI147" s="48"/>
      <c r="AJ147" s="40">
        <f>IF(AN147=0,K147,0)</f>
        <v>0</v>
      </c>
      <c r="AK147" s="40">
        <f>IF(AN147=15,K147,0)</f>
        <v>0</v>
      </c>
      <c r="AL147" s="40">
        <f>IF(AN147=21,K147,0)</f>
        <v>0</v>
      </c>
      <c r="AN147" s="52">
        <v>21</v>
      </c>
      <c r="AO147" s="52">
        <f>H147*0</f>
        <v>0</v>
      </c>
      <c r="AP147" s="52">
        <f>H147*(1-0)</f>
        <v>0</v>
      </c>
      <c r="AQ147" s="53" t="s">
        <v>80</v>
      </c>
      <c r="AV147" s="52">
        <f>AW147+AX147</f>
        <v>0</v>
      </c>
      <c r="AW147" s="52">
        <f>G147*AO147</f>
        <v>0</v>
      </c>
      <c r="AX147" s="52">
        <f>G147*AP147</f>
        <v>0</v>
      </c>
      <c r="AY147" s="55" t="s">
        <v>569</v>
      </c>
      <c r="AZ147" s="55" t="s">
        <v>588</v>
      </c>
      <c r="BA147" s="48" t="s">
        <v>590</v>
      </c>
      <c r="BC147" s="52">
        <f>AW147+AX147</f>
        <v>0</v>
      </c>
      <c r="BD147" s="52">
        <f>H147/(100-BE147)*100</f>
        <v>0</v>
      </c>
      <c r="BE147" s="52">
        <v>0</v>
      </c>
      <c r="BF147" s="52">
        <f>M147</f>
        <v>0</v>
      </c>
      <c r="BH147" s="40">
        <f>G147*AO147</f>
        <v>0</v>
      </c>
      <c r="BI147" s="40">
        <f>G147*AP147</f>
        <v>0</v>
      </c>
      <c r="BJ147" s="40">
        <f>G147*H147</f>
        <v>0</v>
      </c>
      <c r="BK147" s="40" t="s">
        <v>595</v>
      </c>
      <c r="BL147" s="52">
        <v>781</v>
      </c>
    </row>
    <row r="148" spans="1:64" ht="12.75">
      <c r="A148" s="66" t="s">
        <v>160</v>
      </c>
      <c r="B148" s="17"/>
      <c r="C148" s="17" t="s">
        <v>285</v>
      </c>
      <c r="D148" s="112" t="s">
        <v>457</v>
      </c>
      <c r="E148" s="147"/>
      <c r="F148" s="17" t="s">
        <v>520</v>
      </c>
      <c r="G148" s="52">
        <v>0</v>
      </c>
      <c r="H148" s="173"/>
      <c r="I148" s="52">
        <f>G148*AO148</f>
        <v>0</v>
      </c>
      <c r="J148" s="52">
        <f>G148*AP148</f>
        <v>0</v>
      </c>
      <c r="K148" s="52">
        <f>G148*H148</f>
        <v>0</v>
      </c>
      <c r="L148" s="52">
        <v>0.00759</v>
      </c>
      <c r="M148" s="52">
        <f>G148*L148</f>
        <v>0</v>
      </c>
      <c r="N148" s="67" t="s">
        <v>545</v>
      </c>
      <c r="O148" s="18"/>
      <c r="Z148" s="52">
        <f>IF(AQ148="5",BJ148,0)</f>
        <v>0</v>
      </c>
      <c r="AB148" s="52">
        <f>IF(AQ148="1",BH148,0)</f>
        <v>0</v>
      </c>
      <c r="AC148" s="52">
        <f>IF(AQ148="1",BI148,0)</f>
        <v>0</v>
      </c>
      <c r="AD148" s="52">
        <f>IF(AQ148="7",BH148,0)</f>
        <v>0</v>
      </c>
      <c r="AE148" s="52">
        <f>IF(AQ148="7",BI148,0)</f>
        <v>0</v>
      </c>
      <c r="AF148" s="52">
        <f>IF(AQ148="2",BH148,0)</f>
        <v>0</v>
      </c>
      <c r="AG148" s="52">
        <f>IF(AQ148="2",BI148,0)</f>
        <v>0</v>
      </c>
      <c r="AH148" s="52">
        <f>IF(AQ148="0",BJ148,0)</f>
        <v>0</v>
      </c>
      <c r="AI148" s="48"/>
      <c r="AJ148" s="40">
        <f>IF(AN148=0,K148,0)</f>
        <v>0</v>
      </c>
      <c r="AK148" s="40">
        <f>IF(AN148=15,K148,0)</f>
        <v>0</v>
      </c>
      <c r="AL148" s="40">
        <f>IF(AN148=21,K148,0)</f>
        <v>0</v>
      </c>
      <c r="AN148" s="52">
        <v>21</v>
      </c>
      <c r="AO148" s="52">
        <f>H148*0</f>
        <v>0</v>
      </c>
      <c r="AP148" s="52">
        <f>H148*(1-0)</f>
        <v>0</v>
      </c>
      <c r="AQ148" s="53" t="s">
        <v>80</v>
      </c>
      <c r="AV148" s="52">
        <f>AW148+AX148</f>
        <v>0</v>
      </c>
      <c r="AW148" s="52">
        <f>G148*AO148</f>
        <v>0</v>
      </c>
      <c r="AX148" s="52">
        <f>G148*AP148</f>
        <v>0</v>
      </c>
      <c r="AY148" s="55" t="s">
        <v>569</v>
      </c>
      <c r="AZ148" s="55" t="s">
        <v>588</v>
      </c>
      <c r="BA148" s="48" t="s">
        <v>590</v>
      </c>
      <c r="BC148" s="52">
        <f>AW148+AX148</f>
        <v>0</v>
      </c>
      <c r="BD148" s="52">
        <f>H148/(100-BE148)*100</f>
        <v>0</v>
      </c>
      <c r="BE148" s="52">
        <v>0</v>
      </c>
      <c r="BF148" s="52">
        <f>M148</f>
        <v>0</v>
      </c>
      <c r="BH148" s="40">
        <f>G148*AO148</f>
        <v>0</v>
      </c>
      <c r="BI148" s="40">
        <f>G148*AP148</f>
        <v>0</v>
      </c>
      <c r="BJ148" s="40">
        <f>G148*H148</f>
        <v>0</v>
      </c>
      <c r="BK148" s="40" t="s">
        <v>595</v>
      </c>
      <c r="BL148" s="52">
        <v>781</v>
      </c>
    </row>
    <row r="149" spans="1:64" ht="12.75">
      <c r="A149" s="66" t="s">
        <v>161</v>
      </c>
      <c r="B149" s="17"/>
      <c r="C149" s="17" t="s">
        <v>286</v>
      </c>
      <c r="D149" s="112" t="s">
        <v>458</v>
      </c>
      <c r="E149" s="147"/>
      <c r="F149" s="17" t="s">
        <v>521</v>
      </c>
      <c r="G149" s="52">
        <v>21</v>
      </c>
      <c r="H149" s="173"/>
      <c r="I149" s="52">
        <f>G149*AO149</f>
        <v>0</v>
      </c>
      <c r="J149" s="52">
        <f>G149*AP149</f>
        <v>0</v>
      </c>
      <c r="K149" s="52">
        <f>G149*H149</f>
        <v>0</v>
      </c>
      <c r="L149" s="52">
        <v>0.00435</v>
      </c>
      <c r="M149" s="52">
        <f>G149*L149</f>
        <v>0.09134999999999999</v>
      </c>
      <c r="N149" s="67" t="s">
        <v>545</v>
      </c>
      <c r="O149" s="18"/>
      <c r="Z149" s="52">
        <f>IF(AQ149="5",BJ149,0)</f>
        <v>0</v>
      </c>
      <c r="AB149" s="52">
        <f>IF(AQ149="1",BH149,0)</f>
        <v>0</v>
      </c>
      <c r="AC149" s="52">
        <f>IF(AQ149="1",BI149,0)</f>
        <v>0</v>
      </c>
      <c r="AD149" s="52">
        <f>IF(AQ149="7",BH149,0)</f>
        <v>0</v>
      </c>
      <c r="AE149" s="52">
        <f>IF(AQ149="7",BI149,0)</f>
        <v>0</v>
      </c>
      <c r="AF149" s="52">
        <f>IF(AQ149="2",BH149,0)</f>
        <v>0</v>
      </c>
      <c r="AG149" s="52">
        <f>IF(AQ149="2",BI149,0)</f>
        <v>0</v>
      </c>
      <c r="AH149" s="52">
        <f>IF(AQ149="0",BJ149,0)</f>
        <v>0</v>
      </c>
      <c r="AI149" s="48"/>
      <c r="AJ149" s="40">
        <f>IF(AN149=0,K149,0)</f>
        <v>0</v>
      </c>
      <c r="AK149" s="40">
        <f>IF(AN149=15,K149,0)</f>
        <v>0</v>
      </c>
      <c r="AL149" s="40">
        <f>IF(AN149=21,K149,0)</f>
        <v>0</v>
      </c>
      <c r="AN149" s="52">
        <v>21</v>
      </c>
      <c r="AO149" s="52">
        <f>H149*0.154421768707483</f>
        <v>0</v>
      </c>
      <c r="AP149" s="52">
        <f>H149*(1-0.154421768707483)</f>
        <v>0</v>
      </c>
      <c r="AQ149" s="53" t="s">
        <v>80</v>
      </c>
      <c r="AV149" s="52">
        <f>AW149+AX149</f>
        <v>0</v>
      </c>
      <c r="AW149" s="52">
        <f>G149*AO149</f>
        <v>0</v>
      </c>
      <c r="AX149" s="52">
        <f>G149*AP149</f>
        <v>0</v>
      </c>
      <c r="AY149" s="55" t="s">
        <v>569</v>
      </c>
      <c r="AZ149" s="55" t="s">
        <v>588</v>
      </c>
      <c r="BA149" s="48" t="s">
        <v>590</v>
      </c>
      <c r="BC149" s="52">
        <f>AW149+AX149</f>
        <v>0</v>
      </c>
      <c r="BD149" s="52">
        <f>H149/(100-BE149)*100</f>
        <v>0</v>
      </c>
      <c r="BE149" s="52">
        <v>0</v>
      </c>
      <c r="BF149" s="52">
        <f>M149</f>
        <v>0.09134999999999999</v>
      </c>
      <c r="BH149" s="40">
        <f>G149*AO149</f>
        <v>0</v>
      </c>
      <c r="BI149" s="40">
        <f>G149*AP149</f>
        <v>0</v>
      </c>
      <c r="BJ149" s="40">
        <f>G149*H149</f>
        <v>0</v>
      </c>
      <c r="BK149" s="40" t="s">
        <v>595</v>
      </c>
      <c r="BL149" s="52">
        <v>781</v>
      </c>
    </row>
    <row r="150" spans="1:64" ht="12.75">
      <c r="A150" s="66" t="s">
        <v>162</v>
      </c>
      <c r="B150" s="17"/>
      <c r="C150" s="17" t="s">
        <v>242</v>
      </c>
      <c r="D150" s="112" t="s">
        <v>459</v>
      </c>
      <c r="E150" s="153"/>
      <c r="F150" s="17" t="s">
        <v>519</v>
      </c>
      <c r="G150" s="52">
        <v>72.215</v>
      </c>
      <c r="H150" s="173"/>
      <c r="I150" s="52">
        <f>G150*AO150</f>
        <v>0</v>
      </c>
      <c r="J150" s="52">
        <f>G150*AP150</f>
        <v>0</v>
      </c>
      <c r="K150" s="52">
        <f>G150*H150</f>
        <v>0</v>
      </c>
      <c r="L150" s="52">
        <v>0.0138</v>
      </c>
      <c r="M150" s="52">
        <f>G150*L150</f>
        <v>0.996567</v>
      </c>
      <c r="N150" s="67" t="s">
        <v>242</v>
      </c>
      <c r="O150" s="18"/>
      <c r="Z150" s="52">
        <f>IF(AQ150="5",BJ150,0)</f>
        <v>0</v>
      </c>
      <c r="AB150" s="52">
        <f>IF(AQ150="1",BH150,0)</f>
        <v>0</v>
      </c>
      <c r="AC150" s="52">
        <f>IF(AQ150="1",BI150,0)</f>
        <v>0</v>
      </c>
      <c r="AD150" s="52">
        <f>IF(AQ150="7",BH150,0)</f>
        <v>0</v>
      </c>
      <c r="AE150" s="52">
        <f>IF(AQ150="7",BI150,0)</f>
        <v>0</v>
      </c>
      <c r="AF150" s="52">
        <f>IF(AQ150="2",BH150,0)</f>
        <v>0</v>
      </c>
      <c r="AG150" s="52">
        <f>IF(AQ150="2",BI150,0)</f>
        <v>0</v>
      </c>
      <c r="AH150" s="52">
        <f>IF(AQ150="0",BJ150,0)</f>
        <v>0</v>
      </c>
      <c r="AI150" s="48"/>
      <c r="AJ150" s="41">
        <f>IF(AN150=0,K150,0)</f>
        <v>0</v>
      </c>
      <c r="AK150" s="41">
        <f>IF(AN150=15,K150,0)</f>
        <v>0</v>
      </c>
      <c r="AL150" s="41">
        <f>IF(AN150=21,K150,0)</f>
        <v>0</v>
      </c>
      <c r="AN150" s="52">
        <v>21</v>
      </c>
      <c r="AO150" s="52">
        <f>H150*1</f>
        <v>0</v>
      </c>
      <c r="AP150" s="52">
        <f>H150*(1-1)</f>
        <v>0</v>
      </c>
      <c r="AQ150" s="54" t="s">
        <v>80</v>
      </c>
      <c r="AV150" s="52">
        <f>AW150+AX150</f>
        <v>0</v>
      </c>
      <c r="AW150" s="52">
        <f>G150*AO150</f>
        <v>0</v>
      </c>
      <c r="AX150" s="52">
        <f>G150*AP150</f>
        <v>0</v>
      </c>
      <c r="AY150" s="55" t="s">
        <v>569</v>
      </c>
      <c r="AZ150" s="55" t="s">
        <v>588</v>
      </c>
      <c r="BA150" s="48" t="s">
        <v>590</v>
      </c>
      <c r="BC150" s="52">
        <f>AW150+AX150</f>
        <v>0</v>
      </c>
      <c r="BD150" s="52">
        <f>H150/(100-BE150)*100</f>
        <v>0</v>
      </c>
      <c r="BE150" s="52">
        <v>0</v>
      </c>
      <c r="BF150" s="52">
        <f>M150</f>
        <v>0.996567</v>
      </c>
      <c r="BH150" s="41">
        <f>G150*AO150</f>
        <v>0</v>
      </c>
      <c r="BI150" s="41">
        <f>G150*AP150</f>
        <v>0</v>
      </c>
      <c r="BJ150" s="41">
        <f>G150*H150</f>
        <v>0</v>
      </c>
      <c r="BK150" s="41" t="s">
        <v>596</v>
      </c>
      <c r="BL150" s="52">
        <v>781</v>
      </c>
    </row>
    <row r="151" spans="1:15" ht="12.75">
      <c r="A151" s="18"/>
      <c r="B151" s="68"/>
      <c r="C151" s="68"/>
      <c r="D151" s="69" t="s">
        <v>460</v>
      </c>
      <c r="E151" s="69"/>
      <c r="F151" s="68"/>
      <c r="G151" s="70">
        <v>72.215</v>
      </c>
      <c r="H151" s="68"/>
      <c r="I151" s="68"/>
      <c r="J151" s="68"/>
      <c r="K151" s="68"/>
      <c r="L151" s="68"/>
      <c r="M151" s="68"/>
      <c r="N151" s="16"/>
      <c r="O151" s="18"/>
    </row>
    <row r="152" spans="1:64" ht="12.75">
      <c r="A152" s="66" t="s">
        <v>163</v>
      </c>
      <c r="B152" s="17"/>
      <c r="C152" s="17" t="s">
        <v>287</v>
      </c>
      <c r="D152" s="112" t="s">
        <v>461</v>
      </c>
      <c r="E152" s="153"/>
      <c r="F152" s="17" t="s">
        <v>521</v>
      </c>
      <c r="G152" s="52">
        <v>6</v>
      </c>
      <c r="H152" s="173"/>
      <c r="I152" s="52">
        <f>G152*AO152</f>
        <v>0</v>
      </c>
      <c r="J152" s="52">
        <f>G152*AP152</f>
        <v>0</v>
      </c>
      <c r="K152" s="52">
        <f>G152*H152</f>
        <v>0</v>
      </c>
      <c r="L152" s="52">
        <v>0.00035</v>
      </c>
      <c r="M152" s="52">
        <f>G152*L152</f>
        <v>0.0021</v>
      </c>
      <c r="N152" s="67" t="s">
        <v>545</v>
      </c>
      <c r="O152" s="18"/>
      <c r="Z152" s="52">
        <f>IF(AQ152="5",BJ152,0)</f>
        <v>0</v>
      </c>
      <c r="AB152" s="52">
        <f>IF(AQ152="1",BH152,0)</f>
        <v>0</v>
      </c>
      <c r="AC152" s="52">
        <f>IF(AQ152="1",BI152,0)</f>
        <v>0</v>
      </c>
      <c r="AD152" s="52">
        <f>IF(AQ152="7",BH152,0)</f>
        <v>0</v>
      </c>
      <c r="AE152" s="52">
        <f>IF(AQ152="7",BI152,0)</f>
        <v>0</v>
      </c>
      <c r="AF152" s="52">
        <f>IF(AQ152="2",BH152,0)</f>
        <v>0</v>
      </c>
      <c r="AG152" s="52">
        <f>IF(AQ152="2",BI152,0)</f>
        <v>0</v>
      </c>
      <c r="AH152" s="52">
        <f>IF(AQ152="0",BJ152,0)</f>
        <v>0</v>
      </c>
      <c r="AI152" s="48"/>
      <c r="AJ152" s="41">
        <f>IF(AN152=0,K152,0)</f>
        <v>0</v>
      </c>
      <c r="AK152" s="41">
        <f>IF(AN152=15,K152,0)</f>
        <v>0</v>
      </c>
      <c r="AL152" s="41">
        <f>IF(AN152=21,K152,0)</f>
        <v>0</v>
      </c>
      <c r="AN152" s="52">
        <v>21</v>
      </c>
      <c r="AO152" s="52">
        <f>H152*1</f>
        <v>0</v>
      </c>
      <c r="AP152" s="52">
        <f>H152*(1-1)</f>
        <v>0</v>
      </c>
      <c r="AQ152" s="54" t="s">
        <v>80</v>
      </c>
      <c r="AV152" s="52">
        <f>AW152+AX152</f>
        <v>0</v>
      </c>
      <c r="AW152" s="52">
        <f>G152*AO152</f>
        <v>0</v>
      </c>
      <c r="AX152" s="52">
        <f>G152*AP152</f>
        <v>0</v>
      </c>
      <c r="AY152" s="55" t="s">
        <v>569</v>
      </c>
      <c r="AZ152" s="55" t="s">
        <v>588</v>
      </c>
      <c r="BA152" s="48" t="s">
        <v>590</v>
      </c>
      <c r="BC152" s="52">
        <f>AW152+AX152</f>
        <v>0</v>
      </c>
      <c r="BD152" s="52">
        <f>H152/(100-BE152)*100</f>
        <v>0</v>
      </c>
      <c r="BE152" s="52">
        <v>0</v>
      </c>
      <c r="BF152" s="52">
        <f>M152</f>
        <v>0.0021</v>
      </c>
      <c r="BH152" s="41">
        <f>G152*AO152</f>
        <v>0</v>
      </c>
      <c r="BI152" s="41">
        <f>G152*AP152</f>
        <v>0</v>
      </c>
      <c r="BJ152" s="41">
        <f>G152*H152</f>
        <v>0</v>
      </c>
      <c r="BK152" s="41" t="s">
        <v>596</v>
      </c>
      <c r="BL152" s="52">
        <v>781</v>
      </c>
    </row>
    <row r="153" spans="1:64" ht="12.75">
      <c r="A153" s="66" t="s">
        <v>164</v>
      </c>
      <c r="B153" s="17"/>
      <c r="C153" s="17" t="s">
        <v>288</v>
      </c>
      <c r="D153" s="112" t="s">
        <v>462</v>
      </c>
      <c r="E153" s="147"/>
      <c r="F153" s="17" t="s">
        <v>520</v>
      </c>
      <c r="G153" s="52">
        <v>112.95</v>
      </c>
      <c r="H153" s="173"/>
      <c r="I153" s="52">
        <f>G153*AO153</f>
        <v>0</v>
      </c>
      <c r="J153" s="52">
        <f>G153*AP153</f>
        <v>0</v>
      </c>
      <c r="K153" s="52">
        <f>G153*H153</f>
        <v>0</v>
      </c>
      <c r="L153" s="52">
        <v>0</v>
      </c>
      <c r="M153" s="52">
        <f>G153*L153</f>
        <v>0</v>
      </c>
      <c r="N153" s="67" t="s">
        <v>545</v>
      </c>
      <c r="O153" s="18"/>
      <c r="Z153" s="52">
        <f>IF(AQ153="5",BJ153,0)</f>
        <v>0</v>
      </c>
      <c r="AB153" s="52">
        <f>IF(AQ153="1",BH153,0)</f>
        <v>0</v>
      </c>
      <c r="AC153" s="52">
        <f>IF(AQ153="1",BI153,0)</f>
        <v>0</v>
      </c>
      <c r="AD153" s="52">
        <f>IF(AQ153="7",BH153,0)</f>
        <v>0</v>
      </c>
      <c r="AE153" s="52">
        <f>IF(AQ153="7",BI153,0)</f>
        <v>0</v>
      </c>
      <c r="AF153" s="52">
        <f>IF(AQ153="2",BH153,0)</f>
        <v>0</v>
      </c>
      <c r="AG153" s="52">
        <f>IF(AQ153="2",BI153,0)</f>
        <v>0</v>
      </c>
      <c r="AH153" s="52">
        <f>IF(AQ153="0",BJ153,0)</f>
        <v>0</v>
      </c>
      <c r="AI153" s="48"/>
      <c r="AJ153" s="40">
        <f>IF(AN153=0,K153,0)</f>
        <v>0</v>
      </c>
      <c r="AK153" s="40">
        <f>IF(AN153=15,K153,0)</f>
        <v>0</v>
      </c>
      <c r="AL153" s="40">
        <f>IF(AN153=21,K153,0)</f>
        <v>0</v>
      </c>
      <c r="AN153" s="52">
        <v>21</v>
      </c>
      <c r="AO153" s="52">
        <f>H153*0</f>
        <v>0</v>
      </c>
      <c r="AP153" s="52">
        <f>H153*(1-0)</f>
        <v>0</v>
      </c>
      <c r="AQ153" s="53" t="s">
        <v>80</v>
      </c>
      <c r="AV153" s="52">
        <f>AW153+AX153</f>
        <v>0</v>
      </c>
      <c r="AW153" s="52">
        <f>G153*AO153</f>
        <v>0</v>
      </c>
      <c r="AX153" s="52">
        <f>G153*AP153</f>
        <v>0</v>
      </c>
      <c r="AY153" s="55" t="s">
        <v>569</v>
      </c>
      <c r="AZ153" s="55" t="s">
        <v>588</v>
      </c>
      <c r="BA153" s="48" t="s">
        <v>590</v>
      </c>
      <c r="BC153" s="52">
        <f>AW153+AX153</f>
        <v>0</v>
      </c>
      <c r="BD153" s="52">
        <f>H153/(100-BE153)*100</f>
        <v>0</v>
      </c>
      <c r="BE153" s="52">
        <v>0</v>
      </c>
      <c r="BF153" s="52">
        <f>M153</f>
        <v>0</v>
      </c>
      <c r="BH153" s="40">
        <f>G153*AO153</f>
        <v>0</v>
      </c>
      <c r="BI153" s="40">
        <f>G153*AP153</f>
        <v>0</v>
      </c>
      <c r="BJ153" s="40">
        <f>G153*H153</f>
        <v>0</v>
      </c>
      <c r="BK153" s="40" t="s">
        <v>595</v>
      </c>
      <c r="BL153" s="52">
        <v>781</v>
      </c>
    </row>
    <row r="154" spans="1:15" ht="12.75">
      <c r="A154" s="18"/>
      <c r="B154" s="68"/>
      <c r="C154" s="68"/>
      <c r="D154" s="69" t="s">
        <v>463</v>
      </c>
      <c r="E154" s="69"/>
      <c r="F154" s="68"/>
      <c r="G154" s="70">
        <v>16.45</v>
      </c>
      <c r="H154" s="68"/>
      <c r="I154" s="68"/>
      <c r="J154" s="68"/>
      <c r="K154" s="68"/>
      <c r="L154" s="68"/>
      <c r="M154" s="68"/>
      <c r="N154" s="16"/>
      <c r="O154" s="18"/>
    </row>
    <row r="155" spans="1:15" ht="12.75">
      <c r="A155" s="18"/>
      <c r="B155" s="68"/>
      <c r="C155" s="68"/>
      <c r="D155" s="69" t="s">
        <v>464</v>
      </c>
      <c r="E155" s="69"/>
      <c r="F155" s="68"/>
      <c r="G155" s="70">
        <v>14.6</v>
      </c>
      <c r="H155" s="68"/>
      <c r="I155" s="68"/>
      <c r="J155" s="68"/>
      <c r="K155" s="68"/>
      <c r="L155" s="68"/>
      <c r="M155" s="68"/>
      <c r="N155" s="16"/>
      <c r="O155" s="18"/>
    </row>
    <row r="156" spans="1:15" ht="12.75">
      <c r="A156" s="18"/>
      <c r="B156" s="68"/>
      <c r="C156" s="68"/>
      <c r="D156" s="69" t="s">
        <v>465</v>
      </c>
      <c r="E156" s="69"/>
      <c r="F156" s="68"/>
      <c r="G156" s="70">
        <v>81.9</v>
      </c>
      <c r="H156" s="68"/>
      <c r="I156" s="68"/>
      <c r="J156" s="68"/>
      <c r="K156" s="68"/>
      <c r="L156" s="68"/>
      <c r="M156" s="68"/>
      <c r="N156" s="16"/>
      <c r="O156" s="18"/>
    </row>
    <row r="157" spans="1:64" ht="12.75">
      <c r="A157" s="66" t="s">
        <v>165</v>
      </c>
      <c r="B157" s="17"/>
      <c r="C157" s="17" t="s">
        <v>289</v>
      </c>
      <c r="D157" s="112" t="s">
        <v>466</v>
      </c>
      <c r="E157" s="147"/>
      <c r="F157" s="17" t="s">
        <v>523</v>
      </c>
      <c r="G157" s="52">
        <v>1.2443</v>
      </c>
      <c r="H157" s="173"/>
      <c r="I157" s="52">
        <f>G157*AO157</f>
        <v>0</v>
      </c>
      <c r="J157" s="52">
        <f>G157*AP157</f>
        <v>0</v>
      </c>
      <c r="K157" s="52">
        <f>G157*H157</f>
        <v>0</v>
      </c>
      <c r="L157" s="52">
        <v>0</v>
      </c>
      <c r="M157" s="52">
        <f>G157*L157</f>
        <v>0</v>
      </c>
      <c r="N157" s="67" t="s">
        <v>545</v>
      </c>
      <c r="O157" s="18"/>
      <c r="Z157" s="52">
        <f>IF(AQ157="5",BJ157,0)</f>
        <v>0</v>
      </c>
      <c r="AB157" s="52">
        <f>IF(AQ157="1",BH157,0)</f>
        <v>0</v>
      </c>
      <c r="AC157" s="52">
        <f>IF(AQ157="1",BI157,0)</f>
        <v>0</v>
      </c>
      <c r="AD157" s="52">
        <f>IF(AQ157="7",BH157,0)</f>
        <v>0</v>
      </c>
      <c r="AE157" s="52">
        <f>IF(AQ157="7",BI157,0)</f>
        <v>0</v>
      </c>
      <c r="AF157" s="52">
        <f>IF(AQ157="2",BH157,0)</f>
        <v>0</v>
      </c>
      <c r="AG157" s="52">
        <f>IF(AQ157="2",BI157,0)</f>
        <v>0</v>
      </c>
      <c r="AH157" s="52">
        <f>IF(AQ157="0",BJ157,0)</f>
        <v>0</v>
      </c>
      <c r="AI157" s="48"/>
      <c r="AJ157" s="40">
        <f>IF(AN157=0,K157,0)</f>
        <v>0</v>
      </c>
      <c r="AK157" s="40">
        <f>IF(AN157=15,K157,0)</f>
        <v>0</v>
      </c>
      <c r="AL157" s="40">
        <f>IF(AN157=21,K157,0)</f>
        <v>0</v>
      </c>
      <c r="AN157" s="52">
        <v>21</v>
      </c>
      <c r="AO157" s="52">
        <f>H157*0</f>
        <v>0</v>
      </c>
      <c r="AP157" s="52">
        <f>H157*(1-0)</f>
        <v>0</v>
      </c>
      <c r="AQ157" s="53" t="s">
        <v>78</v>
      </c>
      <c r="AV157" s="52">
        <f>AW157+AX157</f>
        <v>0</v>
      </c>
      <c r="AW157" s="52">
        <f>G157*AO157</f>
        <v>0</v>
      </c>
      <c r="AX157" s="52">
        <f>G157*AP157</f>
        <v>0</v>
      </c>
      <c r="AY157" s="55" t="s">
        <v>569</v>
      </c>
      <c r="AZ157" s="55" t="s">
        <v>588</v>
      </c>
      <c r="BA157" s="48" t="s">
        <v>590</v>
      </c>
      <c r="BC157" s="52">
        <f>AW157+AX157</f>
        <v>0</v>
      </c>
      <c r="BD157" s="52">
        <f>H157/(100-BE157)*100</f>
        <v>0</v>
      </c>
      <c r="BE157" s="52">
        <v>0</v>
      </c>
      <c r="BF157" s="52">
        <f>M157</f>
        <v>0</v>
      </c>
      <c r="BH157" s="40">
        <f>G157*AO157</f>
        <v>0</v>
      </c>
      <c r="BI157" s="40">
        <f>G157*AP157</f>
        <v>0</v>
      </c>
      <c r="BJ157" s="40">
        <f>G157*H157</f>
        <v>0</v>
      </c>
      <c r="BK157" s="40" t="s">
        <v>595</v>
      </c>
      <c r="BL157" s="52">
        <v>781</v>
      </c>
    </row>
    <row r="158" spans="1:47" ht="12.75">
      <c r="A158" s="60"/>
      <c r="B158" s="61"/>
      <c r="C158" s="61" t="s">
        <v>290</v>
      </c>
      <c r="D158" s="151" t="s">
        <v>467</v>
      </c>
      <c r="E158" s="152"/>
      <c r="F158" s="62" t="s">
        <v>73</v>
      </c>
      <c r="G158" s="62" t="s">
        <v>73</v>
      </c>
      <c r="H158" s="62" t="s">
        <v>73</v>
      </c>
      <c r="I158" s="63">
        <f>SUM(I159:I160)</f>
        <v>0</v>
      </c>
      <c r="J158" s="63">
        <f>SUM(J159:J160)</f>
        <v>0</v>
      </c>
      <c r="K158" s="63">
        <f>SUM(K159:K160)</f>
        <v>0</v>
      </c>
      <c r="L158" s="64"/>
      <c r="M158" s="63">
        <f>SUM(M159:M160)</f>
        <v>0.0017603999999999999</v>
      </c>
      <c r="N158" s="65"/>
      <c r="O158" s="18"/>
      <c r="AI158" s="48"/>
      <c r="AS158" s="58">
        <f>SUM(AJ159:AJ160)</f>
        <v>0</v>
      </c>
      <c r="AT158" s="58">
        <f>SUM(AK159:AK160)</f>
        <v>0</v>
      </c>
      <c r="AU158" s="58">
        <f>SUM(AL159:AL160)</f>
        <v>0</v>
      </c>
    </row>
    <row r="159" spans="1:64" ht="12.75">
      <c r="A159" s="66" t="s">
        <v>166</v>
      </c>
      <c r="B159" s="17"/>
      <c r="C159" s="17" t="s">
        <v>291</v>
      </c>
      <c r="D159" s="112" t="s">
        <v>468</v>
      </c>
      <c r="E159" s="147"/>
      <c r="F159" s="17" t="s">
        <v>519</v>
      </c>
      <c r="G159" s="52">
        <v>3.912</v>
      </c>
      <c r="H159" s="173"/>
      <c r="I159" s="52">
        <f>G159*AO159</f>
        <v>0</v>
      </c>
      <c r="J159" s="52">
        <f>G159*AP159</f>
        <v>0</v>
      </c>
      <c r="K159" s="52">
        <f>G159*H159</f>
        <v>0</v>
      </c>
      <c r="L159" s="52">
        <v>0.00045</v>
      </c>
      <c r="M159" s="52">
        <f>G159*L159</f>
        <v>0.0017603999999999999</v>
      </c>
      <c r="N159" s="67" t="s">
        <v>545</v>
      </c>
      <c r="O159" s="18"/>
      <c r="Z159" s="52">
        <f>IF(AQ159="5",BJ159,0)</f>
        <v>0</v>
      </c>
      <c r="AB159" s="52">
        <f>IF(AQ159="1",BH159,0)</f>
        <v>0</v>
      </c>
      <c r="AC159" s="52">
        <f>IF(AQ159="1",BI159,0)</f>
        <v>0</v>
      </c>
      <c r="AD159" s="52">
        <f>IF(AQ159="7",BH159,0)</f>
        <v>0</v>
      </c>
      <c r="AE159" s="52">
        <f>IF(AQ159="7",BI159,0)</f>
        <v>0</v>
      </c>
      <c r="AF159" s="52">
        <f>IF(AQ159="2",BH159,0)</f>
        <v>0</v>
      </c>
      <c r="AG159" s="52">
        <f>IF(AQ159="2",BI159,0)</f>
        <v>0</v>
      </c>
      <c r="AH159" s="52">
        <f>IF(AQ159="0",BJ159,0)</f>
        <v>0</v>
      </c>
      <c r="AI159" s="48"/>
      <c r="AJ159" s="40">
        <f>IF(AN159=0,K159,0)</f>
        <v>0</v>
      </c>
      <c r="AK159" s="40">
        <f>IF(AN159=15,K159,0)</f>
        <v>0</v>
      </c>
      <c r="AL159" s="40">
        <f>IF(AN159=21,K159,0)</f>
        <v>0</v>
      </c>
      <c r="AN159" s="52">
        <v>21</v>
      </c>
      <c r="AO159" s="52">
        <f>H159*0.505544093178037</f>
        <v>0</v>
      </c>
      <c r="AP159" s="52">
        <f>H159*(1-0.505544093178037)</f>
        <v>0</v>
      </c>
      <c r="AQ159" s="53" t="s">
        <v>80</v>
      </c>
      <c r="AV159" s="52">
        <f>AW159+AX159</f>
        <v>0</v>
      </c>
      <c r="AW159" s="52">
        <f>G159*AO159</f>
        <v>0</v>
      </c>
      <c r="AX159" s="52">
        <f>G159*AP159</f>
        <v>0</v>
      </c>
      <c r="AY159" s="55" t="s">
        <v>570</v>
      </c>
      <c r="AZ159" s="55" t="s">
        <v>588</v>
      </c>
      <c r="BA159" s="48" t="s">
        <v>590</v>
      </c>
      <c r="BC159" s="52">
        <f>AW159+AX159</f>
        <v>0</v>
      </c>
      <c r="BD159" s="52">
        <f>H159/(100-BE159)*100</f>
        <v>0</v>
      </c>
      <c r="BE159" s="52">
        <v>0</v>
      </c>
      <c r="BF159" s="52">
        <f>M159</f>
        <v>0.0017603999999999999</v>
      </c>
      <c r="BH159" s="40">
        <f>G159*AO159</f>
        <v>0</v>
      </c>
      <c r="BI159" s="40">
        <f>G159*AP159</f>
        <v>0</v>
      </c>
      <c r="BJ159" s="40">
        <f>G159*H159</f>
        <v>0</v>
      </c>
      <c r="BK159" s="40" t="s">
        <v>595</v>
      </c>
      <c r="BL159" s="52">
        <v>783</v>
      </c>
    </row>
    <row r="160" spans="1:64" ht="12.75">
      <c r="A160" s="66" t="s">
        <v>167</v>
      </c>
      <c r="B160" s="17"/>
      <c r="C160" s="17" t="s">
        <v>292</v>
      </c>
      <c r="D160" s="112" t="s">
        <v>469</v>
      </c>
      <c r="E160" s="147"/>
      <c r="F160" s="17" t="s">
        <v>519</v>
      </c>
      <c r="G160" s="52">
        <v>3.912</v>
      </c>
      <c r="H160" s="173"/>
      <c r="I160" s="52">
        <f>G160*AO160</f>
        <v>0</v>
      </c>
      <c r="J160" s="52">
        <f>G160*AP160</f>
        <v>0</v>
      </c>
      <c r="K160" s="52">
        <f>G160*H160</f>
        <v>0</v>
      </c>
      <c r="L160" s="52">
        <v>0</v>
      </c>
      <c r="M160" s="52">
        <f>G160*L160</f>
        <v>0</v>
      </c>
      <c r="N160" s="67" t="s">
        <v>545</v>
      </c>
      <c r="O160" s="18"/>
      <c r="Z160" s="52">
        <f>IF(AQ160="5",BJ160,0)</f>
        <v>0</v>
      </c>
      <c r="AB160" s="52">
        <f>IF(AQ160="1",BH160,0)</f>
        <v>0</v>
      </c>
      <c r="AC160" s="52">
        <f>IF(AQ160="1",BI160,0)</f>
        <v>0</v>
      </c>
      <c r="AD160" s="52">
        <f>IF(AQ160="7",BH160,0)</f>
        <v>0</v>
      </c>
      <c r="AE160" s="52">
        <f>IF(AQ160="7",BI160,0)</f>
        <v>0</v>
      </c>
      <c r="AF160" s="52">
        <f>IF(AQ160="2",BH160,0)</f>
        <v>0</v>
      </c>
      <c r="AG160" s="52">
        <f>IF(AQ160="2",BI160,0)</f>
        <v>0</v>
      </c>
      <c r="AH160" s="52">
        <f>IF(AQ160="0",BJ160,0)</f>
        <v>0</v>
      </c>
      <c r="AI160" s="48"/>
      <c r="AJ160" s="40">
        <f>IF(AN160=0,K160,0)</f>
        <v>0</v>
      </c>
      <c r="AK160" s="40">
        <f>IF(AN160=15,K160,0)</f>
        <v>0</v>
      </c>
      <c r="AL160" s="40">
        <f>IF(AN160=21,K160,0)</f>
        <v>0</v>
      </c>
      <c r="AN160" s="52">
        <v>21</v>
      </c>
      <c r="AO160" s="52">
        <f>H160*0.0262804440649018</f>
        <v>0</v>
      </c>
      <c r="AP160" s="52">
        <f>H160*(1-0.0262804440649018)</f>
        <v>0</v>
      </c>
      <c r="AQ160" s="53" t="s">
        <v>80</v>
      </c>
      <c r="AV160" s="52">
        <f>AW160+AX160</f>
        <v>0</v>
      </c>
      <c r="AW160" s="52">
        <f>G160*AO160</f>
        <v>0</v>
      </c>
      <c r="AX160" s="52">
        <f>G160*AP160</f>
        <v>0</v>
      </c>
      <c r="AY160" s="55" t="s">
        <v>570</v>
      </c>
      <c r="AZ160" s="55" t="s">
        <v>588</v>
      </c>
      <c r="BA160" s="48" t="s">
        <v>590</v>
      </c>
      <c r="BC160" s="52">
        <f>AW160+AX160</f>
        <v>0</v>
      </c>
      <c r="BD160" s="52">
        <f>H160/(100-BE160)*100</f>
        <v>0</v>
      </c>
      <c r="BE160" s="52">
        <v>0</v>
      </c>
      <c r="BF160" s="52">
        <f>M160</f>
        <v>0</v>
      </c>
      <c r="BH160" s="40">
        <f>G160*AO160</f>
        <v>0</v>
      </c>
      <c r="BI160" s="40">
        <f>G160*AP160</f>
        <v>0</v>
      </c>
      <c r="BJ160" s="40">
        <f>G160*H160</f>
        <v>0</v>
      </c>
      <c r="BK160" s="40" t="s">
        <v>595</v>
      </c>
      <c r="BL160" s="52">
        <v>783</v>
      </c>
    </row>
    <row r="161" spans="1:15" ht="12.75">
      <c r="A161" s="18"/>
      <c r="B161" s="68"/>
      <c r="C161" s="68"/>
      <c r="D161" s="69" t="s">
        <v>470</v>
      </c>
      <c r="E161" s="69"/>
      <c r="F161" s="68"/>
      <c r="G161" s="70">
        <v>1.152</v>
      </c>
      <c r="H161" s="68"/>
      <c r="I161" s="68"/>
      <c r="J161" s="68"/>
      <c r="K161" s="68"/>
      <c r="L161" s="68"/>
      <c r="M161" s="68"/>
      <c r="N161" s="16"/>
      <c r="O161" s="18"/>
    </row>
    <row r="162" spans="1:15" ht="12.75">
      <c r="A162" s="18"/>
      <c r="B162" s="68"/>
      <c r="C162" s="68"/>
      <c r="D162" s="69" t="s">
        <v>471</v>
      </c>
      <c r="E162" s="69"/>
      <c r="F162" s="68"/>
      <c r="G162" s="70">
        <v>2.76</v>
      </c>
      <c r="H162" s="68"/>
      <c r="I162" s="68"/>
      <c r="J162" s="68"/>
      <c r="K162" s="68"/>
      <c r="L162" s="68"/>
      <c r="M162" s="68"/>
      <c r="N162" s="16"/>
      <c r="O162" s="18"/>
    </row>
    <row r="163" spans="1:47" ht="12.75">
      <c r="A163" s="60"/>
      <c r="B163" s="61"/>
      <c r="C163" s="61" t="s">
        <v>293</v>
      </c>
      <c r="D163" s="151" t="s">
        <v>472</v>
      </c>
      <c r="E163" s="152"/>
      <c r="F163" s="62" t="s">
        <v>73</v>
      </c>
      <c r="G163" s="62" t="s">
        <v>73</v>
      </c>
      <c r="H163" s="62" t="s">
        <v>73</v>
      </c>
      <c r="I163" s="63">
        <f>SUM(I164:I166)</f>
        <v>0</v>
      </c>
      <c r="J163" s="63">
        <f>SUM(J164:J166)</f>
        <v>0</v>
      </c>
      <c r="K163" s="63">
        <f>SUM(K164:K166)</f>
        <v>0</v>
      </c>
      <c r="L163" s="64"/>
      <c r="M163" s="63">
        <f>SUM(M164:M166)</f>
        <v>0.01031645</v>
      </c>
      <c r="N163" s="65"/>
      <c r="O163" s="18"/>
      <c r="AI163" s="48"/>
      <c r="AS163" s="58">
        <f>SUM(AJ164:AJ166)</f>
        <v>0</v>
      </c>
      <c r="AT163" s="58">
        <f>SUM(AK164:AK166)</f>
        <v>0</v>
      </c>
      <c r="AU163" s="58">
        <f>SUM(AL164:AL166)</f>
        <v>0</v>
      </c>
    </row>
    <row r="164" spans="1:64" ht="12.75">
      <c r="A164" s="66" t="s">
        <v>168</v>
      </c>
      <c r="B164" s="17"/>
      <c r="C164" s="17" t="s">
        <v>294</v>
      </c>
      <c r="D164" s="112" t="s">
        <v>473</v>
      </c>
      <c r="E164" s="147"/>
      <c r="F164" s="17" t="s">
        <v>519</v>
      </c>
      <c r="G164" s="52">
        <v>60.685</v>
      </c>
      <c r="H164" s="173"/>
      <c r="I164" s="52">
        <f>G164*AO164</f>
        <v>0</v>
      </c>
      <c r="J164" s="52">
        <f>G164*AP164</f>
        <v>0</v>
      </c>
      <c r="K164" s="52">
        <f>G164*H164</f>
        <v>0</v>
      </c>
      <c r="L164" s="52">
        <v>0</v>
      </c>
      <c r="M164" s="52">
        <f>G164*L164</f>
        <v>0</v>
      </c>
      <c r="N164" s="67" t="s">
        <v>545</v>
      </c>
      <c r="O164" s="18"/>
      <c r="Z164" s="52">
        <f>IF(AQ164="5",BJ164,0)</f>
        <v>0</v>
      </c>
      <c r="AB164" s="52">
        <f>IF(AQ164="1",BH164,0)</f>
        <v>0</v>
      </c>
      <c r="AC164" s="52">
        <f>IF(AQ164="1",BI164,0)</f>
        <v>0</v>
      </c>
      <c r="AD164" s="52">
        <f>IF(AQ164="7",BH164,0)</f>
        <v>0</v>
      </c>
      <c r="AE164" s="52">
        <f>IF(AQ164="7",BI164,0)</f>
        <v>0</v>
      </c>
      <c r="AF164" s="52">
        <f>IF(AQ164="2",BH164,0)</f>
        <v>0</v>
      </c>
      <c r="AG164" s="52">
        <f>IF(AQ164="2",BI164,0)</f>
        <v>0</v>
      </c>
      <c r="AH164" s="52">
        <f>IF(AQ164="0",BJ164,0)</f>
        <v>0</v>
      </c>
      <c r="AI164" s="48"/>
      <c r="AJ164" s="40">
        <f>IF(AN164=0,K164,0)</f>
        <v>0</v>
      </c>
      <c r="AK164" s="40">
        <f>IF(AN164=15,K164,0)</f>
        <v>0</v>
      </c>
      <c r="AL164" s="40">
        <f>IF(AN164=21,K164,0)</f>
        <v>0</v>
      </c>
      <c r="AN164" s="52">
        <v>21</v>
      </c>
      <c r="AO164" s="52">
        <f>H164*0.00257731739843199</f>
        <v>0</v>
      </c>
      <c r="AP164" s="52">
        <f>H164*(1-0.00257731739843199)</f>
        <v>0</v>
      </c>
      <c r="AQ164" s="53" t="s">
        <v>80</v>
      </c>
      <c r="AV164" s="52">
        <f>AW164+AX164</f>
        <v>0</v>
      </c>
      <c r="AW164" s="52">
        <f>G164*AO164</f>
        <v>0</v>
      </c>
      <c r="AX164" s="52">
        <f>G164*AP164</f>
        <v>0</v>
      </c>
      <c r="AY164" s="55" t="s">
        <v>571</v>
      </c>
      <c r="AZ164" s="55" t="s">
        <v>588</v>
      </c>
      <c r="BA164" s="48" t="s">
        <v>590</v>
      </c>
      <c r="BC164" s="52">
        <f>AW164+AX164</f>
        <v>0</v>
      </c>
      <c r="BD164" s="52">
        <f>H164/(100-BE164)*100</f>
        <v>0</v>
      </c>
      <c r="BE164" s="52">
        <v>0</v>
      </c>
      <c r="BF164" s="52">
        <f>M164</f>
        <v>0</v>
      </c>
      <c r="BH164" s="40">
        <f>G164*AO164</f>
        <v>0</v>
      </c>
      <c r="BI164" s="40">
        <f>G164*AP164</f>
        <v>0</v>
      </c>
      <c r="BJ164" s="40">
        <f>G164*H164</f>
        <v>0</v>
      </c>
      <c r="BK164" s="40" t="s">
        <v>595</v>
      </c>
      <c r="BL164" s="52">
        <v>784</v>
      </c>
    </row>
    <row r="165" spans="1:64" ht="12.75">
      <c r="A165" s="66" t="s">
        <v>169</v>
      </c>
      <c r="B165" s="17"/>
      <c r="C165" s="17" t="s">
        <v>295</v>
      </c>
      <c r="D165" s="112" t="s">
        <v>474</v>
      </c>
      <c r="E165" s="147"/>
      <c r="F165" s="17" t="s">
        <v>519</v>
      </c>
      <c r="G165" s="52">
        <v>60.685</v>
      </c>
      <c r="H165" s="173"/>
      <c r="I165" s="52">
        <f>G165*AO165</f>
        <v>0</v>
      </c>
      <c r="J165" s="52">
        <f>G165*AP165</f>
        <v>0</v>
      </c>
      <c r="K165" s="52">
        <f>G165*H165</f>
        <v>0</v>
      </c>
      <c r="L165" s="52">
        <v>3E-05</v>
      </c>
      <c r="M165" s="52">
        <f>G165*L165</f>
        <v>0.0018205500000000002</v>
      </c>
      <c r="N165" s="67" t="s">
        <v>545</v>
      </c>
      <c r="O165" s="18"/>
      <c r="Z165" s="52">
        <f>IF(AQ165="5",BJ165,0)</f>
        <v>0</v>
      </c>
      <c r="AB165" s="52">
        <f>IF(AQ165="1",BH165,0)</f>
        <v>0</v>
      </c>
      <c r="AC165" s="52">
        <f>IF(AQ165="1",BI165,0)</f>
        <v>0</v>
      </c>
      <c r="AD165" s="52">
        <f>IF(AQ165="7",BH165,0)</f>
        <v>0</v>
      </c>
      <c r="AE165" s="52">
        <f>IF(AQ165="7",BI165,0)</f>
        <v>0</v>
      </c>
      <c r="AF165" s="52">
        <f>IF(AQ165="2",BH165,0)</f>
        <v>0</v>
      </c>
      <c r="AG165" s="52">
        <f>IF(AQ165="2",BI165,0)</f>
        <v>0</v>
      </c>
      <c r="AH165" s="52">
        <f>IF(AQ165="0",BJ165,0)</f>
        <v>0</v>
      </c>
      <c r="AI165" s="48"/>
      <c r="AJ165" s="40">
        <f>IF(AN165=0,K165,0)</f>
        <v>0</v>
      </c>
      <c r="AK165" s="40">
        <f>IF(AN165=15,K165,0)</f>
        <v>0</v>
      </c>
      <c r="AL165" s="40">
        <f>IF(AN165=21,K165,0)</f>
        <v>0</v>
      </c>
      <c r="AN165" s="52">
        <v>21</v>
      </c>
      <c r="AO165" s="52">
        <f>H165*0.0902704712871993</f>
        <v>0</v>
      </c>
      <c r="AP165" s="52">
        <f>H165*(1-0.0902704712871993)</f>
        <v>0</v>
      </c>
      <c r="AQ165" s="53" t="s">
        <v>80</v>
      </c>
      <c r="AV165" s="52">
        <f>AW165+AX165</f>
        <v>0</v>
      </c>
      <c r="AW165" s="52">
        <f>G165*AO165</f>
        <v>0</v>
      </c>
      <c r="AX165" s="52">
        <f>G165*AP165</f>
        <v>0</v>
      </c>
      <c r="AY165" s="55" t="s">
        <v>571</v>
      </c>
      <c r="AZ165" s="55" t="s">
        <v>588</v>
      </c>
      <c r="BA165" s="48" t="s">
        <v>590</v>
      </c>
      <c r="BC165" s="52">
        <f>AW165+AX165</f>
        <v>0</v>
      </c>
      <c r="BD165" s="52">
        <f>H165/(100-BE165)*100</f>
        <v>0</v>
      </c>
      <c r="BE165" s="52">
        <v>0</v>
      </c>
      <c r="BF165" s="52">
        <f>M165</f>
        <v>0.0018205500000000002</v>
      </c>
      <c r="BH165" s="40">
        <f>G165*AO165</f>
        <v>0</v>
      </c>
      <c r="BI165" s="40">
        <f>G165*AP165</f>
        <v>0</v>
      </c>
      <c r="BJ165" s="40">
        <f>G165*H165</f>
        <v>0</v>
      </c>
      <c r="BK165" s="40" t="s">
        <v>595</v>
      </c>
      <c r="BL165" s="52">
        <v>784</v>
      </c>
    </row>
    <row r="166" spans="1:64" ht="12.75">
      <c r="A166" s="66" t="s">
        <v>170</v>
      </c>
      <c r="B166" s="17"/>
      <c r="C166" s="17" t="s">
        <v>296</v>
      </c>
      <c r="D166" s="112" t="s">
        <v>475</v>
      </c>
      <c r="E166" s="147"/>
      <c r="F166" s="17" t="s">
        <v>519</v>
      </c>
      <c r="G166" s="52">
        <v>60.685</v>
      </c>
      <c r="H166" s="173"/>
      <c r="I166" s="52">
        <f>G166*AO166</f>
        <v>0</v>
      </c>
      <c r="J166" s="52">
        <f>G166*AP166</f>
        <v>0</v>
      </c>
      <c r="K166" s="52">
        <f>G166*H166</f>
        <v>0</v>
      </c>
      <c r="L166" s="52">
        <v>0.00014</v>
      </c>
      <c r="M166" s="52">
        <f>G166*L166</f>
        <v>0.008495899999999999</v>
      </c>
      <c r="N166" s="67" t="s">
        <v>545</v>
      </c>
      <c r="O166" s="18"/>
      <c r="Z166" s="52">
        <f>IF(AQ166="5",BJ166,0)</f>
        <v>0</v>
      </c>
      <c r="AB166" s="52">
        <f>IF(AQ166="1",BH166,0)</f>
        <v>0</v>
      </c>
      <c r="AC166" s="52">
        <f>IF(AQ166="1",BI166,0)</f>
        <v>0</v>
      </c>
      <c r="AD166" s="52">
        <f>IF(AQ166="7",BH166,0)</f>
        <v>0</v>
      </c>
      <c r="AE166" s="52">
        <f>IF(AQ166="7",BI166,0)</f>
        <v>0</v>
      </c>
      <c r="AF166" s="52">
        <f>IF(AQ166="2",BH166,0)</f>
        <v>0</v>
      </c>
      <c r="AG166" s="52">
        <f>IF(AQ166="2",BI166,0)</f>
        <v>0</v>
      </c>
      <c r="AH166" s="52">
        <f>IF(AQ166="0",BJ166,0)</f>
        <v>0</v>
      </c>
      <c r="AI166" s="48"/>
      <c r="AJ166" s="40">
        <f>IF(AN166=0,K166,0)</f>
        <v>0</v>
      </c>
      <c r="AK166" s="40">
        <f>IF(AN166=15,K166,0)</f>
        <v>0</v>
      </c>
      <c r="AL166" s="40">
        <f>IF(AN166=21,K166,0)</f>
        <v>0</v>
      </c>
      <c r="AN166" s="52">
        <v>21</v>
      </c>
      <c r="AO166" s="52">
        <f>H166*0.0737303721959765</f>
        <v>0</v>
      </c>
      <c r="AP166" s="52">
        <f>H166*(1-0.0737303721959765)</f>
        <v>0</v>
      </c>
      <c r="AQ166" s="53" t="s">
        <v>80</v>
      </c>
      <c r="AV166" s="52">
        <f>AW166+AX166</f>
        <v>0</v>
      </c>
      <c r="AW166" s="52">
        <f>G166*AO166</f>
        <v>0</v>
      </c>
      <c r="AX166" s="52">
        <f>G166*AP166</f>
        <v>0</v>
      </c>
      <c r="AY166" s="55" t="s">
        <v>571</v>
      </c>
      <c r="AZ166" s="55" t="s">
        <v>588</v>
      </c>
      <c r="BA166" s="48" t="s">
        <v>590</v>
      </c>
      <c r="BC166" s="52">
        <f>AW166+AX166</f>
        <v>0</v>
      </c>
      <c r="BD166" s="52">
        <f>H166/(100-BE166)*100</f>
        <v>0</v>
      </c>
      <c r="BE166" s="52">
        <v>0</v>
      </c>
      <c r="BF166" s="52">
        <f>M166</f>
        <v>0.008495899999999999</v>
      </c>
      <c r="BH166" s="40">
        <f>G166*AO166</f>
        <v>0</v>
      </c>
      <c r="BI166" s="40">
        <f>G166*AP166</f>
        <v>0</v>
      </c>
      <c r="BJ166" s="40">
        <f>G166*H166</f>
        <v>0</v>
      </c>
      <c r="BK166" s="40" t="s">
        <v>595</v>
      </c>
      <c r="BL166" s="52">
        <v>784</v>
      </c>
    </row>
    <row r="167" spans="1:15" ht="12.75">
      <c r="A167" s="18"/>
      <c r="B167" s="68"/>
      <c r="C167" s="68"/>
      <c r="D167" s="69" t="s">
        <v>476</v>
      </c>
      <c r="E167" s="69"/>
      <c r="F167" s="68"/>
      <c r="G167" s="70">
        <v>0</v>
      </c>
      <c r="H167" s="68"/>
      <c r="I167" s="68"/>
      <c r="J167" s="68"/>
      <c r="K167" s="68"/>
      <c r="L167" s="68"/>
      <c r="M167" s="68"/>
      <c r="N167" s="16"/>
      <c r="O167" s="18"/>
    </row>
    <row r="168" spans="1:15" ht="12.75">
      <c r="A168" s="18"/>
      <c r="B168" s="68"/>
      <c r="C168" s="68"/>
      <c r="D168" s="69" t="s">
        <v>477</v>
      </c>
      <c r="E168" s="69"/>
      <c r="F168" s="68"/>
      <c r="G168" s="70">
        <v>24.975</v>
      </c>
      <c r="H168" s="68"/>
      <c r="I168" s="68"/>
      <c r="J168" s="68"/>
      <c r="K168" s="68"/>
      <c r="L168" s="68"/>
      <c r="M168" s="68"/>
      <c r="N168" s="16"/>
      <c r="O168" s="18"/>
    </row>
    <row r="169" spans="1:15" ht="12.75">
      <c r="A169" s="18"/>
      <c r="B169" s="68"/>
      <c r="C169" s="68"/>
      <c r="D169" s="69" t="s">
        <v>478</v>
      </c>
      <c r="E169" s="69"/>
      <c r="F169" s="68"/>
      <c r="G169" s="70">
        <v>0</v>
      </c>
      <c r="H169" s="68"/>
      <c r="I169" s="68"/>
      <c r="J169" s="68"/>
      <c r="K169" s="68"/>
      <c r="L169" s="68"/>
      <c r="M169" s="68"/>
      <c r="N169" s="16"/>
      <c r="O169" s="18"/>
    </row>
    <row r="170" spans="1:15" ht="12.75">
      <c r="A170" s="18"/>
      <c r="B170" s="68"/>
      <c r="C170" s="68"/>
      <c r="D170" s="69" t="s">
        <v>479</v>
      </c>
      <c r="E170" s="69"/>
      <c r="F170" s="68"/>
      <c r="G170" s="70">
        <v>35.71</v>
      </c>
      <c r="H170" s="68"/>
      <c r="I170" s="68"/>
      <c r="J170" s="68"/>
      <c r="K170" s="68"/>
      <c r="L170" s="68"/>
      <c r="M170" s="68"/>
      <c r="N170" s="16"/>
      <c r="O170" s="18"/>
    </row>
    <row r="171" spans="1:47" ht="12.75">
      <c r="A171" s="60"/>
      <c r="B171" s="61"/>
      <c r="C171" s="61" t="s">
        <v>163</v>
      </c>
      <c r="D171" s="151" t="s">
        <v>480</v>
      </c>
      <c r="E171" s="152"/>
      <c r="F171" s="62" t="s">
        <v>73</v>
      </c>
      <c r="G171" s="62" t="s">
        <v>73</v>
      </c>
      <c r="H171" s="62" t="s">
        <v>73</v>
      </c>
      <c r="I171" s="63">
        <f>SUM(I172:I172)</f>
        <v>0</v>
      </c>
      <c r="J171" s="63">
        <f>SUM(J172:J172)</f>
        <v>0</v>
      </c>
      <c r="K171" s="63">
        <f>SUM(K172:K172)</f>
        <v>0</v>
      </c>
      <c r="L171" s="64"/>
      <c r="M171" s="63">
        <f>SUM(M172:M172)</f>
        <v>0</v>
      </c>
      <c r="N171" s="65"/>
      <c r="O171" s="18"/>
      <c r="AI171" s="48"/>
      <c r="AS171" s="58">
        <f>SUM(AJ172:AJ172)</f>
        <v>0</v>
      </c>
      <c r="AT171" s="58">
        <f>SUM(AK172:AK172)</f>
        <v>0</v>
      </c>
      <c r="AU171" s="58">
        <f>SUM(AL172:AL172)</f>
        <v>0</v>
      </c>
    </row>
    <row r="172" spans="1:64" ht="12.75">
      <c r="A172" s="66" t="s">
        <v>171</v>
      </c>
      <c r="B172" s="17"/>
      <c r="C172" s="17" t="s">
        <v>297</v>
      </c>
      <c r="D172" s="112" t="s">
        <v>481</v>
      </c>
      <c r="E172" s="147"/>
      <c r="F172" s="17" t="s">
        <v>528</v>
      </c>
      <c r="G172" s="52">
        <v>6</v>
      </c>
      <c r="H172" s="173"/>
      <c r="I172" s="52">
        <f>G172*AO172</f>
        <v>0</v>
      </c>
      <c r="J172" s="52">
        <f>G172*AP172</f>
        <v>0</v>
      </c>
      <c r="K172" s="52">
        <f>G172*H172</f>
        <v>0</v>
      </c>
      <c r="L172" s="52">
        <v>0</v>
      </c>
      <c r="M172" s="52">
        <f>G172*L172</f>
        <v>0</v>
      </c>
      <c r="N172" s="67" t="s">
        <v>545</v>
      </c>
      <c r="O172" s="18"/>
      <c r="Z172" s="52">
        <f>IF(AQ172="5",BJ172,0)</f>
        <v>0</v>
      </c>
      <c r="AB172" s="52">
        <f>IF(AQ172="1",BH172,0)</f>
        <v>0</v>
      </c>
      <c r="AC172" s="52">
        <f>IF(AQ172="1",BI172,0)</f>
        <v>0</v>
      </c>
      <c r="AD172" s="52">
        <f>IF(AQ172="7",BH172,0)</f>
        <v>0</v>
      </c>
      <c r="AE172" s="52">
        <f>IF(AQ172="7",BI172,0)</f>
        <v>0</v>
      </c>
      <c r="AF172" s="52">
        <f>IF(AQ172="2",BH172,0)</f>
        <v>0</v>
      </c>
      <c r="AG172" s="52">
        <f>IF(AQ172="2",BI172,0)</f>
        <v>0</v>
      </c>
      <c r="AH172" s="52">
        <f>IF(AQ172="0",BJ172,0)</f>
        <v>0</v>
      </c>
      <c r="AI172" s="48"/>
      <c r="AJ172" s="40">
        <f>IF(AN172=0,K172,0)</f>
        <v>0</v>
      </c>
      <c r="AK172" s="40">
        <f>IF(AN172=15,K172,0)</f>
        <v>0</v>
      </c>
      <c r="AL172" s="40">
        <f>IF(AN172=21,K172,0)</f>
        <v>0</v>
      </c>
      <c r="AN172" s="52">
        <v>21</v>
      </c>
      <c r="AO172" s="52">
        <f>H172*0</f>
        <v>0</v>
      </c>
      <c r="AP172" s="52">
        <f>H172*(1-0)</f>
        <v>0</v>
      </c>
      <c r="AQ172" s="53" t="s">
        <v>74</v>
      </c>
      <c r="AV172" s="52">
        <f>AW172+AX172</f>
        <v>0</v>
      </c>
      <c r="AW172" s="52">
        <f>G172*AO172</f>
        <v>0</v>
      </c>
      <c r="AX172" s="52">
        <f>G172*AP172</f>
        <v>0</v>
      </c>
      <c r="AY172" s="55" t="s">
        <v>572</v>
      </c>
      <c r="AZ172" s="55" t="s">
        <v>589</v>
      </c>
      <c r="BA172" s="48" t="s">
        <v>590</v>
      </c>
      <c r="BC172" s="52">
        <f>AW172+AX172</f>
        <v>0</v>
      </c>
      <c r="BD172" s="52">
        <f>H172/(100-BE172)*100</f>
        <v>0</v>
      </c>
      <c r="BE172" s="52">
        <v>0</v>
      </c>
      <c r="BF172" s="52">
        <f>M172</f>
        <v>0</v>
      </c>
      <c r="BH172" s="40">
        <f>G172*AO172</f>
        <v>0</v>
      </c>
      <c r="BI172" s="40">
        <f>G172*AP172</f>
        <v>0</v>
      </c>
      <c r="BJ172" s="40">
        <f>G172*H172</f>
        <v>0</v>
      </c>
      <c r="BK172" s="40" t="s">
        <v>595</v>
      </c>
      <c r="BL172" s="52">
        <v>90</v>
      </c>
    </row>
    <row r="173" spans="1:47" ht="12.75">
      <c r="A173" s="60"/>
      <c r="B173" s="61"/>
      <c r="C173" s="61" t="s">
        <v>167</v>
      </c>
      <c r="D173" s="151" t="s">
        <v>482</v>
      </c>
      <c r="E173" s="152"/>
      <c r="F173" s="62" t="s">
        <v>73</v>
      </c>
      <c r="G173" s="62" t="s">
        <v>73</v>
      </c>
      <c r="H173" s="62" t="s">
        <v>73</v>
      </c>
      <c r="I173" s="63">
        <f>SUM(I174:I174)</f>
        <v>0</v>
      </c>
      <c r="J173" s="63">
        <f>SUM(J174:J174)</f>
        <v>0</v>
      </c>
      <c r="K173" s="63">
        <f>SUM(K174:K174)</f>
        <v>0</v>
      </c>
      <c r="L173" s="64"/>
      <c r="M173" s="63">
        <f>SUM(M174:M174)</f>
        <v>0.0963563</v>
      </c>
      <c r="N173" s="65"/>
      <c r="O173" s="18"/>
      <c r="AI173" s="48"/>
      <c r="AS173" s="58">
        <f>SUM(AJ174:AJ174)</f>
        <v>0</v>
      </c>
      <c r="AT173" s="58">
        <f>SUM(AK174:AK174)</f>
        <v>0</v>
      </c>
      <c r="AU173" s="58">
        <f>SUM(AL174:AL174)</f>
        <v>0</v>
      </c>
    </row>
    <row r="174" spans="1:64" ht="12.75">
      <c r="A174" s="66" t="s">
        <v>172</v>
      </c>
      <c r="B174" s="17"/>
      <c r="C174" s="17" t="s">
        <v>298</v>
      </c>
      <c r="D174" s="112" t="s">
        <v>483</v>
      </c>
      <c r="E174" s="147"/>
      <c r="F174" s="17" t="s">
        <v>519</v>
      </c>
      <c r="G174" s="52">
        <v>60.985</v>
      </c>
      <c r="H174" s="173"/>
      <c r="I174" s="52">
        <f>G174*AO174</f>
        <v>0</v>
      </c>
      <c r="J174" s="52">
        <f>G174*AP174</f>
        <v>0</v>
      </c>
      <c r="K174" s="52">
        <f>G174*H174</f>
        <v>0</v>
      </c>
      <c r="L174" s="52">
        <v>0.00158</v>
      </c>
      <c r="M174" s="52">
        <f>G174*L174</f>
        <v>0.0963563</v>
      </c>
      <c r="N174" s="67" t="s">
        <v>545</v>
      </c>
      <c r="O174" s="18"/>
      <c r="Z174" s="52">
        <f>IF(AQ174="5",BJ174,0)</f>
        <v>0</v>
      </c>
      <c r="AB174" s="52">
        <f>IF(AQ174="1",BH174,0)</f>
        <v>0</v>
      </c>
      <c r="AC174" s="52">
        <f>IF(AQ174="1",BI174,0)</f>
        <v>0</v>
      </c>
      <c r="AD174" s="52">
        <f>IF(AQ174="7",BH174,0)</f>
        <v>0</v>
      </c>
      <c r="AE174" s="52">
        <f>IF(AQ174="7",BI174,0)</f>
        <v>0</v>
      </c>
      <c r="AF174" s="52">
        <f>IF(AQ174="2",BH174,0)</f>
        <v>0</v>
      </c>
      <c r="AG174" s="52">
        <f>IF(AQ174="2",BI174,0)</f>
        <v>0</v>
      </c>
      <c r="AH174" s="52">
        <f>IF(AQ174="0",BJ174,0)</f>
        <v>0</v>
      </c>
      <c r="AI174" s="48"/>
      <c r="AJ174" s="40">
        <f>IF(AN174=0,K174,0)</f>
        <v>0</v>
      </c>
      <c r="AK174" s="40">
        <f>IF(AN174=15,K174,0)</f>
        <v>0</v>
      </c>
      <c r="AL174" s="40">
        <f>IF(AN174=21,K174,0)</f>
        <v>0</v>
      </c>
      <c r="AN174" s="52">
        <v>21</v>
      </c>
      <c r="AO174" s="52">
        <f>H174*0.348243036211699</f>
        <v>0</v>
      </c>
      <c r="AP174" s="52">
        <f>H174*(1-0.348243036211699)</f>
        <v>0</v>
      </c>
      <c r="AQ174" s="53" t="s">
        <v>74</v>
      </c>
      <c r="AV174" s="52">
        <f>AW174+AX174</f>
        <v>0</v>
      </c>
      <c r="AW174" s="52">
        <f>G174*AO174</f>
        <v>0</v>
      </c>
      <c r="AX174" s="52">
        <f>G174*AP174</f>
        <v>0</v>
      </c>
      <c r="AY174" s="55" t="s">
        <v>573</v>
      </c>
      <c r="AZ174" s="55" t="s">
        <v>589</v>
      </c>
      <c r="BA174" s="48" t="s">
        <v>590</v>
      </c>
      <c r="BC174" s="52">
        <f>AW174+AX174</f>
        <v>0</v>
      </c>
      <c r="BD174" s="52">
        <f>H174/(100-BE174)*100</f>
        <v>0</v>
      </c>
      <c r="BE174" s="52">
        <v>0</v>
      </c>
      <c r="BF174" s="52">
        <f>M174</f>
        <v>0.0963563</v>
      </c>
      <c r="BH174" s="40">
        <f>G174*AO174</f>
        <v>0</v>
      </c>
      <c r="BI174" s="40">
        <f>G174*AP174</f>
        <v>0</v>
      </c>
      <c r="BJ174" s="40">
        <f>G174*H174</f>
        <v>0</v>
      </c>
      <c r="BK174" s="40" t="s">
        <v>595</v>
      </c>
      <c r="BL174" s="52">
        <v>94</v>
      </c>
    </row>
    <row r="175" spans="1:47" ht="12.75">
      <c r="A175" s="60"/>
      <c r="B175" s="61"/>
      <c r="C175" s="61" t="s">
        <v>168</v>
      </c>
      <c r="D175" s="151" t="s">
        <v>484</v>
      </c>
      <c r="E175" s="152"/>
      <c r="F175" s="62" t="s">
        <v>73</v>
      </c>
      <c r="G175" s="62" t="s">
        <v>73</v>
      </c>
      <c r="H175" s="62" t="s">
        <v>73</v>
      </c>
      <c r="I175" s="63">
        <f>SUM(I176:I176)</f>
        <v>0</v>
      </c>
      <c r="J175" s="63">
        <f>SUM(J176:J176)</f>
        <v>0</v>
      </c>
      <c r="K175" s="63">
        <f>SUM(K176:K176)</f>
        <v>0</v>
      </c>
      <c r="L175" s="64"/>
      <c r="M175" s="63">
        <f>SUM(M176:M176)</f>
        <v>0.0024274</v>
      </c>
      <c r="N175" s="65"/>
      <c r="O175" s="18"/>
      <c r="AI175" s="48"/>
      <c r="AS175" s="58">
        <f>SUM(AJ176:AJ176)</f>
        <v>0</v>
      </c>
      <c r="AT175" s="58">
        <f>SUM(AK176:AK176)</f>
        <v>0</v>
      </c>
      <c r="AU175" s="58">
        <f>SUM(AL176:AL176)</f>
        <v>0</v>
      </c>
    </row>
    <row r="176" spans="1:64" ht="12.75">
      <c r="A176" s="66" t="s">
        <v>173</v>
      </c>
      <c r="B176" s="17"/>
      <c r="C176" s="17" t="s">
        <v>299</v>
      </c>
      <c r="D176" s="112" t="s">
        <v>485</v>
      </c>
      <c r="E176" s="147"/>
      <c r="F176" s="17" t="s">
        <v>519</v>
      </c>
      <c r="G176" s="52">
        <v>60.685</v>
      </c>
      <c r="H176" s="173"/>
      <c r="I176" s="52">
        <f>G176*AO176</f>
        <v>0</v>
      </c>
      <c r="J176" s="52">
        <f>G176*AP176</f>
        <v>0</v>
      </c>
      <c r="K176" s="52">
        <f>G176*H176</f>
        <v>0</v>
      </c>
      <c r="L176" s="52">
        <v>4E-05</v>
      </c>
      <c r="M176" s="52">
        <f>G176*L176</f>
        <v>0.0024274</v>
      </c>
      <c r="N176" s="67" t="s">
        <v>545</v>
      </c>
      <c r="O176" s="18"/>
      <c r="Z176" s="52">
        <f>IF(AQ176="5",BJ176,0)</f>
        <v>0</v>
      </c>
      <c r="AB176" s="52">
        <f>IF(AQ176="1",BH176,0)</f>
        <v>0</v>
      </c>
      <c r="AC176" s="52">
        <f>IF(AQ176="1",BI176,0)</f>
        <v>0</v>
      </c>
      <c r="AD176" s="52">
        <f>IF(AQ176="7",BH176,0)</f>
        <v>0</v>
      </c>
      <c r="AE176" s="52">
        <f>IF(AQ176="7",BI176,0)</f>
        <v>0</v>
      </c>
      <c r="AF176" s="52">
        <f>IF(AQ176="2",BH176,0)</f>
        <v>0</v>
      </c>
      <c r="AG176" s="52">
        <f>IF(AQ176="2",BI176,0)</f>
        <v>0</v>
      </c>
      <c r="AH176" s="52">
        <f>IF(AQ176="0",BJ176,0)</f>
        <v>0</v>
      </c>
      <c r="AI176" s="48"/>
      <c r="AJ176" s="40">
        <f>IF(AN176=0,K176,0)</f>
        <v>0</v>
      </c>
      <c r="AK176" s="40">
        <f>IF(AN176=15,K176,0)</f>
        <v>0</v>
      </c>
      <c r="AL176" s="40">
        <f>IF(AN176=21,K176,0)</f>
        <v>0</v>
      </c>
      <c r="AN176" s="52">
        <v>21</v>
      </c>
      <c r="AO176" s="52">
        <f>H176*0.0120784274699057</f>
        <v>0</v>
      </c>
      <c r="AP176" s="52">
        <f>H176*(1-0.0120784274699057)</f>
        <v>0</v>
      </c>
      <c r="AQ176" s="53" t="s">
        <v>74</v>
      </c>
      <c r="AV176" s="52">
        <f>AW176+AX176</f>
        <v>0</v>
      </c>
      <c r="AW176" s="52">
        <f>G176*AO176</f>
        <v>0</v>
      </c>
      <c r="AX176" s="52">
        <f>G176*AP176</f>
        <v>0</v>
      </c>
      <c r="AY176" s="55" t="s">
        <v>574</v>
      </c>
      <c r="AZ176" s="55" t="s">
        <v>589</v>
      </c>
      <c r="BA176" s="48" t="s">
        <v>590</v>
      </c>
      <c r="BC176" s="52">
        <f>AW176+AX176</f>
        <v>0</v>
      </c>
      <c r="BD176" s="52">
        <f>H176/(100-BE176)*100</f>
        <v>0</v>
      </c>
      <c r="BE176" s="52">
        <v>0</v>
      </c>
      <c r="BF176" s="52">
        <f>M176</f>
        <v>0.0024274</v>
      </c>
      <c r="BH176" s="40">
        <f>G176*AO176</f>
        <v>0</v>
      </c>
      <c r="BI176" s="40">
        <f>G176*AP176</f>
        <v>0</v>
      </c>
      <c r="BJ176" s="40">
        <f>G176*H176</f>
        <v>0</v>
      </c>
      <c r="BK176" s="40" t="s">
        <v>595</v>
      </c>
      <c r="BL176" s="52">
        <v>95</v>
      </c>
    </row>
    <row r="177" spans="1:47" ht="12.75">
      <c r="A177" s="60"/>
      <c r="B177" s="61"/>
      <c r="C177" s="61" t="s">
        <v>169</v>
      </c>
      <c r="D177" s="151" t="s">
        <v>486</v>
      </c>
      <c r="E177" s="152"/>
      <c r="F177" s="62" t="s">
        <v>73</v>
      </c>
      <c r="G177" s="62" t="s">
        <v>73</v>
      </c>
      <c r="H177" s="62" t="s">
        <v>73</v>
      </c>
      <c r="I177" s="63">
        <f>SUM(I178:I193)</f>
        <v>0</v>
      </c>
      <c r="J177" s="63">
        <f>SUM(J178:J193)</f>
        <v>0</v>
      </c>
      <c r="K177" s="63">
        <f>SUM(K178:K193)</f>
        <v>0</v>
      </c>
      <c r="L177" s="64"/>
      <c r="M177" s="63">
        <f>SUM(M178:M193)</f>
        <v>9.2758993</v>
      </c>
      <c r="N177" s="65"/>
      <c r="O177" s="18"/>
      <c r="AI177" s="48"/>
      <c r="AS177" s="58">
        <f>SUM(AJ178:AJ193)</f>
        <v>0</v>
      </c>
      <c r="AT177" s="58">
        <f>SUM(AK178:AK193)</f>
        <v>0</v>
      </c>
      <c r="AU177" s="58">
        <f>SUM(AL178:AL193)</f>
        <v>0</v>
      </c>
    </row>
    <row r="178" spans="1:64" ht="12.75">
      <c r="A178" s="66" t="s">
        <v>174</v>
      </c>
      <c r="B178" s="17"/>
      <c r="C178" s="17" t="s">
        <v>300</v>
      </c>
      <c r="D178" s="112" t="s">
        <v>487</v>
      </c>
      <c r="E178" s="147"/>
      <c r="F178" s="17" t="s">
        <v>519</v>
      </c>
      <c r="G178" s="52">
        <v>2.79</v>
      </c>
      <c r="H178" s="173"/>
      <c r="I178" s="52">
        <f>G178*AO178</f>
        <v>0</v>
      </c>
      <c r="J178" s="52">
        <f>G178*AP178</f>
        <v>0</v>
      </c>
      <c r="K178" s="52">
        <f>G178*H178</f>
        <v>0</v>
      </c>
      <c r="L178" s="52">
        <v>0.18467</v>
      </c>
      <c r="M178" s="52">
        <f>G178*L178</f>
        <v>0.5152293</v>
      </c>
      <c r="N178" s="67" t="s">
        <v>545</v>
      </c>
      <c r="O178" s="18"/>
      <c r="Z178" s="52">
        <f>IF(AQ178="5",BJ178,0)</f>
        <v>0</v>
      </c>
      <c r="AB178" s="52">
        <f>IF(AQ178="1",BH178,0)</f>
        <v>0</v>
      </c>
      <c r="AC178" s="52">
        <f>IF(AQ178="1",BI178,0)</f>
        <v>0</v>
      </c>
      <c r="AD178" s="52">
        <f>IF(AQ178="7",BH178,0)</f>
        <v>0</v>
      </c>
      <c r="AE178" s="52">
        <f>IF(AQ178="7",BI178,0)</f>
        <v>0</v>
      </c>
      <c r="AF178" s="52">
        <f>IF(AQ178="2",BH178,0)</f>
        <v>0</v>
      </c>
      <c r="AG178" s="52">
        <f>IF(AQ178="2",BI178,0)</f>
        <v>0</v>
      </c>
      <c r="AH178" s="52">
        <f>IF(AQ178="0",BJ178,0)</f>
        <v>0</v>
      </c>
      <c r="AI178" s="48"/>
      <c r="AJ178" s="40">
        <f>IF(AN178=0,K178,0)</f>
        <v>0</v>
      </c>
      <c r="AK178" s="40">
        <f>IF(AN178=15,K178,0)</f>
        <v>0</v>
      </c>
      <c r="AL178" s="40">
        <f>IF(AN178=21,K178,0)</f>
        <v>0</v>
      </c>
      <c r="AN178" s="52">
        <v>21</v>
      </c>
      <c r="AO178" s="52">
        <f>H178*0.135988751964271</f>
        <v>0</v>
      </c>
      <c r="AP178" s="52">
        <f>H178*(1-0.135988751964271)</f>
        <v>0</v>
      </c>
      <c r="AQ178" s="53" t="s">
        <v>74</v>
      </c>
      <c r="AV178" s="52">
        <f>AW178+AX178</f>
        <v>0</v>
      </c>
      <c r="AW178" s="52">
        <f>G178*AO178</f>
        <v>0</v>
      </c>
      <c r="AX178" s="52">
        <f>G178*AP178</f>
        <v>0</v>
      </c>
      <c r="AY178" s="55" t="s">
        <v>575</v>
      </c>
      <c r="AZ178" s="55" t="s">
        <v>589</v>
      </c>
      <c r="BA178" s="48" t="s">
        <v>590</v>
      </c>
      <c r="BC178" s="52">
        <f>AW178+AX178</f>
        <v>0</v>
      </c>
      <c r="BD178" s="52">
        <f>H178/(100-BE178)*100</f>
        <v>0</v>
      </c>
      <c r="BE178" s="52">
        <v>0</v>
      </c>
      <c r="BF178" s="52">
        <f>M178</f>
        <v>0.5152293</v>
      </c>
      <c r="BH178" s="40">
        <f>G178*AO178</f>
        <v>0</v>
      </c>
      <c r="BI178" s="40">
        <f>G178*AP178</f>
        <v>0</v>
      </c>
      <c r="BJ178" s="40">
        <f>G178*H178</f>
        <v>0</v>
      </c>
      <c r="BK178" s="40" t="s">
        <v>595</v>
      </c>
      <c r="BL178" s="52">
        <v>96</v>
      </c>
    </row>
    <row r="179" spans="1:15" ht="12.75">
      <c r="A179" s="18"/>
      <c r="B179" s="68"/>
      <c r="C179" s="68"/>
      <c r="D179" s="69" t="s">
        <v>488</v>
      </c>
      <c r="E179" s="69"/>
      <c r="F179" s="68"/>
      <c r="G179" s="70">
        <v>2.79</v>
      </c>
      <c r="H179" s="68"/>
      <c r="I179" s="68"/>
      <c r="J179" s="68"/>
      <c r="K179" s="68"/>
      <c r="L179" s="68"/>
      <c r="M179" s="68"/>
      <c r="N179" s="16"/>
      <c r="O179" s="18"/>
    </row>
    <row r="180" spans="1:64" ht="12.75">
      <c r="A180" s="66" t="s">
        <v>175</v>
      </c>
      <c r="B180" s="17"/>
      <c r="C180" s="17" t="s">
        <v>301</v>
      </c>
      <c r="D180" s="112" t="s">
        <v>489</v>
      </c>
      <c r="E180" s="147"/>
      <c r="F180" s="17" t="s">
        <v>529</v>
      </c>
      <c r="G180" s="52">
        <v>1.24875</v>
      </c>
      <c r="H180" s="173"/>
      <c r="I180" s="52">
        <f>G180*AO180</f>
        <v>0</v>
      </c>
      <c r="J180" s="52">
        <f>G180*AP180</f>
        <v>0</v>
      </c>
      <c r="K180" s="52">
        <f>G180*H180</f>
        <v>0</v>
      </c>
      <c r="L180" s="52">
        <v>2.2</v>
      </c>
      <c r="M180" s="52">
        <f>G180*L180</f>
        <v>2.74725</v>
      </c>
      <c r="N180" s="67" t="s">
        <v>545</v>
      </c>
      <c r="O180" s="18"/>
      <c r="Z180" s="52">
        <f>IF(AQ180="5",BJ180,0)</f>
        <v>0</v>
      </c>
      <c r="AB180" s="52">
        <f>IF(AQ180="1",BH180,0)</f>
        <v>0</v>
      </c>
      <c r="AC180" s="52">
        <f>IF(AQ180="1",BI180,0)</f>
        <v>0</v>
      </c>
      <c r="AD180" s="52">
        <f>IF(AQ180="7",BH180,0)</f>
        <v>0</v>
      </c>
      <c r="AE180" s="52">
        <f>IF(AQ180="7",BI180,0)</f>
        <v>0</v>
      </c>
      <c r="AF180" s="52">
        <f>IF(AQ180="2",BH180,0)</f>
        <v>0</v>
      </c>
      <c r="AG180" s="52">
        <f>IF(AQ180="2",BI180,0)</f>
        <v>0</v>
      </c>
      <c r="AH180" s="52">
        <f>IF(AQ180="0",BJ180,0)</f>
        <v>0</v>
      </c>
      <c r="AI180" s="48"/>
      <c r="AJ180" s="40">
        <f>IF(AN180=0,K180,0)</f>
        <v>0</v>
      </c>
      <c r="AK180" s="40">
        <f>IF(AN180=15,K180,0)</f>
        <v>0</v>
      </c>
      <c r="AL180" s="40">
        <f>IF(AN180=21,K180,0)</f>
        <v>0</v>
      </c>
      <c r="AN180" s="52">
        <v>21</v>
      </c>
      <c r="AO180" s="52">
        <f>H180*0</f>
        <v>0</v>
      </c>
      <c r="AP180" s="52">
        <f>H180*(1-0)</f>
        <v>0</v>
      </c>
      <c r="AQ180" s="53" t="s">
        <v>74</v>
      </c>
      <c r="AV180" s="52">
        <f>AW180+AX180</f>
        <v>0</v>
      </c>
      <c r="AW180" s="52">
        <f>G180*AO180</f>
        <v>0</v>
      </c>
      <c r="AX180" s="52">
        <f>G180*AP180</f>
        <v>0</v>
      </c>
      <c r="AY180" s="55" t="s">
        <v>575</v>
      </c>
      <c r="AZ180" s="55" t="s">
        <v>589</v>
      </c>
      <c r="BA180" s="48" t="s">
        <v>590</v>
      </c>
      <c r="BC180" s="52">
        <f>AW180+AX180</f>
        <v>0</v>
      </c>
      <c r="BD180" s="52">
        <f>H180/(100-BE180)*100</f>
        <v>0</v>
      </c>
      <c r="BE180" s="52">
        <v>0</v>
      </c>
      <c r="BF180" s="52">
        <f>M180</f>
        <v>2.74725</v>
      </c>
      <c r="BH180" s="40">
        <f>G180*AO180</f>
        <v>0</v>
      </c>
      <c r="BI180" s="40">
        <f>G180*AP180</f>
        <v>0</v>
      </c>
      <c r="BJ180" s="40">
        <f>G180*H180</f>
        <v>0</v>
      </c>
      <c r="BK180" s="40" t="s">
        <v>595</v>
      </c>
      <c r="BL180" s="52">
        <v>96</v>
      </c>
    </row>
    <row r="181" spans="1:15" ht="12.75">
      <c r="A181" s="18"/>
      <c r="B181" s="68"/>
      <c r="C181" s="68"/>
      <c r="D181" s="69" t="s">
        <v>490</v>
      </c>
      <c r="E181" s="69"/>
      <c r="F181" s="68"/>
      <c r="G181" s="70">
        <v>1.24875</v>
      </c>
      <c r="H181" s="68"/>
      <c r="I181" s="68"/>
      <c r="J181" s="68"/>
      <c r="K181" s="68"/>
      <c r="L181" s="68"/>
      <c r="M181" s="68"/>
      <c r="N181" s="16"/>
      <c r="O181" s="18"/>
    </row>
    <row r="182" spans="1:64" ht="12.75">
      <c r="A182" s="66" t="s">
        <v>176</v>
      </c>
      <c r="B182" s="17"/>
      <c r="C182" s="17" t="s">
        <v>302</v>
      </c>
      <c r="D182" s="112" t="s">
        <v>491</v>
      </c>
      <c r="E182" s="147"/>
      <c r="F182" s="17" t="s">
        <v>519</v>
      </c>
      <c r="G182" s="52">
        <v>24.532</v>
      </c>
      <c r="H182" s="173"/>
      <c r="I182" s="52">
        <f>G182*AO182</f>
        <v>0</v>
      </c>
      <c r="J182" s="52">
        <f>G182*AP182</f>
        <v>0</v>
      </c>
      <c r="K182" s="52">
        <f>G182*H182</f>
        <v>0</v>
      </c>
      <c r="L182" s="52">
        <v>0.065</v>
      </c>
      <c r="M182" s="52">
        <f>G182*L182</f>
        <v>1.59458</v>
      </c>
      <c r="N182" s="67" t="s">
        <v>545</v>
      </c>
      <c r="O182" s="18"/>
      <c r="Z182" s="52">
        <f>IF(AQ182="5",BJ182,0)</f>
        <v>0</v>
      </c>
      <c r="AB182" s="52">
        <f>IF(AQ182="1",BH182,0)</f>
        <v>0</v>
      </c>
      <c r="AC182" s="52">
        <f>IF(AQ182="1",BI182,0)</f>
        <v>0</v>
      </c>
      <c r="AD182" s="52">
        <f>IF(AQ182="7",BH182,0)</f>
        <v>0</v>
      </c>
      <c r="AE182" s="52">
        <f>IF(AQ182="7",BI182,0)</f>
        <v>0</v>
      </c>
      <c r="AF182" s="52">
        <f>IF(AQ182="2",BH182,0)</f>
        <v>0</v>
      </c>
      <c r="AG182" s="52">
        <f>IF(AQ182="2",BI182,0)</f>
        <v>0</v>
      </c>
      <c r="AH182" s="52">
        <f>IF(AQ182="0",BJ182,0)</f>
        <v>0</v>
      </c>
      <c r="AI182" s="48"/>
      <c r="AJ182" s="40">
        <f>IF(AN182=0,K182,0)</f>
        <v>0</v>
      </c>
      <c r="AK182" s="40">
        <f>IF(AN182=15,K182,0)</f>
        <v>0</v>
      </c>
      <c r="AL182" s="40">
        <f>IF(AN182=21,K182,0)</f>
        <v>0</v>
      </c>
      <c r="AN182" s="52">
        <v>21</v>
      </c>
      <c r="AO182" s="52">
        <f>H182*0</f>
        <v>0</v>
      </c>
      <c r="AP182" s="52">
        <f>H182*(1-0)</f>
        <v>0</v>
      </c>
      <c r="AQ182" s="53" t="s">
        <v>74</v>
      </c>
      <c r="AV182" s="52">
        <f>AW182+AX182</f>
        <v>0</v>
      </c>
      <c r="AW182" s="52">
        <f>G182*AO182</f>
        <v>0</v>
      </c>
      <c r="AX182" s="52">
        <f>G182*AP182</f>
        <v>0</v>
      </c>
      <c r="AY182" s="55" t="s">
        <v>575</v>
      </c>
      <c r="AZ182" s="55" t="s">
        <v>589</v>
      </c>
      <c r="BA182" s="48" t="s">
        <v>590</v>
      </c>
      <c r="BC182" s="52">
        <f>AW182+AX182</f>
        <v>0</v>
      </c>
      <c r="BD182" s="52">
        <f>H182/(100-BE182)*100</f>
        <v>0</v>
      </c>
      <c r="BE182" s="52">
        <v>0</v>
      </c>
      <c r="BF182" s="52">
        <f>M182</f>
        <v>1.59458</v>
      </c>
      <c r="BH182" s="40">
        <f>G182*AO182</f>
        <v>0</v>
      </c>
      <c r="BI182" s="40">
        <f>G182*AP182</f>
        <v>0</v>
      </c>
      <c r="BJ182" s="40">
        <f>G182*H182</f>
        <v>0</v>
      </c>
      <c r="BK182" s="40" t="s">
        <v>595</v>
      </c>
      <c r="BL182" s="52">
        <v>96</v>
      </c>
    </row>
    <row r="183" spans="1:15" ht="12.75">
      <c r="A183" s="18"/>
      <c r="B183" s="68"/>
      <c r="C183" s="68"/>
      <c r="D183" s="69" t="s">
        <v>492</v>
      </c>
      <c r="E183" s="69"/>
      <c r="F183" s="68"/>
      <c r="G183" s="70">
        <v>11.692</v>
      </c>
      <c r="H183" s="68"/>
      <c r="I183" s="68"/>
      <c r="J183" s="68"/>
      <c r="K183" s="68"/>
      <c r="L183" s="68"/>
      <c r="M183" s="68"/>
      <c r="N183" s="16"/>
      <c r="O183" s="18"/>
    </row>
    <row r="184" spans="1:15" ht="12.75">
      <c r="A184" s="18"/>
      <c r="B184" s="68"/>
      <c r="C184" s="68"/>
      <c r="D184" s="69" t="s">
        <v>493</v>
      </c>
      <c r="E184" s="69"/>
      <c r="F184" s="68"/>
      <c r="G184" s="70">
        <v>12.84</v>
      </c>
      <c r="H184" s="68"/>
      <c r="I184" s="68"/>
      <c r="J184" s="68"/>
      <c r="K184" s="68"/>
      <c r="L184" s="68"/>
      <c r="M184" s="68"/>
      <c r="N184" s="16"/>
      <c r="O184" s="18"/>
    </row>
    <row r="185" spans="1:64" ht="12.75">
      <c r="A185" s="66" t="s">
        <v>177</v>
      </c>
      <c r="B185" s="17"/>
      <c r="C185" s="17" t="s">
        <v>303</v>
      </c>
      <c r="D185" s="112" t="s">
        <v>494</v>
      </c>
      <c r="E185" s="147"/>
      <c r="F185" s="17" t="s">
        <v>521</v>
      </c>
      <c r="G185" s="52">
        <v>2</v>
      </c>
      <c r="H185" s="173"/>
      <c r="I185" s="52">
        <f>G185*AO185</f>
        <v>0</v>
      </c>
      <c r="J185" s="52">
        <f>G185*AP185</f>
        <v>0</v>
      </c>
      <c r="K185" s="52">
        <f>G185*H185</f>
        <v>0</v>
      </c>
      <c r="L185" s="52">
        <v>0</v>
      </c>
      <c r="M185" s="52">
        <f>G185*L185</f>
        <v>0</v>
      </c>
      <c r="N185" s="67" t="s">
        <v>545</v>
      </c>
      <c r="O185" s="18"/>
      <c r="Z185" s="52">
        <f>IF(AQ185="5",BJ185,0)</f>
        <v>0</v>
      </c>
      <c r="AB185" s="52">
        <f>IF(AQ185="1",BH185,0)</f>
        <v>0</v>
      </c>
      <c r="AC185" s="52">
        <f>IF(AQ185="1",BI185,0)</f>
        <v>0</v>
      </c>
      <c r="AD185" s="52">
        <f>IF(AQ185="7",BH185,0)</f>
        <v>0</v>
      </c>
      <c r="AE185" s="52">
        <f>IF(AQ185="7",BI185,0)</f>
        <v>0</v>
      </c>
      <c r="AF185" s="52">
        <f>IF(AQ185="2",BH185,0)</f>
        <v>0</v>
      </c>
      <c r="AG185" s="52">
        <f>IF(AQ185="2",BI185,0)</f>
        <v>0</v>
      </c>
      <c r="AH185" s="52">
        <f>IF(AQ185="0",BJ185,0)</f>
        <v>0</v>
      </c>
      <c r="AI185" s="48"/>
      <c r="AJ185" s="40">
        <f>IF(AN185=0,K185,0)</f>
        <v>0</v>
      </c>
      <c r="AK185" s="40">
        <f>IF(AN185=15,K185,0)</f>
        <v>0</v>
      </c>
      <c r="AL185" s="40">
        <f>IF(AN185=21,K185,0)</f>
        <v>0</v>
      </c>
      <c r="AN185" s="52">
        <v>21</v>
      </c>
      <c r="AO185" s="52">
        <f>H185*0</f>
        <v>0</v>
      </c>
      <c r="AP185" s="52">
        <f>H185*(1-0)</f>
        <v>0</v>
      </c>
      <c r="AQ185" s="53" t="s">
        <v>74</v>
      </c>
      <c r="AV185" s="52">
        <f>AW185+AX185</f>
        <v>0</v>
      </c>
      <c r="AW185" s="52">
        <f>G185*AO185</f>
        <v>0</v>
      </c>
      <c r="AX185" s="52">
        <f>G185*AP185</f>
        <v>0</v>
      </c>
      <c r="AY185" s="55" t="s">
        <v>575</v>
      </c>
      <c r="AZ185" s="55" t="s">
        <v>589</v>
      </c>
      <c r="BA185" s="48" t="s">
        <v>590</v>
      </c>
      <c r="BC185" s="52">
        <f>AW185+AX185</f>
        <v>0</v>
      </c>
      <c r="BD185" s="52">
        <f>H185/(100-BE185)*100</f>
        <v>0</v>
      </c>
      <c r="BE185" s="52">
        <v>0</v>
      </c>
      <c r="BF185" s="52">
        <f>M185</f>
        <v>0</v>
      </c>
      <c r="BH185" s="40">
        <f>G185*AO185</f>
        <v>0</v>
      </c>
      <c r="BI185" s="40">
        <f>G185*AP185</f>
        <v>0</v>
      </c>
      <c r="BJ185" s="40">
        <f>G185*H185</f>
        <v>0</v>
      </c>
      <c r="BK185" s="40" t="s">
        <v>595</v>
      </c>
      <c r="BL185" s="52">
        <v>96</v>
      </c>
    </row>
    <row r="186" spans="1:64" ht="12.75">
      <c r="A186" s="66" t="s">
        <v>178</v>
      </c>
      <c r="B186" s="17"/>
      <c r="C186" s="17" t="s">
        <v>304</v>
      </c>
      <c r="D186" s="112" t="s">
        <v>495</v>
      </c>
      <c r="E186" s="147"/>
      <c r="F186" s="17" t="s">
        <v>519</v>
      </c>
      <c r="G186" s="52">
        <v>53.11</v>
      </c>
      <c r="H186" s="173"/>
      <c r="I186" s="52">
        <f>G186*AO186</f>
        <v>0</v>
      </c>
      <c r="J186" s="52">
        <f>G186*AP186</f>
        <v>0</v>
      </c>
      <c r="K186" s="52">
        <f>G186*H186</f>
        <v>0</v>
      </c>
      <c r="L186" s="52">
        <v>0.068</v>
      </c>
      <c r="M186" s="52">
        <f>G186*L186</f>
        <v>3.6114800000000002</v>
      </c>
      <c r="N186" s="67" t="s">
        <v>545</v>
      </c>
      <c r="O186" s="18"/>
      <c r="Z186" s="52">
        <f>IF(AQ186="5",BJ186,0)</f>
        <v>0</v>
      </c>
      <c r="AB186" s="52">
        <f>IF(AQ186="1",BH186,0)</f>
        <v>0</v>
      </c>
      <c r="AC186" s="52">
        <f>IF(AQ186="1",BI186,0)</f>
        <v>0</v>
      </c>
      <c r="AD186" s="52">
        <f>IF(AQ186="7",BH186,0)</f>
        <v>0</v>
      </c>
      <c r="AE186" s="52">
        <f>IF(AQ186="7",BI186,0)</f>
        <v>0</v>
      </c>
      <c r="AF186" s="52">
        <f>IF(AQ186="2",BH186,0)</f>
        <v>0</v>
      </c>
      <c r="AG186" s="52">
        <f>IF(AQ186="2",BI186,0)</f>
        <v>0</v>
      </c>
      <c r="AH186" s="52">
        <f>IF(AQ186="0",BJ186,0)</f>
        <v>0</v>
      </c>
      <c r="AI186" s="48"/>
      <c r="AJ186" s="40">
        <f>IF(AN186=0,K186,0)</f>
        <v>0</v>
      </c>
      <c r="AK186" s="40">
        <f>IF(AN186=15,K186,0)</f>
        <v>0</v>
      </c>
      <c r="AL186" s="40">
        <f>IF(AN186=21,K186,0)</f>
        <v>0</v>
      </c>
      <c r="AN186" s="52">
        <v>21</v>
      </c>
      <c r="AO186" s="52">
        <f>H186*0</f>
        <v>0</v>
      </c>
      <c r="AP186" s="52">
        <f>H186*(1-0)</f>
        <v>0</v>
      </c>
      <c r="AQ186" s="53" t="s">
        <v>74</v>
      </c>
      <c r="AV186" s="52">
        <f>AW186+AX186</f>
        <v>0</v>
      </c>
      <c r="AW186" s="52">
        <f>G186*AO186</f>
        <v>0</v>
      </c>
      <c r="AX186" s="52">
        <f>G186*AP186</f>
        <v>0</v>
      </c>
      <c r="AY186" s="55" t="s">
        <v>575</v>
      </c>
      <c r="AZ186" s="55" t="s">
        <v>589</v>
      </c>
      <c r="BA186" s="48" t="s">
        <v>590</v>
      </c>
      <c r="BC186" s="52">
        <f>AW186+AX186</f>
        <v>0</v>
      </c>
      <c r="BD186" s="52">
        <f>H186/(100-BE186)*100</f>
        <v>0</v>
      </c>
      <c r="BE186" s="52">
        <v>0</v>
      </c>
      <c r="BF186" s="52">
        <f>M186</f>
        <v>3.6114800000000002</v>
      </c>
      <c r="BH186" s="40">
        <f>G186*AO186</f>
        <v>0</v>
      </c>
      <c r="BI186" s="40">
        <f>G186*AP186</f>
        <v>0</v>
      </c>
      <c r="BJ186" s="40">
        <f>G186*H186</f>
        <v>0</v>
      </c>
      <c r="BK186" s="40" t="s">
        <v>595</v>
      </c>
      <c r="BL186" s="52">
        <v>96</v>
      </c>
    </row>
    <row r="187" spans="1:15" ht="12.75">
      <c r="A187" s="18"/>
      <c r="B187" s="68"/>
      <c r="C187" s="68"/>
      <c r="D187" s="69" t="s">
        <v>496</v>
      </c>
      <c r="E187" s="69"/>
      <c r="F187" s="68"/>
      <c r="G187" s="70">
        <v>24.235</v>
      </c>
      <c r="H187" s="68"/>
      <c r="I187" s="68"/>
      <c r="J187" s="68"/>
      <c r="K187" s="68"/>
      <c r="L187" s="68"/>
      <c r="M187" s="68"/>
      <c r="N187" s="16"/>
      <c r="O187" s="18"/>
    </row>
    <row r="188" spans="1:15" ht="12.75">
      <c r="A188" s="18"/>
      <c r="B188" s="68"/>
      <c r="C188" s="68"/>
      <c r="D188" s="69" t="s">
        <v>497</v>
      </c>
      <c r="E188" s="69"/>
      <c r="F188" s="68"/>
      <c r="G188" s="70">
        <v>28.875</v>
      </c>
      <c r="H188" s="68"/>
      <c r="I188" s="68"/>
      <c r="J188" s="68"/>
      <c r="K188" s="68"/>
      <c r="L188" s="68"/>
      <c r="M188" s="68"/>
      <c r="N188" s="16"/>
      <c r="O188" s="18"/>
    </row>
    <row r="189" spans="1:64" ht="12.75">
      <c r="A189" s="66" t="s">
        <v>179</v>
      </c>
      <c r="B189" s="17"/>
      <c r="C189" s="17" t="s">
        <v>305</v>
      </c>
      <c r="D189" s="112" t="s">
        <v>498</v>
      </c>
      <c r="E189" s="147"/>
      <c r="F189" s="17" t="s">
        <v>520</v>
      </c>
      <c r="G189" s="52">
        <v>8.48</v>
      </c>
      <c r="H189" s="173"/>
      <c r="I189" s="52">
        <f>G189*AO189</f>
        <v>0</v>
      </c>
      <c r="J189" s="52">
        <f>G189*AP189</f>
        <v>0</v>
      </c>
      <c r="K189" s="52">
        <f>G189*H189</f>
        <v>0</v>
      </c>
      <c r="L189" s="52">
        <v>0.007</v>
      </c>
      <c r="M189" s="52">
        <f>G189*L189</f>
        <v>0.05936</v>
      </c>
      <c r="N189" s="67" t="s">
        <v>545</v>
      </c>
      <c r="O189" s="18"/>
      <c r="Z189" s="52">
        <f>IF(AQ189="5",BJ189,0)</f>
        <v>0</v>
      </c>
      <c r="AB189" s="52">
        <f>IF(AQ189="1",BH189,0)</f>
        <v>0</v>
      </c>
      <c r="AC189" s="52">
        <f>IF(AQ189="1",BI189,0)</f>
        <v>0</v>
      </c>
      <c r="AD189" s="52">
        <f>IF(AQ189="7",BH189,0)</f>
        <v>0</v>
      </c>
      <c r="AE189" s="52">
        <f>IF(AQ189="7",BI189,0)</f>
        <v>0</v>
      </c>
      <c r="AF189" s="52">
        <f>IF(AQ189="2",BH189,0)</f>
        <v>0</v>
      </c>
      <c r="AG189" s="52">
        <f>IF(AQ189="2",BI189,0)</f>
        <v>0</v>
      </c>
      <c r="AH189" s="52">
        <f>IF(AQ189="0",BJ189,0)</f>
        <v>0</v>
      </c>
      <c r="AI189" s="48"/>
      <c r="AJ189" s="40">
        <f>IF(AN189=0,K189,0)</f>
        <v>0</v>
      </c>
      <c r="AK189" s="40">
        <f>IF(AN189=15,K189,0)</f>
        <v>0</v>
      </c>
      <c r="AL189" s="40">
        <f>IF(AN189=21,K189,0)</f>
        <v>0</v>
      </c>
      <c r="AN189" s="52">
        <v>21</v>
      </c>
      <c r="AO189" s="52">
        <f>H189*0</f>
        <v>0</v>
      </c>
      <c r="AP189" s="52">
        <f>H189*(1-0)</f>
        <v>0</v>
      </c>
      <c r="AQ189" s="53" t="s">
        <v>74</v>
      </c>
      <c r="AV189" s="52">
        <f>AW189+AX189</f>
        <v>0</v>
      </c>
      <c r="AW189" s="52">
        <f>G189*AO189</f>
        <v>0</v>
      </c>
      <c r="AX189" s="52">
        <f>G189*AP189</f>
        <v>0</v>
      </c>
      <c r="AY189" s="55" t="s">
        <v>575</v>
      </c>
      <c r="AZ189" s="55" t="s">
        <v>589</v>
      </c>
      <c r="BA189" s="48" t="s">
        <v>590</v>
      </c>
      <c r="BC189" s="52">
        <f>AW189+AX189</f>
        <v>0</v>
      </c>
      <c r="BD189" s="52">
        <f>H189/(100-BE189)*100</f>
        <v>0</v>
      </c>
      <c r="BE189" s="52">
        <v>0</v>
      </c>
      <c r="BF189" s="52">
        <f>M189</f>
        <v>0.05936</v>
      </c>
      <c r="BH189" s="40">
        <f>G189*AO189</f>
        <v>0</v>
      </c>
      <c r="BI189" s="40">
        <f>G189*AP189</f>
        <v>0</v>
      </c>
      <c r="BJ189" s="40">
        <f>G189*H189</f>
        <v>0</v>
      </c>
      <c r="BK189" s="40" t="s">
        <v>595</v>
      </c>
      <c r="BL189" s="52">
        <v>96</v>
      </c>
    </row>
    <row r="190" spans="1:15" ht="12.75">
      <c r="A190" s="18"/>
      <c r="B190" s="68"/>
      <c r="C190" s="68"/>
      <c r="D190" s="69" t="s">
        <v>499</v>
      </c>
      <c r="E190" s="69"/>
      <c r="F190" s="68"/>
      <c r="G190" s="70">
        <v>8.48</v>
      </c>
      <c r="H190" s="68"/>
      <c r="I190" s="68"/>
      <c r="J190" s="68"/>
      <c r="K190" s="68"/>
      <c r="L190" s="68"/>
      <c r="M190" s="68"/>
      <c r="N190" s="16"/>
      <c r="O190" s="18"/>
    </row>
    <row r="191" spans="1:64" ht="12.75">
      <c r="A191" s="66" t="s">
        <v>180</v>
      </c>
      <c r="B191" s="17"/>
      <c r="C191" s="17" t="s">
        <v>306</v>
      </c>
      <c r="D191" s="112" t="s">
        <v>500</v>
      </c>
      <c r="E191" s="147"/>
      <c r="F191" s="17" t="s">
        <v>520</v>
      </c>
      <c r="G191" s="52">
        <v>16</v>
      </c>
      <c r="H191" s="173"/>
      <c r="I191" s="52">
        <f>G191*AO191</f>
        <v>0</v>
      </c>
      <c r="J191" s="52">
        <f>G191*AP191</f>
        <v>0</v>
      </c>
      <c r="K191" s="52">
        <f>G191*H191</f>
        <v>0</v>
      </c>
      <c r="L191" s="52">
        <v>0.037</v>
      </c>
      <c r="M191" s="52">
        <f>G191*L191</f>
        <v>0.592</v>
      </c>
      <c r="N191" s="67" t="s">
        <v>545</v>
      </c>
      <c r="O191" s="18"/>
      <c r="Z191" s="52">
        <f>IF(AQ191="5",BJ191,0)</f>
        <v>0</v>
      </c>
      <c r="AB191" s="52">
        <f>IF(AQ191="1",BH191,0)</f>
        <v>0</v>
      </c>
      <c r="AC191" s="52">
        <f>IF(AQ191="1",BI191,0)</f>
        <v>0</v>
      </c>
      <c r="AD191" s="52">
        <f>IF(AQ191="7",BH191,0)</f>
        <v>0</v>
      </c>
      <c r="AE191" s="52">
        <f>IF(AQ191="7",BI191,0)</f>
        <v>0</v>
      </c>
      <c r="AF191" s="52">
        <f>IF(AQ191="2",BH191,0)</f>
        <v>0</v>
      </c>
      <c r="AG191" s="52">
        <f>IF(AQ191="2",BI191,0)</f>
        <v>0</v>
      </c>
      <c r="AH191" s="52">
        <f>IF(AQ191="0",BJ191,0)</f>
        <v>0</v>
      </c>
      <c r="AI191" s="48"/>
      <c r="AJ191" s="40">
        <f>IF(AN191=0,K191,0)</f>
        <v>0</v>
      </c>
      <c r="AK191" s="40">
        <f>IF(AN191=15,K191,0)</f>
        <v>0</v>
      </c>
      <c r="AL191" s="40">
        <f>IF(AN191=21,K191,0)</f>
        <v>0</v>
      </c>
      <c r="AN191" s="52">
        <v>21</v>
      </c>
      <c r="AO191" s="52">
        <f>H191*0.0799485861182519</f>
        <v>0</v>
      </c>
      <c r="AP191" s="52">
        <f>H191*(1-0.0799485861182519)</f>
        <v>0</v>
      </c>
      <c r="AQ191" s="53" t="s">
        <v>74</v>
      </c>
      <c r="AV191" s="52">
        <f>AW191+AX191</f>
        <v>0</v>
      </c>
      <c r="AW191" s="52">
        <f>G191*AO191</f>
        <v>0</v>
      </c>
      <c r="AX191" s="52">
        <f>G191*AP191</f>
        <v>0</v>
      </c>
      <c r="AY191" s="55" t="s">
        <v>575</v>
      </c>
      <c r="AZ191" s="55" t="s">
        <v>589</v>
      </c>
      <c r="BA191" s="48" t="s">
        <v>590</v>
      </c>
      <c r="BC191" s="52">
        <f>AW191+AX191</f>
        <v>0</v>
      </c>
      <c r="BD191" s="52">
        <f>H191/(100-BE191)*100</f>
        <v>0</v>
      </c>
      <c r="BE191" s="52">
        <v>0</v>
      </c>
      <c r="BF191" s="52">
        <f>M191</f>
        <v>0.592</v>
      </c>
      <c r="BH191" s="40">
        <f>G191*AO191</f>
        <v>0</v>
      </c>
      <c r="BI191" s="40">
        <f>G191*AP191</f>
        <v>0</v>
      </c>
      <c r="BJ191" s="40">
        <f>G191*H191</f>
        <v>0</v>
      </c>
      <c r="BK191" s="40" t="s">
        <v>595</v>
      </c>
      <c r="BL191" s="52">
        <v>96</v>
      </c>
    </row>
    <row r="192" spans="1:64" ht="12.75">
      <c r="A192" s="66" t="s">
        <v>181</v>
      </c>
      <c r="B192" s="17"/>
      <c r="C192" s="17" t="s">
        <v>307</v>
      </c>
      <c r="D192" s="112" t="s">
        <v>501</v>
      </c>
      <c r="E192" s="147"/>
      <c r="F192" s="17" t="s">
        <v>520</v>
      </c>
      <c r="G192" s="52">
        <v>12</v>
      </c>
      <c r="H192" s="173"/>
      <c r="I192" s="52">
        <f>G192*AO192</f>
        <v>0</v>
      </c>
      <c r="J192" s="52">
        <f>G192*AP192</f>
        <v>0</v>
      </c>
      <c r="K192" s="52">
        <f>G192*H192</f>
        <v>0</v>
      </c>
      <c r="L192" s="52">
        <v>0.013</v>
      </c>
      <c r="M192" s="52">
        <f>G192*L192</f>
        <v>0.156</v>
      </c>
      <c r="N192" s="67" t="s">
        <v>545</v>
      </c>
      <c r="O192" s="18"/>
      <c r="Z192" s="52">
        <f>IF(AQ192="5",BJ192,0)</f>
        <v>0</v>
      </c>
      <c r="AB192" s="52">
        <f>IF(AQ192="1",BH192,0)</f>
        <v>0</v>
      </c>
      <c r="AC192" s="52">
        <f>IF(AQ192="1",BI192,0)</f>
        <v>0</v>
      </c>
      <c r="AD192" s="52">
        <f>IF(AQ192="7",BH192,0)</f>
        <v>0</v>
      </c>
      <c r="AE192" s="52">
        <f>IF(AQ192="7",BI192,0)</f>
        <v>0</v>
      </c>
      <c r="AF192" s="52">
        <f>IF(AQ192="2",BH192,0)</f>
        <v>0</v>
      </c>
      <c r="AG192" s="52">
        <f>IF(AQ192="2",BI192,0)</f>
        <v>0</v>
      </c>
      <c r="AH192" s="52">
        <f>IF(AQ192="0",BJ192,0)</f>
        <v>0</v>
      </c>
      <c r="AI192" s="48"/>
      <c r="AJ192" s="40">
        <f>IF(AN192=0,K192,0)</f>
        <v>0</v>
      </c>
      <c r="AK192" s="40">
        <f>IF(AN192=15,K192,0)</f>
        <v>0</v>
      </c>
      <c r="AL192" s="40">
        <f>IF(AN192=21,K192,0)</f>
        <v>0</v>
      </c>
      <c r="AN192" s="52">
        <v>21</v>
      </c>
      <c r="AO192" s="52">
        <f>H192*0.196724470134875</f>
        <v>0</v>
      </c>
      <c r="AP192" s="52">
        <f>H192*(1-0.196724470134875)</f>
        <v>0</v>
      </c>
      <c r="AQ192" s="53" t="s">
        <v>74</v>
      </c>
      <c r="AV192" s="52">
        <f>AW192+AX192</f>
        <v>0</v>
      </c>
      <c r="AW192" s="52">
        <f>G192*AO192</f>
        <v>0</v>
      </c>
      <c r="AX192" s="52">
        <f>G192*AP192</f>
        <v>0</v>
      </c>
      <c r="AY192" s="55" t="s">
        <v>575</v>
      </c>
      <c r="AZ192" s="55" t="s">
        <v>589</v>
      </c>
      <c r="BA192" s="48" t="s">
        <v>590</v>
      </c>
      <c r="BC192" s="52">
        <f>AW192+AX192</f>
        <v>0</v>
      </c>
      <c r="BD192" s="52">
        <f>H192/(100-BE192)*100</f>
        <v>0</v>
      </c>
      <c r="BE192" s="52">
        <v>0</v>
      </c>
      <c r="BF192" s="52">
        <f>M192</f>
        <v>0.156</v>
      </c>
      <c r="BH192" s="40">
        <f>G192*AO192</f>
        <v>0</v>
      </c>
      <c r="BI192" s="40">
        <f>G192*AP192</f>
        <v>0</v>
      </c>
      <c r="BJ192" s="40">
        <f>G192*H192</f>
        <v>0</v>
      </c>
      <c r="BK192" s="40" t="s">
        <v>595</v>
      </c>
      <c r="BL192" s="52">
        <v>96</v>
      </c>
    </row>
    <row r="193" spans="1:64" ht="12.75">
      <c r="A193" s="66" t="s">
        <v>182</v>
      </c>
      <c r="B193" s="17"/>
      <c r="C193" s="17" t="s">
        <v>242</v>
      </c>
      <c r="D193" s="112" t="s">
        <v>502</v>
      </c>
      <c r="E193" s="147"/>
      <c r="F193" s="17" t="s">
        <v>525</v>
      </c>
      <c r="G193" s="52">
        <v>1</v>
      </c>
      <c r="H193" s="173"/>
      <c r="I193" s="52">
        <f>G193*AO193</f>
        <v>0</v>
      </c>
      <c r="J193" s="52">
        <f>G193*AP193</f>
        <v>0</v>
      </c>
      <c r="K193" s="52">
        <f>G193*H193</f>
        <v>0</v>
      </c>
      <c r="L193" s="52">
        <v>0</v>
      </c>
      <c r="M193" s="52">
        <f>G193*L193</f>
        <v>0</v>
      </c>
      <c r="N193" s="67" t="s">
        <v>242</v>
      </c>
      <c r="O193" s="18"/>
      <c r="Z193" s="52">
        <f>IF(AQ193="5",BJ193,0)</f>
        <v>0</v>
      </c>
      <c r="AB193" s="52">
        <f>IF(AQ193="1",BH193,0)</f>
        <v>0</v>
      </c>
      <c r="AC193" s="52">
        <f>IF(AQ193="1",BI193,0)</f>
        <v>0</v>
      </c>
      <c r="AD193" s="52">
        <f>IF(AQ193="7",BH193,0)</f>
        <v>0</v>
      </c>
      <c r="AE193" s="52">
        <f>IF(AQ193="7",BI193,0)</f>
        <v>0</v>
      </c>
      <c r="AF193" s="52">
        <f>IF(AQ193="2",BH193,0)</f>
        <v>0</v>
      </c>
      <c r="AG193" s="52">
        <f>IF(AQ193="2",BI193,0)</f>
        <v>0</v>
      </c>
      <c r="AH193" s="52">
        <f>IF(AQ193="0",BJ193,0)</f>
        <v>0</v>
      </c>
      <c r="AI193" s="48"/>
      <c r="AJ193" s="40">
        <f>IF(AN193=0,K193,0)</f>
        <v>0</v>
      </c>
      <c r="AK193" s="40">
        <f>IF(AN193=15,K193,0)</f>
        <v>0</v>
      </c>
      <c r="AL193" s="40">
        <f>IF(AN193=21,K193,0)</f>
        <v>0</v>
      </c>
      <c r="AN193" s="52">
        <v>21</v>
      </c>
      <c r="AO193" s="52">
        <f>H193*0</f>
        <v>0</v>
      </c>
      <c r="AP193" s="52">
        <f>H193*(1-0)</f>
        <v>0</v>
      </c>
      <c r="AQ193" s="53" t="s">
        <v>74</v>
      </c>
      <c r="AV193" s="52">
        <f>AW193+AX193</f>
        <v>0</v>
      </c>
      <c r="AW193" s="52">
        <f>G193*AO193</f>
        <v>0</v>
      </c>
      <c r="AX193" s="52">
        <f>G193*AP193</f>
        <v>0</v>
      </c>
      <c r="AY193" s="55" t="s">
        <v>575</v>
      </c>
      <c r="AZ193" s="55" t="s">
        <v>589</v>
      </c>
      <c r="BA193" s="48" t="s">
        <v>590</v>
      </c>
      <c r="BC193" s="52">
        <f>AW193+AX193</f>
        <v>0</v>
      </c>
      <c r="BD193" s="52">
        <f>H193/(100-BE193)*100</f>
        <v>0</v>
      </c>
      <c r="BE193" s="52">
        <v>0</v>
      </c>
      <c r="BF193" s="52">
        <f>M193</f>
        <v>0</v>
      </c>
      <c r="BH193" s="40">
        <f>G193*AO193</f>
        <v>0</v>
      </c>
      <c r="BI193" s="40">
        <f>G193*AP193</f>
        <v>0</v>
      </c>
      <c r="BJ193" s="40">
        <f>G193*H193</f>
        <v>0</v>
      </c>
      <c r="BK193" s="40" t="s">
        <v>595</v>
      </c>
      <c r="BL193" s="52">
        <v>96</v>
      </c>
    </row>
    <row r="194" spans="1:47" ht="12.75">
      <c r="A194" s="60"/>
      <c r="B194" s="61"/>
      <c r="C194" s="61" t="s">
        <v>170</v>
      </c>
      <c r="D194" s="151" t="s">
        <v>503</v>
      </c>
      <c r="E194" s="152"/>
      <c r="F194" s="62" t="s">
        <v>73</v>
      </c>
      <c r="G194" s="62" t="s">
        <v>73</v>
      </c>
      <c r="H194" s="62" t="s">
        <v>73</v>
      </c>
      <c r="I194" s="63">
        <f>SUM(I195:I195)</f>
        <v>0</v>
      </c>
      <c r="J194" s="63">
        <f>SUM(J195:J195)</f>
        <v>0</v>
      </c>
      <c r="K194" s="63">
        <f>SUM(K195:K195)</f>
        <v>0</v>
      </c>
      <c r="L194" s="64"/>
      <c r="M194" s="63">
        <f>SUM(M195:M195)</f>
        <v>0</v>
      </c>
      <c r="N194" s="65"/>
      <c r="O194" s="18"/>
      <c r="AI194" s="48"/>
      <c r="AS194" s="58">
        <f>SUM(AJ195:AJ195)</f>
        <v>0</v>
      </c>
      <c r="AT194" s="58">
        <f>SUM(AK195:AK195)</f>
        <v>0</v>
      </c>
      <c r="AU194" s="58">
        <f>SUM(AL195:AL195)</f>
        <v>0</v>
      </c>
    </row>
    <row r="195" spans="1:64" ht="12.75">
      <c r="A195" s="66" t="s">
        <v>183</v>
      </c>
      <c r="B195" s="17"/>
      <c r="C195" s="17" t="s">
        <v>308</v>
      </c>
      <c r="D195" s="112" t="s">
        <v>504</v>
      </c>
      <c r="E195" s="147"/>
      <c r="F195" s="17" t="s">
        <v>520</v>
      </c>
      <c r="G195" s="52">
        <v>0</v>
      </c>
      <c r="H195" s="173"/>
      <c r="I195" s="52">
        <f>G195*AO195</f>
        <v>0</v>
      </c>
      <c r="J195" s="52">
        <f>G195*AP195</f>
        <v>0</v>
      </c>
      <c r="K195" s="52">
        <f>G195*H195</f>
        <v>0</v>
      </c>
      <c r="L195" s="52">
        <v>0.00549</v>
      </c>
      <c r="M195" s="52">
        <f>G195*L195</f>
        <v>0</v>
      </c>
      <c r="N195" s="67" t="s">
        <v>545</v>
      </c>
      <c r="O195" s="18"/>
      <c r="Z195" s="52">
        <f>IF(AQ195="5",BJ195,0)</f>
        <v>0</v>
      </c>
      <c r="AB195" s="52">
        <f>IF(AQ195="1",BH195,0)</f>
        <v>0</v>
      </c>
      <c r="AC195" s="52">
        <f>IF(AQ195="1",BI195,0)</f>
        <v>0</v>
      </c>
      <c r="AD195" s="52">
        <f>IF(AQ195="7",BH195,0)</f>
        <v>0</v>
      </c>
      <c r="AE195" s="52">
        <f>IF(AQ195="7",BI195,0)</f>
        <v>0</v>
      </c>
      <c r="AF195" s="52">
        <f>IF(AQ195="2",BH195,0)</f>
        <v>0</v>
      </c>
      <c r="AG195" s="52">
        <f>IF(AQ195="2",BI195,0)</f>
        <v>0</v>
      </c>
      <c r="AH195" s="52">
        <f>IF(AQ195="0",BJ195,0)</f>
        <v>0</v>
      </c>
      <c r="AI195" s="48"/>
      <c r="AJ195" s="40">
        <f>IF(AN195=0,K195,0)</f>
        <v>0</v>
      </c>
      <c r="AK195" s="40">
        <f>IF(AN195=15,K195,0)</f>
        <v>0</v>
      </c>
      <c r="AL195" s="40">
        <f>IF(AN195=21,K195,0)</f>
        <v>0</v>
      </c>
      <c r="AN195" s="52">
        <v>21</v>
      </c>
      <c r="AO195" s="52">
        <f>H195*0</f>
        <v>0</v>
      </c>
      <c r="AP195" s="52">
        <f>H195*(1-0)</f>
        <v>0</v>
      </c>
      <c r="AQ195" s="53" t="s">
        <v>74</v>
      </c>
      <c r="AV195" s="52">
        <f>AW195+AX195</f>
        <v>0</v>
      </c>
      <c r="AW195" s="52">
        <f>G195*AO195</f>
        <v>0</v>
      </c>
      <c r="AX195" s="52">
        <f>G195*AP195</f>
        <v>0</v>
      </c>
      <c r="AY195" s="55" t="s">
        <v>576</v>
      </c>
      <c r="AZ195" s="55" t="s">
        <v>589</v>
      </c>
      <c r="BA195" s="48" t="s">
        <v>590</v>
      </c>
      <c r="BC195" s="52">
        <f>AW195+AX195</f>
        <v>0</v>
      </c>
      <c r="BD195" s="52">
        <f>H195/(100-BE195)*100</f>
        <v>0</v>
      </c>
      <c r="BE195" s="52">
        <v>0</v>
      </c>
      <c r="BF195" s="52">
        <f>M195</f>
        <v>0</v>
      </c>
      <c r="BH195" s="40">
        <f>G195*AO195</f>
        <v>0</v>
      </c>
      <c r="BI195" s="40">
        <f>G195*AP195</f>
        <v>0</v>
      </c>
      <c r="BJ195" s="40">
        <f>G195*H195</f>
        <v>0</v>
      </c>
      <c r="BK195" s="40" t="s">
        <v>595</v>
      </c>
      <c r="BL195" s="52">
        <v>97</v>
      </c>
    </row>
    <row r="196" spans="1:47" ht="12.75">
      <c r="A196" s="60"/>
      <c r="B196" s="61"/>
      <c r="C196" s="61" t="s">
        <v>309</v>
      </c>
      <c r="D196" s="151" t="s">
        <v>505</v>
      </c>
      <c r="E196" s="152"/>
      <c r="F196" s="62" t="s">
        <v>73</v>
      </c>
      <c r="G196" s="62" t="s">
        <v>73</v>
      </c>
      <c r="H196" s="62" t="s">
        <v>73</v>
      </c>
      <c r="I196" s="63">
        <f>SUM(I197:I197)</f>
        <v>0</v>
      </c>
      <c r="J196" s="63">
        <f>SUM(J197:J197)</f>
        <v>0</v>
      </c>
      <c r="K196" s="63">
        <f>SUM(K197:K197)</f>
        <v>0</v>
      </c>
      <c r="L196" s="64"/>
      <c r="M196" s="63">
        <f>SUM(M197:M197)</f>
        <v>0</v>
      </c>
      <c r="N196" s="65"/>
      <c r="O196" s="18"/>
      <c r="AI196" s="48"/>
      <c r="AS196" s="58">
        <f>SUM(AJ197:AJ197)</f>
        <v>0</v>
      </c>
      <c r="AT196" s="58">
        <f>SUM(AK197:AK197)</f>
        <v>0</v>
      </c>
      <c r="AU196" s="58">
        <f>SUM(AL197:AL197)</f>
        <v>0</v>
      </c>
    </row>
    <row r="197" spans="1:64" ht="12.75">
      <c r="A197" s="66" t="s">
        <v>184</v>
      </c>
      <c r="B197" s="17"/>
      <c r="C197" s="17" t="s">
        <v>310</v>
      </c>
      <c r="D197" s="112" t="s">
        <v>506</v>
      </c>
      <c r="E197" s="147"/>
      <c r="F197" s="17" t="s">
        <v>523</v>
      </c>
      <c r="G197" s="52">
        <v>9.655</v>
      </c>
      <c r="H197" s="173"/>
      <c r="I197" s="52">
        <f>G197*AO197</f>
        <v>0</v>
      </c>
      <c r="J197" s="52">
        <f>G197*AP197</f>
        <v>0</v>
      </c>
      <c r="K197" s="52">
        <f>G197*H197</f>
        <v>0</v>
      </c>
      <c r="L197" s="52">
        <v>0</v>
      </c>
      <c r="M197" s="52">
        <f>G197*L197</f>
        <v>0</v>
      </c>
      <c r="N197" s="67" t="s">
        <v>545</v>
      </c>
      <c r="O197" s="18"/>
      <c r="Z197" s="52">
        <f>IF(AQ197="5",BJ197,0)</f>
        <v>0</v>
      </c>
      <c r="AB197" s="52">
        <f>IF(AQ197="1",BH197,0)</f>
        <v>0</v>
      </c>
      <c r="AC197" s="52">
        <f>IF(AQ197="1",BI197,0)</f>
        <v>0</v>
      </c>
      <c r="AD197" s="52">
        <f>IF(AQ197="7",BH197,0)</f>
        <v>0</v>
      </c>
      <c r="AE197" s="52">
        <f>IF(AQ197="7",BI197,0)</f>
        <v>0</v>
      </c>
      <c r="AF197" s="52">
        <f>IF(AQ197="2",BH197,0)</f>
        <v>0</v>
      </c>
      <c r="AG197" s="52">
        <f>IF(AQ197="2",BI197,0)</f>
        <v>0</v>
      </c>
      <c r="AH197" s="52">
        <f>IF(AQ197="0",BJ197,0)</f>
        <v>0</v>
      </c>
      <c r="AI197" s="48"/>
      <c r="AJ197" s="40">
        <f>IF(AN197=0,K197,0)</f>
        <v>0</v>
      </c>
      <c r="AK197" s="40">
        <f>IF(AN197=15,K197,0)</f>
        <v>0</v>
      </c>
      <c r="AL197" s="40">
        <f>IF(AN197=21,K197,0)</f>
        <v>0</v>
      </c>
      <c r="AN197" s="52">
        <v>21</v>
      </c>
      <c r="AO197" s="52">
        <f>H197*0</f>
        <v>0</v>
      </c>
      <c r="AP197" s="52">
        <f>H197*(1-0)</f>
        <v>0</v>
      </c>
      <c r="AQ197" s="53" t="s">
        <v>78</v>
      </c>
      <c r="AV197" s="52">
        <f>AW197+AX197</f>
        <v>0</v>
      </c>
      <c r="AW197" s="52">
        <f>G197*AO197</f>
        <v>0</v>
      </c>
      <c r="AX197" s="52">
        <f>G197*AP197</f>
        <v>0</v>
      </c>
      <c r="AY197" s="55" t="s">
        <v>577</v>
      </c>
      <c r="AZ197" s="55" t="s">
        <v>589</v>
      </c>
      <c r="BA197" s="48" t="s">
        <v>590</v>
      </c>
      <c r="BC197" s="52">
        <f>AW197+AX197</f>
        <v>0</v>
      </c>
      <c r="BD197" s="52">
        <f>H197/(100-BE197)*100</f>
        <v>0</v>
      </c>
      <c r="BE197" s="52">
        <v>0</v>
      </c>
      <c r="BF197" s="52">
        <f>M197</f>
        <v>0</v>
      </c>
      <c r="BH197" s="40">
        <f>G197*AO197</f>
        <v>0</v>
      </c>
      <c r="BI197" s="40">
        <f>G197*AP197</f>
        <v>0</v>
      </c>
      <c r="BJ197" s="40">
        <f>G197*H197</f>
        <v>0</v>
      </c>
      <c r="BK197" s="40" t="s">
        <v>595</v>
      </c>
      <c r="BL197" s="52" t="s">
        <v>309</v>
      </c>
    </row>
    <row r="198" spans="1:47" ht="12.75">
      <c r="A198" s="60"/>
      <c r="B198" s="61"/>
      <c r="C198" s="61" t="s">
        <v>311</v>
      </c>
      <c r="D198" s="151" t="s">
        <v>507</v>
      </c>
      <c r="E198" s="152"/>
      <c r="F198" s="62" t="s">
        <v>73</v>
      </c>
      <c r="G198" s="62" t="s">
        <v>73</v>
      </c>
      <c r="H198" s="62" t="s">
        <v>73</v>
      </c>
      <c r="I198" s="63">
        <f>SUM(I199:I199)</f>
        <v>0</v>
      </c>
      <c r="J198" s="63">
        <f>SUM(J199:J199)</f>
        <v>0</v>
      </c>
      <c r="K198" s="63">
        <f>SUM(K199:K199)</f>
        <v>0</v>
      </c>
      <c r="L198" s="64"/>
      <c r="M198" s="63">
        <f>SUM(M199:M199)</f>
        <v>0</v>
      </c>
      <c r="N198" s="65"/>
      <c r="O198" s="18"/>
      <c r="AI198" s="48"/>
      <c r="AS198" s="58">
        <f>SUM(AJ199:AJ199)</f>
        <v>0</v>
      </c>
      <c r="AT198" s="58">
        <f>SUM(AK199:AK199)</f>
        <v>0</v>
      </c>
      <c r="AU198" s="58">
        <f>SUM(AL199:AL199)</f>
        <v>0</v>
      </c>
    </row>
    <row r="199" spans="1:64" ht="12.75">
      <c r="A199" s="66" t="s">
        <v>185</v>
      </c>
      <c r="B199" s="17"/>
      <c r="C199" s="17" t="s">
        <v>242</v>
      </c>
      <c r="D199" s="112" t="s">
        <v>508</v>
      </c>
      <c r="E199" s="147"/>
      <c r="F199" s="17" t="s">
        <v>521</v>
      </c>
      <c r="G199" s="52">
        <v>1</v>
      </c>
      <c r="H199" s="173"/>
      <c r="I199" s="52">
        <f>G199*AO199</f>
        <v>0</v>
      </c>
      <c r="J199" s="52">
        <f>G199*AP199</f>
        <v>0</v>
      </c>
      <c r="K199" s="52">
        <f>G199*H199</f>
        <v>0</v>
      </c>
      <c r="L199" s="52">
        <v>0</v>
      </c>
      <c r="M199" s="52">
        <f>G199*L199</f>
        <v>0</v>
      </c>
      <c r="N199" s="67" t="s">
        <v>242</v>
      </c>
      <c r="O199" s="18"/>
      <c r="Z199" s="52">
        <f>IF(AQ199="5",BJ199,0)</f>
        <v>0</v>
      </c>
      <c r="AB199" s="52">
        <f>IF(AQ199="1",BH199,0)</f>
        <v>0</v>
      </c>
      <c r="AC199" s="52">
        <f>IF(AQ199="1",BI199,0)</f>
        <v>0</v>
      </c>
      <c r="AD199" s="52">
        <f>IF(AQ199="7",BH199,0)</f>
        <v>0</v>
      </c>
      <c r="AE199" s="52">
        <f>IF(AQ199="7",BI199,0)</f>
        <v>0</v>
      </c>
      <c r="AF199" s="52">
        <f>IF(AQ199="2",BH199,0)</f>
        <v>0</v>
      </c>
      <c r="AG199" s="52">
        <f>IF(AQ199="2",BI199,0)</f>
        <v>0</v>
      </c>
      <c r="AH199" s="52">
        <f>IF(AQ199="0",BJ199,0)</f>
        <v>0</v>
      </c>
      <c r="AI199" s="48"/>
      <c r="AJ199" s="40">
        <f>IF(AN199=0,K199,0)</f>
        <v>0</v>
      </c>
      <c r="AK199" s="40">
        <f>IF(AN199=15,K199,0)</f>
        <v>0</v>
      </c>
      <c r="AL199" s="40">
        <f>IF(AN199=21,K199,0)</f>
        <v>0</v>
      </c>
      <c r="AN199" s="52">
        <v>21</v>
      </c>
      <c r="AO199" s="52">
        <f>H199*0</f>
        <v>0</v>
      </c>
      <c r="AP199" s="52">
        <f>H199*(1-0)</f>
        <v>0</v>
      </c>
      <c r="AQ199" s="53" t="s">
        <v>75</v>
      </c>
      <c r="AV199" s="52">
        <f>AW199+AX199</f>
        <v>0</v>
      </c>
      <c r="AW199" s="52">
        <f>G199*AO199</f>
        <v>0</v>
      </c>
      <c r="AX199" s="52">
        <f>G199*AP199</f>
        <v>0</v>
      </c>
      <c r="AY199" s="55" t="s">
        <v>578</v>
      </c>
      <c r="AZ199" s="55" t="s">
        <v>589</v>
      </c>
      <c r="BA199" s="48" t="s">
        <v>590</v>
      </c>
      <c r="BC199" s="52">
        <f>AW199+AX199</f>
        <v>0</v>
      </c>
      <c r="BD199" s="52">
        <f>H199/(100-BE199)*100</f>
        <v>0</v>
      </c>
      <c r="BE199" s="52">
        <v>0</v>
      </c>
      <c r="BF199" s="52">
        <f>M199</f>
        <v>0</v>
      </c>
      <c r="BH199" s="40">
        <f>G199*AO199</f>
        <v>0</v>
      </c>
      <c r="BI199" s="40">
        <f>G199*AP199</f>
        <v>0</v>
      </c>
      <c r="BJ199" s="40">
        <f>G199*H199</f>
        <v>0</v>
      </c>
      <c r="BK199" s="40" t="s">
        <v>595</v>
      </c>
      <c r="BL199" s="52" t="s">
        <v>311</v>
      </c>
    </row>
    <row r="200" spans="1:47" ht="12.75">
      <c r="A200" s="60"/>
      <c r="B200" s="61"/>
      <c r="C200" s="61" t="s">
        <v>312</v>
      </c>
      <c r="D200" s="151" t="s">
        <v>509</v>
      </c>
      <c r="E200" s="152"/>
      <c r="F200" s="62" t="s">
        <v>73</v>
      </c>
      <c r="G200" s="62" t="s">
        <v>73</v>
      </c>
      <c r="H200" s="62" t="s">
        <v>73</v>
      </c>
      <c r="I200" s="63">
        <f>SUM(I201:I206)</f>
        <v>0</v>
      </c>
      <c r="J200" s="63">
        <f>SUM(J201:J206)</f>
        <v>0</v>
      </c>
      <c r="K200" s="63">
        <f>SUM(K201:K206)</f>
        <v>0</v>
      </c>
      <c r="L200" s="64"/>
      <c r="M200" s="63">
        <f>SUM(M201:M206)</f>
        <v>0</v>
      </c>
      <c r="N200" s="65"/>
      <c r="O200" s="18"/>
      <c r="AI200" s="48"/>
      <c r="AS200" s="58">
        <f>SUM(AJ201:AJ206)</f>
        <v>0</v>
      </c>
      <c r="AT200" s="58">
        <f>SUM(AK201:AK206)</f>
        <v>0</v>
      </c>
      <c r="AU200" s="58">
        <f>SUM(AL201:AL206)</f>
        <v>0</v>
      </c>
    </row>
    <row r="201" spans="1:64" ht="12.75">
      <c r="A201" s="66" t="s">
        <v>186</v>
      </c>
      <c r="B201" s="17"/>
      <c r="C201" s="17" t="s">
        <v>313</v>
      </c>
      <c r="D201" s="112" t="s">
        <v>510</v>
      </c>
      <c r="E201" s="147"/>
      <c r="F201" s="17" t="s">
        <v>523</v>
      </c>
      <c r="G201" s="52">
        <v>13.56</v>
      </c>
      <c r="H201" s="173"/>
      <c r="I201" s="52">
        <f>G201*AO201</f>
        <v>0</v>
      </c>
      <c r="J201" s="52">
        <f>G201*AP201</f>
        <v>0</v>
      </c>
      <c r="K201" s="52">
        <f>G201*H201</f>
        <v>0</v>
      </c>
      <c r="L201" s="52">
        <v>0</v>
      </c>
      <c r="M201" s="52">
        <f>G201*L201</f>
        <v>0</v>
      </c>
      <c r="N201" s="67" t="s">
        <v>545</v>
      </c>
      <c r="O201" s="18"/>
      <c r="Z201" s="52">
        <f>IF(AQ201="5",BJ201,0)</f>
        <v>0</v>
      </c>
      <c r="AB201" s="52">
        <f>IF(AQ201="1",BH201,0)</f>
        <v>0</v>
      </c>
      <c r="AC201" s="52">
        <f>IF(AQ201="1",BI201,0)</f>
        <v>0</v>
      </c>
      <c r="AD201" s="52">
        <f>IF(AQ201="7",BH201,0)</f>
        <v>0</v>
      </c>
      <c r="AE201" s="52">
        <f>IF(AQ201="7",BI201,0)</f>
        <v>0</v>
      </c>
      <c r="AF201" s="52">
        <f>IF(AQ201="2",BH201,0)</f>
        <v>0</v>
      </c>
      <c r="AG201" s="52">
        <f>IF(AQ201="2",BI201,0)</f>
        <v>0</v>
      </c>
      <c r="AH201" s="52">
        <f>IF(AQ201="0",BJ201,0)</f>
        <v>0</v>
      </c>
      <c r="AI201" s="48"/>
      <c r="AJ201" s="40">
        <f>IF(AN201=0,K201,0)</f>
        <v>0</v>
      </c>
      <c r="AK201" s="40">
        <f>IF(AN201=15,K201,0)</f>
        <v>0</v>
      </c>
      <c r="AL201" s="40">
        <f>IF(AN201=21,K201,0)</f>
        <v>0</v>
      </c>
      <c r="AN201" s="52">
        <v>21</v>
      </c>
      <c r="AO201" s="52">
        <f>H201*0</f>
        <v>0</v>
      </c>
      <c r="AP201" s="52">
        <f>H201*(1-0)</f>
        <v>0</v>
      </c>
      <c r="AQ201" s="53" t="s">
        <v>78</v>
      </c>
      <c r="AV201" s="52">
        <f>AW201+AX201</f>
        <v>0</v>
      </c>
      <c r="AW201" s="52">
        <f>G201*AO201</f>
        <v>0</v>
      </c>
      <c r="AX201" s="52">
        <f>G201*AP201</f>
        <v>0</v>
      </c>
      <c r="AY201" s="55" t="s">
        <v>579</v>
      </c>
      <c r="AZ201" s="55" t="s">
        <v>589</v>
      </c>
      <c r="BA201" s="48" t="s">
        <v>590</v>
      </c>
      <c r="BC201" s="52">
        <f>AW201+AX201</f>
        <v>0</v>
      </c>
      <c r="BD201" s="52">
        <f>H201/(100-BE201)*100</f>
        <v>0</v>
      </c>
      <c r="BE201" s="52">
        <v>0</v>
      </c>
      <c r="BF201" s="52">
        <f>M201</f>
        <v>0</v>
      </c>
      <c r="BH201" s="40">
        <f>G201*AO201</f>
        <v>0</v>
      </c>
      <c r="BI201" s="40">
        <f>G201*AP201</f>
        <v>0</v>
      </c>
      <c r="BJ201" s="40">
        <f>G201*H201</f>
        <v>0</v>
      </c>
      <c r="BK201" s="40" t="s">
        <v>595</v>
      </c>
      <c r="BL201" s="52" t="s">
        <v>312</v>
      </c>
    </row>
    <row r="202" spans="1:64" ht="12.75">
      <c r="A202" s="66" t="s">
        <v>187</v>
      </c>
      <c r="B202" s="17"/>
      <c r="C202" s="17" t="s">
        <v>314</v>
      </c>
      <c r="D202" s="112" t="s">
        <v>511</v>
      </c>
      <c r="E202" s="147"/>
      <c r="F202" s="17" t="s">
        <v>523</v>
      </c>
      <c r="G202" s="52">
        <v>13.56</v>
      </c>
      <c r="H202" s="173"/>
      <c r="I202" s="52">
        <f>G202*AO202</f>
        <v>0</v>
      </c>
      <c r="J202" s="52">
        <f>G202*AP202</f>
        <v>0</v>
      </c>
      <c r="K202" s="52">
        <f>G202*H202</f>
        <v>0</v>
      </c>
      <c r="L202" s="52">
        <v>0</v>
      </c>
      <c r="M202" s="52">
        <f>G202*L202</f>
        <v>0</v>
      </c>
      <c r="N202" s="67" t="s">
        <v>545</v>
      </c>
      <c r="O202" s="18"/>
      <c r="Z202" s="52">
        <f>IF(AQ202="5",BJ202,0)</f>
        <v>0</v>
      </c>
      <c r="AB202" s="52">
        <f>IF(AQ202="1",BH202,0)</f>
        <v>0</v>
      </c>
      <c r="AC202" s="52">
        <f>IF(AQ202="1",BI202,0)</f>
        <v>0</v>
      </c>
      <c r="AD202" s="52">
        <f>IF(AQ202="7",BH202,0)</f>
        <v>0</v>
      </c>
      <c r="AE202" s="52">
        <f>IF(AQ202="7",BI202,0)</f>
        <v>0</v>
      </c>
      <c r="AF202" s="52">
        <f>IF(AQ202="2",BH202,0)</f>
        <v>0</v>
      </c>
      <c r="AG202" s="52">
        <f>IF(AQ202="2",BI202,0)</f>
        <v>0</v>
      </c>
      <c r="AH202" s="52">
        <f>IF(AQ202="0",BJ202,0)</f>
        <v>0</v>
      </c>
      <c r="AI202" s="48"/>
      <c r="AJ202" s="40">
        <f>IF(AN202=0,K202,0)</f>
        <v>0</v>
      </c>
      <c r="AK202" s="40">
        <f>IF(AN202=15,K202,0)</f>
        <v>0</v>
      </c>
      <c r="AL202" s="40">
        <f>IF(AN202=21,K202,0)</f>
        <v>0</v>
      </c>
      <c r="AN202" s="52">
        <v>21</v>
      </c>
      <c r="AO202" s="52">
        <f>H202*0</f>
        <v>0</v>
      </c>
      <c r="AP202" s="52">
        <f>H202*(1-0)</f>
        <v>0</v>
      </c>
      <c r="AQ202" s="53" t="s">
        <v>78</v>
      </c>
      <c r="AV202" s="52">
        <f>AW202+AX202</f>
        <v>0</v>
      </c>
      <c r="AW202" s="52">
        <f>G202*AO202</f>
        <v>0</v>
      </c>
      <c r="AX202" s="52">
        <f>G202*AP202</f>
        <v>0</v>
      </c>
      <c r="AY202" s="55" t="s">
        <v>579</v>
      </c>
      <c r="AZ202" s="55" t="s">
        <v>589</v>
      </c>
      <c r="BA202" s="48" t="s">
        <v>590</v>
      </c>
      <c r="BC202" s="52">
        <f>AW202+AX202</f>
        <v>0</v>
      </c>
      <c r="BD202" s="52">
        <f>H202/(100-BE202)*100</f>
        <v>0</v>
      </c>
      <c r="BE202" s="52">
        <v>0</v>
      </c>
      <c r="BF202" s="52">
        <f>M202</f>
        <v>0</v>
      </c>
      <c r="BH202" s="40">
        <f>G202*AO202</f>
        <v>0</v>
      </c>
      <c r="BI202" s="40">
        <f>G202*AP202</f>
        <v>0</v>
      </c>
      <c r="BJ202" s="40">
        <f>G202*H202</f>
        <v>0</v>
      </c>
      <c r="BK202" s="40" t="s">
        <v>595</v>
      </c>
      <c r="BL202" s="52" t="s">
        <v>312</v>
      </c>
    </row>
    <row r="203" spans="1:64" ht="12.75">
      <c r="A203" s="66" t="s">
        <v>188</v>
      </c>
      <c r="B203" s="17"/>
      <c r="C203" s="17" t="s">
        <v>315</v>
      </c>
      <c r="D203" s="112" t="s">
        <v>512</v>
      </c>
      <c r="E203" s="147"/>
      <c r="F203" s="17" t="s">
        <v>523</v>
      </c>
      <c r="G203" s="52">
        <v>13.56</v>
      </c>
      <c r="H203" s="173"/>
      <c r="I203" s="52">
        <f>G203*AO203</f>
        <v>0</v>
      </c>
      <c r="J203" s="52">
        <f>G203*AP203</f>
        <v>0</v>
      </c>
      <c r="K203" s="52">
        <f>G203*H203</f>
        <v>0</v>
      </c>
      <c r="L203" s="52">
        <v>0</v>
      </c>
      <c r="M203" s="52">
        <f>G203*L203</f>
        <v>0</v>
      </c>
      <c r="N203" s="67" t="s">
        <v>545</v>
      </c>
      <c r="O203" s="18"/>
      <c r="Z203" s="52">
        <f>IF(AQ203="5",BJ203,0)</f>
        <v>0</v>
      </c>
      <c r="AB203" s="52">
        <f>IF(AQ203="1",BH203,0)</f>
        <v>0</v>
      </c>
      <c r="AC203" s="52">
        <f>IF(AQ203="1",BI203,0)</f>
        <v>0</v>
      </c>
      <c r="AD203" s="52">
        <f>IF(AQ203="7",BH203,0)</f>
        <v>0</v>
      </c>
      <c r="AE203" s="52">
        <f>IF(AQ203="7",BI203,0)</f>
        <v>0</v>
      </c>
      <c r="AF203" s="52">
        <f>IF(AQ203="2",BH203,0)</f>
        <v>0</v>
      </c>
      <c r="AG203" s="52">
        <f>IF(AQ203="2",BI203,0)</f>
        <v>0</v>
      </c>
      <c r="AH203" s="52">
        <f>IF(AQ203="0",BJ203,0)</f>
        <v>0</v>
      </c>
      <c r="AI203" s="48"/>
      <c r="AJ203" s="40">
        <f>IF(AN203=0,K203,0)</f>
        <v>0</v>
      </c>
      <c r="AK203" s="40">
        <f>IF(AN203=15,K203,0)</f>
        <v>0</v>
      </c>
      <c r="AL203" s="40">
        <f>IF(AN203=21,K203,0)</f>
        <v>0</v>
      </c>
      <c r="AN203" s="52">
        <v>21</v>
      </c>
      <c r="AO203" s="52">
        <f>H203*0</f>
        <v>0</v>
      </c>
      <c r="AP203" s="52">
        <f>H203*(1-0)</f>
        <v>0</v>
      </c>
      <c r="AQ203" s="53" t="s">
        <v>78</v>
      </c>
      <c r="AV203" s="52">
        <f>AW203+AX203</f>
        <v>0</v>
      </c>
      <c r="AW203" s="52">
        <f>G203*AO203</f>
        <v>0</v>
      </c>
      <c r="AX203" s="52">
        <f>G203*AP203</f>
        <v>0</v>
      </c>
      <c r="AY203" s="55" t="s">
        <v>579</v>
      </c>
      <c r="AZ203" s="55" t="s">
        <v>589</v>
      </c>
      <c r="BA203" s="48" t="s">
        <v>590</v>
      </c>
      <c r="BC203" s="52">
        <f>AW203+AX203</f>
        <v>0</v>
      </c>
      <c r="BD203" s="52">
        <f>H203/(100-BE203)*100</f>
        <v>0</v>
      </c>
      <c r="BE203" s="52">
        <v>0</v>
      </c>
      <c r="BF203" s="52">
        <f>M203</f>
        <v>0</v>
      </c>
      <c r="BH203" s="40">
        <f>G203*AO203</f>
        <v>0</v>
      </c>
      <c r="BI203" s="40">
        <f>G203*AP203</f>
        <v>0</v>
      </c>
      <c r="BJ203" s="40">
        <f>G203*H203</f>
        <v>0</v>
      </c>
      <c r="BK203" s="40" t="s">
        <v>595</v>
      </c>
      <c r="BL203" s="52" t="s">
        <v>312</v>
      </c>
    </row>
    <row r="204" spans="1:64" ht="12.75">
      <c r="A204" s="66" t="s">
        <v>189</v>
      </c>
      <c r="B204" s="17"/>
      <c r="C204" s="17" t="s">
        <v>316</v>
      </c>
      <c r="D204" s="112" t="s">
        <v>513</v>
      </c>
      <c r="E204" s="147"/>
      <c r="F204" s="17" t="s">
        <v>523</v>
      </c>
      <c r="G204" s="52">
        <v>203.4</v>
      </c>
      <c r="H204" s="173"/>
      <c r="I204" s="52">
        <f>G204*AO204</f>
        <v>0</v>
      </c>
      <c r="J204" s="52">
        <f>G204*AP204</f>
        <v>0</v>
      </c>
      <c r="K204" s="52">
        <f>G204*H204</f>
        <v>0</v>
      </c>
      <c r="L204" s="52">
        <v>0</v>
      </c>
      <c r="M204" s="52">
        <f>G204*L204</f>
        <v>0</v>
      </c>
      <c r="N204" s="67" t="s">
        <v>545</v>
      </c>
      <c r="O204" s="18"/>
      <c r="Z204" s="52">
        <f>IF(AQ204="5",BJ204,0)</f>
        <v>0</v>
      </c>
      <c r="AB204" s="52">
        <f>IF(AQ204="1",BH204,0)</f>
        <v>0</v>
      </c>
      <c r="AC204" s="52">
        <f>IF(AQ204="1",BI204,0)</f>
        <v>0</v>
      </c>
      <c r="AD204" s="52">
        <f>IF(AQ204="7",BH204,0)</f>
        <v>0</v>
      </c>
      <c r="AE204" s="52">
        <f>IF(AQ204="7",BI204,0)</f>
        <v>0</v>
      </c>
      <c r="AF204" s="52">
        <f>IF(AQ204="2",BH204,0)</f>
        <v>0</v>
      </c>
      <c r="AG204" s="52">
        <f>IF(AQ204="2",BI204,0)</f>
        <v>0</v>
      </c>
      <c r="AH204" s="52">
        <f>IF(AQ204="0",BJ204,0)</f>
        <v>0</v>
      </c>
      <c r="AI204" s="48"/>
      <c r="AJ204" s="40">
        <f>IF(AN204=0,K204,0)</f>
        <v>0</v>
      </c>
      <c r="AK204" s="40">
        <f>IF(AN204=15,K204,0)</f>
        <v>0</v>
      </c>
      <c r="AL204" s="40">
        <f>IF(AN204=21,K204,0)</f>
        <v>0</v>
      </c>
      <c r="AN204" s="52">
        <v>21</v>
      </c>
      <c r="AO204" s="52">
        <f>H204*0</f>
        <v>0</v>
      </c>
      <c r="AP204" s="52">
        <f>H204*(1-0)</f>
        <v>0</v>
      </c>
      <c r="AQ204" s="53" t="s">
        <v>78</v>
      </c>
      <c r="AV204" s="52">
        <f>AW204+AX204</f>
        <v>0</v>
      </c>
      <c r="AW204" s="52">
        <f>G204*AO204</f>
        <v>0</v>
      </c>
      <c r="AX204" s="52">
        <f>G204*AP204</f>
        <v>0</v>
      </c>
      <c r="AY204" s="55" t="s">
        <v>579</v>
      </c>
      <c r="AZ204" s="55" t="s">
        <v>589</v>
      </c>
      <c r="BA204" s="48" t="s">
        <v>590</v>
      </c>
      <c r="BC204" s="52">
        <f>AW204+AX204</f>
        <v>0</v>
      </c>
      <c r="BD204" s="52">
        <f>H204/(100-BE204)*100</f>
        <v>0</v>
      </c>
      <c r="BE204" s="52">
        <v>0</v>
      </c>
      <c r="BF204" s="52">
        <f>M204</f>
        <v>0</v>
      </c>
      <c r="BH204" s="40">
        <f>G204*AO204</f>
        <v>0</v>
      </c>
      <c r="BI204" s="40">
        <f>G204*AP204</f>
        <v>0</v>
      </c>
      <c r="BJ204" s="40">
        <f>G204*H204</f>
        <v>0</v>
      </c>
      <c r="BK204" s="40" t="s">
        <v>595</v>
      </c>
      <c r="BL204" s="52" t="s">
        <v>312</v>
      </c>
    </row>
    <row r="205" spans="1:15" ht="12.75">
      <c r="A205" s="18"/>
      <c r="B205" s="68"/>
      <c r="C205" s="68"/>
      <c r="D205" s="69" t="s">
        <v>514</v>
      </c>
      <c r="E205" s="69"/>
      <c r="F205" s="68"/>
      <c r="G205" s="70">
        <v>203.4</v>
      </c>
      <c r="H205" s="68"/>
      <c r="I205" s="68"/>
      <c r="J205" s="68"/>
      <c r="K205" s="68"/>
      <c r="L205" s="68"/>
      <c r="M205" s="68"/>
      <c r="N205" s="16"/>
      <c r="O205" s="18"/>
    </row>
    <row r="206" spans="1:64" ht="12.75">
      <c r="A206" s="83" t="s">
        <v>58</v>
      </c>
      <c r="B206" s="84"/>
      <c r="C206" s="84" t="s">
        <v>317</v>
      </c>
      <c r="D206" s="148" t="s">
        <v>515</v>
      </c>
      <c r="E206" s="149"/>
      <c r="F206" s="84" t="s">
        <v>523</v>
      </c>
      <c r="G206" s="85">
        <v>13.56</v>
      </c>
      <c r="H206" s="174"/>
      <c r="I206" s="85">
        <f>G206*AO206</f>
        <v>0</v>
      </c>
      <c r="J206" s="85">
        <f>G206*AP206</f>
        <v>0</v>
      </c>
      <c r="K206" s="85">
        <f>G206*H206</f>
        <v>0</v>
      </c>
      <c r="L206" s="85">
        <v>0</v>
      </c>
      <c r="M206" s="85">
        <f>G206*L206</f>
        <v>0</v>
      </c>
      <c r="N206" s="86" t="s">
        <v>545</v>
      </c>
      <c r="O206" s="18"/>
      <c r="Z206" s="52">
        <f>IF(AQ206="5",BJ206,0)</f>
        <v>0</v>
      </c>
      <c r="AB206" s="52">
        <f>IF(AQ206="1",BH206,0)</f>
        <v>0</v>
      </c>
      <c r="AC206" s="52">
        <f>IF(AQ206="1",BI206,0)</f>
        <v>0</v>
      </c>
      <c r="AD206" s="52">
        <f>IF(AQ206="7",BH206,0)</f>
        <v>0</v>
      </c>
      <c r="AE206" s="52">
        <f>IF(AQ206="7",BI206,0)</f>
        <v>0</v>
      </c>
      <c r="AF206" s="52">
        <f>IF(AQ206="2",BH206,0)</f>
        <v>0</v>
      </c>
      <c r="AG206" s="52">
        <f>IF(AQ206="2",BI206,0)</f>
        <v>0</v>
      </c>
      <c r="AH206" s="52">
        <f>IF(AQ206="0",BJ206,0)</f>
        <v>0</v>
      </c>
      <c r="AI206" s="48"/>
      <c r="AJ206" s="40">
        <f>IF(AN206=0,K206,0)</f>
        <v>0</v>
      </c>
      <c r="AK206" s="40">
        <f>IF(AN206=15,K206,0)</f>
        <v>0</v>
      </c>
      <c r="AL206" s="40">
        <f>IF(AN206=21,K206,0)</f>
        <v>0</v>
      </c>
      <c r="AN206" s="52">
        <v>21</v>
      </c>
      <c r="AO206" s="52">
        <f>H206*0</f>
        <v>0</v>
      </c>
      <c r="AP206" s="52">
        <f>H206*(1-0)</f>
        <v>0</v>
      </c>
      <c r="AQ206" s="53" t="s">
        <v>78</v>
      </c>
      <c r="AV206" s="52">
        <f>AW206+AX206</f>
        <v>0</v>
      </c>
      <c r="AW206" s="52">
        <f>G206*AO206</f>
        <v>0</v>
      </c>
      <c r="AX206" s="52">
        <f>G206*AP206</f>
        <v>0</v>
      </c>
      <c r="AY206" s="55" t="s">
        <v>579</v>
      </c>
      <c r="AZ206" s="55" t="s">
        <v>589</v>
      </c>
      <c r="BA206" s="48" t="s">
        <v>590</v>
      </c>
      <c r="BC206" s="52">
        <f>AW206+AX206</f>
        <v>0</v>
      </c>
      <c r="BD206" s="52">
        <f>H206/(100-BE206)*100</f>
        <v>0</v>
      </c>
      <c r="BE206" s="52">
        <v>0</v>
      </c>
      <c r="BF206" s="52">
        <f>M206</f>
        <v>0</v>
      </c>
      <c r="BH206" s="40">
        <f>G206*AO206</f>
        <v>0</v>
      </c>
      <c r="BI206" s="40">
        <f>G206*AP206</f>
        <v>0</v>
      </c>
      <c r="BJ206" s="40">
        <f>G206*H206</f>
        <v>0</v>
      </c>
      <c r="BK206" s="40" t="s">
        <v>595</v>
      </c>
      <c r="BL206" s="52" t="s">
        <v>312</v>
      </c>
    </row>
    <row r="207" spans="1:14" ht="12.75">
      <c r="A207" s="5"/>
      <c r="B207" s="5"/>
      <c r="C207" s="5"/>
      <c r="D207" s="5"/>
      <c r="E207" s="5"/>
      <c r="F207" s="5"/>
      <c r="G207" s="5"/>
      <c r="H207" s="5"/>
      <c r="I207" s="150" t="s">
        <v>539</v>
      </c>
      <c r="J207" s="123"/>
      <c r="K207" s="59">
        <f>K13+K17+K25+K27+K47+K50+K65+K84+K95+K122+K124+K128+K133+K142+K158+K163+K171+K173+K175+K177+K194+K196+K198+K200</f>
        <v>0</v>
      </c>
      <c r="L207" s="5"/>
      <c r="M207" s="5"/>
      <c r="N207" s="5"/>
    </row>
    <row r="208" ht="11.25" customHeight="1">
      <c r="A208" s="34" t="s">
        <v>18</v>
      </c>
    </row>
    <row r="209" spans="1:14" ht="12.75">
      <c r="A209" s="88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</row>
  </sheetData>
  <sheetProtection/>
  <mergeCells count="173">
    <mergeCell ref="A1:N1"/>
    <mergeCell ref="A2:C3"/>
    <mergeCell ref="D2:D3"/>
    <mergeCell ref="E2:F3"/>
    <mergeCell ref="G2:G3"/>
    <mergeCell ref="H2:H3"/>
    <mergeCell ref="I2:N3"/>
    <mergeCell ref="A4:C5"/>
    <mergeCell ref="D4:D5"/>
    <mergeCell ref="E4:F5"/>
    <mergeCell ref="G4:G5"/>
    <mergeCell ref="H4:H5"/>
    <mergeCell ref="I4:N5"/>
    <mergeCell ref="A6:C7"/>
    <mergeCell ref="D6:D7"/>
    <mergeCell ref="E6:F7"/>
    <mergeCell ref="G6:G7"/>
    <mergeCell ref="H6:H7"/>
    <mergeCell ref="I6:N7"/>
    <mergeCell ref="A8:C9"/>
    <mergeCell ref="D8:D9"/>
    <mergeCell ref="E8:F9"/>
    <mergeCell ref="G8:G9"/>
    <mergeCell ref="H8:H9"/>
    <mergeCell ref="I8:N9"/>
    <mergeCell ref="D10:E10"/>
    <mergeCell ref="I10:K10"/>
    <mergeCell ref="L10:M10"/>
    <mergeCell ref="D11:E11"/>
    <mergeCell ref="D12:E12"/>
    <mergeCell ref="D13:E13"/>
    <mergeCell ref="D14:E14"/>
    <mergeCell ref="D17:E17"/>
    <mergeCell ref="D18:E18"/>
    <mergeCell ref="D20:E20"/>
    <mergeCell ref="D22:E22"/>
    <mergeCell ref="D25:E25"/>
    <mergeCell ref="D26:E26"/>
    <mergeCell ref="D27:E27"/>
    <mergeCell ref="D28:E28"/>
    <mergeCell ref="D31:E31"/>
    <mergeCell ref="D36:E36"/>
    <mergeCell ref="D38:E38"/>
    <mergeCell ref="D42:E42"/>
    <mergeCell ref="D44:E44"/>
    <mergeCell ref="D45:E45"/>
    <mergeCell ref="D46:E46"/>
    <mergeCell ref="D47:E47"/>
    <mergeCell ref="D48:E48"/>
    <mergeCell ref="D50:E50"/>
    <mergeCell ref="D51:E51"/>
    <mergeCell ref="D58:E58"/>
    <mergeCell ref="D59:E59"/>
    <mergeCell ref="D62:E62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2:E132"/>
    <mergeCell ref="D133:E133"/>
    <mergeCell ref="D134:E134"/>
    <mergeCell ref="D136:E136"/>
    <mergeCell ref="D137:E137"/>
    <mergeCell ref="D138:E138"/>
    <mergeCell ref="D139:E139"/>
    <mergeCell ref="D141:E141"/>
    <mergeCell ref="D142:E142"/>
    <mergeCell ref="D143:E143"/>
    <mergeCell ref="D147:E147"/>
    <mergeCell ref="D148:E148"/>
    <mergeCell ref="D149:E149"/>
    <mergeCell ref="D150:E150"/>
    <mergeCell ref="D152:E152"/>
    <mergeCell ref="D153:E153"/>
    <mergeCell ref="D157:E157"/>
    <mergeCell ref="D158:E158"/>
    <mergeCell ref="D159:E159"/>
    <mergeCell ref="D160:E160"/>
    <mergeCell ref="D163:E163"/>
    <mergeCell ref="D164:E164"/>
    <mergeCell ref="D165:E165"/>
    <mergeCell ref="D166:E166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80:E180"/>
    <mergeCell ref="D182:E182"/>
    <mergeCell ref="D185:E185"/>
    <mergeCell ref="D186:E186"/>
    <mergeCell ref="D189:E189"/>
    <mergeCell ref="D191:E191"/>
    <mergeCell ref="D192:E192"/>
    <mergeCell ref="D193:E193"/>
    <mergeCell ref="D194:E194"/>
    <mergeCell ref="D195:E195"/>
    <mergeCell ref="D196:E196"/>
    <mergeCell ref="D197:E197"/>
    <mergeCell ref="D204:E204"/>
    <mergeCell ref="D206:E206"/>
    <mergeCell ref="I207:J207"/>
    <mergeCell ref="A209:N209"/>
    <mergeCell ref="D198:E198"/>
    <mergeCell ref="D199:E199"/>
    <mergeCell ref="D200:E200"/>
    <mergeCell ref="D201:E201"/>
    <mergeCell ref="D202:E202"/>
    <mergeCell ref="D203:E20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Milan Ing.</dc:creator>
  <cp:keywords/>
  <dc:description/>
  <cp:lastModifiedBy>Petr Milan Ing.</cp:lastModifiedBy>
  <dcterms:created xsi:type="dcterms:W3CDTF">2022-04-29T09:28:05Z</dcterms:created>
  <dcterms:modified xsi:type="dcterms:W3CDTF">2022-04-29T09:30:34Z</dcterms:modified>
  <cp:category/>
  <cp:version/>
  <cp:contentType/>
  <cp:contentStatus/>
</cp:coreProperties>
</file>