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Krycí list rozpočtu" sheetId="1" r:id="rId1"/>
    <sheet name="VORN" sheetId="2" r:id="rId2"/>
    <sheet name="Stavební rozpočet" sheetId="3" r:id="rId3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<sst xmlns="http://schemas.openxmlformats.org/spreadsheetml/2006/main" count="1823" uniqueCount="679">
  <si>
    <t>Název stavby:</t>
  </si>
  <si>
    <t>Druh stavby:</t>
  </si>
  <si>
    <t>Lokalita:</t>
  </si>
  <si>
    <t>Začátek výstavby: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</si>
  <si>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</si>
  <si>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</si>
  <si>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</si>
  <si>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</si>
  <si>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</si>
  <si>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</si>
  <si>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</si>
  <si>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</si>
  <si>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</si>
  <si>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</si>
  <si>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</si>
  <si>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</si>
  <si>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</si>
  <si>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</si>
  <si>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</si>
  <si>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</si>
  <si>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</si>
  <si>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</si>
  <si>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</si>
  <si>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</si>
  <si>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</si>
  <si>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</si>
  <si>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</si>
  <si>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</si>
  <si>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</si>
  <si>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</si>
  <si>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</si>
  <si>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</si>
  <si>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Objednatel:</t>
  </si>
  <si>
    <t>Projektant:</t>
  </si>
  <si>
    <t>Zhotovitel:</t>
  </si>
  <si>
    <t>Konec výstavby:</t>
  </si>
  <si>
    <t>Zpracoval: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</si>
  <si>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</si>
  <si>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</si>
  <si>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</si>
  <si>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</si>
  <si>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</si>
  <si>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</si>
  <si>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</si>
  <si>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</si>
  <si>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</si>
  <si>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</si>
  <si>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</si>
  <si>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</si>
  <si>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</si>
  <si>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</si>
  <si>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</si>
  <si>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IČO/DIČ:</t>
  </si>
  <si>
    <t>Položek:</t>
  </si>
  <si>
    <t>Datum:</t>
  </si>
  <si>
    <t>Náklady na umístění stavby (NUS)</t>
  </si>
  <si>
    <t>00295841/CZ00295841</t>
  </si>
  <si>
    <t>45646597/</t>
  </si>
  <si>
    <t>144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</si>
  <si>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</si>
  <si>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</si>
  <si>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</si>
  <si>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</si>
  <si>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</si>
  <si>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</si>
  <si>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</si>
  <si>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</si>
  <si>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</si>
  <si>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</si>
  <si>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</si>
  <si>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</si>
  <si>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Stavební rozpočet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</si>
  <si>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</si>
  <si>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</si>
  <si>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</si>
  <si>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</si>
  <si>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</si>
  <si>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</si>
  <si>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</si>
  <si>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</si>
  <si>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</si>
  <si>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</si>
  <si>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</si>
  <si>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</si>
  <si>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</si>
  <si>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</si>
  <si>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</si>
  <si>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</si>
  <si>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</si>
  <si>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</si>
  <si>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</si>
  <si>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</si>
  <si>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</si>
  <si>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</si>
  <si>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</si>
  <si>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</si>
  <si>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</si>
  <si>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</si>
  <si>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</si>
  <si>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</si>
  <si>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</si>
  <si>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</si>
  <si>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</si>
  <si>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</si>
  <si>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</si>
  <si>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</si>
  <si>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</si>
  <si>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</si>
  <si>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</si>
  <si>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</si>
  <si>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</si>
  <si>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</si>
  <si>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</si>
  <si>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</si>
  <si>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</si>
  <si>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</si>
  <si>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</si>
  <si>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</si>
  <si>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</si>
  <si>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</si>
  <si>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</si>
  <si>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</si>
  <si>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</si>
  <si>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</si>
  <si>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</si>
  <si>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</si>
  <si>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</si>
  <si>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</si>
  <si>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</si>
  <si>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</si>
  <si>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</si>
  <si>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</si>
  <si>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</si>
  <si>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</si>
  <si>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</si>
  <si>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</si>
  <si>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</si>
  <si>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</si>
  <si>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</si>
  <si>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</si>
  <si>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</si>
  <si>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</si>
  <si>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</si>
  <si>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</si>
  <si>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</si>
  <si>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</si>
  <si>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</si>
  <si>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</si>
  <si>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</si>
  <si>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</si>
  <si>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</si>
  <si>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</si>
  <si>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</si>
  <si>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</si>
  <si>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</si>
  <si>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</si>
  <si>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</si>
  <si>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</si>
  <si>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</si>
  <si>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</si>
  <si>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</si>
  <si>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</si>
  <si>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</si>
  <si>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</si>
  <si>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</si>
  <si>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</si>
  <si>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</si>
  <si>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</si>
  <si>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</si>
  <si>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</si>
  <si>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</si>
  <si>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</si>
  <si>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</si>
  <si>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</si>
  <si>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</si>
  <si>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</si>
  <si>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</si>
  <si>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</si>
  <si>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</si>
  <si>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</si>
  <si>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</si>
  <si>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</si>
  <si>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</si>
  <si>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</si>
  <si>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</si>
  <si>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</si>
  <si>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</si>
  <si>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</si>
  <si>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</si>
  <si>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</si>
  <si>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</si>
  <si>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</si>
  <si>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</si>
  <si>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</si>
  <si>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</si>
  <si>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</si>
  <si>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</si>
  <si>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</si>
  <si>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</si>
  <si>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</si>
  <si>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</si>
  <si>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</si>
  <si>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</si>
  <si>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</si>
  <si>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</si>
  <si>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</si>
  <si>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</si>
  <si>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</si>
  <si>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</si>
  <si>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</si>
  <si>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</si>
  <si>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</si>
  <si>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</si>
  <si>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</si>
  <si>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</si>
  <si>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</si>
  <si>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</si>
  <si>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Objekt</t>
  </si>
  <si>
    <t>Kód</t>
  </si>
  <si>
    <t>346244351RT2</t>
  </si>
  <si>
    <t>342270041RA0</t>
  </si>
  <si>
    <t>342270042RA0</t>
  </si>
  <si>
    <t>342668111R00</t>
  </si>
  <si>
    <t>611401111R00</t>
  </si>
  <si>
    <t>611403399RT2</t>
  </si>
  <si>
    <t>611481113R00</t>
  </si>
  <si>
    <t>601011193R00</t>
  </si>
  <si>
    <t>601011141RT3</t>
  </si>
  <si>
    <t>602011193R00</t>
  </si>
  <si>
    <t>612421615R00</t>
  </si>
  <si>
    <t>612481116R00</t>
  </si>
  <si>
    <t>612421637R00</t>
  </si>
  <si>
    <t>602011141RT1</t>
  </si>
  <si>
    <t>612403399R00</t>
  </si>
  <si>
    <t>612409991RT2</t>
  </si>
  <si>
    <t>620991111R00</t>
  </si>
  <si>
    <t>632451441R00</t>
  </si>
  <si>
    <t>641951111R00</t>
  </si>
  <si>
    <t>VLASTNÍ</t>
  </si>
  <si>
    <t>642942111RT2</t>
  </si>
  <si>
    <t>642942111RT4</t>
  </si>
  <si>
    <t>711</t>
  </si>
  <si>
    <t>711212012R00</t>
  </si>
  <si>
    <t>711212601RW1</t>
  </si>
  <si>
    <t>711212611RU1</t>
  </si>
  <si>
    <t>998711101R00</t>
  </si>
  <si>
    <t>721</t>
  </si>
  <si>
    <t>721140935R00</t>
  </si>
  <si>
    <t>721171803R00</t>
  </si>
  <si>
    <t>721176103R00</t>
  </si>
  <si>
    <t>721176105R00</t>
  </si>
  <si>
    <t>721176115R00</t>
  </si>
  <si>
    <t>721194105R00</t>
  </si>
  <si>
    <t>721194109R00</t>
  </si>
  <si>
    <t>230120046R00</t>
  </si>
  <si>
    <t>721290111R00</t>
  </si>
  <si>
    <t>721176212R00</t>
  </si>
  <si>
    <t>998721102R00</t>
  </si>
  <si>
    <t>722</t>
  </si>
  <si>
    <t>722130801R00</t>
  </si>
  <si>
    <t>722130913R00</t>
  </si>
  <si>
    <t>722260921R00</t>
  </si>
  <si>
    <t>722172631R00</t>
  </si>
  <si>
    <t>722220111R00</t>
  </si>
  <si>
    <t>722220121R00</t>
  </si>
  <si>
    <t>722181214RT8</t>
  </si>
  <si>
    <t>722190401R00</t>
  </si>
  <si>
    <t>722290234R00</t>
  </si>
  <si>
    <t>722280106R00</t>
  </si>
  <si>
    <t>998722102R00</t>
  </si>
  <si>
    <t>725</t>
  </si>
  <si>
    <t>725110811R00</t>
  </si>
  <si>
    <t>725210821R00</t>
  </si>
  <si>
    <t>725840850R00</t>
  </si>
  <si>
    <t>725820802R00</t>
  </si>
  <si>
    <t>725860811R00</t>
  </si>
  <si>
    <t>725220841R00</t>
  </si>
  <si>
    <t>725991811R00</t>
  </si>
  <si>
    <t>725219401R00</t>
  </si>
  <si>
    <t>725017162R00</t>
  </si>
  <si>
    <t>725860213R00</t>
  </si>
  <si>
    <t>725860107R00</t>
  </si>
  <si>
    <t>725829301R00</t>
  </si>
  <si>
    <t>725849201R00</t>
  </si>
  <si>
    <t>725860181RT1</t>
  </si>
  <si>
    <t>725860222R00</t>
  </si>
  <si>
    <t>725810402R00</t>
  </si>
  <si>
    <t>725823114RT1</t>
  </si>
  <si>
    <t>725845111R00</t>
  </si>
  <si>
    <t>725814125R00</t>
  </si>
  <si>
    <t>725119305R00</t>
  </si>
  <si>
    <t>725013161R00</t>
  </si>
  <si>
    <t>725291113R00</t>
  </si>
  <si>
    <t>55430012</t>
  </si>
  <si>
    <t>55423054.A</t>
  </si>
  <si>
    <t>55484470.A</t>
  </si>
  <si>
    <t>55484400.A</t>
  </si>
  <si>
    <t>725590812R00</t>
  </si>
  <si>
    <t>728</t>
  </si>
  <si>
    <t>998728102R00</t>
  </si>
  <si>
    <t>766</t>
  </si>
  <si>
    <t>766662811R00</t>
  </si>
  <si>
    <t>766812840R00</t>
  </si>
  <si>
    <t>766825811R00</t>
  </si>
  <si>
    <t>766661112R00</t>
  </si>
  <si>
    <t>61160126</t>
  </si>
  <si>
    <t>61160706</t>
  </si>
  <si>
    <t>766665921R00</t>
  </si>
  <si>
    <t>54914591</t>
  </si>
  <si>
    <t>54926043</t>
  </si>
  <si>
    <t>766664915R00</t>
  </si>
  <si>
    <t>766812114R00</t>
  </si>
  <si>
    <t>998766102R00</t>
  </si>
  <si>
    <t>771</t>
  </si>
  <si>
    <t>771575107R00</t>
  </si>
  <si>
    <t>771579791R00</t>
  </si>
  <si>
    <t>771579792R00</t>
  </si>
  <si>
    <t>771101116R00</t>
  </si>
  <si>
    <t>771578011RT1</t>
  </si>
  <si>
    <t>771101210R00</t>
  </si>
  <si>
    <t>59764231</t>
  </si>
  <si>
    <t>998771102R00</t>
  </si>
  <si>
    <t>776</t>
  </si>
  <si>
    <t>776401800R00</t>
  </si>
  <si>
    <t>776511810R00</t>
  </si>
  <si>
    <t>632411105RT3</t>
  </si>
  <si>
    <t>776421100RU1</t>
  </si>
  <si>
    <t>776511000R00</t>
  </si>
  <si>
    <t>28412231</t>
  </si>
  <si>
    <t>776981101R00</t>
  </si>
  <si>
    <t>776981112RU2</t>
  </si>
  <si>
    <t>998776102R00</t>
  </si>
  <si>
    <t>781</t>
  </si>
  <si>
    <t>781415016RT5</t>
  </si>
  <si>
    <t>781419711R00</t>
  </si>
  <si>
    <t>781419701R00</t>
  </si>
  <si>
    <t>597813605</t>
  </si>
  <si>
    <t>781111111R00</t>
  </si>
  <si>
    <t>781111116R00</t>
  </si>
  <si>
    <t>781491001R00</t>
  </si>
  <si>
    <t>59760147.A</t>
  </si>
  <si>
    <t>998781102R00</t>
  </si>
  <si>
    <t>783</t>
  </si>
  <si>
    <t>783225100R00</t>
  </si>
  <si>
    <t>783601813R00</t>
  </si>
  <si>
    <t>783394140R00</t>
  </si>
  <si>
    <t>784</t>
  </si>
  <si>
    <t>784011211RT3</t>
  </si>
  <si>
    <t>784402801R00</t>
  </si>
  <si>
    <t>784161901R00</t>
  </si>
  <si>
    <t>784195112R00</t>
  </si>
  <si>
    <t>900      R01</t>
  </si>
  <si>
    <t>941955002R00</t>
  </si>
  <si>
    <t>952901111R00</t>
  </si>
  <si>
    <t>968061125R00</t>
  </si>
  <si>
    <t>965044121R00</t>
  </si>
  <si>
    <t>978059511R00</t>
  </si>
  <si>
    <t>962031113R00</t>
  </si>
  <si>
    <t>962084121R00</t>
  </si>
  <si>
    <t>H99</t>
  </si>
  <si>
    <t>999281108R00</t>
  </si>
  <si>
    <t>M21</t>
  </si>
  <si>
    <t>S</t>
  </si>
  <si>
    <t>979081111R00</t>
  </si>
  <si>
    <t>979081121R00</t>
  </si>
  <si>
    <t>979082111R00</t>
  </si>
  <si>
    <t>979990181R00</t>
  </si>
  <si>
    <t>979990107R00</t>
  </si>
  <si>
    <t>Oprava bytu Haškova -velikost 1+1- středový</t>
  </si>
  <si>
    <t>Haškova 6/4, Žďár nad Sázavou</t>
  </si>
  <si>
    <t>Zkrácený popis</t>
  </si>
  <si>
    <t>Rozměry</t>
  </si>
  <si>
    <t>Nezařazeno</t>
  </si>
  <si>
    <t>Stěny a příčky</t>
  </si>
  <si>
    <t>Obezdívka koupelnových van tl. 6,5 cm</t>
  </si>
  <si>
    <t>(0,8*0,15)*2</t>
  </si>
  <si>
    <t>Příčka z desek pórobetonových hladkých, tloušťka 7,5 cm</t>
  </si>
  <si>
    <t>(0,775+0,4)*2,6</t>
  </si>
  <si>
    <t>Příčka z desek pórobetonových hladkých, tloušťka 10 cm</t>
  </si>
  <si>
    <t>(3,45+2,3)*2,6</t>
  </si>
  <si>
    <t>odpočet otvorů</t>
  </si>
  <si>
    <t>-(0,6*2+0,8*2)</t>
  </si>
  <si>
    <t>Ukotvení příček k cihelným konstrukcím plochými kotvami</t>
  </si>
  <si>
    <t>2,6*4</t>
  </si>
  <si>
    <t>Úprava povrchů vnitřní</t>
  </si>
  <si>
    <t>Oprava omítky na stropech o ploše do 0,09 m2</t>
  </si>
  <si>
    <t>Hrubá výplň rýh maltou ve stropech</t>
  </si>
  <si>
    <t>Potažení stropů sklotextilní výztužnou síťkou</t>
  </si>
  <si>
    <t>Kontaktní nátěr pod omítky  bílý</t>
  </si>
  <si>
    <t>Štuk na stropech  ručně</t>
  </si>
  <si>
    <t>2,91+3,44+9,5+15,4</t>
  </si>
  <si>
    <t>Kontaktní nátěr pod omítky bílý</t>
  </si>
  <si>
    <t>31,25+10,98+17,4975+52,9605</t>
  </si>
  <si>
    <t>Omítka vnitřní zdiva, MVC, hrubá zatřená</t>
  </si>
  <si>
    <t>pod obklady-sociální zařízení</t>
  </si>
  <si>
    <t>(2,15+1,65)*2,1-0,6*2</t>
  </si>
  <si>
    <t>(2,15+0,65)*1,5</t>
  </si>
  <si>
    <t>Potažení vnitř. stěn keramickým pletivem, volně</t>
  </si>
  <si>
    <t>10,98+17,4975</t>
  </si>
  <si>
    <t>Omítka vnitřní zdiva, MVC, štuková</t>
  </si>
  <si>
    <t>nové příčky</t>
  </si>
  <si>
    <t>(2,15+0,475+1,65)*(2,6-2,1)</t>
  </si>
  <si>
    <t>(2,15+0,65+1,3)*2,6-0,8*2</t>
  </si>
  <si>
    <t>(2,3+1,2)*2,6-0,6*2-0,8*2</t>
  </si>
  <si>
    <t>Štuk na stěnách vnitřní , ručně</t>
  </si>
  <si>
    <t>stávající příčky</t>
  </si>
  <si>
    <t>předsíň</t>
  </si>
  <si>
    <t>(1,2+2,3+0,2*2)*2,6-0,8*2*2</t>
  </si>
  <si>
    <t>koupelna</t>
  </si>
  <si>
    <t>((1,65-0,475)+2,15)*2,6</t>
  </si>
  <si>
    <t>kuchyně+jídelna</t>
  </si>
  <si>
    <t>(3+3,45+2,35)*2,6-2,1*1,62</t>
  </si>
  <si>
    <t>0,2*(2,12+1,62*2)</t>
  </si>
  <si>
    <t>pokoj</t>
  </si>
  <si>
    <t>(4,46+3,45)*2,6-0,8*2-(1,2*1,62+0,92*2,4)</t>
  </si>
  <si>
    <t>0,2*(2,1+1,62+2,4)+0,15*(1,05+2,1*2)</t>
  </si>
  <si>
    <t>Hrubá výplň rýh ve stěnách maltou</t>
  </si>
  <si>
    <t>Začištění omítek kolem oken,dveří apod.</t>
  </si>
  <si>
    <t>2,1+1,62*2+2,1+1,62+2,4</t>
  </si>
  <si>
    <t>Zakrývání podlah fólií</t>
  </si>
  <si>
    <t>Podlahy a podlahové konstrukce</t>
  </si>
  <si>
    <t>Doplnění potěru v ploše do 1 m2, tl.30-40 mm</t>
  </si>
  <si>
    <t>Výplně otvorů</t>
  </si>
  <si>
    <t>Osazení rámů slepých, ocel, dřevo, plocha do 1 m2</t>
  </si>
  <si>
    <t>Dvířka  vodoměry</t>
  </si>
  <si>
    <t>Osazení zárubní dveřních ocelových, pl. do 2,5 m2 včetně dodávky zárubně  60 x 197 x 11 cm</t>
  </si>
  <si>
    <t>Osazení zárubní dveřních ocelových, pl. do 2,5 m2 včetně dodávky zárubně  80 x 197 x 11 cm</t>
  </si>
  <si>
    <t>Izolace proti vodě</t>
  </si>
  <si>
    <t>Hydroizolační povlak vyztužený tkaninou</t>
  </si>
  <si>
    <t>podlaha</t>
  </si>
  <si>
    <t>2,15*1,65-0,475*0,85</t>
  </si>
  <si>
    <t>stěny</t>
  </si>
  <si>
    <t>(1,65+1)*2,2</t>
  </si>
  <si>
    <t>Těsnicí pás do spoje podlaha - stěna</t>
  </si>
  <si>
    <t>(1,65+2,15)*2</t>
  </si>
  <si>
    <t>Těsnicí pás do svislých koutů</t>
  </si>
  <si>
    <t>2,1*3</t>
  </si>
  <si>
    <t>Přesun hmot pro izolace proti vodě, výšky do 6 m</t>
  </si>
  <si>
    <t>Vnitřní kanalizace</t>
  </si>
  <si>
    <t>Oprava - přechod z plastových trub na litinu DN100</t>
  </si>
  <si>
    <t>Demontáž potrubí z PVC do D 75 mm</t>
  </si>
  <si>
    <t>Potrubí HT připojovací D 50 x 1,8 mm</t>
  </si>
  <si>
    <t>Potrubí HT připojovací D 110 x 2,7 mm</t>
  </si>
  <si>
    <t>Potrubí HT odpadní svislé D 110 x 2,7 mm</t>
  </si>
  <si>
    <t>Vyvedení odpadních výpustek D 50 x 1,8</t>
  </si>
  <si>
    <t>Vyvedení odpadních výpustek D 110 x 2,3</t>
  </si>
  <si>
    <t>Čištění potrubí profukováním nebo proplach. DN 100</t>
  </si>
  <si>
    <t>Zkouška těsnosti kanalizace vodou DN 125</t>
  </si>
  <si>
    <t>Potrubí KG odpadní svislé D 110 x 3,2 mm</t>
  </si>
  <si>
    <t>Přesun hmot pro vnitřní kanalizaci, výšky do 12 m</t>
  </si>
  <si>
    <t>Vnitřní vodovod</t>
  </si>
  <si>
    <t>Demontáž potrubí ocelových závitových DN 25</t>
  </si>
  <si>
    <t>Oprava-přeřezání ocelové trubky DN 25</t>
  </si>
  <si>
    <t>Zpětná montáž vodoměrů závitových G 1/2</t>
  </si>
  <si>
    <t>Potrubí z PPR Instaplast, teplá, D 20x3,4 mm</t>
  </si>
  <si>
    <t>Nástěnka K 247, pro výtokový ventil G 1/2</t>
  </si>
  <si>
    <t>Nástěnka K 247, pro baterii G 1/2</t>
  </si>
  <si>
    <t>Izolace návleková tl. stěny 20 mm</t>
  </si>
  <si>
    <t>Vyvedení a upevnění výpustek DN 15</t>
  </si>
  <si>
    <t>Proplach a dezinfekce vodovod.potrubí DN 80</t>
  </si>
  <si>
    <t>Tlaková zkouška vodovodního potrubí DN 32</t>
  </si>
  <si>
    <t>Přesun hmot pro vnitřní vodovod, výšky do 12 m</t>
  </si>
  <si>
    <t>Zařizovací předměty</t>
  </si>
  <si>
    <t>Demontáž klozetů splachovacích</t>
  </si>
  <si>
    <t>Demontáž umyvadel bez výtokových armatur</t>
  </si>
  <si>
    <t>Demontáž baterie sprch.diferenciální G 3/4x1</t>
  </si>
  <si>
    <t>Demontáž baterie stojánkové do 1otvoru</t>
  </si>
  <si>
    <t>Demontáž uzávěrek zápachových jednoduchých</t>
  </si>
  <si>
    <t>Demontáž ocelové vany</t>
  </si>
  <si>
    <t>Demontáž konzol jednoduchých</t>
  </si>
  <si>
    <t>konzola na závěs do sprchy</t>
  </si>
  <si>
    <t>Montáž umyvadel na šrouby do zdiva</t>
  </si>
  <si>
    <t>Umyvadlo na šrouby LYRA Plus , 55 x 45 cm, bílé</t>
  </si>
  <si>
    <t>Sifon umyvadlový HL132, D 32, 40 mm</t>
  </si>
  <si>
    <t>Uzávěrka zápachová umyvadlová T 1015,D 40</t>
  </si>
  <si>
    <t>Montáž baterie umyv.a dřezové stojánkové</t>
  </si>
  <si>
    <t>Montáž baterií sprchových, pevná výška</t>
  </si>
  <si>
    <t>Sifon pračkový , D 40/50 mm nerezový</t>
  </si>
  <si>
    <t>Sifon sprchový PP , D 40/50 mm</t>
  </si>
  <si>
    <t>Ventil rohový bez přípoj. trubičky TE 66 G 1/2</t>
  </si>
  <si>
    <t>Baterie dřezová stojánková ruční, bez otvír.odpadu</t>
  </si>
  <si>
    <t>Baterie sprchová nástěnná ruční</t>
  </si>
  <si>
    <t>Ventil pračkový  DN 20</t>
  </si>
  <si>
    <t>Montáž klozetových mís kombinovaných</t>
  </si>
  <si>
    <t>Klozet kombi LYRA Plus, nádrž s armat. odpad šikmý, včetně sedátka.</t>
  </si>
  <si>
    <t>Madlo rovné bílé  dl. 500 mm</t>
  </si>
  <si>
    <t>Sedátko sklápěcí s opěrnou nohou 44x45 cm</t>
  </si>
  <si>
    <t>Sprchová vanička akrylát. Rhea 120x73x15 cm 99 l</t>
  </si>
  <si>
    <t>Dveře sprchové třídilné 80 cm Pearl</t>
  </si>
  <si>
    <t>Stěna sprchová boční pevná 30 cm</t>
  </si>
  <si>
    <t>Přesun vybour.hmot, zařizovací předměty H 12 m</t>
  </si>
  <si>
    <t>Vzduchotechnika</t>
  </si>
  <si>
    <t>Vzduchotechnika- odtah od odsavače</t>
  </si>
  <si>
    <t>Přesun hmot pro vzduchotechniku, výšky do 12 m</t>
  </si>
  <si>
    <t>Konstrukce truhlářské</t>
  </si>
  <si>
    <t>Demontáž prahů dveří 1křídlových</t>
  </si>
  <si>
    <t>Demontáž kuchyňských linek do 2,1 m</t>
  </si>
  <si>
    <t>Demontáž vestavěných skříní 1křídlových</t>
  </si>
  <si>
    <t>Montáž dveří do zárubně,otevíravých 1kř.do 0,8 m</t>
  </si>
  <si>
    <t>Dveře vnitřní hladké plné 1 kříd. 60x197 lak A</t>
  </si>
  <si>
    <t>Dveře vnitřní hladké 1kříd. 2/3sklo 80x197 lak A</t>
  </si>
  <si>
    <t>Zakování dveří 1křídlých kompletizovaných</t>
  </si>
  <si>
    <t>Kliky se štítem dveř.  804  klíč/90 Cr</t>
  </si>
  <si>
    <t>Zámek stavební vložkový typ 24026 (80 mm)  L</t>
  </si>
  <si>
    <t>Seříznutí dveřních křídel  kompletizovaných</t>
  </si>
  <si>
    <t>Montáž kuchyňských linek dřevěných linek š.do 2,1m</t>
  </si>
  <si>
    <t>Kuchyňská linka dle výpisu výrobků</t>
  </si>
  <si>
    <t>Oprava vstupních dveří</t>
  </si>
  <si>
    <t>z vnitřní strany nalepení fólie</t>
  </si>
  <si>
    <t>Přesun hmot pro truhlářské konstr., výšky do 12 m</t>
  </si>
  <si>
    <t>Podlahy z dlaždic</t>
  </si>
  <si>
    <t>Montáž podlah keram.,režné hladké, tmel, 20x20 cm</t>
  </si>
  <si>
    <t>koupelna+WC</t>
  </si>
  <si>
    <t>3,44</t>
  </si>
  <si>
    <t>Příplatek za plochu podlah keram. do 5 m2 jednotl.</t>
  </si>
  <si>
    <t>Příplatek za podlahy keram.v omezeném prostoru</t>
  </si>
  <si>
    <t>Vyrovnání podkladů samonivel. hmotou tl. do 30 mm</t>
  </si>
  <si>
    <t>Spára podlaha - stěna, silikonem</t>
  </si>
  <si>
    <t>(2,15+1,65)*2</t>
  </si>
  <si>
    <t>Penetrace podkladu pod dlažby</t>
  </si>
  <si>
    <t>Dlažba  reliéfní 300x300x9 mm</t>
  </si>
  <si>
    <t>3,44*1,1</t>
  </si>
  <si>
    <t>Přesun hmot pro podlahy z dlaždic, výšky do 12 m</t>
  </si>
  <si>
    <t>Podlahy povlakové</t>
  </si>
  <si>
    <t>Demontáž soklíků nebo lišt, pryžových nebo z PVC</t>
  </si>
  <si>
    <t>(2,3+1,275)*2+0,2*2-0,8*3-0,6</t>
  </si>
  <si>
    <t>(3,45+2,44*2+0,65*2+3,45)-0,8+0,2*2</t>
  </si>
  <si>
    <t>(4,46+3,45)*2+0,2*2+0,15*2-0,92-0,8</t>
  </si>
  <si>
    <t>Odstranění PVC a koberců lepených bez podložky</t>
  </si>
  <si>
    <t>2,95</t>
  </si>
  <si>
    <t>9,84</t>
  </si>
  <si>
    <t>15,4</t>
  </si>
  <si>
    <t>3,5</t>
  </si>
  <si>
    <t>Úprava podkladu nášlapných ploch odbroušení lepidla, likvidace</t>
  </si>
  <si>
    <t>Samonivelační stěrka Cemix, ruč.zpracování tl.5 mm</t>
  </si>
  <si>
    <t>Lepení podlahových soklíků z PVC a vinylu včetně dodávky soklíku PVC</t>
  </si>
  <si>
    <t>(2,3+1,2)*2-0,6-0,8*3+0,2*2</t>
  </si>
  <si>
    <t>kuchyně</t>
  </si>
  <si>
    <t>(3,45*2+3*2)-0,8+0,25*2</t>
  </si>
  <si>
    <t>(4,46+3,45)*2+0,2*2+0,15*2-0,8</t>
  </si>
  <si>
    <t>Lepení povlakových podlah z pásů pryžových</t>
  </si>
  <si>
    <t>Podlahovina PVC tl. 1,7mm</t>
  </si>
  <si>
    <t>31,25*1,2</t>
  </si>
  <si>
    <t>Montáž přechodové, podlahové lišty samolepicí</t>
  </si>
  <si>
    <t>0,6+0,8*2</t>
  </si>
  <si>
    <t>Lišta hliníková přechod., stejná výška povl.podlah</t>
  </si>
  <si>
    <t>Přesun hmot pro podlahy povlakové, výšky do 12 m</t>
  </si>
  <si>
    <t>Obklady (keramické)</t>
  </si>
  <si>
    <t>Montáž obkladů stěn, porovin.,tmel, nad 20x25 cm</t>
  </si>
  <si>
    <t>2,1*(2,15+1,65)*2-0,6*2</t>
  </si>
  <si>
    <t>3*0,6+(2,15+0,65+0,6)*1,5</t>
  </si>
  <si>
    <t>Příplatek k obkladu stěn za plochu do 10 m2 jedntl</t>
  </si>
  <si>
    <t>Příplatek za práci v omez.prostoru,obkl.pórovinové</t>
  </si>
  <si>
    <t>Obkládačka 20x20 světle béžová lesk</t>
  </si>
  <si>
    <t>21,66*1,1</t>
  </si>
  <si>
    <t>Řezání obkladaček diamantovým kotoučem</t>
  </si>
  <si>
    <t>Otvor v obkladačce diamant.korunkou prům.do 90 mm</t>
  </si>
  <si>
    <t>Montáž lišt k obkladům</t>
  </si>
  <si>
    <t>(2,15+1,65)*2+2,15+0,65</t>
  </si>
  <si>
    <t>1,5*5+2,1*7</t>
  </si>
  <si>
    <t>Lišta  plast do malt lože</t>
  </si>
  <si>
    <t>1,1*32,6</t>
  </si>
  <si>
    <t>Přesun hmot pro obklady keramické, výšky do 12 m</t>
  </si>
  <si>
    <t>Nátěry</t>
  </si>
  <si>
    <t>Nátěr syntetický kovových konstrukcí 2x + 1x email</t>
  </si>
  <si>
    <t>0,6*2+0,8*2*3</t>
  </si>
  <si>
    <t>Odstranění nátěrů truhlářských, dveří oškrábáním</t>
  </si>
  <si>
    <t>Nátěr disperzní litin. radiátorů Z + 1x + 1x email</t>
  </si>
  <si>
    <t>2,1*0,8+1,2*0,8</t>
  </si>
  <si>
    <t>Očištění radiátoru před nátěrem</t>
  </si>
  <si>
    <t>Malby</t>
  </si>
  <si>
    <t>Olepování vnitřních ploch včetně maskovací pásky šířky 50 mm</t>
  </si>
  <si>
    <t>Odstranění malby oškrábáním v místnosti H do 3,8 m</t>
  </si>
  <si>
    <t>31,25+112,688</t>
  </si>
  <si>
    <t>Penetrace podkladu   1 x</t>
  </si>
  <si>
    <t>Malba  bílá, bez penetrace, 2 x</t>
  </si>
  <si>
    <t>Hodinové zúčtovací sazby (HZS)</t>
  </si>
  <si>
    <t>HZS</t>
  </si>
  <si>
    <t>Lešení a stavební výtahy</t>
  </si>
  <si>
    <t>Lešení lehké pomocné, výška podlahy do 1,9 m</t>
  </si>
  <si>
    <t>Různé dokončovací konstrukce a práce na pozemních stavbách</t>
  </si>
  <si>
    <t>Vyčištění budov o výšce podlaží do 4 m</t>
  </si>
  <si>
    <t>Bourání konstrukcí</t>
  </si>
  <si>
    <t>Vyvěšení dřevěných dveřních křídel pl. do 2 m2</t>
  </si>
  <si>
    <t>Bourání podkladů bet., tl. 4 cm, s rabic.pletivem</t>
  </si>
  <si>
    <t>Odsekání vnitřních obkladů stěn do 1 m2</t>
  </si>
  <si>
    <t>Bourání příček z cihel pálených plných tl. 65 mm</t>
  </si>
  <si>
    <t>příčka o spižní skříně</t>
  </si>
  <si>
    <t>0,7*2,6</t>
  </si>
  <si>
    <t>Bourání příček deskových,sádrokartonových tl. 5 cm</t>
  </si>
  <si>
    <t>Ostatní přesuny hmot</t>
  </si>
  <si>
    <t>Přesun hmot pro opravy a údržbu do výšky 12 m</t>
  </si>
  <si>
    <t>Elektromontáže</t>
  </si>
  <si>
    <t>Montáž sporáku</t>
  </si>
  <si>
    <t>Sporák elektrický</t>
  </si>
  <si>
    <t>D+M elektroinstalace dle PD</t>
  </si>
  <si>
    <t>Přesuny sutí</t>
  </si>
  <si>
    <t>Odvoz suti a vybour. hmot na skládku do 1 km</t>
  </si>
  <si>
    <t>Příplatek k odvozu za každý další 1 km</t>
  </si>
  <si>
    <t>15*3,95</t>
  </si>
  <si>
    <t>Vnitrostaveništní doprava suti do 10 m</t>
  </si>
  <si>
    <t>Poplatek za uložení suti - PVC podlahová krytina, skupina odpadu 200307</t>
  </si>
  <si>
    <t>Poplatek za uložení suti - směs betonu, cihel, dřeva, skupina odpadu 170904</t>
  </si>
  <si>
    <t>3,95-0,05806</t>
  </si>
  <si>
    <t>Doba výstavby:</t>
  </si>
  <si>
    <t>Zpracováno dne:</t>
  </si>
  <si>
    <t>MJ</t>
  </si>
  <si>
    <t>m2</t>
  </si>
  <si>
    <t>m</t>
  </si>
  <si>
    <t>kus</t>
  </si>
  <si>
    <t>t</t>
  </si>
  <si>
    <t>pár</t>
  </si>
  <si>
    <t>soubor</t>
  </si>
  <si>
    <t>ks</t>
  </si>
  <si>
    <t>h</t>
  </si>
  <si>
    <t>Množství</t>
  </si>
  <si>
    <t>05.05.2022</t>
  </si>
  <si>
    <t>Cena/MJ</t>
  </si>
  <si>
    <t>(Kč)</t>
  </si>
  <si>
    <t>Náklady (Kč)</t>
  </si>
  <si>
    <t>Dodávka</t>
  </si>
  <si>
    <t>Celkem:</t>
  </si>
  <si>
    <t>Město Žďár nad Sázavou</t>
  </si>
  <si>
    <t>ing. Zbyněk Semerád</t>
  </si>
  <si>
    <t> </t>
  </si>
  <si>
    <t>Celkem</t>
  </si>
  <si>
    <t>Hmotnost (t)</t>
  </si>
  <si>
    <t>Jednot.</t>
  </si>
  <si>
    <t>Cenová</t>
  </si>
  <si>
    <t>soustava</t>
  </si>
  <si>
    <t>RTS I / 2022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</si>
  <si>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</si>
  <si>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</si>
  <si>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</si>
  <si>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</si>
  <si>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</si>
  <si>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</si>
  <si>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</si>
  <si>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</si>
  <si>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</si>
  <si>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34_</t>
  </si>
  <si>
    <t>61_</t>
  </si>
  <si>
    <t>63_</t>
  </si>
  <si>
    <t>64_</t>
  </si>
  <si>
    <t>711_</t>
  </si>
  <si>
    <t>721_</t>
  </si>
  <si>
    <t>722_</t>
  </si>
  <si>
    <t>725_</t>
  </si>
  <si>
    <t>728_</t>
  </si>
  <si>
    <t>766_</t>
  </si>
  <si>
    <t>771_</t>
  </si>
  <si>
    <t>776_</t>
  </si>
  <si>
    <t>781_</t>
  </si>
  <si>
    <t>783_</t>
  </si>
  <si>
    <t>784_</t>
  </si>
  <si>
    <t>90_</t>
  </si>
  <si>
    <t>94_</t>
  </si>
  <si>
    <t>95_</t>
  </si>
  <si>
    <t>96_</t>
  </si>
  <si>
    <t>H99_</t>
  </si>
  <si>
    <t>M21_</t>
  </si>
  <si>
    <t>S_</t>
  </si>
  <si>
    <t>_3_</t>
  </si>
  <si>
    <t>_6_</t>
  </si>
  <si>
    <t>_71_</t>
  </si>
  <si>
    <t>_72_</t>
  </si>
  <si>
    <t>_76_</t>
  </si>
  <si>
    <t>_77_</t>
  </si>
  <si>
    <t>_78_</t>
  </si>
  <si>
    <t>_9_</t>
  </si>
  <si>
    <t>_</t>
  </si>
  <si>
    <t>MAT</t>
  </si>
  <si>
    <t>WORK</t>
  </si>
  <si>
    <t>CELK</t>
  </si>
  <si>
    <t>ISWORK</t>
  </si>
  <si>
    <t>P</t>
  </si>
  <si>
    <t>M</t>
  </si>
  <si>
    <t>GROUPCODE</t>
  </si>
  <si>
    <t>kompl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</si>
</sst>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"/>
    <numFmt numFmtId="167" formatCode="dd\.mmmm\.yy"/>
  </numFmts>
  <fonts count="50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i/>
      <sz val="10"/>
      <color indexed="50"/>
      <name val="Arial"/>
      <family val="0"/>
    </font>
    <font>
      <i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6" fillId="20" borderId="0" applyNumberFormat="0" applyBorder="0" applyAlignment="0" applyProtection="0"/>
    <xf numFmtId="0" fontId="37" fillId="21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165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98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4" fillId="33" borderId="24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9" fontId="9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right" vertical="center"/>
      <protection/>
    </xf>
    <xf numFmtId="4" fontId="9" fillId="0" borderId="28" xfId="0" applyNumberFormat="1" applyFont="1" applyFill="1" applyBorder="1" applyAlignment="1" applyProtection="1">
      <alignment horizontal="right"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0" fillId="34" borderId="31" xfId="0" applyNumberFormat="1" applyFont="1" applyFill="1" applyBorder="1" applyAlignment="1" applyProtection="1">
      <alignment horizontal="left" vertical="center"/>
      <protection/>
    </xf>
    <xf numFmtId="49" fontId="11" fillId="0" borderId="22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3" fillId="34" borderId="16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49" fontId="16" fillId="0" borderId="10" xfId="0" applyNumberFormat="1" applyFont="1" applyFill="1" applyBorder="1" applyAlignment="1" applyProtection="1">
      <alignment horizontal="left" vertical="center"/>
      <protection/>
    </xf>
    <xf numFmtId="49" fontId="10" fillId="34" borderId="16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" fontId="15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13" fillId="34" borderId="16" xfId="0" applyNumberFormat="1" applyFont="1" applyFill="1" applyBorder="1" applyAlignment="1" applyProtection="1">
      <alignment horizontal="right" vertical="center"/>
      <protection/>
    </xf>
    <xf numFmtId="49" fontId="14" fillId="35" borderId="0" xfId="0" applyNumberFormat="1" applyFont="1" applyFill="1" applyBorder="1" applyAlignment="1" applyProtection="1">
      <alignment horizontal="right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13" fillId="34" borderId="20" xfId="0" applyNumberFormat="1" applyFont="1" applyFill="1" applyBorder="1" applyAlignment="1" applyProtection="1">
      <alignment horizontal="right" vertical="center"/>
      <protection/>
    </xf>
    <xf numFmtId="49" fontId="1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4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" fontId="13" fillId="34" borderId="16" xfId="0" applyNumberFormat="1" applyFont="1" applyFill="1" applyBorder="1" applyAlignment="1" applyProtection="1">
      <alignment horizontal="right" vertical="center"/>
      <protection/>
    </xf>
    <xf numFmtId="4" fontId="14" fillId="35" borderId="0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9" fontId="1" fillId="35" borderId="22" xfId="0" applyNumberFormat="1" applyFont="1" applyFill="1" applyBorder="1" applyAlignment="1" applyProtection="1">
      <alignment horizontal="left" vertical="center"/>
      <protection/>
    </xf>
    <xf numFmtId="49" fontId="9" fillId="35" borderId="0" xfId="0" applyNumberFormat="1" applyFont="1" applyFill="1" applyBorder="1" applyAlignment="1" applyProtection="1">
      <alignment horizontal="left" vertical="center"/>
      <protection/>
    </xf>
    <xf numFmtId="49" fontId="1" fillId="35" borderId="0" xfId="0" applyNumberFormat="1" applyFont="1" applyFill="1" applyBorder="1" applyAlignment="1" applyProtection="1">
      <alignment horizontal="left" vertical="center"/>
      <protection/>
    </xf>
    <xf numFmtId="4" fontId="9" fillId="35" borderId="0" xfId="0" applyNumberFormat="1" applyFont="1" applyFill="1" applyBorder="1" applyAlignment="1" applyProtection="1">
      <alignment horizontal="right" vertical="center"/>
      <protection/>
    </xf>
    <xf numFmtId="49" fontId="9" fillId="35" borderId="0" xfId="0" applyNumberFormat="1" applyFont="1" applyFill="1" applyBorder="1" applyAlignment="1" applyProtection="1">
      <alignment horizontal="right" vertical="center"/>
      <protection/>
    </xf>
    <xf numFmtId="49" fontId="9" fillId="35" borderId="21" xfId="0" applyNumberFormat="1" applyFont="1" applyFill="1" applyBorder="1" applyAlignment="1" applyProtection="1">
      <alignment horizontal="righ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49" fontId="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0" xfId="1" applyNumberFormat="1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4" fontId="17" fillId="0" borderId="0" xfId="0" applyNumberFormat="1" applyFont="1" applyFill="1" applyBorder="1" applyAlignment="1" applyProtection="1">
      <alignment horizontal="right" vertical="center"/>
      <protection/>
    </xf>
    <xf numFmtId="49" fontId="1" fillId="36" borderId="41" xfId="0" applyNumberFormat="1" applyFont="1" applyFill="1" applyBorder="1" applyAlignment="1" applyProtection="1">
      <alignment horizontal="left" vertical="center"/>
      <protection/>
    </xf>
    <xf numFmtId="4" fontId="1" fillId="36" borderId="41" xfId="0" applyNumberFormat="1" applyFont="1" applyFill="1" applyBorder="1" applyAlignment="1" applyProtection="1">
      <alignment horizontal="right" vertical="center"/>
      <protection/>
    </xf>
    <xf numFmtId="49" fontId="1" fillId="36" borderId="42" xfId="0" applyNumberFormat="1" applyFont="1" applyFill="1" applyBorder="1" applyAlignment="1" applyProtection="1">
      <alignment horizontal="right" vertical="center"/>
      <protection/>
    </xf>
    <xf numFmtId="49" fontId="1" fillId="36" borderId="43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36" borderId="42" xfId="0" applyNumberFormat="1" applyFont="1" applyFill="1" applyBorder="1" applyAlignment="1" applyProtection="1">
      <alignment vertical="center"/>
      <protection/>
    </xf>
    <xf numFmtId="0" fontId="1" fillId="36" borderId="43" xfId="0" applyNumberFormat="1" applyFont="1" applyFill="1" applyBorder="1" applyAlignment="1" applyProtection="1">
      <alignment vertical="center"/>
      <protection/>
    </xf>
    <xf numFmtId="49" fontId="1" fillId="36" borderId="44" xfId="0" applyNumberFormat="1" applyFont="1" applyFill="1" applyBorder="1" applyAlignment="1" applyProtection="1">
      <alignment horizontal="left" vertical="center"/>
      <protection/>
    </xf>
    <xf numFmtId="0" fontId="1" fillId="36" borderId="41" xfId="0" applyNumberFormat="1" applyFont="1" applyFill="1" applyBorder="1" applyAlignment="1" applyProtection="1">
      <alignment vertical="center"/>
      <protection/>
    </xf>
    <xf numFmtId="0" fontId="1" fillId="36" borderId="41" xfId="1" applyNumberFormat="1" applyFont="1" applyFill="1" applyBorder="1" applyAlignment="1" applyProtection="1">
      <alignment/>
      <protection/>
    </xf>
    <xf numFmtId="49" fontId="17" fillId="36" borderId="41" xfId="0" applyNumberFormat="1" applyFont="1" applyFill="1" applyBorder="1" applyAlignment="1" applyProtection="1">
      <alignment horizontal="left" vertical="center"/>
      <protection/>
    </xf>
    <xf numFmtId="4" fontId="1" fillId="36" borderId="44" xfId="0" applyNumberFormat="1" applyFont="1" applyFill="1" applyBorder="1" applyAlignment="1" applyProtection="1">
      <alignment horizontal="right" vertical="center"/>
      <protection/>
    </xf>
    <xf numFmtId="4" fontId="17" fillId="36" borderId="41" xfId="0" applyNumberFormat="1" applyFont="1" applyFill="1" applyBorder="1" applyAlignment="1" applyProtection="1">
      <alignment horizontal="right" vertical="center"/>
      <protection/>
    </xf>
    <xf numFmtId="0" fontId="1" fillId="36" borderId="44" xfId="0" applyNumberFormat="1" applyFont="1" applyFill="1" applyBorder="1" applyAlignment="1" applyProtection="1">
      <alignment vertical="center"/>
      <protection/>
    </xf>
    <xf numFmtId="0" fontId="1" fillId="36" borderId="44" xfId="1" applyNumberFormat="1" applyFont="1" applyFill="1" applyBorder="1" applyAlignment="1" applyProtection="1">
      <alignment/>
      <protection/>
    </xf>
    <xf numFmtId="49" fontId="17" fillId="36" borderId="44" xfId="0" applyNumberFormat="1" applyFont="1" applyFill="1" applyBorder="1" applyAlignment="1" applyProtection="1">
      <alignment horizontal="left" vertical="center"/>
      <protection/>
    </xf>
    <xf numFmtId="4" fontId="17" fillId="36" borderId="44" xfId="0" applyNumberFormat="1" applyFont="1" applyFill="1" applyBorder="1" applyAlignment="1" applyProtection="1">
      <alignment horizontal="right" vertical="center"/>
      <protection/>
    </xf>
    <xf numFmtId="49" fontId="9" fillId="37" borderId="42" xfId="0" applyNumberFormat="1" applyFont="1" applyFill="1" applyBorder="1" applyAlignment="1" applyProtection="1">
      <alignment horizontal="right" vertical="center"/>
      <protection/>
    </xf>
    <xf numFmtId="49" fontId="1" fillId="37" borderId="44" xfId="0" applyNumberFormat="1" applyFont="1" applyFill="1" applyBorder="1" applyAlignment="1" applyProtection="1">
      <alignment horizontal="left" vertical="center"/>
      <protection/>
    </xf>
    <xf numFmtId="49" fontId="9" fillId="37" borderId="44" xfId="0" applyNumberFormat="1" applyFont="1" applyFill="1" applyBorder="1" applyAlignment="1" applyProtection="1">
      <alignment horizontal="left" vertical="center"/>
      <protection/>
    </xf>
    <xf numFmtId="4" fontId="9" fillId="37" borderId="44" xfId="0" applyNumberFormat="1" applyFont="1" applyFill="1" applyBorder="1" applyAlignment="1" applyProtection="1">
      <alignment horizontal="right" vertical="center"/>
      <protection/>
    </xf>
    <xf numFmtId="49" fontId="9" fillId="37" borderId="44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4" fontId="1" fillId="38" borderId="0" xfId="0" applyNumberFormat="1" applyFont="1" applyFill="1" applyBorder="1" applyAlignment="1" applyProtection="1">
      <alignment horizontal="right" vertical="center"/>
      <protection/>
    </xf>
    <xf numFmtId="4" fontId="1" fillId="38" borderId="44" xfId="0" applyNumberFormat="1" applyFont="1" applyFill="1" applyBorder="1" applyAlignment="1" applyProtection="1">
      <alignment horizontal="right" vertical="center"/>
      <protection/>
    </xf>
    <xf numFmtId="4" fontId="1" fillId="38" borderId="41" xfId="0" applyNumberFormat="1" applyFont="1" applyFill="1" applyBorder="1" applyAlignment="1" applyProtection="1">
      <alignment horizontal="right" vertical="center"/>
      <protection/>
    </xf>
    <xf numFmtId="4" fontId="11" fillId="38" borderId="0" xfId="0" applyNumberFormat="1" applyFont="1" applyFill="1" applyBorder="1" applyAlignment="1" applyProtection="1">
      <alignment horizontal="right" vertical="center"/>
      <protection/>
    </xf>
    <xf numFmtId="49" fontId="1" fillId="39" borderId="44" xfId="0" applyNumberFormat="1" applyFont="1" applyFill="1" applyBorder="1" applyAlignment="1" applyProtection="1">
      <alignment horizontal="left" vertical="center"/>
      <protection/>
    </xf>
    <xf numFmtId="4" fontId="1" fillId="39" borderId="44" xfId="0" applyNumberFormat="1" applyFont="1" applyFill="1" applyBorder="1" applyAlignment="1" applyProtection="1">
      <alignment horizontal="right" vertical="center"/>
      <protection/>
    </xf>
    <xf numFmtId="49" fontId="1" fillId="39" borderId="42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46" xfId="0" applyNumberFormat="1" applyFont="1" applyFill="1" applyBorder="1" applyAlignment="1" applyProtection="1">
      <alignment horizontal="center" vertical="center"/>
      <protection/>
    </xf>
    <xf numFmtId="49" fontId="7" fillId="0" borderId="47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49" fontId="5" fillId="0" borderId="47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49" fontId="4" fillId="0" borderId="47" xfId="0" applyNumberFormat="1" applyFont="1" applyFill="1" applyBorder="1" applyAlignment="1" applyProtection="1">
      <alignment horizontal="left" vertical="center"/>
      <protection/>
    </xf>
    <xf numFmtId="0" fontId="4" fillId="0" borderId="24" xfId="0" applyNumberFormat="1" applyFont="1" applyFill="1" applyBorder="1" applyAlignment="1" applyProtection="1">
      <alignment horizontal="left" vertical="center"/>
      <protection/>
    </xf>
    <xf numFmtId="49" fontId="4" fillId="33" borderId="47" xfId="0" applyNumberFormat="1" applyFont="1" applyFill="1" applyBorder="1" applyAlignment="1" applyProtection="1">
      <alignment horizontal="left" vertical="center"/>
      <protection/>
    </xf>
    <xf numFmtId="0" fontId="4" fillId="33" borderId="46" xfId="0" applyNumberFormat="1" applyFont="1" applyFill="1" applyBorder="1" applyAlignment="1" applyProtection="1">
      <alignment horizontal="left" vertical="center"/>
      <protection/>
    </xf>
    <xf numFmtId="49" fontId="5" fillId="0" borderId="48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49" xfId="0" applyNumberFormat="1" applyFont="1" applyFill="1" applyBorder="1" applyAlignment="1" applyProtection="1">
      <alignment horizontal="left" vertical="center"/>
      <protection/>
    </xf>
    <xf numFmtId="49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50" xfId="0" applyNumberFormat="1" applyFont="1" applyFill="1" applyBorder="1" applyAlignment="1" applyProtection="1">
      <alignment horizontal="left" vertical="center"/>
      <protection/>
    </xf>
    <xf numFmtId="49" fontId="5" fillId="0" borderId="51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52" xfId="0" applyNumberFormat="1" applyFont="1" applyFill="1" applyBorder="1" applyAlignment="1" applyProtection="1">
      <alignment horizontal="left" vertical="center"/>
      <protection/>
    </xf>
    <xf numFmtId="49" fontId="4" fillId="0" borderId="26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53" xfId="0" applyNumberFormat="1" applyFont="1" applyFill="1" applyBorder="1" applyAlignment="1" applyProtection="1">
      <alignment horizontal="left" vertical="center"/>
      <protection/>
    </xf>
    <xf numFmtId="0" fontId="9" fillId="0" borderId="54" xfId="0" applyNumberFormat="1" applyFont="1" applyFill="1" applyBorder="1" applyAlignment="1" applyProtection="1">
      <alignment horizontal="left" vertical="center"/>
      <protection/>
    </xf>
    <xf numFmtId="0" fontId="9" fillId="0" borderId="55" xfId="0" applyNumberFormat="1" applyFont="1" applyFill="1" applyBorder="1" applyAlignment="1" applyProtection="1">
      <alignment horizontal="left" vertical="center"/>
      <protection/>
    </xf>
    <xf numFmtId="49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56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57" xfId="0" applyNumberFormat="1" applyFont="1" applyFill="1" applyBorder="1" applyAlignment="1" applyProtection="1">
      <alignment horizontal="left" vertical="center"/>
      <protection/>
    </xf>
    <xf numFmtId="49" fontId="9" fillId="0" borderId="58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59" xfId="0" applyNumberFormat="1" applyFont="1" applyFill="1" applyBorder="1" applyAlignment="1" applyProtection="1">
      <alignment horizontal="left" vertical="center"/>
      <protection/>
    </xf>
    <xf numFmtId="49" fontId="4" fillId="0" borderId="58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4" fillId="0" borderId="59" xfId="0" applyNumberFormat="1" applyFont="1" applyFill="1" applyBorder="1" applyAlignment="1" applyProtection="1">
      <alignment horizontal="left" vertical="center"/>
      <protection/>
    </xf>
    <xf numFmtId="4" fontId="4" fillId="0" borderId="58" xfId="0" applyNumberFormat="1" applyFont="1" applyFill="1" applyBorder="1" applyAlignment="1" applyProtection="1">
      <alignment horizontal="right" vertical="center"/>
      <protection/>
    </xf>
    <xf numFmtId="0" fontId="4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59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60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61" xfId="0" applyNumberFormat="1" applyFont="1" applyFill="1" applyBorder="1" applyAlignment="1" applyProtection="1">
      <alignment horizontal="left" vertical="center"/>
      <protection/>
    </xf>
    <xf numFmtId="49" fontId="9" fillId="0" borderId="31" xfId="0" applyNumberFormat="1" applyFont="1" applyFill="1" applyBorder="1" applyAlignment="1" applyProtection="1">
      <alignment horizontal="left" vertical="center"/>
      <protection/>
    </xf>
    <xf numFmtId="0" fontId="9" fillId="0" borderId="20" xfId="0" applyNumberFormat="1" applyFont="1" applyFill="1" applyBorder="1" applyAlignment="1" applyProtection="1">
      <alignment horizontal="left" vertical="center"/>
      <protection/>
    </xf>
    <xf numFmtId="49" fontId="9" fillId="0" borderId="53" xfId="0" applyNumberFormat="1" applyFont="1" applyFill="1" applyBorder="1" applyAlignment="1" applyProtection="1">
      <alignment horizontal="center" vertical="center"/>
      <protection/>
    </xf>
    <xf numFmtId="0" fontId="9" fillId="0" borderId="54" xfId="0" applyNumberFormat="1" applyFont="1" applyFill="1" applyBorder="1" applyAlignment="1" applyProtection="1">
      <alignment horizontal="center" vertical="center"/>
      <protection/>
    </xf>
    <xf numFmtId="0" fontId="9" fillId="0" borderId="55" xfId="0" applyNumberFormat="1" applyFont="1" applyFill="1" applyBorder="1" applyAlignment="1" applyProtection="1">
      <alignment horizontal="center" vertical="center"/>
      <protection/>
    </xf>
    <xf numFmtId="49" fontId="9" fillId="0" borderId="60" xfId="0" applyNumberFormat="1" applyFont="1" applyFill="1" applyBorder="1" applyAlignment="1" applyProtection="1">
      <alignment horizontal="left" vertical="center"/>
      <protection/>
    </xf>
    <xf numFmtId="0" fontId="9" fillId="0" borderId="61" xfId="0" applyNumberFormat="1" applyFont="1" applyFill="1" applyBorder="1" applyAlignment="1" applyProtection="1">
      <alignment horizontal="left" vertical="center"/>
      <protection/>
    </xf>
    <xf numFmtId="49" fontId="13" fillId="34" borderId="16" xfId="0" applyNumberFormat="1" applyFont="1" applyFill="1" applyBorder="1" applyAlignment="1" applyProtection="1">
      <alignment horizontal="left" vertical="center"/>
      <protection/>
    </xf>
    <xf numFmtId="0" fontId="13" fillId="34" borderId="16" xfId="0" applyNumberFormat="1" applyFont="1" applyFill="1" applyBorder="1" applyAlignment="1" applyProtection="1">
      <alignment horizontal="left" vertical="center"/>
      <protection/>
    </xf>
    <xf numFmtId="49" fontId="9" fillId="35" borderId="0" xfId="0" applyNumberFormat="1" applyFont="1" applyFill="1" applyBorder="1" applyAlignment="1" applyProtection="1">
      <alignment horizontal="left" vertical="center"/>
      <protection/>
    </xf>
    <xf numFmtId="0" fontId="14" fillId="35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" fillId="36" borderId="44" xfId="0" applyNumberFormat="1" applyFont="1" applyFill="1" applyBorder="1" applyAlignment="1" applyProtection="1">
      <alignment horizontal="left" vertical="center"/>
      <protection/>
    </xf>
    <xf numFmtId="0" fontId="11" fillId="0" borderId="44" xfId="0" applyNumberFormat="1" applyFont="1" applyFill="1" applyBorder="1" applyAlignment="1" applyProtection="1">
      <alignment horizontal="left" vertical="center"/>
      <protection/>
    </xf>
    <xf numFmtId="49" fontId="1" fillId="36" borderId="41" xfId="0" applyNumberFormat="1" applyFont="1" applyFill="1" applyBorder="1" applyAlignment="1" applyProtection="1">
      <alignment horizontal="left" vertical="center"/>
      <protection/>
    </xf>
    <xf numFmtId="0" fontId="11" fillId="0" borderId="41" xfId="0" applyNumberFormat="1" applyFont="1" applyFill="1" applyBorder="1" applyAlignment="1" applyProtection="1">
      <alignment horizontal="left" vertical="center"/>
      <protection/>
    </xf>
    <xf numFmtId="49" fontId="9" fillId="37" borderId="44" xfId="0" applyNumberFormat="1" applyFont="1" applyFill="1" applyBorder="1" applyAlignment="1" applyProtection="1">
      <alignment horizontal="left" vertical="center"/>
      <protection/>
    </xf>
    <xf numFmtId="0" fontId="14" fillId="35" borderId="44" xfId="0" applyNumberFormat="1" applyFont="1" applyFill="1" applyBorder="1" applyAlignment="1" applyProtection="1">
      <alignment horizontal="left" vertical="center"/>
      <protection/>
    </xf>
    <xf numFmtId="0" fontId="12" fillId="0" borderId="44" xfId="0" applyNumberFormat="1" applyFont="1" applyFill="1" applyBorder="1" applyAlignment="1" applyProtection="1">
      <alignment horizontal="left" vertical="center"/>
      <protection/>
    </xf>
    <xf numFmtId="0" fontId="12" fillId="0" borderId="41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49" fontId="1" fillId="39" borderId="44" xfId="0" applyNumberFormat="1" applyFont="1" applyFill="1" applyBorder="1" applyAlignment="1" applyProtection="1">
      <alignment horizontal="left" vertical="center"/>
      <protection/>
    </xf>
    <xf numFmtId="0" fontId="11" fillId="39" borderId="4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3.25">
      <c r="A1" s="100"/>
      <c r="B1" s="1"/>
      <c r="C1" s="108" t="s">
        <v>22</v>
      </c>
      <c r="D1" s="109"/>
      <c r="E1" s="109"/>
      <c r="F1" s="109"/>
      <c r="G1" s="109"/>
      <c r="H1" s="109"/>
      <c r="I1" s="109"/>
    </row>
    <row r="2" spans="1:10" ht="12.75">
      <c r="A2" s="110" t="s">
        <v>0</v>
      </c>
      <c r="B2" s="111"/>
      <c r="C2" s="114" t="str">
        <f>'Stavební rozpočet'!D2</f>
        <v>Oprava bytu Haškova -velikost 1+1- středový</v>
      </c>
      <c r="D2" s="115"/>
      <c r="E2" s="117" t="s">
        <v>32</v>
      </c>
      <c r="F2" s="117" t="str">
        <f>'Stavební rozpočet'!J2</f>
        <v>Město Žďár nad Sázavou</v>
      </c>
      <c r="G2" s="111"/>
      <c r="H2" s="117" t="s">
        <v>52</v>
      </c>
      <c r="I2" s="118" t="s">
        <v>56</v>
      </c>
      <c r="J2" s="18"/>
    </row>
    <row r="3" spans="1:10" ht="12.75">
      <c r="A3" s="112"/>
      <c r="B3" s="113"/>
      <c r="C3" s="116"/>
      <c r="D3" s="116"/>
      <c r="E3" s="113"/>
      <c r="F3" s="113"/>
      <c r="G3" s="113"/>
      <c r="H3" s="113"/>
      <c r="I3" s="119"/>
      <c r="J3" s="18"/>
    </row>
    <row r="4" spans="1:10" ht="12.75">
      <c r="A4" s="120" t="s">
        <v>1</v>
      </c>
      <c r="B4" s="113"/>
      <c r="C4" s="121" t="str">
        <f>'Stavební rozpočet'!D4</f>
        <v>Haškova 6/4, Žďár nad Sázavou</v>
      </c>
      <c r="D4" s="113"/>
      <c r="E4" s="121" t="s">
        <v>33</v>
      </c>
      <c r="F4" s="121" t="str">
        <f>'Stavební rozpočet'!J4</f>
        <v>ing. Zbyněk Semerád</v>
      </c>
      <c r="G4" s="113"/>
      <c r="H4" s="121" t="s">
        <v>52</v>
      </c>
      <c r="I4" s="122" t="s">
        <v>57</v>
      </c>
      <c r="J4" s="18"/>
    </row>
    <row r="5" spans="1:10" ht="12.75">
      <c r="A5" s="112"/>
      <c r="B5" s="113"/>
      <c r="C5" s="113"/>
      <c r="D5" s="113"/>
      <c r="E5" s="113"/>
      <c r="F5" s="113"/>
      <c r="G5" s="113"/>
      <c r="H5" s="113"/>
      <c r="I5" s="119"/>
      <c r="J5" s="18"/>
    </row>
    <row r="6" spans="1:10" ht="12.75">
      <c r="A6" s="120" t="s">
        <v>2</v>
      </c>
      <c r="B6" s="113"/>
      <c r="C6" s="121" t="str">
        <f>'Stavební rozpočet'!D6</f>
        <v> </v>
      </c>
      <c r="D6" s="113"/>
      <c r="E6" s="121" t="s">
        <v>34</v>
      </c>
      <c r="F6" s="121" t="str">
        <f>'Stavební rozpočet'!J6</f>
        <v> </v>
      </c>
      <c r="G6" s="113"/>
      <c r="H6" s="121" t="s">
        <v>52</v>
      </c>
      <c r="I6" s="122"/>
      <c r="J6" s="18"/>
    </row>
    <row r="7" spans="1:10" ht="12.75">
      <c r="A7" s="112"/>
      <c r="B7" s="113"/>
      <c r="C7" s="113"/>
      <c r="D7" s="113"/>
      <c r="E7" s="113"/>
      <c r="F7" s="113"/>
      <c r="G7" s="113"/>
      <c r="H7" s="113"/>
      <c r="I7" s="119"/>
      <c r="J7" s="18"/>
    </row>
    <row r="8" spans="1:10" ht="12.75">
      <c r="A8" s="120" t="s">
        <v>3</v>
      </c>
      <c r="B8" s="113"/>
      <c r="C8" s="121" t="str">
        <f>'Stavební rozpočet'!H4</f>
        <v> </v>
      </c>
      <c r="D8" s="113"/>
      <c r="E8" s="121" t="s">
        <v>35</v>
      </c>
      <c r="F8" s="121" t="str">
        <f>'Stavební rozpočet'!H6</f>
        <v> </v>
      </c>
      <c r="G8" s="113"/>
      <c r="H8" s="123" t="s">
        <v>53</v>
      </c>
      <c r="I8" s="122" t="s">
        <v>58</v>
      </c>
      <c r="J8" s="18"/>
    </row>
    <row r="9" spans="1:10" ht="12.75">
      <c r="A9" s="112"/>
      <c r="B9" s="113"/>
      <c r="C9" s="113"/>
      <c r="D9" s="113"/>
      <c r="E9" s="113"/>
      <c r="F9" s="113"/>
      <c r="G9" s="113"/>
      <c r="H9" s="113"/>
      <c r="I9" s="119"/>
      <c r="J9" s="18"/>
    </row>
    <row r="10" spans="1:10" ht="12.75">
      <c r="A10" s="120" t="s">
        <v>4</v>
      </c>
      <c r="B10" s="113"/>
      <c r="C10" s="121" t="str">
        <f>'Stavební rozpočet'!D8</f>
        <v> </v>
      </c>
      <c r="D10" s="113"/>
      <c r="E10" s="121" t="s">
        <v>36</v>
      </c>
      <c r="F10" s="121" t="str">
        <f>'Stavební rozpočet'!J8</f>
        <v> </v>
      </c>
      <c r="G10" s="113"/>
      <c r="H10" s="123" t="s">
        <v>54</v>
      </c>
      <c r="I10" s="126" t="str">
        <f>'Stavební rozpočet'!H8</f>
        <v>05.05.2022</v>
      </c>
      <c r="J10" s="18"/>
    </row>
    <row r="11" spans="1:10" ht="12.75">
      <c r="A11" s="124"/>
      <c r="B11" s="125"/>
      <c r="C11" s="125"/>
      <c r="D11" s="125"/>
      <c r="E11" s="125"/>
      <c r="F11" s="125"/>
      <c r="G11" s="125"/>
      <c r="H11" s="125"/>
      <c r="I11" s="127"/>
      <c r="J11" s="18"/>
    </row>
    <row r="12" spans="1:9" ht="23.25" customHeight="1">
      <c r="A12" s="128" t="s">
        <v>5</v>
      </c>
      <c r="B12" s="129"/>
      <c r="C12" s="129"/>
      <c r="D12" s="129"/>
      <c r="E12" s="129"/>
      <c r="F12" s="129"/>
      <c r="G12" s="129"/>
      <c r="H12" s="129"/>
      <c r="I12" s="129"/>
    </row>
    <row r="13" spans="1:10" ht="26.25" customHeight="1">
      <c r="A13" s="2" t="s">
        <v>6</v>
      </c>
      <c r="B13" s="130" t="s">
        <v>19</v>
      </c>
      <c r="C13" s="131"/>
      <c r="D13" s="2" t="s">
        <v>23</v>
      </c>
      <c r="E13" s="130" t="s">
        <v>37</v>
      </c>
      <c r="F13" s="131"/>
      <c r="G13" s="2" t="s">
        <v>38</v>
      </c>
      <c r="H13" s="130" t="s">
        <v>55</v>
      </c>
      <c r="I13" s="131"/>
      <c r="J13" s="18"/>
    </row>
    <row r="14" spans="1:10" ht="15" customHeight="1">
      <c r="A14" s="3" t="s">
        <v>7</v>
      </c>
      <c r="B14" s="8" t="s">
        <v>20</v>
      </c>
      <c r="C14" s="12">
        <f>SUM('Stavební rozpočet'!AB12:AB258)</f>
        <v>0</v>
      </c>
      <c r="D14" s="132" t="s">
        <v>24</v>
      </c>
      <c r="E14" s="133"/>
      <c r="F14" s="12">
        <f>VORN!I15</f>
        <v>0</v>
      </c>
      <c r="G14" s="132" t="s">
        <v>39</v>
      </c>
      <c r="H14" s="133"/>
      <c r="I14" s="12">
        <f>VORN!I21</f>
        <v>0</v>
      </c>
      <c r="J14" s="18"/>
    </row>
    <row r="15" spans="1:10" ht="15" customHeight="1">
      <c r="A15" s="4"/>
      <c r="B15" s="8" t="s">
        <v>21</v>
      </c>
      <c r="C15" s="12">
        <f>SUM('Stavební rozpočet'!AC12:AC258)</f>
        <v>0</v>
      </c>
      <c r="D15" s="132" t="s">
        <v>25</v>
      </c>
      <c r="E15" s="133"/>
      <c r="F15" s="12">
        <f>VORN!I16</f>
        <v>0</v>
      </c>
      <c r="G15" s="132" t="s">
        <v>40</v>
      </c>
      <c r="H15" s="133"/>
      <c r="I15" s="12">
        <f>VORN!I22</f>
        <v>0</v>
      </c>
      <c r="J15" s="18"/>
    </row>
    <row r="16" spans="1:10" ht="15" customHeight="1">
      <c r="A16" s="3" t="s">
        <v>8</v>
      </c>
      <c r="B16" s="8" t="s">
        <v>20</v>
      </c>
      <c r="C16" s="12">
        <f>SUM('Stavební rozpočet'!AD12:AD258)</f>
        <v>0</v>
      </c>
      <c r="D16" s="132" t="s">
        <v>26</v>
      </c>
      <c r="E16" s="133"/>
      <c r="F16" s="12">
        <f>VORN!I17</f>
        <v>0</v>
      </c>
      <c r="G16" s="132" t="s">
        <v>41</v>
      </c>
      <c r="H16" s="133"/>
      <c r="I16" s="12">
        <f>VORN!I23</f>
        <v>0</v>
      </c>
      <c r="J16" s="18"/>
    </row>
    <row r="17" spans="1:10" ht="15" customHeight="1">
      <c r="A17" s="4"/>
      <c r="B17" s="8" t="s">
        <v>21</v>
      </c>
      <c r="C17" s="12">
        <f>SUM('Stavební rozpočet'!AE12:AE258)</f>
        <v>0</v>
      </c>
      <c r="D17" s="132"/>
      <c r="E17" s="133"/>
      <c r="F17" s="13"/>
      <c r="G17" s="132" t="s">
        <v>42</v>
      </c>
      <c r="H17" s="133"/>
      <c r="I17" s="12">
        <f>VORN!I24</f>
        <v>0</v>
      </c>
      <c r="J17" s="18"/>
    </row>
    <row r="18" spans="1:10" ht="15" customHeight="1">
      <c r="A18" s="3" t="s">
        <v>9</v>
      </c>
      <c r="B18" s="8" t="s">
        <v>20</v>
      </c>
      <c r="C18" s="12">
        <f>SUM('Stavební rozpočet'!AF12:AF258)</f>
        <v>0</v>
      </c>
      <c r="D18" s="132"/>
      <c r="E18" s="133"/>
      <c r="F18" s="13"/>
      <c r="G18" s="132" t="s">
        <v>43</v>
      </c>
      <c r="H18" s="133"/>
      <c r="I18" s="12">
        <f>VORN!I25</f>
        <v>0</v>
      </c>
      <c r="J18" s="18"/>
    </row>
    <row r="19" spans="1:10" ht="15" customHeight="1">
      <c r="A19" s="4"/>
      <c r="B19" s="8" t="s">
        <v>21</v>
      </c>
      <c r="C19" s="12">
        <f>SUM('Stavební rozpočet'!AG12:AG258)</f>
        <v>0</v>
      </c>
      <c r="D19" s="132"/>
      <c r="E19" s="133"/>
      <c r="F19" s="13"/>
      <c r="G19" s="132" t="s">
        <v>44</v>
      </c>
      <c r="H19" s="133"/>
      <c r="I19" s="12">
        <f>VORN!I26</f>
        <v>0</v>
      </c>
      <c r="J19" s="18"/>
    </row>
    <row r="20" spans="1:10" ht="15" customHeight="1">
      <c r="A20" s="134" t="s">
        <v>10</v>
      </c>
      <c r="B20" s="135"/>
      <c r="C20" s="12">
        <f>SUM('Stavební rozpočet'!AH12:AH258)</f>
        <v>0</v>
      </c>
      <c r="D20" s="132"/>
      <c r="E20" s="133"/>
      <c r="F20" s="13"/>
      <c r="G20" s="132"/>
      <c r="H20" s="133"/>
      <c r="I20" s="13"/>
      <c r="J20" s="18"/>
    </row>
    <row r="21" spans="1:10" ht="15" customHeight="1">
      <c r="A21" s="134" t="s">
        <v>11</v>
      </c>
      <c r="B21" s="135"/>
      <c r="C21" s="12">
        <f>SUM('Stavební rozpočet'!Z12:Z258)</f>
        <v>0</v>
      </c>
      <c r="D21" s="132"/>
      <c r="E21" s="133"/>
      <c r="F21" s="13"/>
      <c r="G21" s="132"/>
      <c r="H21" s="133"/>
      <c r="I21" s="13"/>
      <c r="J21" s="18"/>
    </row>
    <row r="22" spans="1:10" ht="16.5" customHeight="1">
      <c r="A22" s="134" t="s">
        <v>12</v>
      </c>
      <c r="B22" s="135"/>
      <c r="C22" s="12">
        <f>SUM(C14:C21)</f>
        <v>0</v>
      </c>
      <c r="D22" s="134" t="s">
        <v>27</v>
      </c>
      <c r="E22" s="135"/>
      <c r="F22" s="12">
        <f>SUM(F14:F21)</f>
        <v>0</v>
      </c>
      <c r="G22" s="134" t="s">
        <v>45</v>
      </c>
      <c r="H22" s="135"/>
      <c r="I22" s="12">
        <f>SUM(I14:I21)</f>
        <v>0</v>
      </c>
      <c r="J22" s="18"/>
    </row>
    <row r="23" spans="1:10" ht="15" customHeight="1">
      <c r="A23" s="5"/>
      <c r="B23" s="5"/>
      <c r="C23" s="10"/>
      <c r="D23" s="134" t="s">
        <v>28</v>
      </c>
      <c r="E23" s="135"/>
      <c r="F23" s="14">
        <v>0</v>
      </c>
      <c r="G23" s="134" t="s">
        <v>46</v>
      </c>
      <c r="H23" s="135"/>
      <c r="I23" s="12">
        <v>0</v>
      </c>
      <c r="J23" s="18"/>
    </row>
    <row r="24" spans="4:10" ht="15" customHeight="1">
      <c r="D24" s="5"/>
      <c r="E24" s="5"/>
      <c r="F24" s="15"/>
      <c r="G24" s="134" t="s">
        <v>47</v>
      </c>
      <c r="H24" s="135"/>
      <c r="I24" s="12">
        <f>vorn_sum</f>
        <v>0</v>
      </c>
      <c r="J24" s="18"/>
    </row>
    <row r="25" spans="6:10" ht="15" customHeight="1">
      <c r="F25" s="16"/>
      <c r="G25" s="134" t="s">
        <v>48</v>
      </c>
      <c r="H25" s="135"/>
      <c r="I25" s="12">
        <v>0</v>
      </c>
      <c r="J25" s="18"/>
    </row>
    <row r="26" spans="1:9" ht="12.75">
      <c r="A26" s="1"/>
      <c r="B26" s="1"/>
      <c r="C26" s="1"/>
      <c r="G26" s="5"/>
      <c r="H26" s="5"/>
      <c r="I26" s="5"/>
    </row>
    <row r="27" spans="1:9" ht="15" customHeight="1">
      <c r="A27" s="136" t="s">
        <v>13</v>
      </c>
      <c r="B27" s="137"/>
      <c r="C27" s="20">
        <f>SUM('Stavební rozpočet'!AJ12:AJ258)</f>
        <v>0</v>
      </c>
      <c r="D27" s="11"/>
      <c r="E27" s="1"/>
      <c r="F27" s="1"/>
      <c r="G27" s="1"/>
      <c r="H27" s="1"/>
      <c r="I27" s="1"/>
    </row>
    <row r="28" spans="1:10" ht="15" customHeight="1">
      <c r="A28" s="136" t="s">
        <v>14</v>
      </c>
      <c r="B28" s="137"/>
      <c r="C28" s="20">
        <f>SUM('Stavební rozpočet'!AK12:AK258)+(F22+I22+F23+I23+I24+I25)</f>
        <v>0</v>
      </c>
      <c r="D28" s="136" t="s">
        <v>29</v>
      </c>
      <c r="E28" s="137"/>
      <c r="F28" s="20">
        <f>ROUND(C28*(15/100),2)</f>
        <v>0</v>
      </c>
      <c r="G28" s="136" t="s">
        <v>49</v>
      </c>
      <c r="H28" s="137"/>
      <c r="I28" s="20">
        <f>SUM(C27:C29)</f>
        <v>0</v>
      </c>
      <c r="J28" s="18"/>
    </row>
    <row r="29" spans="1:10" ht="15" customHeight="1">
      <c r="A29" s="136" t="s">
        <v>15</v>
      </c>
      <c r="B29" s="137"/>
      <c r="C29" s="20">
        <f>SUM('Stavební rozpočet'!AL12:AL258)</f>
        <v>0</v>
      </c>
      <c r="D29" s="136" t="s">
        <v>30</v>
      </c>
      <c r="E29" s="137"/>
      <c r="F29" s="20">
        <f>ROUND(C29*(21/100),2)</f>
        <v>0</v>
      </c>
      <c r="G29" s="136" t="s">
        <v>50</v>
      </c>
      <c r="H29" s="137"/>
      <c r="I29" s="20">
        <f>SUM(F28:F29)+I28</f>
        <v>0</v>
      </c>
      <c r="J29" s="18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10" ht="14.25" customHeight="1">
      <c r="A31" s="138" t="s">
        <v>16</v>
      </c>
      <c r="B31" s="139"/>
      <c r="C31" s="140"/>
      <c r="D31" s="138" t="s">
        <v>31</v>
      </c>
      <c r="E31" s="139"/>
      <c r="F31" s="140"/>
      <c r="G31" s="138" t="s">
        <v>51</v>
      </c>
      <c r="H31" s="139"/>
      <c r="I31" s="140"/>
      <c r="J31" s="19"/>
    </row>
    <row r="32" spans="1:10" ht="14.25" customHeight="1">
      <c r="A32" s="141"/>
      <c r="B32" s="142"/>
      <c r="C32" s="143"/>
      <c r="D32" s="141"/>
      <c r="E32" s="142"/>
      <c r="F32" s="143"/>
      <c r="G32" s="141"/>
      <c r="H32" s="142"/>
      <c r="I32" s="143"/>
      <c r="J32" s="19"/>
    </row>
    <row r="33" spans="1:10" ht="14.25" customHeight="1">
      <c r="A33" s="141"/>
      <c r="B33" s="142"/>
      <c r="C33" s="143"/>
      <c r="D33" s="141"/>
      <c r="E33" s="142"/>
      <c r="F33" s="143"/>
      <c r="G33" s="141"/>
      <c r="H33" s="142"/>
      <c r="I33" s="143"/>
      <c r="J33" s="19"/>
    </row>
    <row r="34" spans="1:10" ht="14.25" customHeight="1">
      <c r="A34" s="141"/>
      <c r="B34" s="142"/>
      <c r="C34" s="143"/>
      <c r="D34" s="141"/>
      <c r="E34" s="142"/>
      <c r="F34" s="143"/>
      <c r="G34" s="141"/>
      <c r="H34" s="142"/>
      <c r="I34" s="143"/>
      <c r="J34" s="19"/>
    </row>
    <row r="35" spans="1:10" ht="14.25" customHeight="1">
      <c r="A35" s="144" t="s">
        <v>17</v>
      </c>
      <c r="B35" s="145"/>
      <c r="C35" s="146"/>
      <c r="D35" s="144" t="s">
        <v>17</v>
      </c>
      <c r="E35" s="145"/>
      <c r="F35" s="146"/>
      <c r="G35" s="144" t="s">
        <v>17</v>
      </c>
      <c r="H35" s="145"/>
      <c r="I35" s="146"/>
      <c r="J35" s="19"/>
    </row>
    <row r="36" spans="1:9" ht="11.25" customHeight="1">
      <c r="A36" s="7" t="s">
        <v>18</v>
      </c>
      <c r="B36" s="9"/>
      <c r="C36" s="9"/>
      <c r="D36" s="9"/>
      <c r="E36" s="9"/>
      <c r="F36" s="9"/>
      <c r="G36" s="9"/>
      <c r="H36" s="9"/>
      <c r="I36" s="9"/>
    </row>
    <row r="37" spans="1:9" ht="12.75">
      <c r="A37" s="121"/>
      <c r="B37" s="113"/>
      <c r="C37" s="113"/>
      <c r="D37" s="113"/>
      <c r="E37" s="113"/>
      <c r="F37" s="113"/>
      <c r="G37" s="113"/>
      <c r="H37" s="113"/>
      <c r="I37" s="113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23.25">
      <c r="A1" s="100"/>
      <c r="B1" s="1"/>
      <c r="C1" s="108" t="s">
        <v>67</v>
      </c>
      <c r="D1" s="109"/>
      <c r="E1" s="109"/>
      <c r="F1" s="109"/>
      <c r="G1" s="109"/>
      <c r="H1" s="109"/>
      <c r="I1" s="109"/>
    </row>
    <row r="2" spans="1:10" ht="12.75">
      <c r="A2" s="110" t="s">
        <v>0</v>
      </c>
      <c r="B2" s="111"/>
      <c r="C2" s="114" t="str">
        <f>'Stavební rozpočet'!D2</f>
        <v>Oprava bytu Haškova -velikost 1+1- středový</v>
      </c>
      <c r="D2" s="115"/>
      <c r="E2" s="117" t="s">
        <v>32</v>
      </c>
      <c r="F2" s="117" t="str">
        <f>'Stavební rozpočet'!J2</f>
        <v>Město Žďár nad Sázavou</v>
      </c>
      <c r="G2" s="111"/>
      <c r="H2" s="117" t="s">
        <v>52</v>
      </c>
      <c r="I2" s="118" t="s">
        <v>56</v>
      </c>
      <c r="J2" s="18"/>
    </row>
    <row r="3" spans="1:10" ht="12.75">
      <c r="A3" s="112"/>
      <c r="B3" s="113"/>
      <c r="C3" s="116"/>
      <c r="D3" s="116"/>
      <c r="E3" s="113"/>
      <c r="F3" s="113"/>
      <c r="G3" s="113"/>
      <c r="H3" s="113"/>
      <c r="I3" s="119"/>
      <c r="J3" s="18"/>
    </row>
    <row r="4" spans="1:10" ht="12.75">
      <c r="A4" s="120" t="s">
        <v>1</v>
      </c>
      <c r="B4" s="113"/>
      <c r="C4" s="121" t="str">
        <f>'Stavební rozpočet'!D4</f>
        <v>Haškova 6/4, Žďár nad Sázavou</v>
      </c>
      <c r="D4" s="113"/>
      <c r="E4" s="121" t="s">
        <v>33</v>
      </c>
      <c r="F4" s="121" t="str">
        <f>'Stavební rozpočet'!J4</f>
        <v>ing. Zbyněk Semerád</v>
      </c>
      <c r="G4" s="113"/>
      <c r="H4" s="121" t="s">
        <v>52</v>
      </c>
      <c r="I4" s="122" t="s">
        <v>57</v>
      </c>
      <c r="J4" s="18"/>
    </row>
    <row r="5" spans="1:10" ht="12.75">
      <c r="A5" s="112"/>
      <c r="B5" s="113"/>
      <c r="C5" s="113"/>
      <c r="D5" s="113"/>
      <c r="E5" s="113"/>
      <c r="F5" s="113"/>
      <c r="G5" s="113"/>
      <c r="H5" s="113"/>
      <c r="I5" s="119"/>
      <c r="J5" s="18"/>
    </row>
    <row r="6" spans="1:10" ht="12.75">
      <c r="A6" s="120" t="s">
        <v>2</v>
      </c>
      <c r="B6" s="113"/>
      <c r="C6" s="121" t="str">
        <f>'Stavební rozpočet'!D6</f>
        <v> </v>
      </c>
      <c r="D6" s="113"/>
      <c r="E6" s="121" t="s">
        <v>34</v>
      </c>
      <c r="F6" s="121" t="str">
        <f>'Stavební rozpočet'!J6</f>
        <v> </v>
      </c>
      <c r="G6" s="113"/>
      <c r="H6" s="121" t="s">
        <v>52</v>
      </c>
      <c r="I6" s="122"/>
      <c r="J6" s="18"/>
    </row>
    <row r="7" spans="1:10" ht="12.75">
      <c r="A7" s="112"/>
      <c r="B7" s="113"/>
      <c r="C7" s="113"/>
      <c r="D7" s="113"/>
      <c r="E7" s="113"/>
      <c r="F7" s="113"/>
      <c r="G7" s="113"/>
      <c r="H7" s="113"/>
      <c r="I7" s="119"/>
      <c r="J7" s="18"/>
    </row>
    <row r="8" spans="1:10" ht="12.75">
      <c r="A8" s="120" t="s">
        <v>3</v>
      </c>
      <c r="B8" s="113"/>
      <c r="C8" s="121" t="str">
        <f>'Stavební rozpočet'!H4</f>
        <v> </v>
      </c>
      <c r="D8" s="113"/>
      <c r="E8" s="121" t="s">
        <v>35</v>
      </c>
      <c r="F8" s="121" t="str">
        <f>'Stavební rozpočet'!H6</f>
        <v> </v>
      </c>
      <c r="G8" s="113"/>
      <c r="H8" s="123" t="s">
        <v>53</v>
      </c>
      <c r="I8" s="122" t="s">
        <v>58</v>
      </c>
      <c r="J8" s="18"/>
    </row>
    <row r="9" spans="1:10" ht="12.75">
      <c r="A9" s="112"/>
      <c r="B9" s="113"/>
      <c r="C9" s="113"/>
      <c r="D9" s="113"/>
      <c r="E9" s="113"/>
      <c r="F9" s="113"/>
      <c r="G9" s="113"/>
      <c r="H9" s="113"/>
      <c r="I9" s="119"/>
      <c r="J9" s="18"/>
    </row>
    <row r="10" spans="1:10" ht="12.75">
      <c r="A10" s="120" t="s">
        <v>4</v>
      </c>
      <c r="B10" s="113"/>
      <c r="C10" s="121" t="str">
        <f>'Stavební rozpočet'!D8</f>
        <v> </v>
      </c>
      <c r="D10" s="113"/>
      <c r="E10" s="121" t="s">
        <v>36</v>
      </c>
      <c r="F10" s="121" t="str">
        <f>'Stavební rozpočet'!J8</f>
        <v> </v>
      </c>
      <c r="G10" s="113"/>
      <c r="H10" s="123" t="s">
        <v>54</v>
      </c>
      <c r="I10" s="126" t="str">
        <f>'Stavební rozpočet'!H8</f>
        <v>05.05.2022</v>
      </c>
      <c r="J10" s="18"/>
    </row>
    <row r="11" spans="1:10" ht="12.75">
      <c r="A11" s="124"/>
      <c r="B11" s="125"/>
      <c r="C11" s="125"/>
      <c r="D11" s="125"/>
      <c r="E11" s="125"/>
      <c r="F11" s="125"/>
      <c r="G11" s="125"/>
      <c r="H11" s="125"/>
      <c r="I11" s="127"/>
      <c r="J11" s="18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5" customHeight="1">
      <c r="A13" s="147" t="s">
        <v>59</v>
      </c>
      <c r="B13" s="148"/>
      <c r="C13" s="148"/>
      <c r="D13" s="148"/>
      <c r="E13" s="148"/>
      <c r="F13" s="22"/>
      <c r="G13" s="22"/>
      <c r="H13" s="22"/>
      <c r="I13" s="22"/>
    </row>
    <row r="14" spans="1:10" ht="12.75">
      <c r="A14" s="149" t="s">
        <v>60</v>
      </c>
      <c r="B14" s="150"/>
      <c r="C14" s="150"/>
      <c r="D14" s="150"/>
      <c r="E14" s="151"/>
      <c r="F14" s="23" t="s">
        <v>68</v>
      </c>
      <c r="G14" s="23" t="s">
        <v>69</v>
      </c>
      <c r="H14" s="23" t="s">
        <v>70</v>
      </c>
      <c r="I14" s="23" t="s">
        <v>68</v>
      </c>
      <c r="J14" s="19"/>
    </row>
    <row r="15" spans="1:10" ht="12.75">
      <c r="A15" s="152" t="s">
        <v>24</v>
      </c>
      <c r="B15" s="153"/>
      <c r="C15" s="153"/>
      <c r="D15" s="153"/>
      <c r="E15" s="154"/>
      <c r="F15" s="24">
        <v>0</v>
      </c>
      <c r="G15" s="27"/>
      <c r="H15" s="27"/>
      <c r="I15" s="24">
        <f>F15</f>
        <v>0</v>
      </c>
      <c r="J15" s="18"/>
    </row>
    <row r="16" spans="1:10" ht="12.75">
      <c r="A16" s="152" t="s">
        <v>25</v>
      </c>
      <c r="B16" s="153"/>
      <c r="C16" s="153"/>
      <c r="D16" s="153"/>
      <c r="E16" s="154"/>
      <c r="F16" s="24">
        <v>0</v>
      </c>
      <c r="G16" s="27"/>
      <c r="H16" s="27"/>
      <c r="I16" s="24">
        <f>F16</f>
        <v>0</v>
      </c>
      <c r="J16" s="18"/>
    </row>
    <row r="17" spans="1:10" ht="12.75">
      <c r="A17" s="155" t="s">
        <v>26</v>
      </c>
      <c r="B17" s="156"/>
      <c r="C17" s="156"/>
      <c r="D17" s="156"/>
      <c r="E17" s="157"/>
      <c r="F17" s="25">
        <v>0</v>
      </c>
      <c r="G17" s="28"/>
      <c r="H17" s="28"/>
      <c r="I17" s="25">
        <f>F17</f>
        <v>0</v>
      </c>
      <c r="J17" s="18"/>
    </row>
    <row r="18" spans="1:10" ht="12.75">
      <c r="A18" s="158" t="s">
        <v>61</v>
      </c>
      <c r="B18" s="159"/>
      <c r="C18" s="159"/>
      <c r="D18" s="159"/>
      <c r="E18" s="160"/>
      <c r="F18" s="26"/>
      <c r="G18" s="29"/>
      <c r="H18" s="29"/>
      <c r="I18" s="30">
        <f>SUM(I15:I17)</f>
        <v>0</v>
      </c>
      <c r="J18" s="19"/>
    </row>
    <row r="19" spans="1:9" ht="12.75">
      <c r="A19" s="21"/>
      <c r="B19" s="21"/>
      <c r="C19" s="21"/>
      <c r="D19" s="21"/>
      <c r="E19" s="21"/>
      <c r="F19" s="21"/>
      <c r="G19" s="21"/>
      <c r="H19" s="21"/>
      <c r="I19" s="21"/>
    </row>
    <row r="20" spans="1:10" ht="12.75">
      <c r="A20" s="149" t="s">
        <v>55</v>
      </c>
      <c r="B20" s="150"/>
      <c r="C20" s="150"/>
      <c r="D20" s="150"/>
      <c r="E20" s="151"/>
      <c r="F20" s="23" t="s">
        <v>68</v>
      </c>
      <c r="G20" s="23" t="s">
        <v>69</v>
      </c>
      <c r="H20" s="23" t="s">
        <v>70</v>
      </c>
      <c r="I20" s="23" t="s">
        <v>68</v>
      </c>
      <c r="J20" s="19"/>
    </row>
    <row r="21" spans="1:10" ht="12.75">
      <c r="A21" s="152" t="s">
        <v>39</v>
      </c>
      <c r="B21" s="153"/>
      <c r="C21" s="153"/>
      <c r="D21" s="153"/>
      <c r="E21" s="154"/>
      <c r="F21" s="27"/>
      <c r="G21" s="24">
        <v>2.6</v>
      </c>
      <c r="H21" s="24">
        <f>'Krycí list rozpočtu'!C22</f>
        <v>0</v>
      </c>
      <c r="I21" s="24">
        <f>ROUND((G21/100)*H21,2)</f>
        <v>0</v>
      </c>
      <c r="J21" s="18"/>
    </row>
    <row r="22" spans="1:10" ht="12.75">
      <c r="A22" s="152" t="s">
        <v>40</v>
      </c>
      <c r="B22" s="153"/>
      <c r="C22" s="153"/>
      <c r="D22" s="153"/>
      <c r="E22" s="154"/>
      <c r="F22" s="24">
        <v>0</v>
      </c>
      <c r="G22" s="27"/>
      <c r="H22" s="27"/>
      <c r="I22" s="24">
        <f>F22</f>
        <v>0</v>
      </c>
      <c r="J22" s="18"/>
    </row>
    <row r="23" spans="1:10" ht="12.75">
      <c r="A23" s="152" t="s">
        <v>41</v>
      </c>
      <c r="B23" s="153"/>
      <c r="C23" s="153"/>
      <c r="D23" s="153"/>
      <c r="E23" s="154"/>
      <c r="F23" s="24">
        <v>0</v>
      </c>
      <c r="G23" s="27"/>
      <c r="H23" s="27"/>
      <c r="I23" s="24">
        <f>F23</f>
        <v>0</v>
      </c>
      <c r="J23" s="18"/>
    </row>
    <row r="24" spans="1:10" ht="12.75">
      <c r="A24" s="152" t="s">
        <v>42</v>
      </c>
      <c r="B24" s="153"/>
      <c r="C24" s="153"/>
      <c r="D24" s="153"/>
      <c r="E24" s="154"/>
      <c r="F24" s="24">
        <v>0</v>
      </c>
      <c r="G24" s="27"/>
      <c r="H24" s="27"/>
      <c r="I24" s="24">
        <f>F24</f>
        <v>0</v>
      </c>
      <c r="J24" s="18"/>
    </row>
    <row r="25" spans="1:10" ht="12.75">
      <c r="A25" s="152" t="s">
        <v>43</v>
      </c>
      <c r="B25" s="153"/>
      <c r="C25" s="153"/>
      <c r="D25" s="153"/>
      <c r="E25" s="154"/>
      <c r="F25" s="24">
        <v>0</v>
      </c>
      <c r="G25" s="27"/>
      <c r="H25" s="27"/>
      <c r="I25" s="24">
        <f>F25</f>
        <v>0</v>
      </c>
      <c r="J25" s="18"/>
    </row>
    <row r="26" spans="1:10" ht="12.75">
      <c r="A26" s="155" t="s">
        <v>44</v>
      </c>
      <c r="B26" s="156"/>
      <c r="C26" s="156"/>
      <c r="D26" s="156"/>
      <c r="E26" s="157"/>
      <c r="F26" s="25">
        <v>0</v>
      </c>
      <c r="G26" s="28"/>
      <c r="H26" s="28"/>
      <c r="I26" s="25">
        <f>F26</f>
        <v>0</v>
      </c>
      <c r="J26" s="18"/>
    </row>
    <row r="27" spans="1:10" ht="12.75">
      <c r="A27" s="158" t="s">
        <v>62</v>
      </c>
      <c r="B27" s="159"/>
      <c r="C27" s="159"/>
      <c r="D27" s="159"/>
      <c r="E27" s="160"/>
      <c r="F27" s="26"/>
      <c r="G27" s="29"/>
      <c r="H27" s="29"/>
      <c r="I27" s="30">
        <f>SUM(I21:I26)</f>
        <v>0</v>
      </c>
      <c r="J27" s="19"/>
    </row>
    <row r="28" spans="1:9" ht="12.75">
      <c r="A28" s="21"/>
      <c r="B28" s="21"/>
      <c r="C28" s="21"/>
      <c r="D28" s="21"/>
      <c r="E28" s="21"/>
      <c r="F28" s="21"/>
      <c r="G28" s="21"/>
      <c r="H28" s="21"/>
      <c r="I28" s="21"/>
    </row>
    <row r="29" spans="1:10" ht="15" customHeight="1">
      <c r="A29" s="161" t="s">
        <v>63</v>
      </c>
      <c r="B29" s="162"/>
      <c r="C29" s="162"/>
      <c r="D29" s="162"/>
      <c r="E29" s="163"/>
      <c r="F29" s="164">
        <f>I18+I27</f>
        <v>0</v>
      </c>
      <c r="G29" s="165"/>
      <c r="H29" s="165"/>
      <c r="I29" s="166"/>
      <c r="J29" s="19"/>
    </row>
    <row r="30" spans="1:9" ht="12.75">
      <c r="A30" s="9"/>
      <c r="B30" s="9"/>
      <c r="C30" s="9"/>
      <c r="D30" s="9"/>
      <c r="E30" s="9"/>
      <c r="F30" s="9"/>
      <c r="G30" s="9"/>
      <c r="H30" s="9"/>
      <c r="I30" s="9"/>
    </row>
    <row r="33" spans="1:9" ht="15" customHeight="1">
      <c r="A33" s="147" t="s">
        <v>64</v>
      </c>
      <c r="B33" s="148"/>
      <c r="C33" s="148"/>
      <c r="D33" s="148"/>
      <c r="E33" s="148"/>
      <c r="F33" s="22"/>
      <c r="G33" s="22"/>
      <c r="H33" s="22"/>
      <c r="I33" s="22"/>
    </row>
    <row r="34" spans="1:10" ht="12.75">
      <c r="A34" s="149" t="s">
        <v>65</v>
      </c>
      <c r="B34" s="150"/>
      <c r="C34" s="150"/>
      <c r="D34" s="150"/>
      <c r="E34" s="151"/>
      <c r="F34" s="23" t="s">
        <v>68</v>
      </c>
      <c r="G34" s="23" t="s">
        <v>69</v>
      </c>
      <c r="H34" s="23" t="s">
        <v>70</v>
      </c>
      <c r="I34" s="23" t="s">
        <v>68</v>
      </c>
      <c r="J34" s="19"/>
    </row>
    <row r="35" spans="1:10" ht="12.75">
      <c r="A35" s="155"/>
      <c r="B35" s="156"/>
      <c r="C35" s="156"/>
      <c r="D35" s="156"/>
      <c r="E35" s="157"/>
      <c r="F35" s="25">
        <v>0</v>
      </c>
      <c r="G35" s="28"/>
      <c r="H35" s="28"/>
      <c r="I35" s="25">
        <f>F35</f>
        <v>0</v>
      </c>
      <c r="J35" s="18"/>
    </row>
    <row r="36" spans="1:10" ht="12.75">
      <c r="A36" s="158" t="s">
        <v>66</v>
      </c>
      <c r="B36" s="159"/>
      <c r="C36" s="159"/>
      <c r="D36" s="159"/>
      <c r="E36" s="160"/>
      <c r="F36" s="26"/>
      <c r="G36" s="29"/>
      <c r="H36" s="29"/>
      <c r="I36" s="30">
        <f>SUM(I35:I35)</f>
        <v>0</v>
      </c>
      <c r="J36" s="19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</sheetData>
  <sheetProtection/>
  <mergeCells count="51">
    <mergeCell ref="A35:E35"/>
    <mergeCell ref="A36:E36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61"/>
  <sheetViews>
    <sheetView tabSelected="1" zoomScale="130" zoomScaleNormal="130" zoomScalePageLayoutView="0" workbookViewId="0" topLeftCell="A1">
      <pane ySplit="11" topLeftCell="A118" activePane="bottomLeft" state="frozen"/>
      <selection pane="topLeft" activeCell="A1" sqref="A1"/>
      <selection pane="bottomLeft" activeCell="F136" sqref="F136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35.57421875" style="0" customWidth="1"/>
    <col min="5" max="5" width="42.57421875" style="0" customWidth="1"/>
    <col min="6" max="6" width="6.421875" style="0" customWidth="1"/>
    <col min="7" max="7" width="12.8515625" style="0" customWidth="1"/>
    <col min="8" max="8" width="12.00390625" style="0" customWidth="1"/>
    <col min="9" max="11" width="14.28125" style="0" customWidth="1"/>
    <col min="12" max="14" width="11.7109375" style="0" customWidth="1"/>
    <col min="15" max="24" width="11.57421875" style="0" customWidth="1"/>
    <col min="25" max="64" width="12.140625" style="0" hidden="1" customWidth="1"/>
  </cols>
  <sheetData>
    <row r="1" spans="1:14" ht="23.25">
      <c r="A1" s="167" t="s">
        <v>71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15" ht="12.75">
      <c r="A2" s="110" t="s">
        <v>0</v>
      </c>
      <c r="B2" s="111"/>
      <c r="C2" s="111"/>
      <c r="D2" s="114" t="s">
        <v>368</v>
      </c>
      <c r="E2" s="115"/>
      <c r="F2" s="168" t="s">
        <v>604</v>
      </c>
      <c r="G2" s="111"/>
      <c r="H2" s="168" t="s">
        <v>73</v>
      </c>
      <c r="I2" s="117" t="s">
        <v>32</v>
      </c>
      <c r="J2" s="117" t="s">
        <v>622</v>
      </c>
      <c r="K2" s="111"/>
      <c r="L2" s="111"/>
      <c r="M2" s="111"/>
      <c r="N2" s="169"/>
      <c r="O2" s="18"/>
    </row>
    <row r="3" spans="1:15" ht="12.75">
      <c r="A3" s="112"/>
      <c r="B3" s="113"/>
      <c r="C3" s="113"/>
      <c r="D3" s="116"/>
      <c r="E3" s="116"/>
      <c r="F3" s="113"/>
      <c r="G3" s="113"/>
      <c r="H3" s="113"/>
      <c r="I3" s="113"/>
      <c r="J3" s="113"/>
      <c r="K3" s="113"/>
      <c r="L3" s="113"/>
      <c r="M3" s="113"/>
      <c r="N3" s="119"/>
      <c r="O3" s="18"/>
    </row>
    <row r="4" spans="1:15" ht="12.75">
      <c r="A4" s="120" t="s">
        <v>1</v>
      </c>
      <c r="B4" s="113"/>
      <c r="C4" s="113"/>
      <c r="D4" s="121" t="s">
        <v>369</v>
      </c>
      <c r="E4" s="113"/>
      <c r="F4" s="123" t="s">
        <v>3</v>
      </c>
      <c r="G4" s="113"/>
      <c r="H4" s="123" t="s">
        <v>73</v>
      </c>
      <c r="I4" s="121" t="s">
        <v>33</v>
      </c>
      <c r="J4" s="121" t="s">
        <v>623</v>
      </c>
      <c r="K4" s="113"/>
      <c r="L4" s="113"/>
      <c r="M4" s="113"/>
      <c r="N4" s="119"/>
      <c r="O4" s="18"/>
    </row>
    <row r="5" spans="1:15" ht="12.75">
      <c r="A5" s="112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9"/>
      <c r="O5" s="18"/>
    </row>
    <row r="6" spans="1:15" ht="12.75">
      <c r="A6" s="120" t="s">
        <v>2</v>
      </c>
      <c r="B6" s="113"/>
      <c r="C6" s="113"/>
      <c r="D6" s="121" t="s">
        <v>73</v>
      </c>
      <c r="E6" s="113"/>
      <c r="F6" s="123" t="s">
        <v>35</v>
      </c>
      <c r="G6" s="113"/>
      <c r="H6" s="123" t="s">
        <v>73</v>
      </c>
      <c r="I6" s="121" t="s">
        <v>34</v>
      </c>
      <c r="J6" s="123" t="s">
        <v>624</v>
      </c>
      <c r="K6" s="113"/>
      <c r="L6" s="113"/>
      <c r="M6" s="113"/>
      <c r="N6" s="119"/>
      <c r="O6" s="18"/>
    </row>
    <row r="7" spans="1:15" ht="12.75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9"/>
      <c r="O7" s="18"/>
    </row>
    <row r="8" spans="1:15" ht="12.75">
      <c r="A8" s="120" t="s">
        <v>4</v>
      </c>
      <c r="B8" s="113"/>
      <c r="C8" s="113"/>
      <c r="D8" s="121" t="s">
        <v>73</v>
      </c>
      <c r="E8" s="113"/>
      <c r="F8" s="123" t="s">
        <v>605</v>
      </c>
      <c r="G8" s="113"/>
      <c r="H8" s="123" t="s">
        <v>616</v>
      </c>
      <c r="I8" s="121" t="s">
        <v>36</v>
      </c>
      <c r="J8" s="123" t="s">
        <v>624</v>
      </c>
      <c r="K8" s="113"/>
      <c r="L8" s="113"/>
      <c r="M8" s="113"/>
      <c r="N8" s="119"/>
      <c r="O8" s="18"/>
    </row>
    <row r="9" spans="1:15" ht="12.75">
      <c r="A9" s="170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2"/>
      <c r="O9" s="18"/>
    </row>
    <row r="10" spans="1:64" ht="12.75">
      <c r="A10" s="31" t="s">
        <v>72</v>
      </c>
      <c r="B10" s="36" t="s">
        <v>217</v>
      </c>
      <c r="C10" s="36" t="s">
        <v>218</v>
      </c>
      <c r="D10" s="173" t="s">
        <v>370</v>
      </c>
      <c r="E10" s="174"/>
      <c r="F10" s="36" t="s">
        <v>606</v>
      </c>
      <c r="G10" s="43" t="s">
        <v>615</v>
      </c>
      <c r="H10" s="47" t="s">
        <v>617</v>
      </c>
      <c r="I10" s="175" t="s">
        <v>619</v>
      </c>
      <c r="J10" s="176"/>
      <c r="K10" s="177"/>
      <c r="L10" s="175" t="s">
        <v>626</v>
      </c>
      <c r="M10" s="177"/>
      <c r="N10" s="54" t="s">
        <v>628</v>
      </c>
      <c r="O10" s="19"/>
      <c r="BK10" s="53" t="s">
        <v>674</v>
      </c>
      <c r="BL10" s="63" t="s">
        <v>677</v>
      </c>
    </row>
    <row r="11" spans="1:62" ht="12.75">
      <c r="A11" s="32" t="s">
        <v>73</v>
      </c>
      <c r="B11" s="37" t="s">
        <v>73</v>
      </c>
      <c r="C11" s="37" t="s">
        <v>73</v>
      </c>
      <c r="D11" s="178" t="s">
        <v>371</v>
      </c>
      <c r="E11" s="179"/>
      <c r="F11" s="37" t="s">
        <v>73</v>
      </c>
      <c r="G11" s="37" t="s">
        <v>73</v>
      </c>
      <c r="H11" s="48" t="s">
        <v>618</v>
      </c>
      <c r="I11" s="49" t="s">
        <v>620</v>
      </c>
      <c r="J11" s="50" t="s">
        <v>21</v>
      </c>
      <c r="K11" s="51" t="s">
        <v>625</v>
      </c>
      <c r="L11" s="49" t="s">
        <v>627</v>
      </c>
      <c r="M11" s="51" t="s">
        <v>625</v>
      </c>
      <c r="N11" s="55" t="s">
        <v>629</v>
      </c>
      <c r="O11" s="19"/>
      <c r="Z11" s="53" t="s">
        <v>631</v>
      </c>
      <c r="AA11" s="53" t="s">
        <v>632</v>
      </c>
      <c r="AB11" s="53" t="s">
        <v>633</v>
      </c>
      <c r="AC11" s="53" t="s">
        <v>634</v>
      </c>
      <c r="AD11" s="53" t="s">
        <v>635</v>
      </c>
      <c r="AE11" s="53" t="s">
        <v>636</v>
      </c>
      <c r="AF11" s="53" t="s">
        <v>637</v>
      </c>
      <c r="AG11" s="53" t="s">
        <v>638</v>
      </c>
      <c r="AH11" s="53" t="s">
        <v>639</v>
      </c>
      <c r="BH11" s="53" t="s">
        <v>671</v>
      </c>
      <c r="BI11" s="53" t="s">
        <v>672</v>
      </c>
      <c r="BJ11" s="53" t="s">
        <v>673</v>
      </c>
    </row>
    <row r="12" spans="1:15" ht="12.75">
      <c r="A12" s="33"/>
      <c r="B12" s="38"/>
      <c r="C12" s="38"/>
      <c r="D12" s="180" t="s">
        <v>372</v>
      </c>
      <c r="E12" s="181"/>
      <c r="F12" s="42" t="s">
        <v>73</v>
      </c>
      <c r="G12" s="42" t="s">
        <v>73</v>
      </c>
      <c r="H12" s="42" t="s">
        <v>73</v>
      </c>
      <c r="I12" s="64">
        <f>I13+I24+I60+I62+I67+I79+I91+I103+I134+I137+I154+I167+I200+I218+I225+I231+I233+I235+I237+I245+I247+I251</f>
        <v>0</v>
      </c>
      <c r="J12" s="64">
        <f>J13+J24+J60+J62+J67+J79+J91+J103+J134+J137+J154+J167+J200+J218+J225+J231+J233+J235+J237+J245+J247+J251</f>
        <v>0</v>
      </c>
      <c r="K12" s="64">
        <f>K13+K24+K60+K62+K67+K79+K91+K103+K134+K137+K154+K167+K200+K218+K225+K231+K233+K235+K237+K245+K247+K251</f>
        <v>0</v>
      </c>
      <c r="L12" s="52"/>
      <c r="M12" s="64">
        <f>M13+M24+M60+M62+M67+M79+M91+M103+M134+M137+M154+M167+M200+M218+M225+M231+M233+M235+M237+M245+M247+M251</f>
        <v>8.95959572</v>
      </c>
      <c r="N12" s="56"/>
      <c r="O12" s="18"/>
    </row>
    <row r="13" spans="1:47" ht="12.75">
      <c r="A13" s="67"/>
      <c r="B13" s="68"/>
      <c r="C13" s="68" t="s">
        <v>107</v>
      </c>
      <c r="D13" s="182" t="s">
        <v>373</v>
      </c>
      <c r="E13" s="183"/>
      <c r="F13" s="69" t="s">
        <v>73</v>
      </c>
      <c r="G13" s="69" t="s">
        <v>73</v>
      </c>
      <c r="H13" s="69" t="s">
        <v>73</v>
      </c>
      <c r="I13" s="70">
        <f>SUM(I14:I22)</f>
        <v>0</v>
      </c>
      <c r="J13" s="70">
        <f>SUM(J14:J22)</f>
        <v>0</v>
      </c>
      <c r="K13" s="70">
        <f>SUM(K14:K22)</f>
        <v>0</v>
      </c>
      <c r="L13" s="71"/>
      <c r="M13" s="70">
        <f>SUM(M14:M22)</f>
        <v>1.1157282</v>
      </c>
      <c r="N13" s="72"/>
      <c r="O13" s="18"/>
      <c r="AI13" s="53"/>
      <c r="AS13" s="65">
        <f>SUM(AJ14:AJ22)</f>
        <v>0</v>
      </c>
      <c r="AT13" s="65">
        <f>SUM(AK14:AK22)</f>
        <v>0</v>
      </c>
      <c r="AU13" s="65">
        <f>SUM(AL14:AL22)</f>
        <v>0</v>
      </c>
    </row>
    <row r="14" spans="1:64" ht="12.75">
      <c r="A14" s="73" t="s">
        <v>74</v>
      </c>
      <c r="B14" s="17"/>
      <c r="C14" s="17" t="s">
        <v>219</v>
      </c>
      <c r="D14" s="123" t="s">
        <v>374</v>
      </c>
      <c r="E14" s="184"/>
      <c r="F14" s="17" t="s">
        <v>607</v>
      </c>
      <c r="G14" s="59">
        <v>0.24</v>
      </c>
      <c r="H14" s="101"/>
      <c r="I14" s="59">
        <f>G14*AO14</f>
        <v>0</v>
      </c>
      <c r="J14" s="59">
        <f>G14*AP14</f>
        <v>0</v>
      </c>
      <c r="K14" s="59">
        <f>G14*H14</f>
        <v>0</v>
      </c>
      <c r="L14" s="59">
        <v>0.1435</v>
      </c>
      <c r="M14" s="59">
        <f>G14*L14</f>
        <v>0.03444</v>
      </c>
      <c r="N14" s="74" t="s">
        <v>630</v>
      </c>
      <c r="O14" s="18"/>
      <c r="Z14" s="59">
        <f>IF(AQ14="5",BJ14,0)</f>
        <v>0</v>
      </c>
      <c r="AB14" s="59">
        <f>IF(AQ14="1",BH14,0)</f>
        <v>0</v>
      </c>
      <c r="AC14" s="59">
        <f>IF(AQ14="1",BI14,0)</f>
        <v>0</v>
      </c>
      <c r="AD14" s="59">
        <f>IF(AQ14="7",BH14,0)</f>
        <v>0</v>
      </c>
      <c r="AE14" s="59">
        <f>IF(AQ14="7",BI14,0)</f>
        <v>0</v>
      </c>
      <c r="AF14" s="59">
        <f>IF(AQ14="2",BH14,0)</f>
        <v>0</v>
      </c>
      <c r="AG14" s="59">
        <f>IF(AQ14="2",BI14,0)</f>
        <v>0</v>
      </c>
      <c r="AH14" s="59">
        <f>IF(AQ14="0",BJ14,0)</f>
        <v>0</v>
      </c>
      <c r="AI14" s="53"/>
      <c r="AJ14" s="44">
        <f>IF(AN14=0,K14,0)</f>
        <v>0</v>
      </c>
      <c r="AK14" s="44">
        <f>IF(AN14=15,K14,0)</f>
        <v>0</v>
      </c>
      <c r="AL14" s="44">
        <f>IF(AN14=21,K14,0)</f>
        <v>0</v>
      </c>
      <c r="AN14" s="59">
        <v>15</v>
      </c>
      <c r="AO14" s="59">
        <f>H14*0.472457002457002</f>
        <v>0</v>
      </c>
      <c r="AP14" s="59">
        <f>H14*(1-0.472457002457002)</f>
        <v>0</v>
      </c>
      <c r="AQ14" s="60" t="s">
        <v>74</v>
      </c>
      <c r="AV14" s="59">
        <f>AW14+AX14</f>
        <v>0</v>
      </c>
      <c r="AW14" s="59">
        <f>G14*AO14</f>
        <v>0</v>
      </c>
      <c r="AX14" s="59">
        <f>G14*AP14</f>
        <v>0</v>
      </c>
      <c r="AY14" s="62" t="s">
        <v>640</v>
      </c>
      <c r="AZ14" s="62" t="s">
        <v>662</v>
      </c>
      <c r="BA14" s="53" t="s">
        <v>670</v>
      </c>
      <c r="BC14" s="59">
        <f>AW14+AX14</f>
        <v>0</v>
      </c>
      <c r="BD14" s="59">
        <f>H14/(100-BE14)*100</f>
        <v>0</v>
      </c>
      <c r="BE14" s="59">
        <v>0</v>
      </c>
      <c r="BF14" s="59">
        <f>M14</f>
        <v>0.03444</v>
      </c>
      <c r="BH14" s="44">
        <f>G14*AO14</f>
        <v>0</v>
      </c>
      <c r="BI14" s="44">
        <f>G14*AP14</f>
        <v>0</v>
      </c>
      <c r="BJ14" s="44">
        <f>G14*H14</f>
        <v>0</v>
      </c>
      <c r="BK14" s="44" t="s">
        <v>675</v>
      </c>
      <c r="BL14" s="59">
        <v>34</v>
      </c>
    </row>
    <row r="15" spans="1:15" ht="12.75">
      <c r="A15" s="18"/>
      <c r="B15" s="75"/>
      <c r="C15" s="75"/>
      <c r="D15" s="76" t="s">
        <v>375</v>
      </c>
      <c r="E15" s="76"/>
      <c r="F15" s="75"/>
      <c r="G15" s="77">
        <v>0.24</v>
      </c>
      <c r="H15" s="75"/>
      <c r="I15" s="75"/>
      <c r="J15" s="75"/>
      <c r="K15" s="75"/>
      <c r="L15" s="75"/>
      <c r="M15" s="75"/>
      <c r="N15" s="16"/>
      <c r="O15" s="18"/>
    </row>
    <row r="16" spans="1:64" ht="12.75">
      <c r="A16" s="73" t="s">
        <v>75</v>
      </c>
      <c r="B16" s="17"/>
      <c r="C16" s="17" t="s">
        <v>220</v>
      </c>
      <c r="D16" s="123" t="s">
        <v>376</v>
      </c>
      <c r="E16" s="184"/>
      <c r="F16" s="17" t="s">
        <v>607</v>
      </c>
      <c r="G16" s="59">
        <v>3.055</v>
      </c>
      <c r="H16" s="101"/>
      <c r="I16" s="59">
        <f>G16*AO16</f>
        <v>0</v>
      </c>
      <c r="J16" s="59">
        <f>G16*AP16</f>
        <v>0</v>
      </c>
      <c r="K16" s="59">
        <f>G16*H16</f>
        <v>0</v>
      </c>
      <c r="L16" s="59">
        <v>0.05654</v>
      </c>
      <c r="M16" s="59">
        <f>G16*L16</f>
        <v>0.1727297</v>
      </c>
      <c r="N16" s="74" t="s">
        <v>630</v>
      </c>
      <c r="O16" s="18"/>
      <c r="Z16" s="59">
        <f>IF(AQ16="5",BJ16,0)</f>
        <v>0</v>
      </c>
      <c r="AB16" s="59">
        <f>IF(AQ16="1",BH16,0)</f>
        <v>0</v>
      </c>
      <c r="AC16" s="59">
        <f>IF(AQ16="1",BI16,0)</f>
        <v>0</v>
      </c>
      <c r="AD16" s="59">
        <f>IF(AQ16="7",BH16,0)</f>
        <v>0</v>
      </c>
      <c r="AE16" s="59">
        <f>IF(AQ16="7",BI16,0)</f>
        <v>0</v>
      </c>
      <c r="AF16" s="59">
        <f>IF(AQ16="2",BH16,0)</f>
        <v>0</v>
      </c>
      <c r="AG16" s="59">
        <f>IF(AQ16="2",BI16,0)</f>
        <v>0</v>
      </c>
      <c r="AH16" s="59">
        <f>IF(AQ16="0",BJ16,0)</f>
        <v>0</v>
      </c>
      <c r="AI16" s="53"/>
      <c r="AJ16" s="44">
        <f>IF(AN16=0,K16,0)</f>
        <v>0</v>
      </c>
      <c r="AK16" s="44">
        <f>IF(AN16=15,K16,0)</f>
        <v>0</v>
      </c>
      <c r="AL16" s="44">
        <f>IF(AN16=21,K16,0)</f>
        <v>0</v>
      </c>
      <c r="AN16" s="59">
        <v>15</v>
      </c>
      <c r="AO16" s="59">
        <f>H16*0.611892655367232</f>
        <v>0</v>
      </c>
      <c r="AP16" s="59">
        <f>H16*(1-0.611892655367232)</f>
        <v>0</v>
      </c>
      <c r="AQ16" s="60" t="s">
        <v>74</v>
      </c>
      <c r="AV16" s="59">
        <f>AW16+AX16</f>
        <v>0</v>
      </c>
      <c r="AW16" s="59">
        <f>G16*AO16</f>
        <v>0</v>
      </c>
      <c r="AX16" s="59">
        <f>G16*AP16</f>
        <v>0</v>
      </c>
      <c r="AY16" s="62" t="s">
        <v>640</v>
      </c>
      <c r="AZ16" s="62" t="s">
        <v>662</v>
      </c>
      <c r="BA16" s="53" t="s">
        <v>670</v>
      </c>
      <c r="BC16" s="59">
        <f>AW16+AX16</f>
        <v>0</v>
      </c>
      <c r="BD16" s="59">
        <f>H16/(100-BE16)*100</f>
        <v>0</v>
      </c>
      <c r="BE16" s="59">
        <v>0</v>
      </c>
      <c r="BF16" s="59">
        <f>M16</f>
        <v>0.1727297</v>
      </c>
      <c r="BH16" s="44">
        <f>G16*AO16</f>
        <v>0</v>
      </c>
      <c r="BI16" s="44">
        <f>G16*AP16</f>
        <v>0</v>
      </c>
      <c r="BJ16" s="44">
        <f>G16*H16</f>
        <v>0</v>
      </c>
      <c r="BK16" s="44" t="s">
        <v>675</v>
      </c>
      <c r="BL16" s="59">
        <v>34</v>
      </c>
    </row>
    <row r="17" spans="1:15" ht="12.75">
      <c r="A17" s="18"/>
      <c r="B17" s="75"/>
      <c r="C17" s="75"/>
      <c r="D17" s="76" t="s">
        <v>377</v>
      </c>
      <c r="E17" s="76"/>
      <c r="F17" s="75"/>
      <c r="G17" s="77">
        <v>3.055</v>
      </c>
      <c r="H17" s="75"/>
      <c r="I17" s="75"/>
      <c r="J17" s="75"/>
      <c r="K17" s="75"/>
      <c r="L17" s="75"/>
      <c r="M17" s="75"/>
      <c r="N17" s="16"/>
      <c r="O17" s="18"/>
    </row>
    <row r="18" spans="1:64" ht="12.75">
      <c r="A18" s="73" t="s">
        <v>76</v>
      </c>
      <c r="B18" s="17"/>
      <c r="C18" s="17" t="s">
        <v>221</v>
      </c>
      <c r="D18" s="123" t="s">
        <v>378</v>
      </c>
      <c r="E18" s="184"/>
      <c r="F18" s="17" t="s">
        <v>607</v>
      </c>
      <c r="G18" s="59">
        <v>12.15</v>
      </c>
      <c r="H18" s="101"/>
      <c r="I18" s="59">
        <f>G18*AO18</f>
        <v>0</v>
      </c>
      <c r="J18" s="59">
        <f>G18*AP18</f>
        <v>0</v>
      </c>
      <c r="K18" s="59">
        <f>G18*H18</f>
        <v>0</v>
      </c>
      <c r="L18" s="59">
        <v>0.07471</v>
      </c>
      <c r="M18" s="59">
        <f>G18*L18</f>
        <v>0.9077265</v>
      </c>
      <c r="N18" s="74" t="s">
        <v>630</v>
      </c>
      <c r="O18" s="18"/>
      <c r="Z18" s="59">
        <f>IF(AQ18="5",BJ18,0)</f>
        <v>0</v>
      </c>
      <c r="AB18" s="59">
        <f>IF(AQ18="1",BH18,0)</f>
        <v>0</v>
      </c>
      <c r="AC18" s="59">
        <f>IF(AQ18="1",BI18,0)</f>
        <v>0</v>
      </c>
      <c r="AD18" s="59">
        <f>IF(AQ18="7",BH18,0)</f>
        <v>0</v>
      </c>
      <c r="AE18" s="59">
        <f>IF(AQ18="7",BI18,0)</f>
        <v>0</v>
      </c>
      <c r="AF18" s="59">
        <f>IF(AQ18="2",BH18,0)</f>
        <v>0</v>
      </c>
      <c r="AG18" s="59">
        <f>IF(AQ18="2",BI18,0)</f>
        <v>0</v>
      </c>
      <c r="AH18" s="59">
        <f>IF(AQ18="0",BJ18,0)</f>
        <v>0</v>
      </c>
      <c r="AI18" s="53"/>
      <c r="AJ18" s="44">
        <f>IF(AN18=0,K18,0)</f>
        <v>0</v>
      </c>
      <c r="AK18" s="44">
        <f>IF(AN18=15,K18,0)</f>
        <v>0</v>
      </c>
      <c r="AL18" s="44">
        <f>IF(AN18=21,K18,0)</f>
        <v>0</v>
      </c>
      <c r="AN18" s="59">
        <v>15</v>
      </c>
      <c r="AO18" s="59">
        <f>H18*0.649022004889975</f>
        <v>0</v>
      </c>
      <c r="AP18" s="59">
        <f>H18*(1-0.649022004889975)</f>
        <v>0</v>
      </c>
      <c r="AQ18" s="60" t="s">
        <v>74</v>
      </c>
      <c r="AV18" s="59">
        <f>AW18+AX18</f>
        <v>0</v>
      </c>
      <c r="AW18" s="59">
        <f>G18*AO18</f>
        <v>0</v>
      </c>
      <c r="AX18" s="59">
        <f>G18*AP18</f>
        <v>0</v>
      </c>
      <c r="AY18" s="62" t="s">
        <v>640</v>
      </c>
      <c r="AZ18" s="62" t="s">
        <v>662</v>
      </c>
      <c r="BA18" s="53" t="s">
        <v>670</v>
      </c>
      <c r="BC18" s="59">
        <f>AW18+AX18</f>
        <v>0</v>
      </c>
      <c r="BD18" s="59">
        <f>H18/(100-BE18)*100</f>
        <v>0</v>
      </c>
      <c r="BE18" s="59">
        <v>0</v>
      </c>
      <c r="BF18" s="59">
        <f>M18</f>
        <v>0.9077265</v>
      </c>
      <c r="BH18" s="44">
        <f>G18*AO18</f>
        <v>0</v>
      </c>
      <c r="BI18" s="44">
        <f>G18*AP18</f>
        <v>0</v>
      </c>
      <c r="BJ18" s="44">
        <f>G18*H18</f>
        <v>0</v>
      </c>
      <c r="BK18" s="44" t="s">
        <v>675</v>
      </c>
      <c r="BL18" s="59">
        <v>34</v>
      </c>
    </row>
    <row r="19" spans="1:15" ht="12.75">
      <c r="A19" s="18"/>
      <c r="B19" s="75"/>
      <c r="C19" s="75"/>
      <c r="D19" s="76" t="s">
        <v>379</v>
      </c>
      <c r="E19" s="76"/>
      <c r="F19" s="75"/>
      <c r="G19" s="77">
        <v>14.95</v>
      </c>
      <c r="H19" s="75"/>
      <c r="I19" s="75"/>
      <c r="J19" s="75"/>
      <c r="K19" s="75"/>
      <c r="L19" s="75"/>
      <c r="M19" s="75"/>
      <c r="N19" s="16"/>
      <c r="O19" s="18"/>
    </row>
    <row r="20" spans="1:15" ht="12.75">
      <c r="A20" s="18"/>
      <c r="B20" s="75"/>
      <c r="C20" s="75"/>
      <c r="D20" s="76" t="s">
        <v>380</v>
      </c>
      <c r="E20" s="76"/>
      <c r="F20" s="75"/>
      <c r="G20" s="77">
        <v>0</v>
      </c>
      <c r="H20" s="75"/>
      <c r="I20" s="75"/>
      <c r="J20" s="75"/>
      <c r="K20" s="75"/>
      <c r="L20" s="75"/>
      <c r="M20" s="75"/>
      <c r="N20" s="16"/>
      <c r="O20" s="18"/>
    </row>
    <row r="21" spans="1:15" ht="12.75">
      <c r="A21" s="18"/>
      <c r="B21" s="75"/>
      <c r="C21" s="75"/>
      <c r="D21" s="76" t="s">
        <v>381</v>
      </c>
      <c r="E21" s="76"/>
      <c r="F21" s="75"/>
      <c r="G21" s="77">
        <v>-2.8</v>
      </c>
      <c r="H21" s="75"/>
      <c r="I21" s="75"/>
      <c r="J21" s="75"/>
      <c r="K21" s="75"/>
      <c r="L21" s="75"/>
      <c r="M21" s="75"/>
      <c r="N21" s="16"/>
      <c r="O21" s="18"/>
    </row>
    <row r="22" spans="1:64" ht="12.75">
      <c r="A22" s="73" t="s">
        <v>77</v>
      </c>
      <c r="B22" s="17"/>
      <c r="C22" s="17" t="s">
        <v>222</v>
      </c>
      <c r="D22" s="123" t="s">
        <v>382</v>
      </c>
      <c r="E22" s="184"/>
      <c r="F22" s="17" t="s">
        <v>608</v>
      </c>
      <c r="G22" s="59">
        <v>10.4</v>
      </c>
      <c r="H22" s="101"/>
      <c r="I22" s="59">
        <f>G22*AO22</f>
        <v>0</v>
      </c>
      <c r="J22" s="59">
        <f>G22*AP22</f>
        <v>0</v>
      </c>
      <c r="K22" s="59">
        <f>G22*H22</f>
        <v>0</v>
      </c>
      <c r="L22" s="59">
        <v>8E-05</v>
      </c>
      <c r="M22" s="59">
        <f>G22*L22</f>
        <v>0.0008320000000000001</v>
      </c>
      <c r="N22" s="74" t="s">
        <v>630</v>
      </c>
      <c r="O22" s="18"/>
      <c r="Z22" s="59">
        <f>IF(AQ22="5",BJ22,0)</f>
        <v>0</v>
      </c>
      <c r="AB22" s="59">
        <f>IF(AQ22="1",BH22,0)</f>
        <v>0</v>
      </c>
      <c r="AC22" s="59">
        <f>IF(AQ22="1",BI22,0)</f>
        <v>0</v>
      </c>
      <c r="AD22" s="59">
        <f>IF(AQ22="7",BH22,0)</f>
        <v>0</v>
      </c>
      <c r="AE22" s="59">
        <f>IF(AQ22="7",BI22,0)</f>
        <v>0</v>
      </c>
      <c r="AF22" s="59">
        <f>IF(AQ22="2",BH22,0)</f>
        <v>0</v>
      </c>
      <c r="AG22" s="59">
        <f>IF(AQ22="2",BI22,0)</f>
        <v>0</v>
      </c>
      <c r="AH22" s="59">
        <f>IF(AQ22="0",BJ22,0)</f>
        <v>0</v>
      </c>
      <c r="AI22" s="53"/>
      <c r="AJ22" s="44">
        <f>IF(AN22=0,K22,0)</f>
        <v>0</v>
      </c>
      <c r="AK22" s="44">
        <f>IF(AN22=15,K22,0)</f>
        <v>0</v>
      </c>
      <c r="AL22" s="44">
        <f>IF(AN22=21,K22,0)</f>
        <v>0</v>
      </c>
      <c r="AN22" s="59">
        <v>15</v>
      </c>
      <c r="AO22" s="59">
        <f>H22*0.191980767579634</f>
        <v>0</v>
      </c>
      <c r="AP22" s="59">
        <f>H22*(1-0.191980767579634)</f>
        <v>0</v>
      </c>
      <c r="AQ22" s="60" t="s">
        <v>74</v>
      </c>
      <c r="AV22" s="59">
        <f>AW22+AX22</f>
        <v>0</v>
      </c>
      <c r="AW22" s="59">
        <f>G22*AO22</f>
        <v>0</v>
      </c>
      <c r="AX22" s="59">
        <f>G22*AP22</f>
        <v>0</v>
      </c>
      <c r="AY22" s="62" t="s">
        <v>640</v>
      </c>
      <c r="AZ22" s="62" t="s">
        <v>662</v>
      </c>
      <c r="BA22" s="53" t="s">
        <v>670</v>
      </c>
      <c r="BC22" s="59">
        <f>AW22+AX22</f>
        <v>0</v>
      </c>
      <c r="BD22" s="59">
        <f>H22/(100-BE22)*100</f>
        <v>0</v>
      </c>
      <c r="BE22" s="59">
        <v>0</v>
      </c>
      <c r="BF22" s="59">
        <f>M22</f>
        <v>0.0008320000000000001</v>
      </c>
      <c r="BH22" s="44">
        <f>G22*AO22</f>
        <v>0</v>
      </c>
      <c r="BI22" s="44">
        <f>G22*AP22</f>
        <v>0</v>
      </c>
      <c r="BJ22" s="44">
        <f>G22*H22</f>
        <v>0</v>
      </c>
      <c r="BK22" s="44" t="s">
        <v>675</v>
      </c>
      <c r="BL22" s="59">
        <v>34</v>
      </c>
    </row>
    <row r="23" spans="1:15" ht="12.75">
      <c r="A23" s="18"/>
      <c r="B23" s="75"/>
      <c r="C23" s="75"/>
      <c r="D23" s="76" t="s">
        <v>383</v>
      </c>
      <c r="E23" s="76"/>
      <c r="F23" s="75"/>
      <c r="G23" s="77">
        <v>10.4</v>
      </c>
      <c r="H23" s="75"/>
      <c r="I23" s="75"/>
      <c r="J23" s="75"/>
      <c r="K23" s="75"/>
      <c r="L23" s="75"/>
      <c r="M23" s="75"/>
      <c r="N23" s="16"/>
      <c r="O23" s="18"/>
    </row>
    <row r="24" spans="1:47" ht="12.75">
      <c r="A24" s="67"/>
      <c r="B24" s="68"/>
      <c r="C24" s="68" t="s">
        <v>134</v>
      </c>
      <c r="D24" s="182" t="s">
        <v>384</v>
      </c>
      <c r="E24" s="183"/>
      <c r="F24" s="69" t="s">
        <v>73</v>
      </c>
      <c r="G24" s="69" t="s">
        <v>73</v>
      </c>
      <c r="H24" s="69" t="s">
        <v>73</v>
      </c>
      <c r="I24" s="70">
        <f>SUM(I25:I59)</f>
        <v>0</v>
      </c>
      <c r="J24" s="70">
        <f>SUM(J25:J59)</f>
        <v>0</v>
      </c>
      <c r="K24" s="70">
        <f>SUM(K25:K59)</f>
        <v>0</v>
      </c>
      <c r="L24" s="71"/>
      <c r="M24" s="70">
        <f>SUM(M25:M59)</f>
        <v>2.295423235</v>
      </c>
      <c r="N24" s="72"/>
      <c r="O24" s="18"/>
      <c r="AI24" s="53"/>
      <c r="AS24" s="65">
        <f>SUM(AJ25:AJ59)</f>
        <v>0</v>
      </c>
      <c r="AT24" s="65">
        <f>SUM(AK25:AK59)</f>
        <v>0</v>
      </c>
      <c r="AU24" s="65">
        <f>SUM(AL25:AL59)</f>
        <v>0</v>
      </c>
    </row>
    <row r="25" spans="1:64" ht="12.75">
      <c r="A25" s="73" t="s">
        <v>78</v>
      </c>
      <c r="B25" s="17"/>
      <c r="C25" s="17" t="s">
        <v>223</v>
      </c>
      <c r="D25" s="123" t="s">
        <v>385</v>
      </c>
      <c r="E25" s="184"/>
      <c r="F25" s="17" t="s">
        <v>609</v>
      </c>
      <c r="G25" s="59">
        <v>6</v>
      </c>
      <c r="H25" s="101"/>
      <c r="I25" s="59">
        <f>G25*AO25</f>
        <v>0</v>
      </c>
      <c r="J25" s="59">
        <f>G25*AP25</f>
        <v>0</v>
      </c>
      <c r="K25" s="59">
        <f>G25*H25</f>
        <v>0</v>
      </c>
      <c r="L25" s="59">
        <v>0.00649</v>
      </c>
      <c r="M25" s="59">
        <f>G25*L25</f>
        <v>0.03894</v>
      </c>
      <c r="N25" s="74" t="s">
        <v>630</v>
      </c>
      <c r="O25" s="18"/>
      <c r="Z25" s="59">
        <f>IF(AQ25="5",BJ25,0)</f>
        <v>0</v>
      </c>
      <c r="AB25" s="59">
        <f>IF(AQ25="1",BH25,0)</f>
        <v>0</v>
      </c>
      <c r="AC25" s="59">
        <f>IF(AQ25="1",BI25,0)</f>
        <v>0</v>
      </c>
      <c r="AD25" s="59">
        <f>IF(AQ25="7",BH25,0)</f>
        <v>0</v>
      </c>
      <c r="AE25" s="59">
        <f>IF(AQ25="7",BI25,0)</f>
        <v>0</v>
      </c>
      <c r="AF25" s="59">
        <f>IF(AQ25="2",BH25,0)</f>
        <v>0</v>
      </c>
      <c r="AG25" s="59">
        <f>IF(AQ25="2",BI25,0)</f>
        <v>0</v>
      </c>
      <c r="AH25" s="59">
        <f>IF(AQ25="0",BJ25,0)</f>
        <v>0</v>
      </c>
      <c r="AI25" s="53"/>
      <c r="AJ25" s="44">
        <f>IF(AN25=0,K25,0)</f>
        <v>0</v>
      </c>
      <c r="AK25" s="44">
        <f>IF(AN25=15,K25,0)</f>
        <v>0</v>
      </c>
      <c r="AL25" s="44">
        <f>IF(AN25=21,K25,0)</f>
        <v>0</v>
      </c>
      <c r="AN25" s="59">
        <v>15</v>
      </c>
      <c r="AO25" s="59">
        <f>H25*0.190516431924883</f>
        <v>0</v>
      </c>
      <c r="AP25" s="59">
        <f>H25*(1-0.190516431924883)</f>
        <v>0</v>
      </c>
      <c r="AQ25" s="60" t="s">
        <v>74</v>
      </c>
      <c r="AV25" s="59">
        <f>AW25+AX25</f>
        <v>0</v>
      </c>
      <c r="AW25" s="59">
        <f>G25*AO25</f>
        <v>0</v>
      </c>
      <c r="AX25" s="59">
        <f>G25*AP25</f>
        <v>0</v>
      </c>
      <c r="AY25" s="62" t="s">
        <v>641</v>
      </c>
      <c r="AZ25" s="62" t="s">
        <v>663</v>
      </c>
      <c r="BA25" s="53" t="s">
        <v>670</v>
      </c>
      <c r="BC25" s="59">
        <f>AW25+AX25</f>
        <v>0</v>
      </c>
      <c r="BD25" s="59">
        <f>H25/(100-BE25)*100</f>
        <v>0</v>
      </c>
      <c r="BE25" s="59">
        <v>0</v>
      </c>
      <c r="BF25" s="59">
        <f>M25</f>
        <v>0.03894</v>
      </c>
      <c r="BH25" s="44">
        <f>G25*AO25</f>
        <v>0</v>
      </c>
      <c r="BI25" s="44">
        <f>G25*AP25</f>
        <v>0</v>
      </c>
      <c r="BJ25" s="44">
        <f>G25*H25</f>
        <v>0</v>
      </c>
      <c r="BK25" s="44" t="s">
        <v>675</v>
      </c>
      <c r="BL25" s="59">
        <v>61</v>
      </c>
    </row>
    <row r="26" spans="1:64" ht="12.75">
      <c r="A26" s="73" t="s">
        <v>79</v>
      </c>
      <c r="B26" s="17"/>
      <c r="C26" s="17" t="s">
        <v>224</v>
      </c>
      <c r="D26" s="123" t="s">
        <v>386</v>
      </c>
      <c r="E26" s="184"/>
      <c r="F26" s="17" t="s">
        <v>607</v>
      </c>
      <c r="G26" s="59">
        <v>1.5</v>
      </c>
      <c r="H26" s="101"/>
      <c r="I26" s="59">
        <f>G26*AO26</f>
        <v>0</v>
      </c>
      <c r="J26" s="59">
        <f>G26*AP26</f>
        <v>0</v>
      </c>
      <c r="K26" s="59">
        <f>G26*H26</f>
        <v>0</v>
      </c>
      <c r="L26" s="59">
        <v>0.068</v>
      </c>
      <c r="M26" s="59">
        <f>G26*L26</f>
        <v>0.10200000000000001</v>
      </c>
      <c r="N26" s="74" t="s">
        <v>630</v>
      </c>
      <c r="O26" s="18"/>
      <c r="Z26" s="59">
        <f>IF(AQ26="5",BJ26,0)</f>
        <v>0</v>
      </c>
      <c r="AB26" s="59">
        <f>IF(AQ26="1",BH26,0)</f>
        <v>0</v>
      </c>
      <c r="AC26" s="59">
        <f>IF(AQ26="1",BI26,0)</f>
        <v>0</v>
      </c>
      <c r="AD26" s="59">
        <f>IF(AQ26="7",BH26,0)</f>
        <v>0</v>
      </c>
      <c r="AE26" s="59">
        <f>IF(AQ26="7",BI26,0)</f>
        <v>0</v>
      </c>
      <c r="AF26" s="59">
        <f>IF(AQ26="2",BH26,0)</f>
        <v>0</v>
      </c>
      <c r="AG26" s="59">
        <f>IF(AQ26="2",BI26,0)</f>
        <v>0</v>
      </c>
      <c r="AH26" s="59">
        <f>IF(AQ26="0",BJ26,0)</f>
        <v>0</v>
      </c>
      <c r="AI26" s="53"/>
      <c r="AJ26" s="44">
        <f>IF(AN26=0,K26,0)</f>
        <v>0</v>
      </c>
      <c r="AK26" s="44">
        <f>IF(AN26=15,K26,0)</f>
        <v>0</v>
      </c>
      <c r="AL26" s="44">
        <f>IF(AN26=21,K26,0)</f>
        <v>0</v>
      </c>
      <c r="AN26" s="59">
        <v>15</v>
      </c>
      <c r="AO26" s="59">
        <f>H26*0.431993911719939</f>
        <v>0</v>
      </c>
      <c r="AP26" s="59">
        <f>H26*(1-0.431993911719939)</f>
        <v>0</v>
      </c>
      <c r="AQ26" s="60" t="s">
        <v>74</v>
      </c>
      <c r="AV26" s="59">
        <f>AW26+AX26</f>
        <v>0</v>
      </c>
      <c r="AW26" s="59">
        <f>G26*AO26</f>
        <v>0</v>
      </c>
      <c r="AX26" s="59">
        <f>G26*AP26</f>
        <v>0</v>
      </c>
      <c r="AY26" s="62" t="s">
        <v>641</v>
      </c>
      <c r="AZ26" s="62" t="s">
        <v>663</v>
      </c>
      <c r="BA26" s="53" t="s">
        <v>670</v>
      </c>
      <c r="BC26" s="59">
        <f>AW26+AX26</f>
        <v>0</v>
      </c>
      <c r="BD26" s="59">
        <f>H26/(100-BE26)*100</f>
        <v>0</v>
      </c>
      <c r="BE26" s="59">
        <v>0</v>
      </c>
      <c r="BF26" s="59">
        <f>M26</f>
        <v>0.10200000000000001</v>
      </c>
      <c r="BH26" s="44">
        <f>G26*AO26</f>
        <v>0</v>
      </c>
      <c r="BI26" s="44">
        <f>G26*AP26</f>
        <v>0</v>
      </c>
      <c r="BJ26" s="44">
        <f>G26*H26</f>
        <v>0</v>
      </c>
      <c r="BK26" s="44" t="s">
        <v>675</v>
      </c>
      <c r="BL26" s="59">
        <v>61</v>
      </c>
    </row>
    <row r="27" spans="1:64" ht="12.75">
      <c r="A27" s="73" t="s">
        <v>80</v>
      </c>
      <c r="B27" s="17"/>
      <c r="C27" s="17" t="s">
        <v>225</v>
      </c>
      <c r="D27" s="123" t="s">
        <v>387</v>
      </c>
      <c r="E27" s="184"/>
      <c r="F27" s="17" t="s">
        <v>607</v>
      </c>
      <c r="G27" s="59">
        <v>31.25</v>
      </c>
      <c r="H27" s="101"/>
      <c r="I27" s="59">
        <f>G27*AO27</f>
        <v>0</v>
      </c>
      <c r="J27" s="59">
        <f>G27*AP27</f>
        <v>0</v>
      </c>
      <c r="K27" s="59">
        <f>G27*H27</f>
        <v>0</v>
      </c>
      <c r="L27" s="59">
        <v>0.00034</v>
      </c>
      <c r="M27" s="59">
        <f>G27*L27</f>
        <v>0.010625</v>
      </c>
      <c r="N27" s="74" t="s">
        <v>630</v>
      </c>
      <c r="O27" s="18"/>
      <c r="Z27" s="59">
        <f>IF(AQ27="5",BJ27,0)</f>
        <v>0</v>
      </c>
      <c r="AB27" s="59">
        <f>IF(AQ27="1",BH27,0)</f>
        <v>0</v>
      </c>
      <c r="AC27" s="59">
        <f>IF(AQ27="1",BI27,0)</f>
        <v>0</v>
      </c>
      <c r="AD27" s="59">
        <f>IF(AQ27="7",BH27,0)</f>
        <v>0</v>
      </c>
      <c r="AE27" s="59">
        <f>IF(AQ27="7",BI27,0)</f>
        <v>0</v>
      </c>
      <c r="AF27" s="59">
        <f>IF(AQ27="2",BH27,0)</f>
        <v>0</v>
      </c>
      <c r="AG27" s="59">
        <f>IF(AQ27="2",BI27,0)</f>
        <v>0</v>
      </c>
      <c r="AH27" s="59">
        <f>IF(AQ27="0",BJ27,0)</f>
        <v>0</v>
      </c>
      <c r="AI27" s="53"/>
      <c r="AJ27" s="44">
        <f>IF(AN27=0,K27,0)</f>
        <v>0</v>
      </c>
      <c r="AK27" s="44">
        <f>IF(AN27=15,K27,0)</f>
        <v>0</v>
      </c>
      <c r="AL27" s="44">
        <f>IF(AN27=21,K27,0)</f>
        <v>0</v>
      </c>
      <c r="AN27" s="59">
        <v>15</v>
      </c>
      <c r="AO27" s="59">
        <f>H27*0.164490740740741</f>
        <v>0</v>
      </c>
      <c r="AP27" s="59">
        <f>H27*(1-0.164490740740741)</f>
        <v>0</v>
      </c>
      <c r="AQ27" s="60" t="s">
        <v>74</v>
      </c>
      <c r="AV27" s="59">
        <f>AW27+AX27</f>
        <v>0</v>
      </c>
      <c r="AW27" s="59">
        <f>G27*AO27</f>
        <v>0</v>
      </c>
      <c r="AX27" s="59">
        <f>G27*AP27</f>
        <v>0</v>
      </c>
      <c r="AY27" s="62" t="s">
        <v>641</v>
      </c>
      <c r="AZ27" s="62" t="s">
        <v>663</v>
      </c>
      <c r="BA27" s="53" t="s">
        <v>670</v>
      </c>
      <c r="BC27" s="59">
        <f>AW27+AX27</f>
        <v>0</v>
      </c>
      <c r="BD27" s="59">
        <f>H27/(100-BE27)*100</f>
        <v>0</v>
      </c>
      <c r="BE27" s="59">
        <v>0</v>
      </c>
      <c r="BF27" s="59">
        <f>M27</f>
        <v>0.010625</v>
      </c>
      <c r="BH27" s="44">
        <f>G27*AO27</f>
        <v>0</v>
      </c>
      <c r="BI27" s="44">
        <f>G27*AP27</f>
        <v>0</v>
      </c>
      <c r="BJ27" s="44">
        <f>G27*H27</f>
        <v>0</v>
      </c>
      <c r="BK27" s="44" t="s">
        <v>675</v>
      </c>
      <c r="BL27" s="59">
        <v>61</v>
      </c>
    </row>
    <row r="28" spans="1:64" ht="12.75">
      <c r="A28" s="73" t="s">
        <v>81</v>
      </c>
      <c r="B28" s="17"/>
      <c r="C28" s="17" t="s">
        <v>226</v>
      </c>
      <c r="D28" s="123" t="s">
        <v>388</v>
      </c>
      <c r="E28" s="184"/>
      <c r="F28" s="17" t="s">
        <v>607</v>
      </c>
      <c r="G28" s="59">
        <v>31.25</v>
      </c>
      <c r="H28" s="101"/>
      <c r="I28" s="59">
        <f>G28*AO28</f>
        <v>0</v>
      </c>
      <c r="J28" s="59">
        <f>G28*AP28</f>
        <v>0</v>
      </c>
      <c r="K28" s="59">
        <f>G28*H28</f>
        <v>0</v>
      </c>
      <c r="L28" s="59">
        <v>0.00032</v>
      </c>
      <c r="M28" s="59">
        <f>G28*L28</f>
        <v>0.01</v>
      </c>
      <c r="N28" s="74" t="s">
        <v>630</v>
      </c>
      <c r="O28" s="18"/>
      <c r="Z28" s="59">
        <f>IF(AQ28="5",BJ28,0)</f>
        <v>0</v>
      </c>
      <c r="AB28" s="59">
        <f>IF(AQ28="1",BH28,0)</f>
        <v>0</v>
      </c>
      <c r="AC28" s="59">
        <f>IF(AQ28="1",BI28,0)</f>
        <v>0</v>
      </c>
      <c r="AD28" s="59">
        <f>IF(AQ28="7",BH28,0)</f>
        <v>0</v>
      </c>
      <c r="AE28" s="59">
        <f>IF(AQ28="7",BI28,0)</f>
        <v>0</v>
      </c>
      <c r="AF28" s="59">
        <f>IF(AQ28="2",BH28,0)</f>
        <v>0</v>
      </c>
      <c r="AG28" s="59">
        <f>IF(AQ28="2",BI28,0)</f>
        <v>0</v>
      </c>
      <c r="AH28" s="59">
        <f>IF(AQ28="0",BJ28,0)</f>
        <v>0</v>
      </c>
      <c r="AI28" s="53"/>
      <c r="AJ28" s="44">
        <f>IF(AN28=0,K28,0)</f>
        <v>0</v>
      </c>
      <c r="AK28" s="44">
        <f>IF(AN28=15,K28,0)</f>
        <v>0</v>
      </c>
      <c r="AL28" s="44">
        <f>IF(AN28=21,K28,0)</f>
        <v>0</v>
      </c>
      <c r="AN28" s="59">
        <v>15</v>
      </c>
      <c r="AO28" s="59">
        <f>H28*0.447623427460485</f>
        <v>0</v>
      </c>
      <c r="AP28" s="59">
        <f>H28*(1-0.447623427460485)</f>
        <v>0</v>
      </c>
      <c r="AQ28" s="60" t="s">
        <v>74</v>
      </c>
      <c r="AV28" s="59">
        <f>AW28+AX28</f>
        <v>0</v>
      </c>
      <c r="AW28" s="59">
        <f>G28*AO28</f>
        <v>0</v>
      </c>
      <c r="AX28" s="59">
        <f>G28*AP28</f>
        <v>0</v>
      </c>
      <c r="AY28" s="62" t="s">
        <v>641</v>
      </c>
      <c r="AZ28" s="62" t="s">
        <v>663</v>
      </c>
      <c r="BA28" s="53" t="s">
        <v>670</v>
      </c>
      <c r="BC28" s="59">
        <f>AW28+AX28</f>
        <v>0</v>
      </c>
      <c r="BD28" s="59">
        <f>H28/(100-BE28)*100</f>
        <v>0</v>
      </c>
      <c r="BE28" s="59">
        <v>0</v>
      </c>
      <c r="BF28" s="59">
        <f>M28</f>
        <v>0.01</v>
      </c>
      <c r="BH28" s="44">
        <f>G28*AO28</f>
        <v>0</v>
      </c>
      <c r="BI28" s="44">
        <f>G28*AP28</f>
        <v>0</v>
      </c>
      <c r="BJ28" s="44">
        <f>G28*H28</f>
        <v>0</v>
      </c>
      <c r="BK28" s="44" t="s">
        <v>675</v>
      </c>
      <c r="BL28" s="59">
        <v>61</v>
      </c>
    </row>
    <row r="29" spans="1:64" ht="12.75">
      <c r="A29" s="73" t="s">
        <v>82</v>
      </c>
      <c r="B29" s="17"/>
      <c r="C29" s="17" t="s">
        <v>227</v>
      </c>
      <c r="D29" s="123" t="s">
        <v>389</v>
      </c>
      <c r="E29" s="184"/>
      <c r="F29" s="17" t="s">
        <v>607</v>
      </c>
      <c r="G29" s="59">
        <v>31.25</v>
      </c>
      <c r="H29" s="101"/>
      <c r="I29" s="59">
        <f>G29*AO29</f>
        <v>0</v>
      </c>
      <c r="J29" s="59">
        <f>G29*AP29</f>
        <v>0</v>
      </c>
      <c r="K29" s="59">
        <f>G29*H29</f>
        <v>0</v>
      </c>
      <c r="L29" s="59">
        <v>0.00559</v>
      </c>
      <c r="M29" s="59">
        <f>G29*L29</f>
        <v>0.17468750000000002</v>
      </c>
      <c r="N29" s="74" t="s">
        <v>630</v>
      </c>
      <c r="O29" s="18"/>
      <c r="Z29" s="59">
        <f>IF(AQ29="5",BJ29,0)</f>
        <v>0</v>
      </c>
      <c r="AB29" s="59">
        <f>IF(AQ29="1",BH29,0)</f>
        <v>0</v>
      </c>
      <c r="AC29" s="59">
        <f>IF(AQ29="1",BI29,0)</f>
        <v>0</v>
      </c>
      <c r="AD29" s="59">
        <f>IF(AQ29="7",BH29,0)</f>
        <v>0</v>
      </c>
      <c r="AE29" s="59">
        <f>IF(AQ29="7",BI29,0)</f>
        <v>0</v>
      </c>
      <c r="AF29" s="59">
        <f>IF(AQ29="2",BH29,0)</f>
        <v>0</v>
      </c>
      <c r="AG29" s="59">
        <f>IF(AQ29="2",BI29,0)</f>
        <v>0</v>
      </c>
      <c r="AH29" s="59">
        <f>IF(AQ29="0",BJ29,0)</f>
        <v>0</v>
      </c>
      <c r="AI29" s="53"/>
      <c r="AJ29" s="44">
        <f>IF(AN29=0,K29,0)</f>
        <v>0</v>
      </c>
      <c r="AK29" s="44">
        <f>IF(AN29=15,K29,0)</f>
        <v>0</v>
      </c>
      <c r="AL29" s="44">
        <f>IF(AN29=21,K29,0)</f>
        <v>0</v>
      </c>
      <c r="AN29" s="59">
        <v>15</v>
      </c>
      <c r="AO29" s="59">
        <f>H29*0.216560741412774</f>
        <v>0</v>
      </c>
      <c r="AP29" s="59">
        <f>H29*(1-0.216560741412774)</f>
        <v>0</v>
      </c>
      <c r="AQ29" s="60" t="s">
        <v>74</v>
      </c>
      <c r="AV29" s="59">
        <f>AW29+AX29</f>
        <v>0</v>
      </c>
      <c r="AW29" s="59">
        <f>G29*AO29</f>
        <v>0</v>
      </c>
      <c r="AX29" s="59">
        <f>G29*AP29</f>
        <v>0</v>
      </c>
      <c r="AY29" s="62" t="s">
        <v>641</v>
      </c>
      <c r="AZ29" s="62" t="s">
        <v>663</v>
      </c>
      <c r="BA29" s="53" t="s">
        <v>670</v>
      </c>
      <c r="BC29" s="59">
        <f>AW29+AX29</f>
        <v>0</v>
      </c>
      <c r="BD29" s="59">
        <f>H29/(100-BE29)*100</f>
        <v>0</v>
      </c>
      <c r="BE29" s="59">
        <v>0</v>
      </c>
      <c r="BF29" s="59">
        <f>M29</f>
        <v>0.17468750000000002</v>
      </c>
      <c r="BH29" s="44">
        <f>G29*AO29</f>
        <v>0</v>
      </c>
      <c r="BI29" s="44">
        <f>G29*AP29</f>
        <v>0</v>
      </c>
      <c r="BJ29" s="44">
        <f>G29*H29</f>
        <v>0</v>
      </c>
      <c r="BK29" s="44" t="s">
        <v>675</v>
      </c>
      <c r="BL29" s="59">
        <v>61</v>
      </c>
    </row>
    <row r="30" spans="1:15" ht="12.75">
      <c r="A30" s="18"/>
      <c r="B30" s="75"/>
      <c r="C30" s="75"/>
      <c r="D30" s="76" t="s">
        <v>390</v>
      </c>
      <c r="E30" s="76"/>
      <c r="F30" s="75"/>
      <c r="G30" s="77">
        <v>31.25</v>
      </c>
      <c r="H30" s="75"/>
      <c r="I30" s="75"/>
      <c r="J30" s="75"/>
      <c r="K30" s="75"/>
      <c r="L30" s="75"/>
      <c r="M30" s="75"/>
      <c r="N30" s="16"/>
      <c r="O30" s="18"/>
    </row>
    <row r="31" spans="1:64" ht="12.75">
      <c r="A31" s="73" t="s">
        <v>83</v>
      </c>
      <c r="B31" s="17"/>
      <c r="C31" s="17" t="s">
        <v>228</v>
      </c>
      <c r="D31" s="123" t="s">
        <v>391</v>
      </c>
      <c r="E31" s="184"/>
      <c r="F31" s="17" t="s">
        <v>607</v>
      </c>
      <c r="G31" s="59">
        <v>112.688</v>
      </c>
      <c r="H31" s="101"/>
      <c r="I31" s="59">
        <f>G31*AO31</f>
        <v>0</v>
      </c>
      <c r="J31" s="59">
        <f>G31*AP31</f>
        <v>0</v>
      </c>
      <c r="K31" s="59">
        <f>G31*H31</f>
        <v>0</v>
      </c>
      <c r="L31" s="59">
        <v>0.00032</v>
      </c>
      <c r="M31" s="59">
        <f>G31*L31</f>
        <v>0.03606016</v>
      </c>
      <c r="N31" s="74" t="s">
        <v>630</v>
      </c>
      <c r="O31" s="18"/>
      <c r="Z31" s="59">
        <f>IF(AQ31="5",BJ31,0)</f>
        <v>0</v>
      </c>
      <c r="AB31" s="59">
        <f>IF(AQ31="1",BH31,0)</f>
        <v>0</v>
      </c>
      <c r="AC31" s="59">
        <f>IF(AQ31="1",BI31,0)</f>
        <v>0</v>
      </c>
      <c r="AD31" s="59">
        <f>IF(AQ31="7",BH31,0)</f>
        <v>0</v>
      </c>
      <c r="AE31" s="59">
        <f>IF(AQ31="7",BI31,0)</f>
        <v>0</v>
      </c>
      <c r="AF31" s="59">
        <f>IF(AQ31="2",BH31,0)</f>
        <v>0</v>
      </c>
      <c r="AG31" s="59">
        <f>IF(AQ31="2",BI31,0)</f>
        <v>0</v>
      </c>
      <c r="AH31" s="59">
        <f>IF(AQ31="0",BJ31,0)</f>
        <v>0</v>
      </c>
      <c r="AI31" s="53"/>
      <c r="AJ31" s="44">
        <f>IF(AN31=0,K31,0)</f>
        <v>0</v>
      </c>
      <c r="AK31" s="44">
        <f>IF(AN31=15,K31,0)</f>
        <v>0</v>
      </c>
      <c r="AL31" s="44">
        <f>IF(AN31=21,K31,0)</f>
        <v>0</v>
      </c>
      <c r="AN31" s="59">
        <v>15</v>
      </c>
      <c r="AO31" s="59">
        <f>H31*0.489402725791711</f>
        <v>0</v>
      </c>
      <c r="AP31" s="59">
        <f>H31*(1-0.489402725791711)</f>
        <v>0</v>
      </c>
      <c r="AQ31" s="60" t="s">
        <v>74</v>
      </c>
      <c r="AV31" s="59">
        <f>AW31+AX31</f>
        <v>0</v>
      </c>
      <c r="AW31" s="59">
        <f>G31*AO31</f>
        <v>0</v>
      </c>
      <c r="AX31" s="59">
        <f>G31*AP31</f>
        <v>0</v>
      </c>
      <c r="AY31" s="62" t="s">
        <v>641</v>
      </c>
      <c r="AZ31" s="62" t="s">
        <v>663</v>
      </c>
      <c r="BA31" s="53" t="s">
        <v>670</v>
      </c>
      <c r="BC31" s="59">
        <f>AW31+AX31</f>
        <v>0</v>
      </c>
      <c r="BD31" s="59">
        <f>H31/(100-BE31)*100</f>
        <v>0</v>
      </c>
      <c r="BE31" s="59">
        <v>0</v>
      </c>
      <c r="BF31" s="59">
        <f>M31</f>
        <v>0.03606016</v>
      </c>
      <c r="BH31" s="44">
        <f>G31*AO31</f>
        <v>0</v>
      </c>
      <c r="BI31" s="44">
        <f>G31*AP31</f>
        <v>0</v>
      </c>
      <c r="BJ31" s="44">
        <f>G31*H31</f>
        <v>0</v>
      </c>
      <c r="BK31" s="44" t="s">
        <v>675</v>
      </c>
      <c r="BL31" s="59">
        <v>61</v>
      </c>
    </row>
    <row r="32" spans="1:15" ht="12.75">
      <c r="A32" s="18"/>
      <c r="B32" s="75"/>
      <c r="C32" s="75"/>
      <c r="D32" s="76" t="s">
        <v>392</v>
      </c>
      <c r="E32" s="76"/>
      <c r="F32" s="75"/>
      <c r="G32" s="77">
        <v>112.688</v>
      </c>
      <c r="H32" s="75"/>
      <c r="I32" s="75"/>
      <c r="J32" s="75"/>
      <c r="K32" s="75"/>
      <c r="L32" s="75"/>
      <c r="M32" s="75"/>
      <c r="N32" s="16"/>
      <c r="O32" s="18"/>
    </row>
    <row r="33" spans="1:64" ht="12.75">
      <c r="A33" s="73" t="s">
        <v>84</v>
      </c>
      <c r="B33" s="17"/>
      <c r="C33" s="17" t="s">
        <v>229</v>
      </c>
      <c r="D33" s="123" t="s">
        <v>393</v>
      </c>
      <c r="E33" s="184"/>
      <c r="F33" s="17" t="s">
        <v>607</v>
      </c>
      <c r="G33" s="59">
        <v>10.98</v>
      </c>
      <c r="H33" s="101"/>
      <c r="I33" s="59">
        <f>G33*AO33</f>
        <v>0</v>
      </c>
      <c r="J33" s="59">
        <f>G33*AP33</f>
        <v>0</v>
      </c>
      <c r="K33" s="59">
        <f>G33*H33</f>
        <v>0</v>
      </c>
      <c r="L33" s="59">
        <v>0.03921</v>
      </c>
      <c r="M33" s="59">
        <f>G33*L33</f>
        <v>0.4305258</v>
      </c>
      <c r="N33" s="74" t="s">
        <v>630</v>
      </c>
      <c r="O33" s="18"/>
      <c r="Z33" s="59">
        <f>IF(AQ33="5",BJ33,0)</f>
        <v>0</v>
      </c>
      <c r="AB33" s="59">
        <f>IF(AQ33="1",BH33,0)</f>
        <v>0</v>
      </c>
      <c r="AC33" s="59">
        <f>IF(AQ33="1",BI33,0)</f>
        <v>0</v>
      </c>
      <c r="AD33" s="59">
        <f>IF(AQ33="7",BH33,0)</f>
        <v>0</v>
      </c>
      <c r="AE33" s="59">
        <f>IF(AQ33="7",BI33,0)</f>
        <v>0</v>
      </c>
      <c r="AF33" s="59">
        <f>IF(AQ33="2",BH33,0)</f>
        <v>0</v>
      </c>
      <c r="AG33" s="59">
        <f>IF(AQ33="2",BI33,0)</f>
        <v>0</v>
      </c>
      <c r="AH33" s="59">
        <f>IF(AQ33="0",BJ33,0)</f>
        <v>0</v>
      </c>
      <c r="AI33" s="53"/>
      <c r="AJ33" s="44">
        <f>IF(AN33=0,K33,0)</f>
        <v>0</v>
      </c>
      <c r="AK33" s="44">
        <f>IF(AN33=15,K33,0)</f>
        <v>0</v>
      </c>
      <c r="AL33" s="44">
        <f>IF(AN33=21,K33,0)</f>
        <v>0</v>
      </c>
      <c r="AN33" s="59">
        <v>15</v>
      </c>
      <c r="AO33" s="59">
        <f>H33*0.158764940239044</f>
        <v>0</v>
      </c>
      <c r="AP33" s="59">
        <f>H33*(1-0.158764940239044)</f>
        <v>0</v>
      </c>
      <c r="AQ33" s="60" t="s">
        <v>74</v>
      </c>
      <c r="AV33" s="59">
        <f>AW33+AX33</f>
        <v>0</v>
      </c>
      <c r="AW33" s="59">
        <f>G33*AO33</f>
        <v>0</v>
      </c>
      <c r="AX33" s="59">
        <f>G33*AP33</f>
        <v>0</v>
      </c>
      <c r="AY33" s="62" t="s">
        <v>641</v>
      </c>
      <c r="AZ33" s="62" t="s">
        <v>663</v>
      </c>
      <c r="BA33" s="53" t="s">
        <v>670</v>
      </c>
      <c r="BC33" s="59">
        <f>AW33+AX33</f>
        <v>0</v>
      </c>
      <c r="BD33" s="59">
        <f>H33/(100-BE33)*100</f>
        <v>0</v>
      </c>
      <c r="BE33" s="59">
        <v>0</v>
      </c>
      <c r="BF33" s="59">
        <f>M33</f>
        <v>0.4305258</v>
      </c>
      <c r="BH33" s="44">
        <f>G33*AO33</f>
        <v>0</v>
      </c>
      <c r="BI33" s="44">
        <f>G33*AP33</f>
        <v>0</v>
      </c>
      <c r="BJ33" s="44">
        <f>G33*H33</f>
        <v>0</v>
      </c>
      <c r="BK33" s="44" t="s">
        <v>675</v>
      </c>
      <c r="BL33" s="59">
        <v>61</v>
      </c>
    </row>
    <row r="34" spans="1:15" ht="12.75">
      <c r="A34" s="18"/>
      <c r="B34" s="75"/>
      <c r="C34" s="75"/>
      <c r="D34" s="76" t="s">
        <v>394</v>
      </c>
      <c r="E34" s="76"/>
      <c r="F34" s="75"/>
      <c r="G34" s="77">
        <v>0</v>
      </c>
      <c r="H34" s="75"/>
      <c r="I34" s="75"/>
      <c r="J34" s="75"/>
      <c r="K34" s="75"/>
      <c r="L34" s="75"/>
      <c r="M34" s="75"/>
      <c r="N34" s="16"/>
      <c r="O34" s="18"/>
    </row>
    <row r="35" spans="1:15" ht="12.75">
      <c r="A35" s="18"/>
      <c r="B35" s="75"/>
      <c r="C35" s="75"/>
      <c r="D35" s="76" t="s">
        <v>395</v>
      </c>
      <c r="E35" s="76"/>
      <c r="F35" s="75"/>
      <c r="G35" s="77">
        <v>6.78</v>
      </c>
      <c r="H35" s="75"/>
      <c r="I35" s="75"/>
      <c r="J35" s="75"/>
      <c r="K35" s="75"/>
      <c r="L35" s="75"/>
      <c r="M35" s="75"/>
      <c r="N35" s="16"/>
      <c r="O35" s="18"/>
    </row>
    <row r="36" spans="1:15" ht="12.75">
      <c r="A36" s="18"/>
      <c r="B36" s="75"/>
      <c r="C36" s="75"/>
      <c r="D36" s="76" t="s">
        <v>396</v>
      </c>
      <c r="E36" s="76"/>
      <c r="F36" s="75"/>
      <c r="G36" s="77">
        <v>4.2</v>
      </c>
      <c r="H36" s="75"/>
      <c r="I36" s="75"/>
      <c r="J36" s="75"/>
      <c r="K36" s="75"/>
      <c r="L36" s="75"/>
      <c r="M36" s="75"/>
      <c r="N36" s="16"/>
      <c r="O36" s="18"/>
    </row>
    <row r="37" spans="1:64" ht="12.75">
      <c r="A37" s="73" t="s">
        <v>85</v>
      </c>
      <c r="B37" s="17"/>
      <c r="C37" s="17" t="s">
        <v>230</v>
      </c>
      <c r="D37" s="123" t="s">
        <v>397</v>
      </c>
      <c r="E37" s="184"/>
      <c r="F37" s="17" t="s">
        <v>607</v>
      </c>
      <c r="G37" s="59">
        <v>28.4775</v>
      </c>
      <c r="H37" s="101"/>
      <c r="I37" s="59">
        <f>G37*AO37</f>
        <v>0</v>
      </c>
      <c r="J37" s="59">
        <f>G37*AP37</f>
        <v>0</v>
      </c>
      <c r="K37" s="59">
        <f>G37*H37</f>
        <v>0</v>
      </c>
      <c r="L37" s="59">
        <v>0.00585</v>
      </c>
      <c r="M37" s="59">
        <f>G37*L37</f>
        <v>0.166593375</v>
      </c>
      <c r="N37" s="74" t="s">
        <v>630</v>
      </c>
      <c r="O37" s="18"/>
      <c r="Z37" s="59">
        <f>IF(AQ37="5",BJ37,0)</f>
        <v>0</v>
      </c>
      <c r="AB37" s="59">
        <f>IF(AQ37="1",BH37,0)</f>
        <v>0</v>
      </c>
      <c r="AC37" s="59">
        <f>IF(AQ37="1",BI37,0)</f>
        <v>0</v>
      </c>
      <c r="AD37" s="59">
        <f>IF(AQ37="7",BH37,0)</f>
        <v>0</v>
      </c>
      <c r="AE37" s="59">
        <f>IF(AQ37="7",BI37,0)</f>
        <v>0</v>
      </c>
      <c r="AF37" s="59">
        <f>IF(AQ37="2",BH37,0)</f>
        <v>0</v>
      </c>
      <c r="AG37" s="59">
        <f>IF(AQ37="2",BI37,0)</f>
        <v>0</v>
      </c>
      <c r="AH37" s="59">
        <f>IF(AQ37="0",BJ37,0)</f>
        <v>0</v>
      </c>
      <c r="AI37" s="53"/>
      <c r="AJ37" s="44">
        <f>IF(AN37=0,K37,0)</f>
        <v>0</v>
      </c>
      <c r="AK37" s="44">
        <f>IF(AN37=15,K37,0)</f>
        <v>0</v>
      </c>
      <c r="AL37" s="44">
        <f>IF(AN37=21,K37,0)</f>
        <v>0</v>
      </c>
      <c r="AN37" s="59">
        <v>15</v>
      </c>
      <c r="AO37" s="59">
        <f>H37*0.818985656102709</f>
        <v>0</v>
      </c>
      <c r="AP37" s="59">
        <f>H37*(1-0.818985656102709)</f>
        <v>0</v>
      </c>
      <c r="AQ37" s="60" t="s">
        <v>74</v>
      </c>
      <c r="AV37" s="59">
        <f>AW37+AX37</f>
        <v>0</v>
      </c>
      <c r="AW37" s="59">
        <f>G37*AO37</f>
        <v>0</v>
      </c>
      <c r="AX37" s="59">
        <f>G37*AP37</f>
        <v>0</v>
      </c>
      <c r="AY37" s="62" t="s">
        <v>641</v>
      </c>
      <c r="AZ37" s="62" t="s">
        <v>663</v>
      </c>
      <c r="BA37" s="53" t="s">
        <v>670</v>
      </c>
      <c r="BC37" s="59">
        <f>AW37+AX37</f>
        <v>0</v>
      </c>
      <c r="BD37" s="59">
        <f>H37/(100-BE37)*100</f>
        <v>0</v>
      </c>
      <c r="BE37" s="59">
        <v>0</v>
      </c>
      <c r="BF37" s="59">
        <f>M37</f>
        <v>0.166593375</v>
      </c>
      <c r="BH37" s="44">
        <f>G37*AO37</f>
        <v>0</v>
      </c>
      <c r="BI37" s="44">
        <f>G37*AP37</f>
        <v>0</v>
      </c>
      <c r="BJ37" s="44">
        <f>G37*H37</f>
        <v>0</v>
      </c>
      <c r="BK37" s="44" t="s">
        <v>675</v>
      </c>
      <c r="BL37" s="59">
        <v>61</v>
      </c>
    </row>
    <row r="38" spans="1:15" ht="12.75">
      <c r="A38" s="18"/>
      <c r="B38" s="75"/>
      <c r="C38" s="75"/>
      <c r="D38" s="76" t="s">
        <v>398</v>
      </c>
      <c r="E38" s="76"/>
      <c r="F38" s="75"/>
      <c r="G38" s="77">
        <v>28.4775</v>
      </c>
      <c r="H38" s="75"/>
      <c r="I38" s="75"/>
      <c r="J38" s="75"/>
      <c r="K38" s="75"/>
      <c r="L38" s="75"/>
      <c r="M38" s="75"/>
      <c r="N38" s="16"/>
      <c r="O38" s="18"/>
    </row>
    <row r="39" spans="1:64" ht="12.75">
      <c r="A39" s="85" t="s">
        <v>86</v>
      </c>
      <c r="B39" s="85"/>
      <c r="C39" s="85" t="s">
        <v>231</v>
      </c>
      <c r="D39" s="185" t="s">
        <v>399</v>
      </c>
      <c r="E39" s="186"/>
      <c r="F39" s="85" t="s">
        <v>607</v>
      </c>
      <c r="G39" s="89">
        <v>17.4975</v>
      </c>
      <c r="H39" s="102"/>
      <c r="I39" s="89">
        <f>G39*AO39</f>
        <v>0</v>
      </c>
      <c r="J39" s="89">
        <f>G39*AP39</f>
        <v>0</v>
      </c>
      <c r="K39" s="89">
        <f>G39*H39</f>
        <v>0</v>
      </c>
      <c r="L39" s="89">
        <v>0.04766</v>
      </c>
      <c r="M39" s="89">
        <f>G39*L39</f>
        <v>0.83393085</v>
      </c>
      <c r="N39" s="80" t="s">
        <v>630</v>
      </c>
      <c r="O39" s="82"/>
      <c r="Z39" s="59">
        <f>IF(AQ39="5",BJ39,0)</f>
        <v>0</v>
      </c>
      <c r="AB39" s="59">
        <f>IF(AQ39="1",BH39,0)</f>
        <v>0</v>
      </c>
      <c r="AC39" s="59">
        <f>IF(AQ39="1",BI39,0)</f>
        <v>0</v>
      </c>
      <c r="AD39" s="59">
        <f>IF(AQ39="7",BH39,0)</f>
        <v>0</v>
      </c>
      <c r="AE39" s="59">
        <f>IF(AQ39="7",BI39,0)</f>
        <v>0</v>
      </c>
      <c r="AF39" s="59">
        <f>IF(AQ39="2",BH39,0)</f>
        <v>0</v>
      </c>
      <c r="AG39" s="59">
        <f>IF(AQ39="2",BI39,0)</f>
        <v>0</v>
      </c>
      <c r="AH39" s="59">
        <f>IF(AQ39="0",BJ39,0)</f>
        <v>0</v>
      </c>
      <c r="AI39" s="53"/>
      <c r="AJ39" s="44">
        <f>IF(AN39=0,K39,0)</f>
        <v>0</v>
      </c>
      <c r="AK39" s="44">
        <f>IF(AN39=15,K39,0)</f>
        <v>0</v>
      </c>
      <c r="AL39" s="44">
        <f>IF(AN39=21,K39,0)</f>
        <v>0</v>
      </c>
      <c r="AN39" s="59">
        <v>15</v>
      </c>
      <c r="AO39" s="59">
        <f>H39*0.105012923501682</f>
        <v>0</v>
      </c>
      <c r="AP39" s="59">
        <f>H39*(1-0.105012923501682)</f>
        <v>0</v>
      </c>
      <c r="AQ39" s="60" t="s">
        <v>74</v>
      </c>
      <c r="AV39" s="59">
        <f>AW39+AX39</f>
        <v>0</v>
      </c>
      <c r="AW39" s="59">
        <f>G39*AO39</f>
        <v>0</v>
      </c>
      <c r="AX39" s="59">
        <f>G39*AP39</f>
        <v>0</v>
      </c>
      <c r="AY39" s="62" t="s">
        <v>641</v>
      </c>
      <c r="AZ39" s="62" t="s">
        <v>663</v>
      </c>
      <c r="BA39" s="53" t="s">
        <v>670</v>
      </c>
      <c r="BC39" s="59">
        <f>AW39+AX39</f>
        <v>0</v>
      </c>
      <c r="BD39" s="59">
        <f>H39/(100-BE39)*100</f>
        <v>0</v>
      </c>
      <c r="BE39" s="59">
        <v>0</v>
      </c>
      <c r="BF39" s="59">
        <f>M39</f>
        <v>0.83393085</v>
      </c>
      <c r="BH39" s="44">
        <f>G39*AO39</f>
        <v>0</v>
      </c>
      <c r="BI39" s="44">
        <f>G39*AP39</f>
        <v>0</v>
      </c>
      <c r="BJ39" s="44">
        <f>G39*H39</f>
        <v>0</v>
      </c>
      <c r="BK39" s="44" t="s">
        <v>675</v>
      </c>
      <c r="BL39" s="59">
        <v>61</v>
      </c>
    </row>
    <row r="40" spans="1:15" ht="12.75">
      <c r="A40" s="91"/>
      <c r="B40" s="92"/>
      <c r="C40" s="92"/>
      <c r="D40" s="93" t="s">
        <v>400</v>
      </c>
      <c r="E40" s="93"/>
      <c r="F40" s="92"/>
      <c r="G40" s="94">
        <v>0</v>
      </c>
      <c r="H40" s="92"/>
      <c r="I40" s="92"/>
      <c r="J40" s="92"/>
      <c r="K40" s="92"/>
      <c r="L40" s="92"/>
      <c r="M40" s="92"/>
      <c r="N40" s="83"/>
      <c r="O40" s="82"/>
    </row>
    <row r="41" spans="1:15" ht="12.75">
      <c r="A41" s="91"/>
      <c r="B41" s="92"/>
      <c r="C41" s="92"/>
      <c r="D41" s="93" t="s">
        <v>401</v>
      </c>
      <c r="E41" s="93"/>
      <c r="F41" s="92"/>
      <c r="G41" s="94">
        <v>2.1375</v>
      </c>
      <c r="H41" s="92"/>
      <c r="I41" s="92"/>
      <c r="J41" s="92"/>
      <c r="K41" s="92"/>
      <c r="L41" s="92"/>
      <c r="M41" s="92"/>
      <c r="N41" s="83"/>
      <c r="O41" s="82"/>
    </row>
    <row r="42" spans="1:15" ht="12.75">
      <c r="A42" s="91"/>
      <c r="B42" s="92"/>
      <c r="C42" s="92"/>
      <c r="D42" s="93" t="s">
        <v>402</v>
      </c>
      <c r="E42" s="93"/>
      <c r="F42" s="92"/>
      <c r="G42" s="94">
        <v>9.06</v>
      </c>
      <c r="H42" s="92"/>
      <c r="I42" s="92"/>
      <c r="J42" s="92"/>
      <c r="K42" s="92"/>
      <c r="L42" s="92"/>
      <c r="M42" s="92"/>
      <c r="N42" s="83"/>
      <c r="O42" s="82"/>
    </row>
    <row r="43" spans="1:15" ht="12.75">
      <c r="A43" s="91"/>
      <c r="B43" s="92"/>
      <c r="C43" s="92"/>
      <c r="D43" s="93" t="s">
        <v>403</v>
      </c>
      <c r="E43" s="93"/>
      <c r="F43" s="92"/>
      <c r="G43" s="94">
        <v>6.3</v>
      </c>
      <c r="H43" s="92"/>
      <c r="I43" s="92"/>
      <c r="J43" s="92"/>
      <c r="K43" s="92"/>
      <c r="L43" s="92"/>
      <c r="M43" s="92"/>
      <c r="N43" s="83"/>
      <c r="O43" s="82"/>
    </row>
    <row r="44" spans="1:64" ht="12.75">
      <c r="A44" s="85" t="s">
        <v>87</v>
      </c>
      <c r="B44" s="85"/>
      <c r="C44" s="85" t="s">
        <v>232</v>
      </c>
      <c r="D44" s="185" t="s">
        <v>404</v>
      </c>
      <c r="E44" s="186"/>
      <c r="F44" s="85" t="s">
        <v>607</v>
      </c>
      <c r="G44" s="89">
        <v>52.9605</v>
      </c>
      <c r="H44" s="102"/>
      <c r="I44" s="89">
        <f>G44*AO44</f>
        <v>0</v>
      </c>
      <c r="J44" s="89">
        <f>G44*AP44</f>
        <v>0</v>
      </c>
      <c r="K44" s="89">
        <f>G44*H44</f>
        <v>0</v>
      </c>
      <c r="L44" s="89">
        <v>0.0025</v>
      </c>
      <c r="M44" s="89">
        <f>G44*L44</f>
        <v>0.13240125</v>
      </c>
      <c r="N44" s="80" t="s">
        <v>630</v>
      </c>
      <c r="O44" s="82"/>
      <c r="Z44" s="59">
        <f>IF(AQ44="5",BJ44,0)</f>
        <v>0</v>
      </c>
      <c r="AB44" s="59">
        <f>IF(AQ44="1",BH44,0)</f>
        <v>0</v>
      </c>
      <c r="AC44" s="59">
        <f>IF(AQ44="1",BI44,0)</f>
        <v>0</v>
      </c>
      <c r="AD44" s="59">
        <f>IF(AQ44="7",BH44,0)</f>
        <v>0</v>
      </c>
      <c r="AE44" s="59">
        <f>IF(AQ44="7",BI44,0)</f>
        <v>0</v>
      </c>
      <c r="AF44" s="59">
        <f>IF(AQ44="2",BH44,0)</f>
        <v>0</v>
      </c>
      <c r="AG44" s="59">
        <f>IF(AQ44="2",BI44,0)</f>
        <v>0</v>
      </c>
      <c r="AH44" s="59">
        <f>IF(AQ44="0",BJ44,0)</f>
        <v>0</v>
      </c>
      <c r="AI44" s="53"/>
      <c r="AJ44" s="44">
        <f>IF(AN44=0,K44,0)</f>
        <v>0</v>
      </c>
      <c r="AK44" s="44">
        <f>IF(AN44=15,K44,0)</f>
        <v>0</v>
      </c>
      <c r="AL44" s="44">
        <f>IF(AN44=21,K44,0)</f>
        <v>0</v>
      </c>
      <c r="AN44" s="59">
        <v>15</v>
      </c>
      <c r="AO44" s="59">
        <f>H44*0.114179056210554</f>
        <v>0</v>
      </c>
      <c r="AP44" s="59">
        <f>H44*(1-0.114179056210554)</f>
        <v>0</v>
      </c>
      <c r="AQ44" s="60" t="s">
        <v>74</v>
      </c>
      <c r="AV44" s="59">
        <f>AW44+AX44</f>
        <v>0</v>
      </c>
      <c r="AW44" s="59">
        <f>G44*AO44</f>
        <v>0</v>
      </c>
      <c r="AX44" s="59">
        <f>G44*AP44</f>
        <v>0</v>
      </c>
      <c r="AY44" s="62" t="s">
        <v>641</v>
      </c>
      <c r="AZ44" s="62" t="s">
        <v>663</v>
      </c>
      <c r="BA44" s="53" t="s">
        <v>670</v>
      </c>
      <c r="BC44" s="59">
        <f>AW44+AX44</f>
        <v>0</v>
      </c>
      <c r="BD44" s="59">
        <f>H44/(100-BE44)*100</f>
        <v>0</v>
      </c>
      <c r="BE44" s="59">
        <v>0</v>
      </c>
      <c r="BF44" s="59">
        <f>M44</f>
        <v>0.13240125</v>
      </c>
      <c r="BH44" s="44">
        <f>G44*AO44</f>
        <v>0</v>
      </c>
      <c r="BI44" s="44">
        <f>G44*AP44</f>
        <v>0</v>
      </c>
      <c r="BJ44" s="44">
        <f>G44*H44</f>
        <v>0</v>
      </c>
      <c r="BK44" s="44" t="s">
        <v>675</v>
      </c>
      <c r="BL44" s="59">
        <v>61</v>
      </c>
    </row>
    <row r="45" spans="1:15" ht="12.75">
      <c r="A45" s="91"/>
      <c r="B45" s="92"/>
      <c r="C45" s="92"/>
      <c r="D45" s="93" t="s">
        <v>405</v>
      </c>
      <c r="E45" s="93"/>
      <c r="F45" s="92"/>
      <c r="G45" s="94">
        <v>0</v>
      </c>
      <c r="H45" s="92"/>
      <c r="I45" s="92"/>
      <c r="J45" s="92"/>
      <c r="K45" s="92"/>
      <c r="L45" s="92"/>
      <c r="M45" s="92"/>
      <c r="N45" s="83"/>
      <c r="O45" s="82"/>
    </row>
    <row r="46" spans="1:15" ht="12.75">
      <c r="A46" s="91"/>
      <c r="B46" s="92"/>
      <c r="C46" s="92"/>
      <c r="D46" s="93" t="s">
        <v>406</v>
      </c>
      <c r="E46" s="93"/>
      <c r="F46" s="92"/>
      <c r="G46" s="94">
        <v>0</v>
      </c>
      <c r="H46" s="92"/>
      <c r="I46" s="92"/>
      <c r="J46" s="92"/>
      <c r="K46" s="92"/>
      <c r="L46" s="92"/>
      <c r="M46" s="92"/>
      <c r="N46" s="83"/>
      <c r="O46" s="82"/>
    </row>
    <row r="47" spans="1:15" ht="12.75">
      <c r="A47" s="91"/>
      <c r="B47" s="92"/>
      <c r="C47" s="92"/>
      <c r="D47" s="93" t="s">
        <v>407</v>
      </c>
      <c r="E47" s="93"/>
      <c r="F47" s="92"/>
      <c r="G47" s="94">
        <v>6.94</v>
      </c>
      <c r="H47" s="92"/>
      <c r="I47" s="92"/>
      <c r="J47" s="92"/>
      <c r="K47" s="92"/>
      <c r="L47" s="92"/>
      <c r="M47" s="92"/>
      <c r="N47" s="83"/>
      <c r="O47" s="82"/>
    </row>
    <row r="48" spans="1:15" ht="12.75">
      <c r="A48" s="91"/>
      <c r="B48" s="92"/>
      <c r="C48" s="92"/>
      <c r="D48" s="93" t="s">
        <v>408</v>
      </c>
      <c r="E48" s="93"/>
      <c r="F48" s="92"/>
      <c r="G48" s="94">
        <v>0</v>
      </c>
      <c r="H48" s="92"/>
      <c r="I48" s="92"/>
      <c r="J48" s="92"/>
      <c r="K48" s="92"/>
      <c r="L48" s="92"/>
      <c r="M48" s="92"/>
      <c r="N48" s="83"/>
      <c r="O48" s="82"/>
    </row>
    <row r="49" spans="1:15" ht="12.75">
      <c r="A49" s="91"/>
      <c r="B49" s="92"/>
      <c r="C49" s="92"/>
      <c r="D49" s="93" t="s">
        <v>409</v>
      </c>
      <c r="E49" s="93"/>
      <c r="F49" s="92"/>
      <c r="G49" s="94">
        <v>8.645</v>
      </c>
      <c r="H49" s="92"/>
      <c r="I49" s="92"/>
      <c r="J49" s="92"/>
      <c r="K49" s="92"/>
      <c r="L49" s="92"/>
      <c r="M49" s="92"/>
      <c r="N49" s="83"/>
      <c r="O49" s="82"/>
    </row>
    <row r="50" spans="1:15" ht="12.75">
      <c r="A50" s="91"/>
      <c r="B50" s="92"/>
      <c r="C50" s="92"/>
      <c r="D50" s="93" t="s">
        <v>410</v>
      </c>
      <c r="E50" s="93"/>
      <c r="F50" s="92"/>
      <c r="G50" s="94">
        <v>0</v>
      </c>
      <c r="H50" s="92"/>
      <c r="I50" s="92"/>
      <c r="J50" s="92"/>
      <c r="K50" s="92"/>
      <c r="L50" s="92"/>
      <c r="M50" s="92"/>
      <c r="N50" s="83"/>
      <c r="O50" s="82"/>
    </row>
    <row r="51" spans="1:15" ht="12.75">
      <c r="A51" s="91"/>
      <c r="B51" s="92"/>
      <c r="C51" s="92"/>
      <c r="D51" s="93" t="s">
        <v>411</v>
      </c>
      <c r="E51" s="93"/>
      <c r="F51" s="92"/>
      <c r="G51" s="94">
        <v>19.478</v>
      </c>
      <c r="H51" s="92"/>
      <c r="I51" s="92"/>
      <c r="J51" s="92"/>
      <c r="K51" s="92"/>
      <c r="L51" s="92"/>
      <c r="M51" s="92"/>
      <c r="N51" s="83"/>
      <c r="O51" s="82"/>
    </row>
    <row r="52" spans="1:15" ht="12.75">
      <c r="A52" s="91"/>
      <c r="B52" s="92"/>
      <c r="C52" s="92"/>
      <c r="D52" s="93" t="s">
        <v>412</v>
      </c>
      <c r="E52" s="93"/>
      <c r="F52" s="92"/>
      <c r="G52" s="94">
        <v>1.072</v>
      </c>
      <c r="H52" s="92"/>
      <c r="I52" s="92"/>
      <c r="J52" s="92"/>
      <c r="K52" s="92"/>
      <c r="L52" s="92"/>
      <c r="M52" s="92"/>
      <c r="N52" s="83"/>
      <c r="O52" s="82"/>
    </row>
    <row r="53" spans="1:15" ht="12.75">
      <c r="A53" s="91"/>
      <c r="B53" s="92"/>
      <c r="C53" s="92"/>
      <c r="D53" s="93" t="s">
        <v>413</v>
      </c>
      <c r="E53" s="93"/>
      <c r="F53" s="92"/>
      <c r="G53" s="94">
        <v>0</v>
      </c>
      <c r="H53" s="92"/>
      <c r="I53" s="92"/>
      <c r="J53" s="92"/>
      <c r="K53" s="92"/>
      <c r="L53" s="92"/>
      <c r="M53" s="92"/>
      <c r="N53" s="83"/>
      <c r="O53" s="82"/>
    </row>
    <row r="54" spans="1:15" ht="12.75">
      <c r="A54" s="91"/>
      <c r="B54" s="92"/>
      <c r="C54" s="92"/>
      <c r="D54" s="93" t="s">
        <v>414</v>
      </c>
      <c r="E54" s="93"/>
      <c r="F54" s="92"/>
      <c r="G54" s="94">
        <v>14.814</v>
      </c>
      <c r="H54" s="92"/>
      <c r="I54" s="92"/>
      <c r="J54" s="92"/>
      <c r="K54" s="92"/>
      <c r="L54" s="92"/>
      <c r="M54" s="92"/>
      <c r="N54" s="83"/>
      <c r="O54" s="82"/>
    </row>
    <row r="55" spans="1:15" ht="12.75">
      <c r="A55" s="91"/>
      <c r="B55" s="92"/>
      <c r="C55" s="92"/>
      <c r="D55" s="93" t="s">
        <v>415</v>
      </c>
      <c r="E55" s="93"/>
      <c r="F55" s="92"/>
      <c r="G55" s="94">
        <v>2.0115</v>
      </c>
      <c r="H55" s="92"/>
      <c r="I55" s="92"/>
      <c r="J55" s="92"/>
      <c r="K55" s="92"/>
      <c r="L55" s="92"/>
      <c r="M55" s="92"/>
      <c r="N55" s="83"/>
      <c r="O55" s="82"/>
    </row>
    <row r="56" spans="1:64" ht="12.75">
      <c r="A56" s="78" t="s">
        <v>88</v>
      </c>
      <c r="B56" s="78"/>
      <c r="C56" s="78" t="s">
        <v>233</v>
      </c>
      <c r="D56" s="187" t="s">
        <v>416</v>
      </c>
      <c r="E56" s="188"/>
      <c r="F56" s="78" t="s">
        <v>607</v>
      </c>
      <c r="G56" s="79">
        <v>3.1</v>
      </c>
      <c r="H56" s="103"/>
      <c r="I56" s="79">
        <f>G56*AO56</f>
        <v>0</v>
      </c>
      <c r="J56" s="79">
        <f>G56*AP56</f>
        <v>0</v>
      </c>
      <c r="K56" s="79">
        <f>G56*H56</f>
        <v>0</v>
      </c>
      <c r="L56" s="79">
        <v>0.10712</v>
      </c>
      <c r="M56" s="79">
        <f>G56*L56</f>
        <v>0.33207200000000003</v>
      </c>
      <c r="N56" s="81" t="s">
        <v>630</v>
      </c>
      <c r="O56" s="82"/>
      <c r="Z56" s="59">
        <f>IF(AQ56="5",BJ56,0)</f>
        <v>0</v>
      </c>
      <c r="AB56" s="59">
        <f>IF(AQ56="1",BH56,0)</f>
        <v>0</v>
      </c>
      <c r="AC56" s="59">
        <f>IF(AQ56="1",BI56,0)</f>
        <v>0</v>
      </c>
      <c r="AD56" s="59">
        <f>IF(AQ56="7",BH56,0)</f>
        <v>0</v>
      </c>
      <c r="AE56" s="59">
        <f>IF(AQ56="7",BI56,0)</f>
        <v>0</v>
      </c>
      <c r="AF56" s="59">
        <f>IF(AQ56="2",BH56,0)</f>
        <v>0</v>
      </c>
      <c r="AG56" s="59">
        <f>IF(AQ56="2",BI56,0)</f>
        <v>0</v>
      </c>
      <c r="AH56" s="59">
        <f>IF(AQ56="0",BJ56,0)</f>
        <v>0</v>
      </c>
      <c r="AI56" s="53"/>
      <c r="AJ56" s="44">
        <f>IF(AN56=0,K56,0)</f>
        <v>0</v>
      </c>
      <c r="AK56" s="44">
        <f>IF(AN56=15,K56,0)</f>
        <v>0</v>
      </c>
      <c r="AL56" s="44">
        <f>IF(AN56=21,K56,0)</f>
        <v>0</v>
      </c>
      <c r="AN56" s="59">
        <v>15</v>
      </c>
      <c r="AO56" s="59">
        <f>H56*0.246430260047281</f>
        <v>0</v>
      </c>
      <c r="AP56" s="59">
        <f>H56*(1-0.246430260047281)</f>
        <v>0</v>
      </c>
      <c r="AQ56" s="60" t="s">
        <v>74</v>
      </c>
      <c r="AV56" s="59">
        <f>AW56+AX56</f>
        <v>0</v>
      </c>
      <c r="AW56" s="59">
        <f>G56*AO56</f>
        <v>0</v>
      </c>
      <c r="AX56" s="59">
        <f>G56*AP56</f>
        <v>0</v>
      </c>
      <c r="AY56" s="62" t="s">
        <v>641</v>
      </c>
      <c r="AZ56" s="62" t="s">
        <v>663</v>
      </c>
      <c r="BA56" s="53" t="s">
        <v>670</v>
      </c>
      <c r="BC56" s="59">
        <f>AW56+AX56</f>
        <v>0</v>
      </c>
      <c r="BD56" s="59">
        <f>H56/(100-BE56)*100</f>
        <v>0</v>
      </c>
      <c r="BE56" s="59">
        <v>0</v>
      </c>
      <c r="BF56" s="59">
        <f>M56</f>
        <v>0.33207200000000003</v>
      </c>
      <c r="BH56" s="44">
        <f>G56*AO56</f>
        <v>0</v>
      </c>
      <c r="BI56" s="44">
        <f>G56*AP56</f>
        <v>0</v>
      </c>
      <c r="BJ56" s="44">
        <f>G56*H56</f>
        <v>0</v>
      </c>
      <c r="BK56" s="44" t="s">
        <v>675</v>
      </c>
      <c r="BL56" s="59">
        <v>61</v>
      </c>
    </row>
    <row r="57" spans="1:64" ht="12.75">
      <c r="A57" s="73" t="s">
        <v>89</v>
      </c>
      <c r="B57" s="17"/>
      <c r="C57" s="17" t="s">
        <v>234</v>
      </c>
      <c r="D57" s="123" t="s">
        <v>417</v>
      </c>
      <c r="E57" s="184"/>
      <c r="F57" s="17" t="s">
        <v>608</v>
      </c>
      <c r="G57" s="59">
        <v>11.46</v>
      </c>
      <c r="H57" s="101"/>
      <c r="I57" s="59">
        <f>G57*AO57</f>
        <v>0</v>
      </c>
      <c r="J57" s="59">
        <f>G57*AP57</f>
        <v>0</v>
      </c>
      <c r="K57" s="59">
        <f>G57*H57</f>
        <v>0</v>
      </c>
      <c r="L57" s="59">
        <v>0.00238</v>
      </c>
      <c r="M57" s="59">
        <f>G57*L57</f>
        <v>0.027274800000000005</v>
      </c>
      <c r="N57" s="74" t="s">
        <v>630</v>
      </c>
      <c r="O57" s="18"/>
      <c r="Z57" s="59">
        <f>IF(AQ57="5",BJ57,0)</f>
        <v>0</v>
      </c>
      <c r="AB57" s="59">
        <f>IF(AQ57="1",BH57,0)</f>
        <v>0</v>
      </c>
      <c r="AC57" s="59">
        <f>IF(AQ57="1",BI57,0)</f>
        <v>0</v>
      </c>
      <c r="AD57" s="59">
        <f>IF(AQ57="7",BH57,0)</f>
        <v>0</v>
      </c>
      <c r="AE57" s="59">
        <f>IF(AQ57="7",BI57,0)</f>
        <v>0</v>
      </c>
      <c r="AF57" s="59">
        <f>IF(AQ57="2",BH57,0)</f>
        <v>0</v>
      </c>
      <c r="AG57" s="59">
        <f>IF(AQ57="2",BI57,0)</f>
        <v>0</v>
      </c>
      <c r="AH57" s="59">
        <f>IF(AQ57="0",BJ57,0)</f>
        <v>0</v>
      </c>
      <c r="AI57" s="53"/>
      <c r="AJ57" s="44">
        <f>IF(AN57=0,K57,0)</f>
        <v>0</v>
      </c>
      <c r="AK57" s="44">
        <f>IF(AN57=15,K57,0)</f>
        <v>0</v>
      </c>
      <c r="AL57" s="44">
        <f>IF(AN57=21,K57,0)</f>
        <v>0</v>
      </c>
      <c r="AN57" s="59">
        <v>15</v>
      </c>
      <c r="AO57" s="59">
        <f>H57*0.112513368983957</f>
        <v>0</v>
      </c>
      <c r="AP57" s="59">
        <f>H57*(1-0.112513368983957)</f>
        <v>0</v>
      </c>
      <c r="AQ57" s="60" t="s">
        <v>74</v>
      </c>
      <c r="AV57" s="59">
        <f>AW57+AX57</f>
        <v>0</v>
      </c>
      <c r="AW57" s="59">
        <f>G57*AO57</f>
        <v>0</v>
      </c>
      <c r="AX57" s="59">
        <f>G57*AP57</f>
        <v>0</v>
      </c>
      <c r="AY57" s="62" t="s">
        <v>641</v>
      </c>
      <c r="AZ57" s="62" t="s">
        <v>663</v>
      </c>
      <c r="BA57" s="53" t="s">
        <v>670</v>
      </c>
      <c r="BC57" s="59">
        <f>AW57+AX57</f>
        <v>0</v>
      </c>
      <c r="BD57" s="59">
        <f>H57/(100-BE57)*100</f>
        <v>0</v>
      </c>
      <c r="BE57" s="59">
        <v>0</v>
      </c>
      <c r="BF57" s="59">
        <f>M57</f>
        <v>0.027274800000000005</v>
      </c>
      <c r="BH57" s="44">
        <f>G57*AO57</f>
        <v>0</v>
      </c>
      <c r="BI57" s="44">
        <f>G57*AP57</f>
        <v>0</v>
      </c>
      <c r="BJ57" s="44">
        <f>G57*H57</f>
        <v>0</v>
      </c>
      <c r="BK57" s="44" t="s">
        <v>675</v>
      </c>
      <c r="BL57" s="59">
        <v>61</v>
      </c>
    </row>
    <row r="58" spans="1:15" ht="12.75">
      <c r="A58" s="18"/>
      <c r="B58" s="75"/>
      <c r="C58" s="75"/>
      <c r="D58" s="76" t="s">
        <v>418</v>
      </c>
      <c r="E58" s="76"/>
      <c r="F58" s="75"/>
      <c r="G58" s="77">
        <v>11.46</v>
      </c>
      <c r="H58" s="75"/>
      <c r="I58" s="75"/>
      <c r="J58" s="75"/>
      <c r="K58" s="75"/>
      <c r="L58" s="75"/>
      <c r="M58" s="75"/>
      <c r="N58" s="16"/>
      <c r="O58" s="18"/>
    </row>
    <row r="59" spans="1:64" ht="12.75">
      <c r="A59" s="73" t="s">
        <v>90</v>
      </c>
      <c r="B59" s="17"/>
      <c r="C59" s="17" t="s">
        <v>235</v>
      </c>
      <c r="D59" s="123" t="s">
        <v>419</v>
      </c>
      <c r="E59" s="184"/>
      <c r="F59" s="17" t="s">
        <v>608</v>
      </c>
      <c r="G59" s="59">
        <v>31.25</v>
      </c>
      <c r="H59" s="101"/>
      <c r="I59" s="59">
        <f>G59*AO59</f>
        <v>0</v>
      </c>
      <c r="J59" s="59">
        <f>G59*AP59</f>
        <v>0</v>
      </c>
      <c r="K59" s="59">
        <f>G59*H59</f>
        <v>0</v>
      </c>
      <c r="L59" s="59">
        <v>1E-05</v>
      </c>
      <c r="M59" s="59">
        <f>G59*L59</f>
        <v>0.0003125</v>
      </c>
      <c r="N59" s="74" t="s">
        <v>630</v>
      </c>
      <c r="O59" s="18"/>
      <c r="Z59" s="59">
        <f>IF(AQ59="5",BJ59,0)</f>
        <v>0</v>
      </c>
      <c r="AB59" s="59">
        <f>IF(AQ59="1",BH59,0)</f>
        <v>0</v>
      </c>
      <c r="AC59" s="59">
        <f>IF(AQ59="1",BI59,0)</f>
        <v>0</v>
      </c>
      <c r="AD59" s="59">
        <f>IF(AQ59="7",BH59,0)</f>
        <v>0</v>
      </c>
      <c r="AE59" s="59">
        <f>IF(AQ59="7",BI59,0)</f>
        <v>0</v>
      </c>
      <c r="AF59" s="59">
        <f>IF(AQ59="2",BH59,0)</f>
        <v>0</v>
      </c>
      <c r="AG59" s="59">
        <f>IF(AQ59="2",BI59,0)</f>
        <v>0</v>
      </c>
      <c r="AH59" s="59">
        <f>IF(AQ59="0",BJ59,0)</f>
        <v>0</v>
      </c>
      <c r="AI59" s="53"/>
      <c r="AJ59" s="44">
        <f>IF(AN59=0,K59,0)</f>
        <v>0</v>
      </c>
      <c r="AK59" s="44">
        <f>IF(AN59=15,K59,0)</f>
        <v>0</v>
      </c>
      <c r="AL59" s="44">
        <f>IF(AN59=21,K59,0)</f>
        <v>0</v>
      </c>
      <c r="AN59" s="59">
        <v>15</v>
      </c>
      <c r="AO59" s="59">
        <f>H59*0.15077519379845</f>
        <v>0</v>
      </c>
      <c r="AP59" s="59">
        <f>H59*(1-0.15077519379845)</f>
        <v>0</v>
      </c>
      <c r="AQ59" s="60" t="s">
        <v>74</v>
      </c>
      <c r="AV59" s="59">
        <f>AW59+AX59</f>
        <v>0</v>
      </c>
      <c r="AW59" s="59">
        <f>G59*AO59</f>
        <v>0</v>
      </c>
      <c r="AX59" s="59">
        <f>G59*AP59</f>
        <v>0</v>
      </c>
      <c r="AY59" s="62" t="s">
        <v>641</v>
      </c>
      <c r="AZ59" s="62" t="s">
        <v>663</v>
      </c>
      <c r="BA59" s="53" t="s">
        <v>670</v>
      </c>
      <c r="BC59" s="59">
        <f>AW59+AX59</f>
        <v>0</v>
      </c>
      <c r="BD59" s="59">
        <f>H59/(100-BE59)*100</f>
        <v>0</v>
      </c>
      <c r="BE59" s="59">
        <v>0</v>
      </c>
      <c r="BF59" s="59">
        <f>M59</f>
        <v>0.0003125</v>
      </c>
      <c r="BH59" s="44">
        <f>G59*AO59</f>
        <v>0</v>
      </c>
      <c r="BI59" s="44">
        <f>G59*AP59</f>
        <v>0</v>
      </c>
      <c r="BJ59" s="44">
        <f>G59*H59</f>
        <v>0</v>
      </c>
      <c r="BK59" s="44" t="s">
        <v>675</v>
      </c>
      <c r="BL59" s="59">
        <v>61</v>
      </c>
    </row>
    <row r="60" spans="1:47" ht="12.75">
      <c r="A60" s="96"/>
      <c r="B60" s="97"/>
      <c r="C60" s="97" t="s">
        <v>136</v>
      </c>
      <c r="D60" s="189" t="s">
        <v>420</v>
      </c>
      <c r="E60" s="190"/>
      <c r="F60" s="96" t="s">
        <v>73</v>
      </c>
      <c r="G60" s="96" t="s">
        <v>73</v>
      </c>
      <c r="H60" s="96" t="s">
        <v>73</v>
      </c>
      <c r="I60" s="98">
        <f>SUM(I61:I61)</f>
        <v>0</v>
      </c>
      <c r="J60" s="98">
        <f>SUM(J61:J61)</f>
        <v>0</v>
      </c>
      <c r="K60" s="98">
        <f>SUM(K61:K61)</f>
        <v>0</v>
      </c>
      <c r="L60" s="99"/>
      <c r="M60" s="98">
        <f>SUM(M61:M61)</f>
        <v>0.274512</v>
      </c>
      <c r="N60" s="95"/>
      <c r="O60" s="82"/>
      <c r="AI60" s="53"/>
      <c r="AS60" s="65">
        <f>SUM(AJ61:AJ61)</f>
        <v>0</v>
      </c>
      <c r="AT60" s="65">
        <f>SUM(AK61:AK61)</f>
        <v>0</v>
      </c>
      <c r="AU60" s="65">
        <f>SUM(AL61:AL61)</f>
        <v>0</v>
      </c>
    </row>
    <row r="61" spans="1:64" ht="12.75">
      <c r="A61" s="85" t="s">
        <v>91</v>
      </c>
      <c r="B61" s="85"/>
      <c r="C61" s="85" t="s">
        <v>236</v>
      </c>
      <c r="D61" s="185" t="s">
        <v>421</v>
      </c>
      <c r="E61" s="186"/>
      <c r="F61" s="85" t="s">
        <v>607</v>
      </c>
      <c r="G61" s="89">
        <v>3.44</v>
      </c>
      <c r="H61" s="102"/>
      <c r="I61" s="89">
        <f>G61*AO61</f>
        <v>0</v>
      </c>
      <c r="J61" s="89">
        <f>G61*AP61</f>
        <v>0</v>
      </c>
      <c r="K61" s="89">
        <f>G61*H61</f>
        <v>0</v>
      </c>
      <c r="L61" s="89">
        <v>0.0798</v>
      </c>
      <c r="M61" s="89">
        <f>G61*L61</f>
        <v>0.274512</v>
      </c>
      <c r="N61" s="80" t="s">
        <v>630</v>
      </c>
      <c r="O61" s="82"/>
      <c r="Z61" s="59">
        <f>IF(AQ61="5",BJ61,0)</f>
        <v>0</v>
      </c>
      <c r="AB61" s="59">
        <f>IF(AQ61="1",BH61,0)</f>
        <v>0</v>
      </c>
      <c r="AC61" s="59">
        <f>IF(AQ61="1",BI61,0)</f>
        <v>0</v>
      </c>
      <c r="AD61" s="59">
        <f>IF(AQ61="7",BH61,0)</f>
        <v>0</v>
      </c>
      <c r="AE61" s="59">
        <f>IF(AQ61="7",BI61,0)</f>
        <v>0</v>
      </c>
      <c r="AF61" s="59">
        <f>IF(AQ61="2",BH61,0)</f>
        <v>0</v>
      </c>
      <c r="AG61" s="59">
        <f>IF(AQ61="2",BI61,0)</f>
        <v>0</v>
      </c>
      <c r="AH61" s="59">
        <f>IF(AQ61="0",BJ61,0)</f>
        <v>0</v>
      </c>
      <c r="AI61" s="53"/>
      <c r="AJ61" s="44">
        <f>IF(AN61=0,K61,0)</f>
        <v>0</v>
      </c>
      <c r="AK61" s="44">
        <f>IF(AN61=15,K61,0)</f>
        <v>0</v>
      </c>
      <c r="AL61" s="44">
        <f>IF(AN61=21,K61,0)</f>
        <v>0</v>
      </c>
      <c r="AN61" s="59">
        <v>15</v>
      </c>
      <c r="AO61" s="59">
        <f>H61*0.571332398316971</f>
        <v>0</v>
      </c>
      <c r="AP61" s="59">
        <f>H61*(1-0.571332398316971)</f>
        <v>0</v>
      </c>
      <c r="AQ61" s="60" t="s">
        <v>74</v>
      </c>
      <c r="AV61" s="59">
        <f>AW61+AX61</f>
        <v>0</v>
      </c>
      <c r="AW61" s="59">
        <f>G61*AO61</f>
        <v>0</v>
      </c>
      <c r="AX61" s="59">
        <f>G61*AP61</f>
        <v>0</v>
      </c>
      <c r="AY61" s="62" t="s">
        <v>642</v>
      </c>
      <c r="AZ61" s="62" t="s">
        <v>663</v>
      </c>
      <c r="BA61" s="53" t="s">
        <v>670</v>
      </c>
      <c r="BC61" s="59">
        <f>AW61+AX61</f>
        <v>0</v>
      </c>
      <c r="BD61" s="59">
        <f>H61/(100-BE61)*100</f>
        <v>0</v>
      </c>
      <c r="BE61" s="59">
        <v>0</v>
      </c>
      <c r="BF61" s="59">
        <f>M61</f>
        <v>0.274512</v>
      </c>
      <c r="BH61" s="44">
        <f>G61*AO61</f>
        <v>0</v>
      </c>
      <c r="BI61" s="44">
        <f>G61*AP61</f>
        <v>0</v>
      </c>
      <c r="BJ61" s="44">
        <f>G61*H61</f>
        <v>0</v>
      </c>
      <c r="BK61" s="44" t="s">
        <v>675</v>
      </c>
      <c r="BL61" s="59">
        <v>63</v>
      </c>
    </row>
    <row r="62" spans="1:47" ht="12.75">
      <c r="A62" s="96"/>
      <c r="B62" s="97"/>
      <c r="C62" s="97" t="s">
        <v>137</v>
      </c>
      <c r="D62" s="189" t="s">
        <v>422</v>
      </c>
      <c r="E62" s="190"/>
      <c r="F62" s="96" t="s">
        <v>73</v>
      </c>
      <c r="G62" s="96" t="s">
        <v>73</v>
      </c>
      <c r="H62" s="96" t="s">
        <v>73</v>
      </c>
      <c r="I62" s="98">
        <f>SUM(I63:I66)</f>
        <v>0</v>
      </c>
      <c r="J62" s="98">
        <f>SUM(J63:J66)</f>
        <v>0</v>
      </c>
      <c r="K62" s="98">
        <f>SUM(K63:K66)</f>
        <v>0</v>
      </c>
      <c r="L62" s="99"/>
      <c r="M62" s="98">
        <f>SUM(M63:M66)</f>
        <v>0.07386000000000001</v>
      </c>
      <c r="N62" s="95"/>
      <c r="O62" s="82"/>
      <c r="AI62" s="53"/>
      <c r="AS62" s="65">
        <f>SUM(AJ63:AJ66)</f>
        <v>0</v>
      </c>
      <c r="AT62" s="65">
        <f>SUM(AK63:AK66)</f>
        <v>0</v>
      </c>
      <c r="AU62" s="65">
        <f>SUM(AL63:AL66)</f>
        <v>0</v>
      </c>
    </row>
    <row r="63" spans="1:64" ht="12.75">
      <c r="A63" s="85" t="s">
        <v>92</v>
      </c>
      <c r="B63" s="85"/>
      <c r="C63" s="85" t="s">
        <v>237</v>
      </c>
      <c r="D63" s="185" t="s">
        <v>423</v>
      </c>
      <c r="E63" s="186"/>
      <c r="F63" s="85" t="s">
        <v>609</v>
      </c>
      <c r="G63" s="89">
        <v>1</v>
      </c>
      <c r="H63" s="102"/>
      <c r="I63" s="89">
        <f>G63*AO63</f>
        <v>0</v>
      </c>
      <c r="J63" s="89">
        <f>G63*AP63</f>
        <v>0</v>
      </c>
      <c r="K63" s="89">
        <f>G63*H63</f>
        <v>0</v>
      </c>
      <c r="L63" s="89">
        <v>0.01414</v>
      </c>
      <c r="M63" s="89">
        <f>G63*L63</f>
        <v>0.01414</v>
      </c>
      <c r="N63" s="80" t="s">
        <v>630</v>
      </c>
      <c r="O63" s="82"/>
      <c r="Z63" s="59">
        <f>IF(AQ63="5",BJ63,0)</f>
        <v>0</v>
      </c>
      <c r="AB63" s="59">
        <f>IF(AQ63="1",BH63,0)</f>
        <v>0</v>
      </c>
      <c r="AC63" s="59">
        <f>IF(AQ63="1",BI63,0)</f>
        <v>0</v>
      </c>
      <c r="AD63" s="59">
        <f>IF(AQ63="7",BH63,0)</f>
        <v>0</v>
      </c>
      <c r="AE63" s="59">
        <f>IF(AQ63="7",BI63,0)</f>
        <v>0</v>
      </c>
      <c r="AF63" s="59">
        <f>IF(AQ63="2",BH63,0)</f>
        <v>0</v>
      </c>
      <c r="AG63" s="59">
        <f>IF(AQ63="2",BI63,0)</f>
        <v>0</v>
      </c>
      <c r="AH63" s="59">
        <f>IF(AQ63="0",BJ63,0)</f>
        <v>0</v>
      </c>
      <c r="AI63" s="53"/>
      <c r="AJ63" s="44">
        <f>IF(AN63=0,K63,0)</f>
        <v>0</v>
      </c>
      <c r="AK63" s="44">
        <f>IF(AN63=15,K63,0)</f>
        <v>0</v>
      </c>
      <c r="AL63" s="44">
        <f>IF(AN63=21,K63,0)</f>
        <v>0</v>
      </c>
      <c r="AN63" s="59">
        <v>15</v>
      </c>
      <c r="AO63" s="59">
        <f>H63*0.158552844942525</f>
        <v>0</v>
      </c>
      <c r="AP63" s="59">
        <f>H63*(1-0.158552844942525)</f>
        <v>0</v>
      </c>
      <c r="AQ63" s="60" t="s">
        <v>74</v>
      </c>
      <c r="AV63" s="59">
        <f>AW63+AX63</f>
        <v>0</v>
      </c>
      <c r="AW63" s="59">
        <f>G63*AO63</f>
        <v>0</v>
      </c>
      <c r="AX63" s="59">
        <f>G63*AP63</f>
        <v>0</v>
      </c>
      <c r="AY63" s="62" t="s">
        <v>643</v>
      </c>
      <c r="AZ63" s="62" t="s">
        <v>663</v>
      </c>
      <c r="BA63" s="53" t="s">
        <v>670</v>
      </c>
      <c r="BC63" s="59">
        <f>AW63+AX63</f>
        <v>0</v>
      </c>
      <c r="BD63" s="59">
        <f>H63/(100-BE63)*100</f>
        <v>0</v>
      </c>
      <c r="BE63" s="59">
        <v>0</v>
      </c>
      <c r="BF63" s="59">
        <f>M63</f>
        <v>0.01414</v>
      </c>
      <c r="BH63" s="44">
        <f>G63*AO63</f>
        <v>0</v>
      </c>
      <c r="BI63" s="44">
        <f>G63*AP63</f>
        <v>0</v>
      </c>
      <c r="BJ63" s="44">
        <f>G63*H63</f>
        <v>0</v>
      </c>
      <c r="BK63" s="44" t="s">
        <v>675</v>
      </c>
      <c r="BL63" s="59">
        <v>64</v>
      </c>
    </row>
    <row r="64" spans="1:64" ht="12.75">
      <c r="A64" s="85" t="s">
        <v>93</v>
      </c>
      <c r="B64" s="85"/>
      <c r="C64" s="85" t="s">
        <v>238</v>
      </c>
      <c r="D64" s="185" t="s">
        <v>424</v>
      </c>
      <c r="E64" s="191"/>
      <c r="F64" s="85" t="s">
        <v>609</v>
      </c>
      <c r="G64" s="89">
        <v>1</v>
      </c>
      <c r="H64" s="102"/>
      <c r="I64" s="89">
        <f>G64*AO64</f>
        <v>0</v>
      </c>
      <c r="J64" s="89">
        <f>G64*AP64</f>
        <v>0</v>
      </c>
      <c r="K64" s="89">
        <f>G64*H64</f>
        <v>0</v>
      </c>
      <c r="L64" s="89">
        <v>0.00098</v>
      </c>
      <c r="M64" s="89">
        <f>G64*L64</f>
        <v>0.00098</v>
      </c>
      <c r="N64" s="80" t="s">
        <v>238</v>
      </c>
      <c r="O64" s="82"/>
      <c r="Z64" s="59">
        <f>IF(AQ64="5",BJ64,0)</f>
        <v>0</v>
      </c>
      <c r="AB64" s="59">
        <f>IF(AQ64="1",BH64,0)</f>
        <v>0</v>
      </c>
      <c r="AC64" s="59">
        <f>IF(AQ64="1",BI64,0)</f>
        <v>0</v>
      </c>
      <c r="AD64" s="59">
        <f>IF(AQ64="7",BH64,0)</f>
        <v>0</v>
      </c>
      <c r="AE64" s="59">
        <f>IF(AQ64="7",BI64,0)</f>
        <v>0</v>
      </c>
      <c r="AF64" s="59">
        <f>IF(AQ64="2",BH64,0)</f>
        <v>0</v>
      </c>
      <c r="AG64" s="59">
        <f>IF(AQ64="2",BI64,0)</f>
        <v>0</v>
      </c>
      <c r="AH64" s="59">
        <f>IF(AQ64="0",BJ64,0)</f>
        <v>0</v>
      </c>
      <c r="AI64" s="53"/>
      <c r="AJ64" s="45">
        <f>IF(AN64=0,K64,0)</f>
        <v>0</v>
      </c>
      <c r="AK64" s="45">
        <f>IF(AN64=15,K64,0)</f>
        <v>0</v>
      </c>
      <c r="AL64" s="45">
        <f>IF(AN64=21,K64,0)</f>
        <v>0</v>
      </c>
      <c r="AN64" s="59">
        <v>15</v>
      </c>
      <c r="AO64" s="59">
        <f>H64*1</f>
        <v>0</v>
      </c>
      <c r="AP64" s="59">
        <f>H64*(1-1)</f>
        <v>0</v>
      </c>
      <c r="AQ64" s="61" t="s">
        <v>74</v>
      </c>
      <c r="AV64" s="59">
        <f>AW64+AX64</f>
        <v>0</v>
      </c>
      <c r="AW64" s="59">
        <f>G64*AO64</f>
        <v>0</v>
      </c>
      <c r="AX64" s="59">
        <f>G64*AP64</f>
        <v>0</v>
      </c>
      <c r="AY64" s="62" t="s">
        <v>643</v>
      </c>
      <c r="AZ64" s="62" t="s">
        <v>663</v>
      </c>
      <c r="BA64" s="53" t="s">
        <v>670</v>
      </c>
      <c r="BC64" s="59">
        <f>AW64+AX64</f>
        <v>0</v>
      </c>
      <c r="BD64" s="59">
        <f>H64/(100-BE64)*100</f>
        <v>0</v>
      </c>
      <c r="BE64" s="59">
        <v>0</v>
      </c>
      <c r="BF64" s="59">
        <f>M64</f>
        <v>0.00098</v>
      </c>
      <c r="BH64" s="45">
        <f>G64*AO64</f>
        <v>0</v>
      </c>
      <c r="BI64" s="45">
        <f>G64*AP64</f>
        <v>0</v>
      </c>
      <c r="BJ64" s="45">
        <f>G64*H64</f>
        <v>0</v>
      </c>
      <c r="BK64" s="45" t="s">
        <v>676</v>
      </c>
      <c r="BL64" s="59">
        <v>64</v>
      </c>
    </row>
    <row r="65" spans="1:64" ht="12.75">
      <c r="A65" s="78" t="s">
        <v>94</v>
      </c>
      <c r="B65" s="78"/>
      <c r="C65" s="78" t="s">
        <v>239</v>
      </c>
      <c r="D65" s="187" t="s">
        <v>425</v>
      </c>
      <c r="E65" s="188"/>
      <c r="F65" s="78" t="s">
        <v>609</v>
      </c>
      <c r="G65" s="79">
        <v>1</v>
      </c>
      <c r="H65" s="103"/>
      <c r="I65" s="79">
        <f>G65*AO65</f>
        <v>0</v>
      </c>
      <c r="J65" s="79">
        <f>G65*AP65</f>
        <v>0</v>
      </c>
      <c r="K65" s="79">
        <f>G65*H65</f>
        <v>0</v>
      </c>
      <c r="L65" s="79">
        <v>0.02917</v>
      </c>
      <c r="M65" s="79">
        <f>G65*L65</f>
        <v>0.02917</v>
      </c>
      <c r="N65" s="81" t="s">
        <v>630</v>
      </c>
      <c r="O65" s="82"/>
      <c r="Z65" s="59">
        <f>IF(AQ65="5",BJ65,0)</f>
        <v>0</v>
      </c>
      <c r="AB65" s="59">
        <f>IF(AQ65="1",BH65,0)</f>
        <v>0</v>
      </c>
      <c r="AC65" s="59">
        <f>IF(AQ65="1",BI65,0)</f>
        <v>0</v>
      </c>
      <c r="AD65" s="59">
        <f>IF(AQ65="7",BH65,0)</f>
        <v>0</v>
      </c>
      <c r="AE65" s="59">
        <f>IF(AQ65="7",BI65,0)</f>
        <v>0</v>
      </c>
      <c r="AF65" s="59">
        <f>IF(AQ65="2",BH65,0)</f>
        <v>0</v>
      </c>
      <c r="AG65" s="59">
        <f>IF(AQ65="2",BI65,0)</f>
        <v>0</v>
      </c>
      <c r="AH65" s="59">
        <f>IF(AQ65="0",BJ65,0)</f>
        <v>0</v>
      </c>
      <c r="AI65" s="53"/>
      <c r="AJ65" s="44">
        <f>IF(AN65=0,K65,0)</f>
        <v>0</v>
      </c>
      <c r="AK65" s="44">
        <f>IF(AN65=15,K65,0)</f>
        <v>0</v>
      </c>
      <c r="AL65" s="44">
        <f>IF(AN65=21,K65,0)</f>
        <v>0</v>
      </c>
      <c r="AN65" s="59">
        <v>15</v>
      </c>
      <c r="AO65" s="59">
        <f>H65*0.639887814313346</f>
        <v>0</v>
      </c>
      <c r="AP65" s="59">
        <f>H65*(1-0.639887814313346)</f>
        <v>0</v>
      </c>
      <c r="AQ65" s="60" t="s">
        <v>74</v>
      </c>
      <c r="AV65" s="59">
        <f>AW65+AX65</f>
        <v>0</v>
      </c>
      <c r="AW65" s="59">
        <f>G65*AO65</f>
        <v>0</v>
      </c>
      <c r="AX65" s="59">
        <f>G65*AP65</f>
        <v>0</v>
      </c>
      <c r="AY65" s="62" t="s">
        <v>643</v>
      </c>
      <c r="AZ65" s="62" t="s">
        <v>663</v>
      </c>
      <c r="BA65" s="53" t="s">
        <v>670</v>
      </c>
      <c r="BC65" s="59">
        <f>AW65+AX65</f>
        <v>0</v>
      </c>
      <c r="BD65" s="59">
        <f>H65/(100-BE65)*100</f>
        <v>0</v>
      </c>
      <c r="BE65" s="59">
        <v>0</v>
      </c>
      <c r="BF65" s="59">
        <f>M65</f>
        <v>0.02917</v>
      </c>
      <c r="BH65" s="44">
        <f>G65*AO65</f>
        <v>0</v>
      </c>
      <c r="BI65" s="44">
        <f>G65*AP65</f>
        <v>0</v>
      </c>
      <c r="BJ65" s="44">
        <f>G65*H65</f>
        <v>0</v>
      </c>
      <c r="BK65" s="44" t="s">
        <v>675</v>
      </c>
      <c r="BL65" s="59">
        <v>64</v>
      </c>
    </row>
    <row r="66" spans="1:64" ht="12.75">
      <c r="A66" s="73" t="s">
        <v>95</v>
      </c>
      <c r="B66" s="17"/>
      <c r="C66" s="17" t="s">
        <v>240</v>
      </c>
      <c r="D66" s="123" t="s">
        <v>426</v>
      </c>
      <c r="E66" s="184"/>
      <c r="F66" s="17" t="s">
        <v>609</v>
      </c>
      <c r="G66" s="59">
        <v>1</v>
      </c>
      <c r="H66" s="101"/>
      <c r="I66" s="59">
        <f>G66*AO66</f>
        <v>0</v>
      </c>
      <c r="J66" s="59">
        <f>G66*AP66</f>
        <v>0</v>
      </c>
      <c r="K66" s="59">
        <f>G66*H66</f>
        <v>0</v>
      </c>
      <c r="L66" s="59">
        <v>0.02957</v>
      </c>
      <c r="M66" s="59">
        <f>G66*L66</f>
        <v>0.02957</v>
      </c>
      <c r="N66" s="74" t="s">
        <v>630</v>
      </c>
      <c r="O66" s="18"/>
      <c r="Z66" s="59">
        <f>IF(AQ66="5",BJ66,0)</f>
        <v>0</v>
      </c>
      <c r="AB66" s="59">
        <f>IF(AQ66="1",BH66,0)</f>
        <v>0</v>
      </c>
      <c r="AC66" s="59">
        <f>IF(AQ66="1",BI66,0)</f>
        <v>0</v>
      </c>
      <c r="AD66" s="59">
        <f>IF(AQ66="7",BH66,0)</f>
        <v>0</v>
      </c>
      <c r="AE66" s="59">
        <f>IF(AQ66="7",BI66,0)</f>
        <v>0</v>
      </c>
      <c r="AF66" s="59">
        <f>IF(AQ66="2",BH66,0)</f>
        <v>0</v>
      </c>
      <c r="AG66" s="59">
        <f>IF(AQ66="2",BI66,0)</f>
        <v>0</v>
      </c>
      <c r="AH66" s="59">
        <f>IF(AQ66="0",BJ66,0)</f>
        <v>0</v>
      </c>
      <c r="AI66" s="53"/>
      <c r="AJ66" s="44">
        <f>IF(AN66=0,K66,0)</f>
        <v>0</v>
      </c>
      <c r="AK66" s="44">
        <f>IF(AN66=15,K66,0)</f>
        <v>0</v>
      </c>
      <c r="AL66" s="44">
        <f>IF(AN66=21,K66,0)</f>
        <v>0</v>
      </c>
      <c r="AN66" s="59">
        <v>15</v>
      </c>
      <c r="AO66" s="59">
        <f>H66*0.648056710775047</f>
        <v>0</v>
      </c>
      <c r="AP66" s="59">
        <f>H66*(1-0.648056710775047)</f>
        <v>0</v>
      </c>
      <c r="AQ66" s="60" t="s">
        <v>74</v>
      </c>
      <c r="AV66" s="59">
        <f>AW66+AX66</f>
        <v>0</v>
      </c>
      <c r="AW66" s="59">
        <f>G66*AO66</f>
        <v>0</v>
      </c>
      <c r="AX66" s="59">
        <f>G66*AP66</f>
        <v>0</v>
      </c>
      <c r="AY66" s="62" t="s">
        <v>643</v>
      </c>
      <c r="AZ66" s="62" t="s">
        <v>663</v>
      </c>
      <c r="BA66" s="53" t="s">
        <v>670</v>
      </c>
      <c r="BC66" s="59">
        <f>AW66+AX66</f>
        <v>0</v>
      </c>
      <c r="BD66" s="59">
        <f>H66/(100-BE66)*100</f>
        <v>0</v>
      </c>
      <c r="BE66" s="59">
        <v>0</v>
      </c>
      <c r="BF66" s="59">
        <f>M66</f>
        <v>0.02957</v>
      </c>
      <c r="BH66" s="44">
        <f>G66*AO66</f>
        <v>0</v>
      </c>
      <c r="BI66" s="44">
        <f>G66*AP66</f>
        <v>0</v>
      </c>
      <c r="BJ66" s="44">
        <f>G66*H66</f>
        <v>0</v>
      </c>
      <c r="BK66" s="44" t="s">
        <v>675</v>
      </c>
      <c r="BL66" s="59">
        <v>64</v>
      </c>
    </row>
    <row r="67" spans="1:47" ht="12.75">
      <c r="A67" s="96"/>
      <c r="B67" s="97"/>
      <c r="C67" s="97" t="s">
        <v>241</v>
      </c>
      <c r="D67" s="189" t="s">
        <v>427</v>
      </c>
      <c r="E67" s="190"/>
      <c r="F67" s="96" t="s">
        <v>73</v>
      </c>
      <c r="G67" s="96" t="s">
        <v>73</v>
      </c>
      <c r="H67" s="96" t="s">
        <v>73</v>
      </c>
      <c r="I67" s="98">
        <f>SUM(I68:I78)</f>
        <v>0</v>
      </c>
      <c r="J67" s="98">
        <f>SUM(J68:J78)</f>
        <v>0</v>
      </c>
      <c r="K67" s="98">
        <f>SUM(K68:K78)</f>
        <v>0</v>
      </c>
      <c r="L67" s="99"/>
      <c r="M67" s="98">
        <f>SUM(M68:M78)</f>
        <v>0.037100025</v>
      </c>
      <c r="N67" s="95"/>
      <c r="O67" s="82"/>
      <c r="AI67" s="53"/>
      <c r="AS67" s="65">
        <f>SUM(AJ68:AJ78)</f>
        <v>0</v>
      </c>
      <c r="AT67" s="65">
        <f>SUM(AK68:AK78)</f>
        <v>0</v>
      </c>
      <c r="AU67" s="65">
        <f>SUM(AL68:AL78)</f>
        <v>0</v>
      </c>
    </row>
    <row r="68" spans="1:64" ht="12.75">
      <c r="A68" s="85" t="s">
        <v>96</v>
      </c>
      <c r="B68" s="85"/>
      <c r="C68" s="85" t="s">
        <v>242</v>
      </c>
      <c r="D68" s="185" t="s">
        <v>428</v>
      </c>
      <c r="E68" s="186"/>
      <c r="F68" s="85" t="s">
        <v>607</v>
      </c>
      <c r="G68" s="89">
        <v>8.97375</v>
      </c>
      <c r="H68" s="102"/>
      <c r="I68" s="89">
        <f>G68*AO68</f>
        <v>0</v>
      </c>
      <c r="J68" s="89">
        <f>G68*AP68</f>
        <v>0</v>
      </c>
      <c r="K68" s="89">
        <f>G68*H68</f>
        <v>0</v>
      </c>
      <c r="L68" s="89">
        <v>0.00358</v>
      </c>
      <c r="M68" s="89">
        <f>G68*L68</f>
        <v>0.032126025</v>
      </c>
      <c r="N68" s="80" t="s">
        <v>630</v>
      </c>
      <c r="O68" s="82"/>
      <c r="Z68" s="59">
        <f>IF(AQ68="5",BJ68,0)</f>
        <v>0</v>
      </c>
      <c r="AB68" s="59">
        <f>IF(AQ68="1",BH68,0)</f>
        <v>0</v>
      </c>
      <c r="AC68" s="59">
        <f>IF(AQ68="1",BI68,0)</f>
        <v>0</v>
      </c>
      <c r="AD68" s="59">
        <f>IF(AQ68="7",BH68,0)</f>
        <v>0</v>
      </c>
      <c r="AE68" s="59">
        <f>IF(AQ68="7",BI68,0)</f>
        <v>0</v>
      </c>
      <c r="AF68" s="59">
        <f>IF(AQ68="2",BH68,0)</f>
        <v>0</v>
      </c>
      <c r="AG68" s="59">
        <f>IF(AQ68="2",BI68,0)</f>
        <v>0</v>
      </c>
      <c r="AH68" s="59">
        <f>IF(AQ68="0",BJ68,0)</f>
        <v>0</v>
      </c>
      <c r="AI68" s="53"/>
      <c r="AJ68" s="44">
        <f>IF(AN68=0,K68,0)</f>
        <v>0</v>
      </c>
      <c r="AK68" s="44">
        <f>IF(AN68=15,K68,0)</f>
        <v>0</v>
      </c>
      <c r="AL68" s="44">
        <f>IF(AN68=21,K68,0)</f>
        <v>0</v>
      </c>
      <c r="AN68" s="59">
        <v>15</v>
      </c>
      <c r="AO68" s="59">
        <f>H68*0.618280819454367</f>
        <v>0</v>
      </c>
      <c r="AP68" s="59">
        <f>H68*(1-0.618280819454367)</f>
        <v>0</v>
      </c>
      <c r="AQ68" s="60" t="s">
        <v>80</v>
      </c>
      <c r="AV68" s="59">
        <f>AW68+AX68</f>
        <v>0</v>
      </c>
      <c r="AW68" s="59">
        <f>G68*AO68</f>
        <v>0</v>
      </c>
      <c r="AX68" s="59">
        <f>G68*AP68</f>
        <v>0</v>
      </c>
      <c r="AY68" s="62" t="s">
        <v>644</v>
      </c>
      <c r="AZ68" s="62" t="s">
        <v>664</v>
      </c>
      <c r="BA68" s="53" t="s">
        <v>670</v>
      </c>
      <c r="BC68" s="59">
        <f>AW68+AX68</f>
        <v>0</v>
      </c>
      <c r="BD68" s="59">
        <f>H68/(100-BE68)*100</f>
        <v>0</v>
      </c>
      <c r="BE68" s="59">
        <v>0</v>
      </c>
      <c r="BF68" s="59">
        <f>M68</f>
        <v>0.032126025</v>
      </c>
      <c r="BH68" s="44">
        <f>G68*AO68</f>
        <v>0</v>
      </c>
      <c r="BI68" s="44">
        <f>G68*AP68</f>
        <v>0</v>
      </c>
      <c r="BJ68" s="44">
        <f>G68*H68</f>
        <v>0</v>
      </c>
      <c r="BK68" s="44" t="s">
        <v>675</v>
      </c>
      <c r="BL68" s="59">
        <v>711</v>
      </c>
    </row>
    <row r="69" spans="1:15" ht="12.75">
      <c r="A69" s="91"/>
      <c r="B69" s="92"/>
      <c r="C69" s="92"/>
      <c r="D69" s="93" t="s">
        <v>408</v>
      </c>
      <c r="E69" s="93"/>
      <c r="F69" s="92"/>
      <c r="G69" s="94">
        <v>0</v>
      </c>
      <c r="H69" s="92"/>
      <c r="I69" s="92"/>
      <c r="J69" s="92"/>
      <c r="K69" s="92"/>
      <c r="L69" s="92"/>
      <c r="M69" s="92"/>
      <c r="N69" s="83"/>
      <c r="O69" s="82"/>
    </row>
    <row r="70" spans="1:15" ht="12.75">
      <c r="A70" s="91"/>
      <c r="B70" s="92"/>
      <c r="C70" s="92"/>
      <c r="D70" s="93" t="s">
        <v>429</v>
      </c>
      <c r="E70" s="93"/>
      <c r="F70" s="92"/>
      <c r="G70" s="94">
        <v>0</v>
      </c>
      <c r="H70" s="92"/>
      <c r="I70" s="92"/>
      <c r="J70" s="92"/>
      <c r="K70" s="92"/>
      <c r="L70" s="92"/>
      <c r="M70" s="92"/>
      <c r="N70" s="83"/>
      <c r="O70" s="82"/>
    </row>
    <row r="71" spans="1:15" ht="12.75">
      <c r="A71" s="91"/>
      <c r="B71" s="92"/>
      <c r="C71" s="92"/>
      <c r="D71" s="93" t="s">
        <v>430</v>
      </c>
      <c r="E71" s="93"/>
      <c r="F71" s="92"/>
      <c r="G71" s="94">
        <v>3.14375</v>
      </c>
      <c r="H71" s="92"/>
      <c r="I71" s="92"/>
      <c r="J71" s="92"/>
      <c r="K71" s="92"/>
      <c r="L71" s="92"/>
      <c r="M71" s="92"/>
      <c r="N71" s="83"/>
      <c r="O71" s="82"/>
    </row>
    <row r="72" spans="1:15" ht="12.75">
      <c r="A72" s="91"/>
      <c r="B72" s="92"/>
      <c r="C72" s="92"/>
      <c r="D72" s="93" t="s">
        <v>431</v>
      </c>
      <c r="E72" s="93"/>
      <c r="F72" s="92"/>
      <c r="G72" s="94">
        <v>0</v>
      </c>
      <c r="H72" s="92"/>
      <c r="I72" s="92"/>
      <c r="J72" s="92"/>
      <c r="K72" s="92"/>
      <c r="L72" s="92"/>
      <c r="M72" s="92"/>
      <c r="N72" s="83"/>
      <c r="O72" s="82"/>
    </row>
    <row r="73" spans="1:15" ht="12.75">
      <c r="A73" s="91"/>
      <c r="B73" s="92"/>
      <c r="C73" s="92"/>
      <c r="D73" s="93" t="s">
        <v>432</v>
      </c>
      <c r="E73" s="93"/>
      <c r="F73" s="92"/>
      <c r="G73" s="94">
        <v>5.83</v>
      </c>
      <c r="H73" s="92"/>
      <c r="I73" s="92"/>
      <c r="J73" s="92"/>
      <c r="K73" s="92"/>
      <c r="L73" s="92"/>
      <c r="M73" s="92"/>
      <c r="N73" s="83"/>
      <c r="O73" s="82"/>
    </row>
    <row r="74" spans="1:64" ht="12.75">
      <c r="A74" s="85" t="s">
        <v>97</v>
      </c>
      <c r="B74" s="85"/>
      <c r="C74" s="85" t="s">
        <v>243</v>
      </c>
      <c r="D74" s="185" t="s">
        <v>433</v>
      </c>
      <c r="E74" s="186"/>
      <c r="F74" s="85" t="s">
        <v>608</v>
      </c>
      <c r="G74" s="89">
        <v>7.6</v>
      </c>
      <c r="H74" s="102"/>
      <c r="I74" s="89">
        <f>G74*AO74</f>
        <v>0</v>
      </c>
      <c r="J74" s="89">
        <f>G74*AP74</f>
        <v>0</v>
      </c>
      <c r="K74" s="89">
        <f>G74*H74</f>
        <v>0</v>
      </c>
      <c r="L74" s="89">
        <v>0.00024</v>
      </c>
      <c r="M74" s="89">
        <f>G74*L74</f>
        <v>0.0018239999999999999</v>
      </c>
      <c r="N74" s="80" t="s">
        <v>630</v>
      </c>
      <c r="O74" s="82"/>
      <c r="Z74" s="59">
        <f>IF(AQ74="5",BJ74,0)</f>
        <v>0</v>
      </c>
      <c r="AB74" s="59">
        <f>IF(AQ74="1",BH74,0)</f>
        <v>0</v>
      </c>
      <c r="AC74" s="59">
        <f>IF(AQ74="1",BI74,0)</f>
        <v>0</v>
      </c>
      <c r="AD74" s="59">
        <f>IF(AQ74="7",BH74,0)</f>
        <v>0</v>
      </c>
      <c r="AE74" s="59">
        <f>IF(AQ74="7",BI74,0)</f>
        <v>0</v>
      </c>
      <c r="AF74" s="59">
        <f>IF(AQ74="2",BH74,0)</f>
        <v>0</v>
      </c>
      <c r="AG74" s="59">
        <f>IF(AQ74="2",BI74,0)</f>
        <v>0</v>
      </c>
      <c r="AH74" s="59">
        <f>IF(AQ74="0",BJ74,0)</f>
        <v>0</v>
      </c>
      <c r="AI74" s="53"/>
      <c r="AJ74" s="44">
        <f>IF(AN74=0,K74,0)</f>
        <v>0</v>
      </c>
      <c r="AK74" s="44">
        <f>IF(AN74=15,K74,0)</f>
        <v>0</v>
      </c>
      <c r="AL74" s="44">
        <f>IF(AN74=21,K74,0)</f>
        <v>0</v>
      </c>
      <c r="AN74" s="59">
        <v>15</v>
      </c>
      <c r="AO74" s="59">
        <f>H74*0.59373665480427</f>
        <v>0</v>
      </c>
      <c r="AP74" s="59">
        <f>H74*(1-0.59373665480427)</f>
        <v>0</v>
      </c>
      <c r="AQ74" s="60" t="s">
        <v>80</v>
      </c>
      <c r="AV74" s="59">
        <f>AW74+AX74</f>
        <v>0</v>
      </c>
      <c r="AW74" s="59">
        <f>G74*AO74</f>
        <v>0</v>
      </c>
      <c r="AX74" s="59">
        <f>G74*AP74</f>
        <v>0</v>
      </c>
      <c r="AY74" s="62" t="s">
        <v>644</v>
      </c>
      <c r="AZ74" s="62" t="s">
        <v>664</v>
      </c>
      <c r="BA74" s="53" t="s">
        <v>670</v>
      </c>
      <c r="BC74" s="59">
        <f>AW74+AX74</f>
        <v>0</v>
      </c>
      <c r="BD74" s="59">
        <f>H74/(100-BE74)*100</f>
        <v>0</v>
      </c>
      <c r="BE74" s="59">
        <v>0</v>
      </c>
      <c r="BF74" s="59">
        <f>M74</f>
        <v>0.0018239999999999999</v>
      </c>
      <c r="BH74" s="44">
        <f>G74*AO74</f>
        <v>0</v>
      </c>
      <c r="BI74" s="44">
        <f>G74*AP74</f>
        <v>0</v>
      </c>
      <c r="BJ74" s="44">
        <f>G74*H74</f>
        <v>0</v>
      </c>
      <c r="BK74" s="44" t="s">
        <v>675</v>
      </c>
      <c r="BL74" s="59">
        <v>711</v>
      </c>
    </row>
    <row r="75" spans="1:15" ht="12.75">
      <c r="A75" s="91"/>
      <c r="B75" s="92"/>
      <c r="C75" s="92"/>
      <c r="D75" s="93" t="s">
        <v>434</v>
      </c>
      <c r="E75" s="93"/>
      <c r="F75" s="92"/>
      <c r="G75" s="94">
        <v>7.6</v>
      </c>
      <c r="H75" s="92"/>
      <c r="I75" s="92"/>
      <c r="J75" s="92"/>
      <c r="K75" s="92"/>
      <c r="L75" s="92"/>
      <c r="M75" s="92"/>
      <c r="N75" s="83"/>
      <c r="O75" s="82"/>
    </row>
    <row r="76" spans="1:64" ht="12.75">
      <c r="A76" s="85" t="s">
        <v>98</v>
      </c>
      <c r="B76" s="85"/>
      <c r="C76" s="85" t="s">
        <v>244</v>
      </c>
      <c r="D76" s="185" t="s">
        <v>435</v>
      </c>
      <c r="E76" s="186"/>
      <c r="F76" s="85" t="s">
        <v>608</v>
      </c>
      <c r="G76" s="89">
        <v>6.3</v>
      </c>
      <c r="H76" s="102"/>
      <c r="I76" s="89">
        <f>G76*AO76</f>
        <v>0</v>
      </c>
      <c r="J76" s="89">
        <f>G76*AP76</f>
        <v>0</v>
      </c>
      <c r="K76" s="89">
        <f>G76*H76</f>
        <v>0</v>
      </c>
      <c r="L76" s="89">
        <v>0.0005</v>
      </c>
      <c r="M76" s="89">
        <f>G76*L76</f>
        <v>0.00315</v>
      </c>
      <c r="N76" s="80" t="s">
        <v>630</v>
      </c>
      <c r="O76" s="82"/>
      <c r="Z76" s="59">
        <f>IF(AQ76="5",BJ76,0)</f>
        <v>0</v>
      </c>
      <c r="AB76" s="59">
        <f>IF(AQ76="1",BH76,0)</f>
        <v>0</v>
      </c>
      <c r="AC76" s="59">
        <f>IF(AQ76="1",BI76,0)</f>
        <v>0</v>
      </c>
      <c r="AD76" s="59">
        <f>IF(AQ76="7",BH76,0)</f>
        <v>0</v>
      </c>
      <c r="AE76" s="59">
        <f>IF(AQ76="7",BI76,0)</f>
        <v>0</v>
      </c>
      <c r="AF76" s="59">
        <f>IF(AQ76="2",BH76,0)</f>
        <v>0</v>
      </c>
      <c r="AG76" s="59">
        <f>IF(AQ76="2",BI76,0)</f>
        <v>0</v>
      </c>
      <c r="AH76" s="59">
        <f>IF(AQ76="0",BJ76,0)</f>
        <v>0</v>
      </c>
      <c r="AI76" s="53"/>
      <c r="AJ76" s="44">
        <f>IF(AN76=0,K76,0)</f>
        <v>0</v>
      </c>
      <c r="AK76" s="44">
        <f>IF(AN76=15,K76,0)</f>
        <v>0</v>
      </c>
      <c r="AL76" s="44">
        <f>IF(AN76=21,K76,0)</f>
        <v>0</v>
      </c>
      <c r="AN76" s="59">
        <v>15</v>
      </c>
      <c r="AO76" s="59">
        <f>H76*0.603505617977528</f>
        <v>0</v>
      </c>
      <c r="AP76" s="59">
        <f>H76*(1-0.603505617977528)</f>
        <v>0</v>
      </c>
      <c r="AQ76" s="60" t="s">
        <v>80</v>
      </c>
      <c r="AV76" s="59">
        <f>AW76+AX76</f>
        <v>0</v>
      </c>
      <c r="AW76" s="59">
        <f>G76*AO76</f>
        <v>0</v>
      </c>
      <c r="AX76" s="59">
        <f>G76*AP76</f>
        <v>0</v>
      </c>
      <c r="AY76" s="62" t="s">
        <v>644</v>
      </c>
      <c r="AZ76" s="62" t="s">
        <v>664</v>
      </c>
      <c r="BA76" s="53" t="s">
        <v>670</v>
      </c>
      <c r="BC76" s="59">
        <f>AW76+AX76</f>
        <v>0</v>
      </c>
      <c r="BD76" s="59">
        <f>H76/(100-BE76)*100</f>
        <v>0</v>
      </c>
      <c r="BE76" s="59">
        <v>0</v>
      </c>
      <c r="BF76" s="59">
        <f>M76</f>
        <v>0.00315</v>
      </c>
      <c r="BH76" s="44">
        <f>G76*AO76</f>
        <v>0</v>
      </c>
      <c r="BI76" s="44">
        <f>G76*AP76</f>
        <v>0</v>
      </c>
      <c r="BJ76" s="44">
        <f>G76*H76</f>
        <v>0</v>
      </c>
      <c r="BK76" s="44" t="s">
        <v>675</v>
      </c>
      <c r="BL76" s="59">
        <v>711</v>
      </c>
    </row>
    <row r="77" spans="1:15" ht="12.75">
      <c r="A77" s="91"/>
      <c r="B77" s="92"/>
      <c r="C77" s="92"/>
      <c r="D77" s="93" t="s">
        <v>436</v>
      </c>
      <c r="E77" s="93"/>
      <c r="F77" s="92"/>
      <c r="G77" s="94">
        <v>6.3</v>
      </c>
      <c r="H77" s="92"/>
      <c r="I77" s="92"/>
      <c r="J77" s="92"/>
      <c r="K77" s="92"/>
      <c r="L77" s="92"/>
      <c r="M77" s="92"/>
      <c r="N77" s="83"/>
      <c r="O77" s="82"/>
    </row>
    <row r="78" spans="1:64" ht="12.75">
      <c r="A78" s="85" t="s">
        <v>99</v>
      </c>
      <c r="B78" s="85"/>
      <c r="C78" s="85" t="s">
        <v>245</v>
      </c>
      <c r="D78" s="185" t="s">
        <v>437</v>
      </c>
      <c r="E78" s="186"/>
      <c r="F78" s="85" t="s">
        <v>610</v>
      </c>
      <c r="G78" s="89">
        <v>0.1</v>
      </c>
      <c r="H78" s="102"/>
      <c r="I78" s="89">
        <f>G78*AO78</f>
        <v>0</v>
      </c>
      <c r="J78" s="89">
        <f>G78*AP78</f>
        <v>0</v>
      </c>
      <c r="K78" s="89">
        <f>G78*H78</f>
        <v>0</v>
      </c>
      <c r="L78" s="89">
        <v>0</v>
      </c>
      <c r="M78" s="89">
        <f>G78*L78</f>
        <v>0</v>
      </c>
      <c r="N78" s="80" t="s">
        <v>630</v>
      </c>
      <c r="O78" s="82"/>
      <c r="Z78" s="59">
        <f>IF(AQ78="5",BJ78,0)</f>
        <v>0</v>
      </c>
      <c r="AB78" s="59">
        <f>IF(AQ78="1",BH78,0)</f>
        <v>0</v>
      </c>
      <c r="AC78" s="59">
        <f>IF(AQ78="1",BI78,0)</f>
        <v>0</v>
      </c>
      <c r="AD78" s="59">
        <f>IF(AQ78="7",BH78,0)</f>
        <v>0</v>
      </c>
      <c r="AE78" s="59">
        <f>IF(AQ78="7",BI78,0)</f>
        <v>0</v>
      </c>
      <c r="AF78" s="59">
        <f>IF(AQ78="2",BH78,0)</f>
        <v>0</v>
      </c>
      <c r="AG78" s="59">
        <f>IF(AQ78="2",BI78,0)</f>
        <v>0</v>
      </c>
      <c r="AH78" s="59">
        <f>IF(AQ78="0",BJ78,0)</f>
        <v>0</v>
      </c>
      <c r="AI78" s="53"/>
      <c r="AJ78" s="44">
        <f>IF(AN78=0,K78,0)</f>
        <v>0</v>
      </c>
      <c r="AK78" s="44">
        <f>IF(AN78=15,K78,0)</f>
        <v>0</v>
      </c>
      <c r="AL78" s="44">
        <f>IF(AN78=21,K78,0)</f>
        <v>0</v>
      </c>
      <c r="AN78" s="59">
        <v>15</v>
      </c>
      <c r="AO78" s="59">
        <f>H78*0</f>
        <v>0</v>
      </c>
      <c r="AP78" s="59">
        <f>H78*(1-0)</f>
        <v>0</v>
      </c>
      <c r="AQ78" s="60" t="s">
        <v>78</v>
      </c>
      <c r="AV78" s="59">
        <f>AW78+AX78</f>
        <v>0</v>
      </c>
      <c r="AW78" s="59">
        <f>G78*AO78</f>
        <v>0</v>
      </c>
      <c r="AX78" s="59">
        <f>G78*AP78</f>
        <v>0</v>
      </c>
      <c r="AY78" s="62" t="s">
        <v>644</v>
      </c>
      <c r="AZ78" s="62" t="s">
        <v>664</v>
      </c>
      <c r="BA78" s="53" t="s">
        <v>670</v>
      </c>
      <c r="BC78" s="59">
        <f>AW78+AX78</f>
        <v>0</v>
      </c>
      <c r="BD78" s="59">
        <f>H78/(100-BE78)*100</f>
        <v>0</v>
      </c>
      <c r="BE78" s="59">
        <v>0</v>
      </c>
      <c r="BF78" s="59">
        <f>M78</f>
        <v>0</v>
      </c>
      <c r="BH78" s="44">
        <f>G78*AO78</f>
        <v>0</v>
      </c>
      <c r="BI78" s="44">
        <f>G78*AP78</f>
        <v>0</v>
      </c>
      <c r="BJ78" s="44">
        <f>G78*H78</f>
        <v>0</v>
      </c>
      <c r="BK78" s="44" t="s">
        <v>675</v>
      </c>
      <c r="BL78" s="59">
        <v>711</v>
      </c>
    </row>
    <row r="79" spans="1:47" ht="12.75">
      <c r="A79" s="96"/>
      <c r="B79" s="97"/>
      <c r="C79" s="97" t="s">
        <v>246</v>
      </c>
      <c r="D79" s="189" t="s">
        <v>438</v>
      </c>
      <c r="E79" s="190"/>
      <c r="F79" s="96" t="s">
        <v>73</v>
      </c>
      <c r="G79" s="96" t="s">
        <v>73</v>
      </c>
      <c r="H79" s="96" t="s">
        <v>73</v>
      </c>
      <c r="I79" s="98">
        <f>SUM(I80:I90)</f>
        <v>0</v>
      </c>
      <c r="J79" s="98">
        <f>SUM(J80:J90)</f>
        <v>0</v>
      </c>
      <c r="K79" s="98">
        <f>SUM(K80:K90)</f>
        <v>0</v>
      </c>
      <c r="L79" s="99"/>
      <c r="M79" s="98">
        <f>SUM(M80:M90)</f>
        <v>0.019853000000000003</v>
      </c>
      <c r="N79" s="95"/>
      <c r="O79" s="82"/>
      <c r="AI79" s="53"/>
      <c r="AS79" s="65">
        <f>SUM(AJ80:AJ90)</f>
        <v>0</v>
      </c>
      <c r="AT79" s="65">
        <f>SUM(AK80:AK90)</f>
        <v>0</v>
      </c>
      <c r="AU79" s="65">
        <f>SUM(AL80:AL90)</f>
        <v>0</v>
      </c>
    </row>
    <row r="80" spans="1:64" ht="12.75">
      <c r="A80" s="85" t="s">
        <v>100</v>
      </c>
      <c r="B80" s="85"/>
      <c r="C80" s="85" t="s">
        <v>247</v>
      </c>
      <c r="D80" s="185" t="s">
        <v>439</v>
      </c>
      <c r="E80" s="186"/>
      <c r="F80" s="85" t="s">
        <v>609</v>
      </c>
      <c r="G80" s="89">
        <v>1</v>
      </c>
      <c r="H80" s="102"/>
      <c r="I80" s="89">
        <f aca="true" t="shared" si="0" ref="I80:I90">G80*AO80</f>
        <v>0</v>
      </c>
      <c r="J80" s="89">
        <f aca="true" t="shared" si="1" ref="J80:J90">G80*AP80</f>
        <v>0</v>
      </c>
      <c r="K80" s="89">
        <f aca="true" t="shared" si="2" ref="K80:K90">G80*H80</f>
        <v>0</v>
      </c>
      <c r="L80" s="89">
        <v>0.00038</v>
      </c>
      <c r="M80" s="89">
        <f aca="true" t="shared" si="3" ref="M80:M90">G80*L80</f>
        <v>0.00038</v>
      </c>
      <c r="N80" s="80" t="s">
        <v>630</v>
      </c>
      <c r="O80" s="82"/>
      <c r="Z80" s="59">
        <f aca="true" t="shared" si="4" ref="Z80:Z90">IF(AQ80="5",BJ80,0)</f>
        <v>0</v>
      </c>
      <c r="AB80" s="59">
        <f aca="true" t="shared" si="5" ref="AB80:AB90">IF(AQ80="1",BH80,0)</f>
        <v>0</v>
      </c>
      <c r="AC80" s="59">
        <f aca="true" t="shared" si="6" ref="AC80:AC90">IF(AQ80="1",BI80,0)</f>
        <v>0</v>
      </c>
      <c r="AD80" s="59">
        <f aca="true" t="shared" si="7" ref="AD80:AD90">IF(AQ80="7",BH80,0)</f>
        <v>0</v>
      </c>
      <c r="AE80" s="59">
        <f aca="true" t="shared" si="8" ref="AE80:AE90">IF(AQ80="7",BI80,0)</f>
        <v>0</v>
      </c>
      <c r="AF80" s="59">
        <f aca="true" t="shared" si="9" ref="AF80:AF90">IF(AQ80="2",BH80,0)</f>
        <v>0</v>
      </c>
      <c r="AG80" s="59">
        <f aca="true" t="shared" si="10" ref="AG80:AG90">IF(AQ80="2",BI80,0)</f>
        <v>0</v>
      </c>
      <c r="AH80" s="59">
        <f aca="true" t="shared" si="11" ref="AH80:AH90">IF(AQ80="0",BJ80,0)</f>
        <v>0</v>
      </c>
      <c r="AI80" s="53"/>
      <c r="AJ80" s="44">
        <f aca="true" t="shared" si="12" ref="AJ80:AJ90">IF(AN80=0,K80,0)</f>
        <v>0</v>
      </c>
      <c r="AK80" s="44">
        <f aca="true" t="shared" si="13" ref="AK80:AK90">IF(AN80=15,K80,0)</f>
        <v>0</v>
      </c>
      <c r="AL80" s="44">
        <f aca="true" t="shared" si="14" ref="AL80:AL90">IF(AN80=21,K80,0)</f>
        <v>0</v>
      </c>
      <c r="AN80" s="59">
        <v>15</v>
      </c>
      <c r="AO80" s="59">
        <f>H80*0.810294117647059</f>
        <v>0</v>
      </c>
      <c r="AP80" s="59">
        <f>H80*(1-0.810294117647059)</f>
        <v>0</v>
      </c>
      <c r="AQ80" s="60" t="s">
        <v>80</v>
      </c>
      <c r="AV80" s="59">
        <f aca="true" t="shared" si="15" ref="AV80:AV90">AW80+AX80</f>
        <v>0</v>
      </c>
      <c r="AW80" s="59">
        <f aca="true" t="shared" si="16" ref="AW80:AW90">G80*AO80</f>
        <v>0</v>
      </c>
      <c r="AX80" s="59">
        <f aca="true" t="shared" si="17" ref="AX80:AX90">G80*AP80</f>
        <v>0</v>
      </c>
      <c r="AY80" s="62" t="s">
        <v>645</v>
      </c>
      <c r="AZ80" s="62" t="s">
        <v>665</v>
      </c>
      <c r="BA80" s="53" t="s">
        <v>670</v>
      </c>
      <c r="BC80" s="59">
        <f aca="true" t="shared" si="18" ref="BC80:BC90">AW80+AX80</f>
        <v>0</v>
      </c>
      <c r="BD80" s="59">
        <f aca="true" t="shared" si="19" ref="BD80:BD90">H80/(100-BE80)*100</f>
        <v>0</v>
      </c>
      <c r="BE80" s="59">
        <v>0</v>
      </c>
      <c r="BF80" s="59">
        <f aca="true" t="shared" si="20" ref="BF80:BF90">M80</f>
        <v>0.00038</v>
      </c>
      <c r="BH80" s="44">
        <f aca="true" t="shared" si="21" ref="BH80:BH90">G80*AO80</f>
        <v>0</v>
      </c>
      <c r="BI80" s="44">
        <f aca="true" t="shared" si="22" ref="BI80:BI90">G80*AP80</f>
        <v>0</v>
      </c>
      <c r="BJ80" s="44">
        <f aca="true" t="shared" si="23" ref="BJ80:BJ90">G80*H80</f>
        <v>0</v>
      </c>
      <c r="BK80" s="44" t="s">
        <v>675</v>
      </c>
      <c r="BL80" s="59">
        <v>721</v>
      </c>
    </row>
    <row r="81" spans="1:64" ht="12.75">
      <c r="A81" s="85" t="s">
        <v>101</v>
      </c>
      <c r="B81" s="85"/>
      <c r="C81" s="85" t="s">
        <v>248</v>
      </c>
      <c r="D81" s="185" t="s">
        <v>440</v>
      </c>
      <c r="E81" s="186"/>
      <c r="F81" s="85" t="s">
        <v>608</v>
      </c>
      <c r="G81" s="89">
        <v>6</v>
      </c>
      <c r="H81" s="102"/>
      <c r="I81" s="89">
        <f t="shared" si="0"/>
        <v>0</v>
      </c>
      <c r="J81" s="89">
        <f t="shared" si="1"/>
        <v>0</v>
      </c>
      <c r="K81" s="89">
        <f t="shared" si="2"/>
        <v>0</v>
      </c>
      <c r="L81" s="89">
        <v>0.0021</v>
      </c>
      <c r="M81" s="89">
        <f t="shared" si="3"/>
        <v>0.0126</v>
      </c>
      <c r="N81" s="80" t="s">
        <v>630</v>
      </c>
      <c r="O81" s="82"/>
      <c r="Z81" s="59">
        <f t="shared" si="4"/>
        <v>0</v>
      </c>
      <c r="AB81" s="59">
        <f t="shared" si="5"/>
        <v>0</v>
      </c>
      <c r="AC81" s="59">
        <f t="shared" si="6"/>
        <v>0</v>
      </c>
      <c r="AD81" s="59">
        <f t="shared" si="7"/>
        <v>0</v>
      </c>
      <c r="AE81" s="59">
        <f t="shared" si="8"/>
        <v>0</v>
      </c>
      <c r="AF81" s="59">
        <f t="shared" si="9"/>
        <v>0</v>
      </c>
      <c r="AG81" s="59">
        <f t="shared" si="10"/>
        <v>0</v>
      </c>
      <c r="AH81" s="59">
        <f t="shared" si="11"/>
        <v>0</v>
      </c>
      <c r="AI81" s="53"/>
      <c r="AJ81" s="44">
        <f t="shared" si="12"/>
        <v>0</v>
      </c>
      <c r="AK81" s="44">
        <f t="shared" si="13"/>
        <v>0</v>
      </c>
      <c r="AL81" s="44">
        <f t="shared" si="14"/>
        <v>0</v>
      </c>
      <c r="AN81" s="59">
        <v>15</v>
      </c>
      <c r="AO81" s="59">
        <f>H81*0</f>
        <v>0</v>
      </c>
      <c r="AP81" s="59">
        <f>H81*(1-0)</f>
        <v>0</v>
      </c>
      <c r="AQ81" s="60" t="s">
        <v>80</v>
      </c>
      <c r="AV81" s="59">
        <f t="shared" si="15"/>
        <v>0</v>
      </c>
      <c r="AW81" s="59">
        <f t="shared" si="16"/>
        <v>0</v>
      </c>
      <c r="AX81" s="59">
        <f t="shared" si="17"/>
        <v>0</v>
      </c>
      <c r="AY81" s="62" t="s">
        <v>645</v>
      </c>
      <c r="AZ81" s="62" t="s">
        <v>665</v>
      </c>
      <c r="BA81" s="53" t="s">
        <v>670</v>
      </c>
      <c r="BC81" s="59">
        <f t="shared" si="18"/>
        <v>0</v>
      </c>
      <c r="BD81" s="59">
        <f t="shared" si="19"/>
        <v>0</v>
      </c>
      <c r="BE81" s="59">
        <v>0</v>
      </c>
      <c r="BF81" s="59">
        <f t="shared" si="20"/>
        <v>0.0126</v>
      </c>
      <c r="BH81" s="44">
        <f t="shared" si="21"/>
        <v>0</v>
      </c>
      <c r="BI81" s="44">
        <f t="shared" si="22"/>
        <v>0</v>
      </c>
      <c r="BJ81" s="44">
        <f t="shared" si="23"/>
        <v>0</v>
      </c>
      <c r="BK81" s="44" t="s">
        <v>675</v>
      </c>
      <c r="BL81" s="59">
        <v>721</v>
      </c>
    </row>
    <row r="82" spans="1:64" ht="12.75">
      <c r="A82" s="85" t="s">
        <v>102</v>
      </c>
      <c r="B82" s="85"/>
      <c r="C82" s="85" t="s">
        <v>249</v>
      </c>
      <c r="D82" s="185" t="s">
        <v>441</v>
      </c>
      <c r="E82" s="186"/>
      <c r="F82" s="85" t="s">
        <v>608</v>
      </c>
      <c r="G82" s="89">
        <v>8.5</v>
      </c>
      <c r="H82" s="102"/>
      <c r="I82" s="89">
        <f t="shared" si="0"/>
        <v>0</v>
      </c>
      <c r="J82" s="89">
        <f t="shared" si="1"/>
        <v>0</v>
      </c>
      <c r="K82" s="89">
        <f t="shared" si="2"/>
        <v>0</v>
      </c>
      <c r="L82" s="89">
        <v>0.00047</v>
      </c>
      <c r="M82" s="89">
        <f t="shared" si="3"/>
        <v>0.003995</v>
      </c>
      <c r="N82" s="80" t="s">
        <v>630</v>
      </c>
      <c r="O82" s="82"/>
      <c r="Z82" s="59">
        <f t="shared" si="4"/>
        <v>0</v>
      </c>
      <c r="AB82" s="59">
        <f t="shared" si="5"/>
        <v>0</v>
      </c>
      <c r="AC82" s="59">
        <f t="shared" si="6"/>
        <v>0</v>
      </c>
      <c r="AD82" s="59">
        <f t="shared" si="7"/>
        <v>0</v>
      </c>
      <c r="AE82" s="59">
        <f t="shared" si="8"/>
        <v>0</v>
      </c>
      <c r="AF82" s="59">
        <f t="shared" si="9"/>
        <v>0</v>
      </c>
      <c r="AG82" s="59">
        <f t="shared" si="10"/>
        <v>0</v>
      </c>
      <c r="AH82" s="59">
        <f t="shared" si="11"/>
        <v>0</v>
      </c>
      <c r="AI82" s="53"/>
      <c r="AJ82" s="44">
        <f t="shared" si="12"/>
        <v>0</v>
      </c>
      <c r="AK82" s="44">
        <f t="shared" si="13"/>
        <v>0</v>
      </c>
      <c r="AL82" s="44">
        <f t="shared" si="14"/>
        <v>0</v>
      </c>
      <c r="AN82" s="59">
        <v>15</v>
      </c>
      <c r="AO82" s="59">
        <f>H82*0.378966666666667</f>
        <v>0</v>
      </c>
      <c r="AP82" s="59">
        <f>H82*(1-0.378966666666667)</f>
        <v>0</v>
      </c>
      <c r="AQ82" s="60" t="s">
        <v>80</v>
      </c>
      <c r="AV82" s="59">
        <f t="shared" si="15"/>
        <v>0</v>
      </c>
      <c r="AW82" s="59">
        <f t="shared" si="16"/>
        <v>0</v>
      </c>
      <c r="AX82" s="59">
        <f t="shared" si="17"/>
        <v>0</v>
      </c>
      <c r="AY82" s="62" t="s">
        <v>645</v>
      </c>
      <c r="AZ82" s="62" t="s">
        <v>665</v>
      </c>
      <c r="BA82" s="53" t="s">
        <v>670</v>
      </c>
      <c r="BC82" s="59">
        <f t="shared" si="18"/>
        <v>0</v>
      </c>
      <c r="BD82" s="59">
        <f t="shared" si="19"/>
        <v>0</v>
      </c>
      <c r="BE82" s="59">
        <v>0</v>
      </c>
      <c r="BF82" s="59">
        <f t="shared" si="20"/>
        <v>0.003995</v>
      </c>
      <c r="BH82" s="44">
        <f t="shared" si="21"/>
        <v>0</v>
      </c>
      <c r="BI82" s="44">
        <f t="shared" si="22"/>
        <v>0</v>
      </c>
      <c r="BJ82" s="44">
        <f t="shared" si="23"/>
        <v>0</v>
      </c>
      <c r="BK82" s="44" t="s">
        <v>675</v>
      </c>
      <c r="BL82" s="59">
        <v>721</v>
      </c>
    </row>
    <row r="83" spans="1:64" ht="12.75">
      <c r="A83" s="85" t="s">
        <v>103</v>
      </c>
      <c r="B83" s="85"/>
      <c r="C83" s="85" t="s">
        <v>250</v>
      </c>
      <c r="D83" s="185" t="s">
        <v>442</v>
      </c>
      <c r="E83" s="186"/>
      <c r="F83" s="85" t="s">
        <v>608</v>
      </c>
      <c r="G83" s="89">
        <v>0.9</v>
      </c>
      <c r="H83" s="102"/>
      <c r="I83" s="89">
        <f t="shared" si="0"/>
        <v>0</v>
      </c>
      <c r="J83" s="89">
        <f t="shared" si="1"/>
        <v>0</v>
      </c>
      <c r="K83" s="89">
        <f t="shared" si="2"/>
        <v>0</v>
      </c>
      <c r="L83" s="89">
        <v>0.00152</v>
      </c>
      <c r="M83" s="89">
        <f t="shared" si="3"/>
        <v>0.001368</v>
      </c>
      <c r="N83" s="80" t="s">
        <v>630</v>
      </c>
      <c r="O83" s="82"/>
      <c r="Z83" s="59">
        <f t="shared" si="4"/>
        <v>0</v>
      </c>
      <c r="AB83" s="59">
        <f t="shared" si="5"/>
        <v>0</v>
      </c>
      <c r="AC83" s="59">
        <f t="shared" si="6"/>
        <v>0</v>
      </c>
      <c r="AD83" s="59">
        <f t="shared" si="7"/>
        <v>0</v>
      </c>
      <c r="AE83" s="59">
        <f t="shared" si="8"/>
        <v>0</v>
      </c>
      <c r="AF83" s="59">
        <f t="shared" si="9"/>
        <v>0</v>
      </c>
      <c r="AG83" s="59">
        <f t="shared" si="10"/>
        <v>0</v>
      </c>
      <c r="AH83" s="59">
        <f t="shared" si="11"/>
        <v>0</v>
      </c>
      <c r="AI83" s="53"/>
      <c r="AJ83" s="44">
        <f t="shared" si="12"/>
        <v>0</v>
      </c>
      <c r="AK83" s="44">
        <f t="shared" si="13"/>
        <v>0</v>
      </c>
      <c r="AL83" s="44">
        <f t="shared" si="14"/>
        <v>0</v>
      </c>
      <c r="AN83" s="59">
        <v>15</v>
      </c>
      <c r="AO83" s="59">
        <f>H83*0.360594530876157</f>
        <v>0</v>
      </c>
      <c r="AP83" s="59">
        <f>H83*(1-0.360594530876157)</f>
        <v>0</v>
      </c>
      <c r="AQ83" s="60" t="s">
        <v>80</v>
      </c>
      <c r="AV83" s="59">
        <f t="shared" si="15"/>
        <v>0</v>
      </c>
      <c r="AW83" s="59">
        <f t="shared" si="16"/>
        <v>0</v>
      </c>
      <c r="AX83" s="59">
        <f t="shared" si="17"/>
        <v>0</v>
      </c>
      <c r="AY83" s="62" t="s">
        <v>645</v>
      </c>
      <c r="AZ83" s="62" t="s">
        <v>665</v>
      </c>
      <c r="BA83" s="53" t="s">
        <v>670</v>
      </c>
      <c r="BC83" s="59">
        <f t="shared" si="18"/>
        <v>0</v>
      </c>
      <c r="BD83" s="59">
        <f t="shared" si="19"/>
        <v>0</v>
      </c>
      <c r="BE83" s="59">
        <v>0</v>
      </c>
      <c r="BF83" s="59">
        <f t="shared" si="20"/>
        <v>0.001368</v>
      </c>
      <c r="BH83" s="44">
        <f t="shared" si="21"/>
        <v>0</v>
      </c>
      <c r="BI83" s="44">
        <f t="shared" si="22"/>
        <v>0</v>
      </c>
      <c r="BJ83" s="44">
        <f t="shared" si="23"/>
        <v>0</v>
      </c>
      <c r="BK83" s="44" t="s">
        <v>675</v>
      </c>
      <c r="BL83" s="59">
        <v>721</v>
      </c>
    </row>
    <row r="84" spans="1:64" ht="12.75">
      <c r="A84" s="85" t="s">
        <v>104</v>
      </c>
      <c r="B84" s="85"/>
      <c r="C84" s="85" t="s">
        <v>251</v>
      </c>
      <c r="D84" s="185" t="s">
        <v>443</v>
      </c>
      <c r="E84" s="186"/>
      <c r="F84" s="85" t="s">
        <v>608</v>
      </c>
      <c r="G84" s="89">
        <v>0.5</v>
      </c>
      <c r="H84" s="102"/>
      <c r="I84" s="89">
        <f t="shared" si="0"/>
        <v>0</v>
      </c>
      <c r="J84" s="89">
        <f t="shared" si="1"/>
        <v>0</v>
      </c>
      <c r="K84" s="89">
        <f t="shared" si="2"/>
        <v>0</v>
      </c>
      <c r="L84" s="89">
        <v>0.00131</v>
      </c>
      <c r="M84" s="89">
        <f t="shared" si="3"/>
        <v>0.000655</v>
      </c>
      <c r="N84" s="80" t="s">
        <v>630</v>
      </c>
      <c r="O84" s="82"/>
      <c r="Z84" s="59">
        <f t="shared" si="4"/>
        <v>0</v>
      </c>
      <c r="AB84" s="59">
        <f t="shared" si="5"/>
        <v>0</v>
      </c>
      <c r="AC84" s="59">
        <f t="shared" si="6"/>
        <v>0</v>
      </c>
      <c r="AD84" s="59">
        <f t="shared" si="7"/>
        <v>0</v>
      </c>
      <c r="AE84" s="59">
        <f t="shared" si="8"/>
        <v>0</v>
      </c>
      <c r="AF84" s="59">
        <f t="shared" si="9"/>
        <v>0</v>
      </c>
      <c r="AG84" s="59">
        <f t="shared" si="10"/>
        <v>0</v>
      </c>
      <c r="AH84" s="59">
        <f t="shared" si="11"/>
        <v>0</v>
      </c>
      <c r="AI84" s="53"/>
      <c r="AJ84" s="44">
        <f t="shared" si="12"/>
        <v>0</v>
      </c>
      <c r="AK84" s="44">
        <f t="shared" si="13"/>
        <v>0</v>
      </c>
      <c r="AL84" s="44">
        <f t="shared" si="14"/>
        <v>0</v>
      </c>
      <c r="AN84" s="59">
        <v>15</v>
      </c>
      <c r="AO84" s="59">
        <f>H84*0.460092546600089</f>
        <v>0</v>
      </c>
      <c r="AP84" s="59">
        <f>H84*(1-0.460092546600089)</f>
        <v>0</v>
      </c>
      <c r="AQ84" s="60" t="s">
        <v>80</v>
      </c>
      <c r="AV84" s="59">
        <f t="shared" si="15"/>
        <v>0</v>
      </c>
      <c r="AW84" s="59">
        <f t="shared" si="16"/>
        <v>0</v>
      </c>
      <c r="AX84" s="59">
        <f t="shared" si="17"/>
        <v>0</v>
      </c>
      <c r="AY84" s="62" t="s">
        <v>645</v>
      </c>
      <c r="AZ84" s="62" t="s">
        <v>665</v>
      </c>
      <c r="BA84" s="53" t="s">
        <v>670</v>
      </c>
      <c r="BC84" s="59">
        <f t="shared" si="18"/>
        <v>0</v>
      </c>
      <c r="BD84" s="59">
        <f t="shared" si="19"/>
        <v>0</v>
      </c>
      <c r="BE84" s="59">
        <v>0</v>
      </c>
      <c r="BF84" s="59">
        <f t="shared" si="20"/>
        <v>0.000655</v>
      </c>
      <c r="BH84" s="44">
        <f t="shared" si="21"/>
        <v>0</v>
      </c>
      <c r="BI84" s="44">
        <f t="shared" si="22"/>
        <v>0</v>
      </c>
      <c r="BJ84" s="44">
        <f t="shared" si="23"/>
        <v>0</v>
      </c>
      <c r="BK84" s="44" t="s">
        <v>675</v>
      </c>
      <c r="BL84" s="59">
        <v>721</v>
      </c>
    </row>
    <row r="85" spans="1:64" ht="12.75">
      <c r="A85" s="85" t="s">
        <v>105</v>
      </c>
      <c r="B85" s="85"/>
      <c r="C85" s="85" t="s">
        <v>252</v>
      </c>
      <c r="D85" s="185" t="s">
        <v>444</v>
      </c>
      <c r="E85" s="186"/>
      <c r="F85" s="85" t="s">
        <v>609</v>
      </c>
      <c r="G85" s="89">
        <v>4</v>
      </c>
      <c r="H85" s="102"/>
      <c r="I85" s="89">
        <f t="shared" si="0"/>
        <v>0</v>
      </c>
      <c r="J85" s="89">
        <f t="shared" si="1"/>
        <v>0</v>
      </c>
      <c r="K85" s="89">
        <f t="shared" si="2"/>
        <v>0</v>
      </c>
      <c r="L85" s="89">
        <v>0</v>
      </c>
      <c r="M85" s="89">
        <f t="shared" si="3"/>
        <v>0</v>
      </c>
      <c r="N85" s="80" t="s">
        <v>630</v>
      </c>
      <c r="O85" s="82"/>
      <c r="Z85" s="59">
        <f t="shared" si="4"/>
        <v>0</v>
      </c>
      <c r="AB85" s="59">
        <f t="shared" si="5"/>
        <v>0</v>
      </c>
      <c r="AC85" s="59">
        <f t="shared" si="6"/>
        <v>0</v>
      </c>
      <c r="AD85" s="59">
        <f t="shared" si="7"/>
        <v>0</v>
      </c>
      <c r="AE85" s="59">
        <f t="shared" si="8"/>
        <v>0</v>
      </c>
      <c r="AF85" s="59">
        <f t="shared" si="9"/>
        <v>0</v>
      </c>
      <c r="AG85" s="59">
        <f t="shared" si="10"/>
        <v>0</v>
      </c>
      <c r="AH85" s="59">
        <f t="shared" si="11"/>
        <v>0</v>
      </c>
      <c r="AI85" s="53"/>
      <c r="AJ85" s="44">
        <f t="shared" si="12"/>
        <v>0</v>
      </c>
      <c r="AK85" s="44">
        <f t="shared" si="13"/>
        <v>0</v>
      </c>
      <c r="AL85" s="44">
        <f t="shared" si="14"/>
        <v>0</v>
      </c>
      <c r="AN85" s="59">
        <v>15</v>
      </c>
      <c r="AO85" s="59">
        <f>H85*0</f>
        <v>0</v>
      </c>
      <c r="AP85" s="59">
        <f>H85*(1-0)</f>
        <v>0</v>
      </c>
      <c r="AQ85" s="60" t="s">
        <v>80</v>
      </c>
      <c r="AV85" s="59">
        <f t="shared" si="15"/>
        <v>0</v>
      </c>
      <c r="AW85" s="59">
        <f t="shared" si="16"/>
        <v>0</v>
      </c>
      <c r="AX85" s="59">
        <f t="shared" si="17"/>
        <v>0</v>
      </c>
      <c r="AY85" s="62" t="s">
        <v>645</v>
      </c>
      <c r="AZ85" s="62" t="s">
        <v>665</v>
      </c>
      <c r="BA85" s="53" t="s">
        <v>670</v>
      </c>
      <c r="BC85" s="59">
        <f t="shared" si="18"/>
        <v>0</v>
      </c>
      <c r="BD85" s="59">
        <f t="shared" si="19"/>
        <v>0</v>
      </c>
      <c r="BE85" s="59">
        <v>0</v>
      </c>
      <c r="BF85" s="59">
        <f t="shared" si="20"/>
        <v>0</v>
      </c>
      <c r="BH85" s="44">
        <f t="shared" si="21"/>
        <v>0</v>
      </c>
      <c r="BI85" s="44">
        <f t="shared" si="22"/>
        <v>0</v>
      </c>
      <c r="BJ85" s="44">
        <f t="shared" si="23"/>
        <v>0</v>
      </c>
      <c r="BK85" s="44" t="s">
        <v>675</v>
      </c>
      <c r="BL85" s="59">
        <v>721</v>
      </c>
    </row>
    <row r="86" spans="1:64" ht="12.75">
      <c r="A86" s="85" t="s">
        <v>106</v>
      </c>
      <c r="B86" s="85"/>
      <c r="C86" s="85" t="s">
        <v>253</v>
      </c>
      <c r="D86" s="185" t="s">
        <v>445</v>
      </c>
      <c r="E86" s="186"/>
      <c r="F86" s="85" t="s">
        <v>609</v>
      </c>
      <c r="G86" s="89">
        <v>1</v>
      </c>
      <c r="H86" s="102"/>
      <c r="I86" s="89">
        <f t="shared" si="0"/>
        <v>0</v>
      </c>
      <c r="J86" s="89">
        <f t="shared" si="1"/>
        <v>0</v>
      </c>
      <c r="K86" s="89">
        <f t="shared" si="2"/>
        <v>0</v>
      </c>
      <c r="L86" s="89">
        <v>0</v>
      </c>
      <c r="M86" s="89">
        <f t="shared" si="3"/>
        <v>0</v>
      </c>
      <c r="N86" s="80" t="s">
        <v>630</v>
      </c>
      <c r="O86" s="82"/>
      <c r="Z86" s="59">
        <f t="shared" si="4"/>
        <v>0</v>
      </c>
      <c r="AB86" s="59">
        <f t="shared" si="5"/>
        <v>0</v>
      </c>
      <c r="AC86" s="59">
        <f t="shared" si="6"/>
        <v>0</v>
      </c>
      <c r="AD86" s="59">
        <f t="shared" si="7"/>
        <v>0</v>
      </c>
      <c r="AE86" s="59">
        <f t="shared" si="8"/>
        <v>0</v>
      </c>
      <c r="AF86" s="59">
        <f t="shared" si="9"/>
        <v>0</v>
      </c>
      <c r="AG86" s="59">
        <f t="shared" si="10"/>
        <v>0</v>
      </c>
      <c r="AH86" s="59">
        <f t="shared" si="11"/>
        <v>0</v>
      </c>
      <c r="AI86" s="53"/>
      <c r="AJ86" s="44">
        <f t="shared" si="12"/>
        <v>0</v>
      </c>
      <c r="AK86" s="44">
        <f t="shared" si="13"/>
        <v>0</v>
      </c>
      <c r="AL86" s="44">
        <f t="shared" si="14"/>
        <v>0</v>
      </c>
      <c r="AN86" s="59">
        <v>15</v>
      </c>
      <c r="AO86" s="59">
        <f>H86*0</f>
        <v>0</v>
      </c>
      <c r="AP86" s="59">
        <f>H86*(1-0)</f>
        <v>0</v>
      </c>
      <c r="AQ86" s="60" t="s">
        <v>80</v>
      </c>
      <c r="AV86" s="59">
        <f t="shared" si="15"/>
        <v>0</v>
      </c>
      <c r="AW86" s="59">
        <f t="shared" si="16"/>
        <v>0</v>
      </c>
      <c r="AX86" s="59">
        <f t="shared" si="17"/>
        <v>0</v>
      </c>
      <c r="AY86" s="62" t="s">
        <v>645</v>
      </c>
      <c r="AZ86" s="62" t="s">
        <v>665</v>
      </c>
      <c r="BA86" s="53" t="s">
        <v>670</v>
      </c>
      <c r="BC86" s="59">
        <f t="shared" si="18"/>
        <v>0</v>
      </c>
      <c r="BD86" s="59">
        <f t="shared" si="19"/>
        <v>0</v>
      </c>
      <c r="BE86" s="59">
        <v>0</v>
      </c>
      <c r="BF86" s="59">
        <f t="shared" si="20"/>
        <v>0</v>
      </c>
      <c r="BH86" s="44">
        <f t="shared" si="21"/>
        <v>0</v>
      </c>
      <c r="BI86" s="44">
        <f t="shared" si="22"/>
        <v>0</v>
      </c>
      <c r="BJ86" s="44">
        <f t="shared" si="23"/>
        <v>0</v>
      </c>
      <c r="BK86" s="44" t="s">
        <v>675</v>
      </c>
      <c r="BL86" s="59">
        <v>721</v>
      </c>
    </row>
    <row r="87" spans="1:64" ht="12.75">
      <c r="A87" s="85" t="s">
        <v>107</v>
      </c>
      <c r="B87" s="85"/>
      <c r="C87" s="85" t="s">
        <v>254</v>
      </c>
      <c r="D87" s="185" t="s">
        <v>446</v>
      </c>
      <c r="E87" s="186"/>
      <c r="F87" s="85" t="s">
        <v>608</v>
      </c>
      <c r="G87" s="89">
        <v>9.4</v>
      </c>
      <c r="H87" s="102"/>
      <c r="I87" s="89">
        <f t="shared" si="0"/>
        <v>0</v>
      </c>
      <c r="J87" s="89">
        <f t="shared" si="1"/>
        <v>0</v>
      </c>
      <c r="K87" s="89">
        <f t="shared" si="2"/>
        <v>0</v>
      </c>
      <c r="L87" s="89">
        <v>0</v>
      </c>
      <c r="M87" s="89">
        <f t="shared" si="3"/>
        <v>0</v>
      </c>
      <c r="N87" s="80" t="s">
        <v>630</v>
      </c>
      <c r="O87" s="82"/>
      <c r="Z87" s="59">
        <f t="shared" si="4"/>
        <v>0</v>
      </c>
      <c r="AB87" s="59">
        <f t="shared" si="5"/>
        <v>0</v>
      </c>
      <c r="AC87" s="59">
        <f t="shared" si="6"/>
        <v>0</v>
      </c>
      <c r="AD87" s="59">
        <f t="shared" si="7"/>
        <v>0</v>
      </c>
      <c r="AE87" s="59">
        <f t="shared" si="8"/>
        <v>0</v>
      </c>
      <c r="AF87" s="59">
        <f t="shared" si="9"/>
        <v>0</v>
      </c>
      <c r="AG87" s="59">
        <f t="shared" si="10"/>
        <v>0</v>
      </c>
      <c r="AH87" s="59">
        <f t="shared" si="11"/>
        <v>0</v>
      </c>
      <c r="AI87" s="53"/>
      <c r="AJ87" s="44">
        <f t="shared" si="12"/>
        <v>0</v>
      </c>
      <c r="AK87" s="44">
        <f t="shared" si="13"/>
        <v>0</v>
      </c>
      <c r="AL87" s="44">
        <f t="shared" si="14"/>
        <v>0</v>
      </c>
      <c r="AN87" s="59">
        <v>15</v>
      </c>
      <c r="AO87" s="59">
        <f>H87*0</f>
        <v>0</v>
      </c>
      <c r="AP87" s="59">
        <f>H87*(1-0)</f>
        <v>0</v>
      </c>
      <c r="AQ87" s="60" t="s">
        <v>75</v>
      </c>
      <c r="AV87" s="59">
        <f t="shared" si="15"/>
        <v>0</v>
      </c>
      <c r="AW87" s="59">
        <f t="shared" si="16"/>
        <v>0</v>
      </c>
      <c r="AX87" s="59">
        <f t="shared" si="17"/>
        <v>0</v>
      </c>
      <c r="AY87" s="62" t="s">
        <v>645</v>
      </c>
      <c r="AZ87" s="62" t="s">
        <v>665</v>
      </c>
      <c r="BA87" s="53" t="s">
        <v>670</v>
      </c>
      <c r="BC87" s="59">
        <f t="shared" si="18"/>
        <v>0</v>
      </c>
      <c r="BD87" s="59">
        <f t="shared" si="19"/>
        <v>0</v>
      </c>
      <c r="BE87" s="59">
        <v>0</v>
      </c>
      <c r="BF87" s="59">
        <f t="shared" si="20"/>
        <v>0</v>
      </c>
      <c r="BH87" s="44">
        <f t="shared" si="21"/>
        <v>0</v>
      </c>
      <c r="BI87" s="44">
        <f t="shared" si="22"/>
        <v>0</v>
      </c>
      <c r="BJ87" s="44">
        <f t="shared" si="23"/>
        <v>0</v>
      </c>
      <c r="BK87" s="44" t="s">
        <v>675</v>
      </c>
      <c r="BL87" s="59">
        <v>721</v>
      </c>
    </row>
    <row r="88" spans="1:64" ht="12.75">
      <c r="A88" s="85" t="s">
        <v>108</v>
      </c>
      <c r="B88" s="85"/>
      <c r="C88" s="85" t="s">
        <v>255</v>
      </c>
      <c r="D88" s="185" t="s">
        <v>447</v>
      </c>
      <c r="E88" s="186"/>
      <c r="F88" s="85" t="s">
        <v>608</v>
      </c>
      <c r="G88" s="89">
        <v>9.4</v>
      </c>
      <c r="H88" s="102"/>
      <c r="I88" s="89">
        <f t="shared" si="0"/>
        <v>0</v>
      </c>
      <c r="J88" s="89">
        <f t="shared" si="1"/>
        <v>0</v>
      </c>
      <c r="K88" s="89">
        <f t="shared" si="2"/>
        <v>0</v>
      </c>
      <c r="L88" s="89">
        <v>0</v>
      </c>
      <c r="M88" s="89">
        <f t="shared" si="3"/>
        <v>0</v>
      </c>
      <c r="N88" s="80" t="s">
        <v>630</v>
      </c>
      <c r="O88" s="82"/>
      <c r="Z88" s="59">
        <f t="shared" si="4"/>
        <v>0</v>
      </c>
      <c r="AB88" s="59">
        <f t="shared" si="5"/>
        <v>0</v>
      </c>
      <c r="AC88" s="59">
        <f t="shared" si="6"/>
        <v>0</v>
      </c>
      <c r="AD88" s="59">
        <f t="shared" si="7"/>
        <v>0</v>
      </c>
      <c r="AE88" s="59">
        <f t="shared" si="8"/>
        <v>0</v>
      </c>
      <c r="AF88" s="59">
        <f t="shared" si="9"/>
        <v>0</v>
      </c>
      <c r="AG88" s="59">
        <f t="shared" si="10"/>
        <v>0</v>
      </c>
      <c r="AH88" s="59">
        <f t="shared" si="11"/>
        <v>0</v>
      </c>
      <c r="AI88" s="53"/>
      <c r="AJ88" s="44">
        <f t="shared" si="12"/>
        <v>0</v>
      </c>
      <c r="AK88" s="44">
        <f t="shared" si="13"/>
        <v>0</v>
      </c>
      <c r="AL88" s="44">
        <f t="shared" si="14"/>
        <v>0</v>
      </c>
      <c r="AN88" s="59">
        <v>15</v>
      </c>
      <c r="AO88" s="59">
        <f>H88*0.0265724381625442</f>
        <v>0</v>
      </c>
      <c r="AP88" s="59">
        <f>H88*(1-0.0265724381625442)</f>
        <v>0</v>
      </c>
      <c r="AQ88" s="60" t="s">
        <v>80</v>
      </c>
      <c r="AV88" s="59">
        <f t="shared" si="15"/>
        <v>0</v>
      </c>
      <c r="AW88" s="59">
        <f t="shared" si="16"/>
        <v>0</v>
      </c>
      <c r="AX88" s="59">
        <f t="shared" si="17"/>
        <v>0</v>
      </c>
      <c r="AY88" s="62" t="s">
        <v>645</v>
      </c>
      <c r="AZ88" s="62" t="s">
        <v>665</v>
      </c>
      <c r="BA88" s="53" t="s">
        <v>670</v>
      </c>
      <c r="BC88" s="59">
        <f t="shared" si="18"/>
        <v>0</v>
      </c>
      <c r="BD88" s="59">
        <f t="shared" si="19"/>
        <v>0</v>
      </c>
      <c r="BE88" s="59">
        <v>0</v>
      </c>
      <c r="BF88" s="59">
        <f t="shared" si="20"/>
        <v>0</v>
      </c>
      <c r="BH88" s="44">
        <f t="shared" si="21"/>
        <v>0</v>
      </c>
      <c r="BI88" s="44">
        <f t="shared" si="22"/>
        <v>0</v>
      </c>
      <c r="BJ88" s="44">
        <f t="shared" si="23"/>
        <v>0</v>
      </c>
      <c r="BK88" s="44" t="s">
        <v>675</v>
      </c>
      <c r="BL88" s="59">
        <v>721</v>
      </c>
    </row>
    <row r="89" spans="1:64" ht="12.75">
      <c r="A89" s="85" t="s">
        <v>109</v>
      </c>
      <c r="B89" s="85"/>
      <c r="C89" s="85" t="s">
        <v>256</v>
      </c>
      <c r="D89" s="185" t="s">
        <v>448</v>
      </c>
      <c r="E89" s="186"/>
      <c r="F89" s="85" t="s">
        <v>608</v>
      </c>
      <c r="G89" s="89">
        <v>0.5</v>
      </c>
      <c r="H89" s="102"/>
      <c r="I89" s="89">
        <f t="shared" si="0"/>
        <v>0</v>
      </c>
      <c r="J89" s="89">
        <f t="shared" si="1"/>
        <v>0</v>
      </c>
      <c r="K89" s="89">
        <f t="shared" si="2"/>
        <v>0</v>
      </c>
      <c r="L89" s="89">
        <v>0.00171</v>
      </c>
      <c r="M89" s="89">
        <f t="shared" si="3"/>
        <v>0.000855</v>
      </c>
      <c r="N89" s="80" t="s">
        <v>630</v>
      </c>
      <c r="O89" s="82"/>
      <c r="Z89" s="59">
        <f t="shared" si="4"/>
        <v>0</v>
      </c>
      <c r="AB89" s="59">
        <f t="shared" si="5"/>
        <v>0</v>
      </c>
      <c r="AC89" s="59">
        <f t="shared" si="6"/>
        <v>0</v>
      </c>
      <c r="AD89" s="59">
        <f t="shared" si="7"/>
        <v>0</v>
      </c>
      <c r="AE89" s="59">
        <f t="shared" si="8"/>
        <v>0</v>
      </c>
      <c r="AF89" s="59">
        <f t="shared" si="9"/>
        <v>0</v>
      </c>
      <c r="AG89" s="59">
        <f t="shared" si="10"/>
        <v>0</v>
      </c>
      <c r="AH89" s="59">
        <f t="shared" si="11"/>
        <v>0</v>
      </c>
      <c r="AI89" s="53"/>
      <c r="AJ89" s="44">
        <f t="shared" si="12"/>
        <v>0</v>
      </c>
      <c r="AK89" s="44">
        <f t="shared" si="13"/>
        <v>0</v>
      </c>
      <c r="AL89" s="44">
        <f t="shared" si="14"/>
        <v>0</v>
      </c>
      <c r="AN89" s="59">
        <v>15</v>
      </c>
      <c r="AO89" s="59">
        <f>H89*0.437290537042587</f>
        <v>0</v>
      </c>
      <c r="AP89" s="59">
        <f>H89*(1-0.437290537042587)</f>
        <v>0</v>
      </c>
      <c r="AQ89" s="60" t="s">
        <v>80</v>
      </c>
      <c r="AV89" s="59">
        <f t="shared" si="15"/>
        <v>0</v>
      </c>
      <c r="AW89" s="59">
        <f t="shared" si="16"/>
        <v>0</v>
      </c>
      <c r="AX89" s="59">
        <f t="shared" si="17"/>
        <v>0</v>
      </c>
      <c r="AY89" s="62" t="s">
        <v>645</v>
      </c>
      <c r="AZ89" s="62" t="s">
        <v>665</v>
      </c>
      <c r="BA89" s="53" t="s">
        <v>670</v>
      </c>
      <c r="BC89" s="59">
        <f t="shared" si="18"/>
        <v>0</v>
      </c>
      <c r="BD89" s="59">
        <f t="shared" si="19"/>
        <v>0</v>
      </c>
      <c r="BE89" s="59">
        <v>0</v>
      </c>
      <c r="BF89" s="59">
        <f t="shared" si="20"/>
        <v>0.000855</v>
      </c>
      <c r="BH89" s="44">
        <f t="shared" si="21"/>
        <v>0</v>
      </c>
      <c r="BI89" s="44">
        <f t="shared" si="22"/>
        <v>0</v>
      </c>
      <c r="BJ89" s="44">
        <f t="shared" si="23"/>
        <v>0</v>
      </c>
      <c r="BK89" s="44" t="s">
        <v>675</v>
      </c>
      <c r="BL89" s="59">
        <v>721</v>
      </c>
    </row>
    <row r="90" spans="1:64" ht="12.75">
      <c r="A90" s="85" t="s">
        <v>110</v>
      </c>
      <c r="B90" s="85"/>
      <c r="C90" s="85" t="s">
        <v>257</v>
      </c>
      <c r="D90" s="185" t="s">
        <v>449</v>
      </c>
      <c r="E90" s="186"/>
      <c r="F90" s="85" t="s">
        <v>610</v>
      </c>
      <c r="G90" s="89">
        <v>0.05</v>
      </c>
      <c r="H90" s="102"/>
      <c r="I90" s="89">
        <f t="shared" si="0"/>
        <v>0</v>
      </c>
      <c r="J90" s="89">
        <f t="shared" si="1"/>
        <v>0</v>
      </c>
      <c r="K90" s="89">
        <f t="shared" si="2"/>
        <v>0</v>
      </c>
      <c r="L90" s="89">
        <v>0</v>
      </c>
      <c r="M90" s="89">
        <f t="shared" si="3"/>
        <v>0</v>
      </c>
      <c r="N90" s="80" t="s">
        <v>630</v>
      </c>
      <c r="O90" s="82"/>
      <c r="Z90" s="59">
        <f t="shared" si="4"/>
        <v>0</v>
      </c>
      <c r="AB90" s="59">
        <f t="shared" si="5"/>
        <v>0</v>
      </c>
      <c r="AC90" s="59">
        <f t="shared" si="6"/>
        <v>0</v>
      </c>
      <c r="AD90" s="59">
        <f t="shared" si="7"/>
        <v>0</v>
      </c>
      <c r="AE90" s="59">
        <f t="shared" si="8"/>
        <v>0</v>
      </c>
      <c r="AF90" s="59">
        <f t="shared" si="9"/>
        <v>0</v>
      </c>
      <c r="AG90" s="59">
        <f t="shared" si="10"/>
        <v>0</v>
      </c>
      <c r="AH90" s="59">
        <f t="shared" si="11"/>
        <v>0</v>
      </c>
      <c r="AI90" s="53"/>
      <c r="AJ90" s="44">
        <f t="shared" si="12"/>
        <v>0</v>
      </c>
      <c r="AK90" s="44">
        <f t="shared" si="13"/>
        <v>0</v>
      </c>
      <c r="AL90" s="44">
        <f t="shared" si="14"/>
        <v>0</v>
      </c>
      <c r="AN90" s="59">
        <v>15</v>
      </c>
      <c r="AO90" s="59">
        <f>H90*0</f>
        <v>0</v>
      </c>
      <c r="AP90" s="59">
        <f>H90*(1-0)</f>
        <v>0</v>
      </c>
      <c r="AQ90" s="60" t="s">
        <v>78</v>
      </c>
      <c r="AV90" s="59">
        <f t="shared" si="15"/>
        <v>0</v>
      </c>
      <c r="AW90" s="59">
        <f t="shared" si="16"/>
        <v>0</v>
      </c>
      <c r="AX90" s="59">
        <f t="shared" si="17"/>
        <v>0</v>
      </c>
      <c r="AY90" s="62" t="s">
        <v>645</v>
      </c>
      <c r="AZ90" s="62" t="s">
        <v>665</v>
      </c>
      <c r="BA90" s="53" t="s">
        <v>670</v>
      </c>
      <c r="BC90" s="59">
        <f t="shared" si="18"/>
        <v>0</v>
      </c>
      <c r="BD90" s="59">
        <f t="shared" si="19"/>
        <v>0</v>
      </c>
      <c r="BE90" s="59">
        <v>0</v>
      </c>
      <c r="BF90" s="59">
        <f t="shared" si="20"/>
        <v>0</v>
      </c>
      <c r="BH90" s="44">
        <f t="shared" si="21"/>
        <v>0</v>
      </c>
      <c r="BI90" s="44">
        <f t="shared" si="22"/>
        <v>0</v>
      </c>
      <c r="BJ90" s="44">
        <f t="shared" si="23"/>
        <v>0</v>
      </c>
      <c r="BK90" s="44" t="s">
        <v>675</v>
      </c>
      <c r="BL90" s="59">
        <v>721</v>
      </c>
    </row>
    <row r="91" spans="1:47" ht="12.75">
      <c r="A91" s="96"/>
      <c r="B91" s="97"/>
      <c r="C91" s="97" t="s">
        <v>258</v>
      </c>
      <c r="D91" s="189" t="s">
        <v>450</v>
      </c>
      <c r="E91" s="190"/>
      <c r="F91" s="96" t="s">
        <v>73</v>
      </c>
      <c r="G91" s="96" t="s">
        <v>73</v>
      </c>
      <c r="H91" s="96" t="s">
        <v>73</v>
      </c>
      <c r="I91" s="98">
        <f>SUM(I92:I102)</f>
        <v>0</v>
      </c>
      <c r="J91" s="98">
        <f>SUM(J92:J102)</f>
        <v>0</v>
      </c>
      <c r="K91" s="98">
        <f>SUM(K92:K102)</f>
        <v>0</v>
      </c>
      <c r="L91" s="99"/>
      <c r="M91" s="98">
        <f>SUM(M92:M102)</f>
        <v>0.020192</v>
      </c>
      <c r="N91" s="95"/>
      <c r="O91" s="82"/>
      <c r="AI91" s="53"/>
      <c r="AS91" s="65">
        <f>SUM(AJ92:AJ102)</f>
        <v>0</v>
      </c>
      <c r="AT91" s="65">
        <f>SUM(AK92:AK102)</f>
        <v>0</v>
      </c>
      <c r="AU91" s="65">
        <f>SUM(AL92:AL102)</f>
        <v>0</v>
      </c>
    </row>
    <row r="92" spans="1:64" ht="12.75">
      <c r="A92" s="85" t="s">
        <v>111</v>
      </c>
      <c r="B92" s="85"/>
      <c r="C92" s="85" t="s">
        <v>259</v>
      </c>
      <c r="D92" s="185" t="s">
        <v>451</v>
      </c>
      <c r="E92" s="186"/>
      <c r="F92" s="85" t="s">
        <v>608</v>
      </c>
      <c r="G92" s="89">
        <v>3</v>
      </c>
      <c r="H92" s="102"/>
      <c r="I92" s="89">
        <f aca="true" t="shared" si="24" ref="I92:I102">G92*AO92</f>
        <v>0</v>
      </c>
      <c r="J92" s="89">
        <f aca="true" t="shared" si="25" ref="J92:J102">G92*AP92</f>
        <v>0</v>
      </c>
      <c r="K92" s="89">
        <f aca="true" t="shared" si="26" ref="K92:K102">G92*H92</f>
        <v>0</v>
      </c>
      <c r="L92" s="89">
        <v>0.00213</v>
      </c>
      <c r="M92" s="89">
        <f aca="true" t="shared" si="27" ref="M92:M102">G92*L92</f>
        <v>0.00639</v>
      </c>
      <c r="N92" s="80" t="s">
        <v>630</v>
      </c>
      <c r="O92" s="82"/>
      <c r="Z92" s="59">
        <f aca="true" t="shared" si="28" ref="Z92:Z102">IF(AQ92="5",BJ92,0)</f>
        <v>0</v>
      </c>
      <c r="AB92" s="59">
        <f aca="true" t="shared" si="29" ref="AB92:AB102">IF(AQ92="1",BH92,0)</f>
        <v>0</v>
      </c>
      <c r="AC92" s="59">
        <f aca="true" t="shared" si="30" ref="AC92:AC102">IF(AQ92="1",BI92,0)</f>
        <v>0</v>
      </c>
      <c r="AD92" s="59">
        <f aca="true" t="shared" si="31" ref="AD92:AD102">IF(AQ92="7",BH92,0)</f>
        <v>0</v>
      </c>
      <c r="AE92" s="59">
        <f aca="true" t="shared" si="32" ref="AE92:AE102">IF(AQ92="7",BI92,0)</f>
        <v>0</v>
      </c>
      <c r="AF92" s="59">
        <f aca="true" t="shared" si="33" ref="AF92:AF102">IF(AQ92="2",BH92,0)</f>
        <v>0</v>
      </c>
      <c r="AG92" s="59">
        <f aca="true" t="shared" si="34" ref="AG92:AG102">IF(AQ92="2",BI92,0)</f>
        <v>0</v>
      </c>
      <c r="AH92" s="59">
        <f aca="true" t="shared" si="35" ref="AH92:AH102">IF(AQ92="0",BJ92,0)</f>
        <v>0</v>
      </c>
      <c r="AI92" s="53"/>
      <c r="AJ92" s="44">
        <f aca="true" t="shared" si="36" ref="AJ92:AJ102">IF(AN92=0,K92,0)</f>
        <v>0</v>
      </c>
      <c r="AK92" s="44">
        <f aca="true" t="shared" si="37" ref="AK92:AK102">IF(AN92=15,K92,0)</f>
        <v>0</v>
      </c>
      <c r="AL92" s="44">
        <f aca="true" t="shared" si="38" ref="AL92:AL102">IF(AN92=21,K92,0)</f>
        <v>0</v>
      </c>
      <c r="AN92" s="59">
        <v>15</v>
      </c>
      <c r="AO92" s="59">
        <f>H92*0</f>
        <v>0</v>
      </c>
      <c r="AP92" s="59">
        <f>H92*(1-0)</f>
        <v>0</v>
      </c>
      <c r="AQ92" s="60" t="s">
        <v>80</v>
      </c>
      <c r="AV92" s="59">
        <f aca="true" t="shared" si="39" ref="AV92:AV102">AW92+AX92</f>
        <v>0</v>
      </c>
      <c r="AW92" s="59">
        <f aca="true" t="shared" si="40" ref="AW92:AW102">G92*AO92</f>
        <v>0</v>
      </c>
      <c r="AX92" s="59">
        <f aca="true" t="shared" si="41" ref="AX92:AX102">G92*AP92</f>
        <v>0</v>
      </c>
      <c r="AY92" s="62" t="s">
        <v>646</v>
      </c>
      <c r="AZ92" s="62" t="s">
        <v>665</v>
      </c>
      <c r="BA92" s="53" t="s">
        <v>670</v>
      </c>
      <c r="BC92" s="59">
        <f aca="true" t="shared" si="42" ref="BC92:BC102">AW92+AX92</f>
        <v>0</v>
      </c>
      <c r="BD92" s="59">
        <f aca="true" t="shared" si="43" ref="BD92:BD102">H92/(100-BE92)*100</f>
        <v>0</v>
      </c>
      <c r="BE92" s="59">
        <v>0</v>
      </c>
      <c r="BF92" s="59">
        <f aca="true" t="shared" si="44" ref="BF92:BF102">M92</f>
        <v>0.00639</v>
      </c>
      <c r="BH92" s="44">
        <f aca="true" t="shared" si="45" ref="BH92:BH102">G92*AO92</f>
        <v>0</v>
      </c>
      <c r="BI92" s="44">
        <f aca="true" t="shared" si="46" ref="BI92:BI102">G92*AP92</f>
        <v>0</v>
      </c>
      <c r="BJ92" s="44">
        <f aca="true" t="shared" si="47" ref="BJ92:BJ102">G92*H92</f>
        <v>0</v>
      </c>
      <c r="BK92" s="44" t="s">
        <v>675</v>
      </c>
      <c r="BL92" s="59">
        <v>722</v>
      </c>
    </row>
    <row r="93" spans="1:64" ht="12.75">
      <c r="A93" s="85" t="s">
        <v>112</v>
      </c>
      <c r="B93" s="85"/>
      <c r="C93" s="85" t="s">
        <v>260</v>
      </c>
      <c r="D93" s="185" t="s">
        <v>452</v>
      </c>
      <c r="E93" s="186"/>
      <c r="F93" s="85" t="s">
        <v>609</v>
      </c>
      <c r="G93" s="89">
        <v>2</v>
      </c>
      <c r="H93" s="102"/>
      <c r="I93" s="89">
        <f t="shared" si="24"/>
        <v>0</v>
      </c>
      <c r="J93" s="89">
        <f t="shared" si="25"/>
        <v>0</v>
      </c>
      <c r="K93" s="89">
        <f t="shared" si="26"/>
        <v>0</v>
      </c>
      <c r="L93" s="89">
        <v>0</v>
      </c>
      <c r="M93" s="89">
        <f t="shared" si="27"/>
        <v>0</v>
      </c>
      <c r="N93" s="80" t="s">
        <v>630</v>
      </c>
      <c r="O93" s="82"/>
      <c r="Z93" s="59">
        <f t="shared" si="28"/>
        <v>0</v>
      </c>
      <c r="AB93" s="59">
        <f t="shared" si="29"/>
        <v>0</v>
      </c>
      <c r="AC93" s="59">
        <f t="shared" si="30"/>
        <v>0</v>
      </c>
      <c r="AD93" s="59">
        <f t="shared" si="31"/>
        <v>0</v>
      </c>
      <c r="AE93" s="59">
        <f t="shared" si="32"/>
        <v>0</v>
      </c>
      <c r="AF93" s="59">
        <f t="shared" si="33"/>
        <v>0</v>
      </c>
      <c r="AG93" s="59">
        <f t="shared" si="34"/>
        <v>0</v>
      </c>
      <c r="AH93" s="59">
        <f t="shared" si="35"/>
        <v>0</v>
      </c>
      <c r="AI93" s="53"/>
      <c r="AJ93" s="44">
        <f t="shared" si="36"/>
        <v>0</v>
      </c>
      <c r="AK93" s="44">
        <f t="shared" si="37"/>
        <v>0</v>
      </c>
      <c r="AL93" s="44">
        <f t="shared" si="38"/>
        <v>0</v>
      </c>
      <c r="AN93" s="59">
        <v>15</v>
      </c>
      <c r="AO93" s="59">
        <f>H93*0</f>
        <v>0</v>
      </c>
      <c r="AP93" s="59">
        <f>H93*(1-0)</f>
        <v>0</v>
      </c>
      <c r="AQ93" s="60" t="s">
        <v>80</v>
      </c>
      <c r="AV93" s="59">
        <f t="shared" si="39"/>
        <v>0</v>
      </c>
      <c r="AW93" s="59">
        <f t="shared" si="40"/>
        <v>0</v>
      </c>
      <c r="AX93" s="59">
        <f t="shared" si="41"/>
        <v>0</v>
      </c>
      <c r="AY93" s="62" t="s">
        <v>646</v>
      </c>
      <c r="AZ93" s="62" t="s">
        <v>665</v>
      </c>
      <c r="BA93" s="53" t="s">
        <v>670</v>
      </c>
      <c r="BC93" s="59">
        <f t="shared" si="42"/>
        <v>0</v>
      </c>
      <c r="BD93" s="59">
        <f t="shared" si="43"/>
        <v>0</v>
      </c>
      <c r="BE93" s="59">
        <v>0</v>
      </c>
      <c r="BF93" s="59">
        <f t="shared" si="44"/>
        <v>0</v>
      </c>
      <c r="BH93" s="44">
        <f t="shared" si="45"/>
        <v>0</v>
      </c>
      <c r="BI93" s="44">
        <f t="shared" si="46"/>
        <v>0</v>
      </c>
      <c r="BJ93" s="44">
        <f t="shared" si="47"/>
        <v>0</v>
      </c>
      <c r="BK93" s="44" t="s">
        <v>675</v>
      </c>
      <c r="BL93" s="59">
        <v>722</v>
      </c>
    </row>
    <row r="94" spans="1:64" ht="12.75">
      <c r="A94" s="85" t="s">
        <v>113</v>
      </c>
      <c r="B94" s="85"/>
      <c r="C94" s="85" t="s">
        <v>261</v>
      </c>
      <c r="D94" s="185" t="s">
        <v>453</v>
      </c>
      <c r="E94" s="186"/>
      <c r="F94" s="85" t="s">
        <v>609</v>
      </c>
      <c r="G94" s="89">
        <v>2</v>
      </c>
      <c r="H94" s="102"/>
      <c r="I94" s="89">
        <f t="shared" si="24"/>
        <v>0</v>
      </c>
      <c r="J94" s="89">
        <f t="shared" si="25"/>
        <v>0</v>
      </c>
      <c r="K94" s="89">
        <f t="shared" si="26"/>
        <v>0</v>
      </c>
      <c r="L94" s="89">
        <v>2E-05</v>
      </c>
      <c r="M94" s="89">
        <f t="shared" si="27"/>
        <v>4E-05</v>
      </c>
      <c r="N94" s="80" t="s">
        <v>630</v>
      </c>
      <c r="O94" s="82"/>
      <c r="Z94" s="59">
        <f t="shared" si="28"/>
        <v>0</v>
      </c>
      <c r="AB94" s="59">
        <f t="shared" si="29"/>
        <v>0</v>
      </c>
      <c r="AC94" s="59">
        <f t="shared" si="30"/>
        <v>0</v>
      </c>
      <c r="AD94" s="59">
        <f t="shared" si="31"/>
        <v>0</v>
      </c>
      <c r="AE94" s="59">
        <f t="shared" si="32"/>
        <v>0</v>
      </c>
      <c r="AF94" s="59">
        <f t="shared" si="33"/>
        <v>0</v>
      </c>
      <c r="AG94" s="59">
        <f t="shared" si="34"/>
        <v>0</v>
      </c>
      <c r="AH94" s="59">
        <f t="shared" si="35"/>
        <v>0</v>
      </c>
      <c r="AI94" s="53"/>
      <c r="AJ94" s="44">
        <f t="shared" si="36"/>
        <v>0</v>
      </c>
      <c r="AK94" s="44">
        <f t="shared" si="37"/>
        <v>0</v>
      </c>
      <c r="AL94" s="44">
        <f t="shared" si="38"/>
        <v>0</v>
      </c>
      <c r="AN94" s="59">
        <v>15</v>
      </c>
      <c r="AO94" s="59">
        <f>H94*0.0286063569682152</f>
        <v>0</v>
      </c>
      <c r="AP94" s="59">
        <f>H94*(1-0.0286063569682152)</f>
        <v>0</v>
      </c>
      <c r="AQ94" s="60" t="s">
        <v>80</v>
      </c>
      <c r="AV94" s="59">
        <f t="shared" si="39"/>
        <v>0</v>
      </c>
      <c r="AW94" s="59">
        <f t="shared" si="40"/>
        <v>0</v>
      </c>
      <c r="AX94" s="59">
        <f t="shared" si="41"/>
        <v>0</v>
      </c>
      <c r="AY94" s="62" t="s">
        <v>646</v>
      </c>
      <c r="AZ94" s="62" t="s">
        <v>665</v>
      </c>
      <c r="BA94" s="53" t="s">
        <v>670</v>
      </c>
      <c r="BC94" s="59">
        <f t="shared" si="42"/>
        <v>0</v>
      </c>
      <c r="BD94" s="59">
        <f t="shared" si="43"/>
        <v>0</v>
      </c>
      <c r="BE94" s="59">
        <v>0</v>
      </c>
      <c r="BF94" s="59">
        <f t="shared" si="44"/>
        <v>4E-05</v>
      </c>
      <c r="BH94" s="44">
        <f t="shared" si="45"/>
        <v>0</v>
      </c>
      <c r="BI94" s="44">
        <f t="shared" si="46"/>
        <v>0</v>
      </c>
      <c r="BJ94" s="44">
        <f t="shared" si="47"/>
        <v>0</v>
      </c>
      <c r="BK94" s="44" t="s">
        <v>675</v>
      </c>
      <c r="BL94" s="59">
        <v>722</v>
      </c>
    </row>
    <row r="95" spans="1:64" ht="12.75">
      <c r="A95" s="85" t="s">
        <v>114</v>
      </c>
      <c r="B95" s="85"/>
      <c r="C95" s="85" t="s">
        <v>262</v>
      </c>
      <c r="D95" s="185" t="s">
        <v>454</v>
      </c>
      <c r="E95" s="186"/>
      <c r="F95" s="85" t="s">
        <v>608</v>
      </c>
      <c r="G95" s="89">
        <v>13.9</v>
      </c>
      <c r="H95" s="102"/>
      <c r="I95" s="89">
        <f t="shared" si="24"/>
        <v>0</v>
      </c>
      <c r="J95" s="89">
        <f t="shared" si="25"/>
        <v>0</v>
      </c>
      <c r="K95" s="89">
        <f t="shared" si="26"/>
        <v>0</v>
      </c>
      <c r="L95" s="89">
        <v>0.0005</v>
      </c>
      <c r="M95" s="89">
        <f t="shared" si="27"/>
        <v>0.0069500000000000004</v>
      </c>
      <c r="N95" s="80" t="s">
        <v>630</v>
      </c>
      <c r="O95" s="82"/>
      <c r="Z95" s="59">
        <f t="shared" si="28"/>
        <v>0</v>
      </c>
      <c r="AB95" s="59">
        <f t="shared" si="29"/>
        <v>0</v>
      </c>
      <c r="AC95" s="59">
        <f t="shared" si="30"/>
        <v>0</v>
      </c>
      <c r="AD95" s="59">
        <f t="shared" si="31"/>
        <v>0</v>
      </c>
      <c r="AE95" s="59">
        <f t="shared" si="32"/>
        <v>0</v>
      </c>
      <c r="AF95" s="59">
        <f t="shared" si="33"/>
        <v>0</v>
      </c>
      <c r="AG95" s="59">
        <f t="shared" si="34"/>
        <v>0</v>
      </c>
      <c r="AH95" s="59">
        <f t="shared" si="35"/>
        <v>0</v>
      </c>
      <c r="AI95" s="53"/>
      <c r="AJ95" s="44">
        <f t="shared" si="36"/>
        <v>0</v>
      </c>
      <c r="AK95" s="44">
        <f t="shared" si="37"/>
        <v>0</v>
      </c>
      <c r="AL95" s="44">
        <f t="shared" si="38"/>
        <v>0</v>
      </c>
      <c r="AN95" s="59">
        <v>15</v>
      </c>
      <c r="AO95" s="59">
        <f>H95*0.352889816241</f>
        <v>0</v>
      </c>
      <c r="AP95" s="59">
        <f>H95*(1-0.352889816241)</f>
        <v>0</v>
      </c>
      <c r="AQ95" s="60" t="s">
        <v>80</v>
      </c>
      <c r="AV95" s="59">
        <f t="shared" si="39"/>
        <v>0</v>
      </c>
      <c r="AW95" s="59">
        <f t="shared" si="40"/>
        <v>0</v>
      </c>
      <c r="AX95" s="59">
        <f t="shared" si="41"/>
        <v>0</v>
      </c>
      <c r="AY95" s="62" t="s">
        <v>646</v>
      </c>
      <c r="AZ95" s="62" t="s">
        <v>665</v>
      </c>
      <c r="BA95" s="53" t="s">
        <v>670</v>
      </c>
      <c r="BC95" s="59">
        <f t="shared" si="42"/>
        <v>0</v>
      </c>
      <c r="BD95" s="59">
        <f t="shared" si="43"/>
        <v>0</v>
      </c>
      <c r="BE95" s="59">
        <v>0</v>
      </c>
      <c r="BF95" s="59">
        <f t="shared" si="44"/>
        <v>0.0069500000000000004</v>
      </c>
      <c r="BH95" s="44">
        <f t="shared" si="45"/>
        <v>0</v>
      </c>
      <c r="BI95" s="44">
        <f t="shared" si="46"/>
        <v>0</v>
      </c>
      <c r="BJ95" s="44">
        <f t="shared" si="47"/>
        <v>0</v>
      </c>
      <c r="BK95" s="44" t="s">
        <v>675</v>
      </c>
      <c r="BL95" s="59">
        <v>722</v>
      </c>
    </row>
    <row r="96" spans="1:64" ht="12.75">
      <c r="A96" s="85" t="s">
        <v>115</v>
      </c>
      <c r="B96" s="85"/>
      <c r="C96" s="85" t="s">
        <v>263</v>
      </c>
      <c r="D96" s="185" t="s">
        <v>455</v>
      </c>
      <c r="E96" s="186"/>
      <c r="F96" s="85" t="s">
        <v>609</v>
      </c>
      <c r="G96" s="89">
        <v>2</v>
      </c>
      <c r="H96" s="102"/>
      <c r="I96" s="89">
        <f t="shared" si="24"/>
        <v>0</v>
      </c>
      <c r="J96" s="89">
        <f t="shared" si="25"/>
        <v>0</v>
      </c>
      <c r="K96" s="89">
        <f t="shared" si="26"/>
        <v>0</v>
      </c>
      <c r="L96" s="89">
        <v>0.00063</v>
      </c>
      <c r="M96" s="89">
        <f t="shared" si="27"/>
        <v>0.00126</v>
      </c>
      <c r="N96" s="80" t="s">
        <v>630</v>
      </c>
      <c r="O96" s="82"/>
      <c r="Z96" s="59">
        <f t="shared" si="28"/>
        <v>0</v>
      </c>
      <c r="AB96" s="59">
        <f t="shared" si="29"/>
        <v>0</v>
      </c>
      <c r="AC96" s="59">
        <f t="shared" si="30"/>
        <v>0</v>
      </c>
      <c r="AD96" s="59">
        <f t="shared" si="31"/>
        <v>0</v>
      </c>
      <c r="AE96" s="59">
        <f t="shared" si="32"/>
        <v>0</v>
      </c>
      <c r="AF96" s="59">
        <f t="shared" si="33"/>
        <v>0</v>
      </c>
      <c r="AG96" s="59">
        <f t="shared" si="34"/>
        <v>0</v>
      </c>
      <c r="AH96" s="59">
        <f t="shared" si="35"/>
        <v>0</v>
      </c>
      <c r="AI96" s="53"/>
      <c r="AJ96" s="44">
        <f t="shared" si="36"/>
        <v>0</v>
      </c>
      <c r="AK96" s="44">
        <f t="shared" si="37"/>
        <v>0</v>
      </c>
      <c r="AL96" s="44">
        <f t="shared" si="38"/>
        <v>0</v>
      </c>
      <c r="AN96" s="59">
        <v>15</v>
      </c>
      <c r="AO96" s="59">
        <f>H96*0.493581780538302</f>
        <v>0</v>
      </c>
      <c r="AP96" s="59">
        <f>H96*(1-0.493581780538302)</f>
        <v>0</v>
      </c>
      <c r="AQ96" s="60" t="s">
        <v>80</v>
      </c>
      <c r="AV96" s="59">
        <f t="shared" si="39"/>
        <v>0</v>
      </c>
      <c r="AW96" s="59">
        <f t="shared" si="40"/>
        <v>0</v>
      </c>
      <c r="AX96" s="59">
        <f t="shared" si="41"/>
        <v>0</v>
      </c>
      <c r="AY96" s="62" t="s">
        <v>646</v>
      </c>
      <c r="AZ96" s="62" t="s">
        <v>665</v>
      </c>
      <c r="BA96" s="53" t="s">
        <v>670</v>
      </c>
      <c r="BC96" s="59">
        <f t="shared" si="42"/>
        <v>0</v>
      </c>
      <c r="BD96" s="59">
        <f t="shared" si="43"/>
        <v>0</v>
      </c>
      <c r="BE96" s="59">
        <v>0</v>
      </c>
      <c r="BF96" s="59">
        <f t="shared" si="44"/>
        <v>0.00126</v>
      </c>
      <c r="BH96" s="44">
        <f t="shared" si="45"/>
        <v>0</v>
      </c>
      <c r="BI96" s="44">
        <f t="shared" si="46"/>
        <v>0</v>
      </c>
      <c r="BJ96" s="44">
        <f t="shared" si="47"/>
        <v>0</v>
      </c>
      <c r="BK96" s="44" t="s">
        <v>675</v>
      </c>
      <c r="BL96" s="59">
        <v>722</v>
      </c>
    </row>
    <row r="97" spans="1:64" ht="12.75">
      <c r="A97" s="85" t="s">
        <v>116</v>
      </c>
      <c r="B97" s="85"/>
      <c r="C97" s="85" t="s">
        <v>264</v>
      </c>
      <c r="D97" s="185" t="s">
        <v>456</v>
      </c>
      <c r="E97" s="186"/>
      <c r="F97" s="85" t="s">
        <v>611</v>
      </c>
      <c r="G97" s="89">
        <v>3</v>
      </c>
      <c r="H97" s="102"/>
      <c r="I97" s="89">
        <f t="shared" si="24"/>
        <v>0</v>
      </c>
      <c r="J97" s="89">
        <f t="shared" si="25"/>
        <v>0</v>
      </c>
      <c r="K97" s="89">
        <f t="shared" si="26"/>
        <v>0</v>
      </c>
      <c r="L97" s="89">
        <v>0.00148</v>
      </c>
      <c r="M97" s="89">
        <f t="shared" si="27"/>
        <v>0.0044399999999999995</v>
      </c>
      <c r="N97" s="80" t="s">
        <v>630</v>
      </c>
      <c r="O97" s="82"/>
      <c r="Z97" s="59">
        <f t="shared" si="28"/>
        <v>0</v>
      </c>
      <c r="AB97" s="59">
        <f t="shared" si="29"/>
        <v>0</v>
      </c>
      <c r="AC97" s="59">
        <f t="shared" si="30"/>
        <v>0</v>
      </c>
      <c r="AD97" s="59">
        <f t="shared" si="31"/>
        <v>0</v>
      </c>
      <c r="AE97" s="59">
        <f t="shared" si="32"/>
        <v>0</v>
      </c>
      <c r="AF97" s="59">
        <f t="shared" si="33"/>
        <v>0</v>
      </c>
      <c r="AG97" s="59">
        <f t="shared" si="34"/>
        <v>0</v>
      </c>
      <c r="AH97" s="59">
        <f t="shared" si="35"/>
        <v>0</v>
      </c>
      <c r="AI97" s="53"/>
      <c r="AJ97" s="44">
        <f t="shared" si="36"/>
        <v>0</v>
      </c>
      <c r="AK97" s="44">
        <f t="shared" si="37"/>
        <v>0</v>
      </c>
      <c r="AL97" s="44">
        <f t="shared" si="38"/>
        <v>0</v>
      </c>
      <c r="AN97" s="59">
        <v>15</v>
      </c>
      <c r="AO97" s="59">
        <f>H97*0.500380666268853</f>
        <v>0</v>
      </c>
      <c r="AP97" s="59">
        <f>H97*(1-0.500380666268853)</f>
        <v>0</v>
      </c>
      <c r="AQ97" s="60" t="s">
        <v>80</v>
      </c>
      <c r="AV97" s="59">
        <f t="shared" si="39"/>
        <v>0</v>
      </c>
      <c r="AW97" s="59">
        <f t="shared" si="40"/>
        <v>0</v>
      </c>
      <c r="AX97" s="59">
        <f t="shared" si="41"/>
        <v>0</v>
      </c>
      <c r="AY97" s="62" t="s">
        <v>646</v>
      </c>
      <c r="AZ97" s="62" t="s">
        <v>665</v>
      </c>
      <c r="BA97" s="53" t="s">
        <v>670</v>
      </c>
      <c r="BC97" s="59">
        <f t="shared" si="42"/>
        <v>0</v>
      </c>
      <c r="BD97" s="59">
        <f t="shared" si="43"/>
        <v>0</v>
      </c>
      <c r="BE97" s="59">
        <v>0</v>
      </c>
      <c r="BF97" s="59">
        <f t="shared" si="44"/>
        <v>0.0044399999999999995</v>
      </c>
      <c r="BH97" s="44">
        <f t="shared" si="45"/>
        <v>0</v>
      </c>
      <c r="BI97" s="44">
        <f t="shared" si="46"/>
        <v>0</v>
      </c>
      <c r="BJ97" s="44">
        <f t="shared" si="47"/>
        <v>0</v>
      </c>
      <c r="BK97" s="44" t="s">
        <v>675</v>
      </c>
      <c r="BL97" s="59">
        <v>722</v>
      </c>
    </row>
    <row r="98" spans="1:64" ht="12.75">
      <c r="A98" s="85" t="s">
        <v>117</v>
      </c>
      <c r="B98" s="85"/>
      <c r="C98" s="85" t="s">
        <v>265</v>
      </c>
      <c r="D98" s="185" t="s">
        <v>457</v>
      </c>
      <c r="E98" s="186"/>
      <c r="F98" s="85" t="s">
        <v>608</v>
      </c>
      <c r="G98" s="89">
        <v>13.9</v>
      </c>
      <c r="H98" s="102"/>
      <c r="I98" s="89">
        <f t="shared" si="24"/>
        <v>0</v>
      </c>
      <c r="J98" s="89">
        <f t="shared" si="25"/>
        <v>0</v>
      </c>
      <c r="K98" s="89">
        <f t="shared" si="26"/>
        <v>0</v>
      </c>
      <c r="L98" s="89">
        <v>7E-05</v>
      </c>
      <c r="M98" s="89">
        <f t="shared" si="27"/>
        <v>0.0009729999999999999</v>
      </c>
      <c r="N98" s="80" t="s">
        <v>630</v>
      </c>
      <c r="O98" s="82"/>
      <c r="Z98" s="59">
        <f t="shared" si="28"/>
        <v>0</v>
      </c>
      <c r="AB98" s="59">
        <f t="shared" si="29"/>
        <v>0</v>
      </c>
      <c r="AC98" s="59">
        <f t="shared" si="30"/>
        <v>0</v>
      </c>
      <c r="AD98" s="59">
        <f t="shared" si="31"/>
        <v>0</v>
      </c>
      <c r="AE98" s="59">
        <f t="shared" si="32"/>
        <v>0</v>
      </c>
      <c r="AF98" s="59">
        <f t="shared" si="33"/>
        <v>0</v>
      </c>
      <c r="AG98" s="59">
        <f t="shared" si="34"/>
        <v>0</v>
      </c>
      <c r="AH98" s="59">
        <f t="shared" si="35"/>
        <v>0</v>
      </c>
      <c r="AI98" s="53"/>
      <c r="AJ98" s="44">
        <f t="shared" si="36"/>
        <v>0</v>
      </c>
      <c r="AK98" s="44">
        <f t="shared" si="37"/>
        <v>0</v>
      </c>
      <c r="AL98" s="44">
        <f t="shared" si="38"/>
        <v>0</v>
      </c>
      <c r="AN98" s="59">
        <v>15</v>
      </c>
      <c r="AO98" s="59">
        <f>H98*0.448558558558559</f>
        <v>0</v>
      </c>
      <c r="AP98" s="59">
        <f>H98*(1-0.448558558558559)</f>
        <v>0</v>
      </c>
      <c r="AQ98" s="60" t="s">
        <v>80</v>
      </c>
      <c r="AV98" s="59">
        <f t="shared" si="39"/>
        <v>0</v>
      </c>
      <c r="AW98" s="59">
        <f t="shared" si="40"/>
        <v>0</v>
      </c>
      <c r="AX98" s="59">
        <f t="shared" si="41"/>
        <v>0</v>
      </c>
      <c r="AY98" s="62" t="s">
        <v>646</v>
      </c>
      <c r="AZ98" s="62" t="s">
        <v>665</v>
      </c>
      <c r="BA98" s="53" t="s">
        <v>670</v>
      </c>
      <c r="BC98" s="59">
        <f t="shared" si="42"/>
        <v>0</v>
      </c>
      <c r="BD98" s="59">
        <f t="shared" si="43"/>
        <v>0</v>
      </c>
      <c r="BE98" s="59">
        <v>0</v>
      </c>
      <c r="BF98" s="59">
        <f t="shared" si="44"/>
        <v>0.0009729999999999999</v>
      </c>
      <c r="BH98" s="44">
        <f t="shared" si="45"/>
        <v>0</v>
      </c>
      <c r="BI98" s="44">
        <f t="shared" si="46"/>
        <v>0</v>
      </c>
      <c r="BJ98" s="44">
        <f t="shared" si="47"/>
        <v>0</v>
      </c>
      <c r="BK98" s="44" t="s">
        <v>675</v>
      </c>
      <c r="BL98" s="59">
        <v>722</v>
      </c>
    </row>
    <row r="99" spans="1:64" ht="12.75">
      <c r="A99" s="85" t="s">
        <v>118</v>
      </c>
      <c r="B99" s="85"/>
      <c r="C99" s="85" t="s">
        <v>266</v>
      </c>
      <c r="D99" s="185" t="s">
        <v>458</v>
      </c>
      <c r="E99" s="186"/>
      <c r="F99" s="85" t="s">
        <v>609</v>
      </c>
      <c r="G99" s="89">
        <v>5</v>
      </c>
      <c r="H99" s="102"/>
      <c r="I99" s="89">
        <f t="shared" si="24"/>
        <v>0</v>
      </c>
      <c r="J99" s="89">
        <f t="shared" si="25"/>
        <v>0</v>
      </c>
      <c r="K99" s="89">
        <f t="shared" si="26"/>
        <v>0</v>
      </c>
      <c r="L99" s="89">
        <v>0</v>
      </c>
      <c r="M99" s="89">
        <f t="shared" si="27"/>
        <v>0</v>
      </c>
      <c r="N99" s="80" t="s">
        <v>630</v>
      </c>
      <c r="O99" s="82"/>
      <c r="Z99" s="59">
        <f t="shared" si="28"/>
        <v>0</v>
      </c>
      <c r="AB99" s="59">
        <f t="shared" si="29"/>
        <v>0</v>
      </c>
      <c r="AC99" s="59">
        <f t="shared" si="30"/>
        <v>0</v>
      </c>
      <c r="AD99" s="59">
        <f t="shared" si="31"/>
        <v>0</v>
      </c>
      <c r="AE99" s="59">
        <f t="shared" si="32"/>
        <v>0</v>
      </c>
      <c r="AF99" s="59">
        <f t="shared" si="33"/>
        <v>0</v>
      </c>
      <c r="AG99" s="59">
        <f t="shared" si="34"/>
        <v>0</v>
      </c>
      <c r="AH99" s="59">
        <f t="shared" si="35"/>
        <v>0</v>
      </c>
      <c r="AI99" s="53"/>
      <c r="AJ99" s="44">
        <f t="shared" si="36"/>
        <v>0</v>
      </c>
      <c r="AK99" s="44">
        <f t="shared" si="37"/>
        <v>0</v>
      </c>
      <c r="AL99" s="44">
        <f t="shared" si="38"/>
        <v>0</v>
      </c>
      <c r="AN99" s="59">
        <v>15</v>
      </c>
      <c r="AO99" s="59">
        <f>H99*0</f>
        <v>0</v>
      </c>
      <c r="AP99" s="59">
        <f>H99*(1-0)</f>
        <v>0</v>
      </c>
      <c r="AQ99" s="60" t="s">
        <v>80</v>
      </c>
      <c r="AV99" s="59">
        <f t="shared" si="39"/>
        <v>0</v>
      </c>
      <c r="AW99" s="59">
        <f t="shared" si="40"/>
        <v>0</v>
      </c>
      <c r="AX99" s="59">
        <f t="shared" si="41"/>
        <v>0</v>
      </c>
      <c r="AY99" s="62" t="s">
        <v>646</v>
      </c>
      <c r="AZ99" s="62" t="s">
        <v>665</v>
      </c>
      <c r="BA99" s="53" t="s">
        <v>670</v>
      </c>
      <c r="BC99" s="59">
        <f t="shared" si="42"/>
        <v>0</v>
      </c>
      <c r="BD99" s="59">
        <f t="shared" si="43"/>
        <v>0</v>
      </c>
      <c r="BE99" s="59">
        <v>0</v>
      </c>
      <c r="BF99" s="59">
        <f t="shared" si="44"/>
        <v>0</v>
      </c>
      <c r="BH99" s="44">
        <f t="shared" si="45"/>
        <v>0</v>
      </c>
      <c r="BI99" s="44">
        <f t="shared" si="46"/>
        <v>0</v>
      </c>
      <c r="BJ99" s="44">
        <f t="shared" si="47"/>
        <v>0</v>
      </c>
      <c r="BK99" s="44" t="s">
        <v>675</v>
      </c>
      <c r="BL99" s="59">
        <v>722</v>
      </c>
    </row>
    <row r="100" spans="1:64" ht="12.75">
      <c r="A100" s="85" t="s">
        <v>119</v>
      </c>
      <c r="B100" s="85"/>
      <c r="C100" s="85" t="s">
        <v>267</v>
      </c>
      <c r="D100" s="185" t="s">
        <v>459</v>
      </c>
      <c r="E100" s="186"/>
      <c r="F100" s="85" t="s">
        <v>608</v>
      </c>
      <c r="G100" s="89">
        <v>13.9</v>
      </c>
      <c r="H100" s="102"/>
      <c r="I100" s="89">
        <f t="shared" si="24"/>
        <v>0</v>
      </c>
      <c r="J100" s="89">
        <f t="shared" si="25"/>
        <v>0</v>
      </c>
      <c r="K100" s="89">
        <f t="shared" si="26"/>
        <v>0</v>
      </c>
      <c r="L100" s="89">
        <v>1E-05</v>
      </c>
      <c r="M100" s="89">
        <f t="shared" si="27"/>
        <v>0.00013900000000000002</v>
      </c>
      <c r="N100" s="80" t="s">
        <v>630</v>
      </c>
      <c r="O100" s="82"/>
      <c r="Z100" s="59">
        <f t="shared" si="28"/>
        <v>0</v>
      </c>
      <c r="AB100" s="59">
        <f t="shared" si="29"/>
        <v>0</v>
      </c>
      <c r="AC100" s="59">
        <f t="shared" si="30"/>
        <v>0</v>
      </c>
      <c r="AD100" s="59">
        <f t="shared" si="31"/>
        <v>0</v>
      </c>
      <c r="AE100" s="59">
        <f t="shared" si="32"/>
        <v>0</v>
      </c>
      <c r="AF100" s="59">
        <f t="shared" si="33"/>
        <v>0</v>
      </c>
      <c r="AG100" s="59">
        <f t="shared" si="34"/>
        <v>0</v>
      </c>
      <c r="AH100" s="59">
        <f t="shared" si="35"/>
        <v>0</v>
      </c>
      <c r="AI100" s="53"/>
      <c r="AJ100" s="44">
        <f t="shared" si="36"/>
        <v>0</v>
      </c>
      <c r="AK100" s="44">
        <f t="shared" si="37"/>
        <v>0</v>
      </c>
      <c r="AL100" s="44">
        <f t="shared" si="38"/>
        <v>0</v>
      </c>
      <c r="AN100" s="59">
        <v>15</v>
      </c>
      <c r="AO100" s="59">
        <f>H100*0.0501623962468423</f>
        <v>0</v>
      </c>
      <c r="AP100" s="59">
        <f>H100*(1-0.0501623962468423)</f>
        <v>0</v>
      </c>
      <c r="AQ100" s="60" t="s">
        <v>80</v>
      </c>
      <c r="AV100" s="59">
        <f t="shared" si="39"/>
        <v>0</v>
      </c>
      <c r="AW100" s="59">
        <f t="shared" si="40"/>
        <v>0</v>
      </c>
      <c r="AX100" s="59">
        <f t="shared" si="41"/>
        <v>0</v>
      </c>
      <c r="AY100" s="62" t="s">
        <v>646</v>
      </c>
      <c r="AZ100" s="62" t="s">
        <v>665</v>
      </c>
      <c r="BA100" s="53" t="s">
        <v>670</v>
      </c>
      <c r="BC100" s="59">
        <f t="shared" si="42"/>
        <v>0</v>
      </c>
      <c r="BD100" s="59">
        <f t="shared" si="43"/>
        <v>0</v>
      </c>
      <c r="BE100" s="59">
        <v>0</v>
      </c>
      <c r="BF100" s="59">
        <f t="shared" si="44"/>
        <v>0.00013900000000000002</v>
      </c>
      <c r="BH100" s="44">
        <f t="shared" si="45"/>
        <v>0</v>
      </c>
      <c r="BI100" s="44">
        <f t="shared" si="46"/>
        <v>0</v>
      </c>
      <c r="BJ100" s="44">
        <f t="shared" si="47"/>
        <v>0</v>
      </c>
      <c r="BK100" s="44" t="s">
        <v>675</v>
      </c>
      <c r="BL100" s="59">
        <v>722</v>
      </c>
    </row>
    <row r="101" spans="1:64" ht="12.75">
      <c r="A101" s="85" t="s">
        <v>120</v>
      </c>
      <c r="B101" s="85"/>
      <c r="C101" s="85" t="s">
        <v>268</v>
      </c>
      <c r="D101" s="185" t="s">
        <v>460</v>
      </c>
      <c r="E101" s="186"/>
      <c r="F101" s="85" t="s">
        <v>608</v>
      </c>
      <c r="G101" s="89">
        <v>13.9</v>
      </c>
      <c r="H101" s="102"/>
      <c r="I101" s="89">
        <f t="shared" si="24"/>
        <v>0</v>
      </c>
      <c r="J101" s="89">
        <f t="shared" si="25"/>
        <v>0</v>
      </c>
      <c r="K101" s="89">
        <f t="shared" si="26"/>
        <v>0</v>
      </c>
      <c r="L101" s="89">
        <v>0</v>
      </c>
      <c r="M101" s="89">
        <f t="shared" si="27"/>
        <v>0</v>
      </c>
      <c r="N101" s="80" t="s">
        <v>630</v>
      </c>
      <c r="O101" s="82"/>
      <c r="Z101" s="59">
        <f t="shared" si="28"/>
        <v>0</v>
      </c>
      <c r="AB101" s="59">
        <f t="shared" si="29"/>
        <v>0</v>
      </c>
      <c r="AC101" s="59">
        <f t="shared" si="30"/>
        <v>0</v>
      </c>
      <c r="AD101" s="59">
        <f t="shared" si="31"/>
        <v>0</v>
      </c>
      <c r="AE101" s="59">
        <f t="shared" si="32"/>
        <v>0</v>
      </c>
      <c r="AF101" s="59">
        <f t="shared" si="33"/>
        <v>0</v>
      </c>
      <c r="AG101" s="59">
        <f t="shared" si="34"/>
        <v>0</v>
      </c>
      <c r="AH101" s="59">
        <f t="shared" si="35"/>
        <v>0</v>
      </c>
      <c r="AI101" s="53"/>
      <c r="AJ101" s="44">
        <f t="shared" si="36"/>
        <v>0</v>
      </c>
      <c r="AK101" s="44">
        <f t="shared" si="37"/>
        <v>0</v>
      </c>
      <c r="AL101" s="44">
        <f t="shared" si="38"/>
        <v>0</v>
      </c>
      <c r="AN101" s="59">
        <v>15</v>
      </c>
      <c r="AO101" s="59">
        <f>H101*0.0137254901960784</f>
        <v>0</v>
      </c>
      <c r="AP101" s="59">
        <f>H101*(1-0.0137254901960784)</f>
        <v>0</v>
      </c>
      <c r="AQ101" s="60" t="s">
        <v>80</v>
      </c>
      <c r="AV101" s="59">
        <f t="shared" si="39"/>
        <v>0</v>
      </c>
      <c r="AW101" s="59">
        <f t="shared" si="40"/>
        <v>0</v>
      </c>
      <c r="AX101" s="59">
        <f t="shared" si="41"/>
        <v>0</v>
      </c>
      <c r="AY101" s="62" t="s">
        <v>646</v>
      </c>
      <c r="AZ101" s="62" t="s">
        <v>665</v>
      </c>
      <c r="BA101" s="53" t="s">
        <v>670</v>
      </c>
      <c r="BC101" s="59">
        <f t="shared" si="42"/>
        <v>0</v>
      </c>
      <c r="BD101" s="59">
        <f t="shared" si="43"/>
        <v>0</v>
      </c>
      <c r="BE101" s="59">
        <v>0</v>
      </c>
      <c r="BF101" s="59">
        <f t="shared" si="44"/>
        <v>0</v>
      </c>
      <c r="BH101" s="44">
        <f t="shared" si="45"/>
        <v>0</v>
      </c>
      <c r="BI101" s="44">
        <f t="shared" si="46"/>
        <v>0</v>
      </c>
      <c r="BJ101" s="44">
        <f t="shared" si="47"/>
        <v>0</v>
      </c>
      <c r="BK101" s="44" t="s">
        <v>675</v>
      </c>
      <c r="BL101" s="59">
        <v>722</v>
      </c>
    </row>
    <row r="102" spans="1:64" ht="12.75">
      <c r="A102" s="85" t="s">
        <v>121</v>
      </c>
      <c r="B102" s="85"/>
      <c r="C102" s="85" t="s">
        <v>269</v>
      </c>
      <c r="D102" s="185" t="s">
        <v>461</v>
      </c>
      <c r="E102" s="186"/>
      <c r="F102" s="85" t="s">
        <v>610</v>
      </c>
      <c r="G102" s="89">
        <v>0.037</v>
      </c>
      <c r="H102" s="102"/>
      <c r="I102" s="89">
        <f t="shared" si="24"/>
        <v>0</v>
      </c>
      <c r="J102" s="89">
        <f t="shared" si="25"/>
        <v>0</v>
      </c>
      <c r="K102" s="89">
        <f t="shared" si="26"/>
        <v>0</v>
      </c>
      <c r="L102" s="89">
        <v>0</v>
      </c>
      <c r="M102" s="89">
        <f t="shared" si="27"/>
        <v>0</v>
      </c>
      <c r="N102" s="80" t="s">
        <v>630</v>
      </c>
      <c r="O102" s="82"/>
      <c r="Z102" s="59">
        <f t="shared" si="28"/>
        <v>0</v>
      </c>
      <c r="AB102" s="59">
        <f t="shared" si="29"/>
        <v>0</v>
      </c>
      <c r="AC102" s="59">
        <f t="shared" si="30"/>
        <v>0</v>
      </c>
      <c r="AD102" s="59">
        <f t="shared" si="31"/>
        <v>0</v>
      </c>
      <c r="AE102" s="59">
        <f t="shared" si="32"/>
        <v>0</v>
      </c>
      <c r="AF102" s="59">
        <f t="shared" si="33"/>
        <v>0</v>
      </c>
      <c r="AG102" s="59">
        <f t="shared" si="34"/>
        <v>0</v>
      </c>
      <c r="AH102" s="59">
        <f t="shared" si="35"/>
        <v>0</v>
      </c>
      <c r="AI102" s="53"/>
      <c r="AJ102" s="44">
        <f t="shared" si="36"/>
        <v>0</v>
      </c>
      <c r="AK102" s="44">
        <f t="shared" si="37"/>
        <v>0</v>
      </c>
      <c r="AL102" s="44">
        <f t="shared" si="38"/>
        <v>0</v>
      </c>
      <c r="AN102" s="59">
        <v>15</v>
      </c>
      <c r="AO102" s="59">
        <f>H102*0</f>
        <v>0</v>
      </c>
      <c r="AP102" s="59">
        <f>H102*(1-0)</f>
        <v>0</v>
      </c>
      <c r="AQ102" s="60" t="s">
        <v>78</v>
      </c>
      <c r="AV102" s="59">
        <f t="shared" si="39"/>
        <v>0</v>
      </c>
      <c r="AW102" s="59">
        <f t="shared" si="40"/>
        <v>0</v>
      </c>
      <c r="AX102" s="59">
        <f t="shared" si="41"/>
        <v>0</v>
      </c>
      <c r="AY102" s="62" t="s">
        <v>646</v>
      </c>
      <c r="AZ102" s="62" t="s">
        <v>665</v>
      </c>
      <c r="BA102" s="53" t="s">
        <v>670</v>
      </c>
      <c r="BC102" s="59">
        <f t="shared" si="42"/>
        <v>0</v>
      </c>
      <c r="BD102" s="59">
        <f t="shared" si="43"/>
        <v>0</v>
      </c>
      <c r="BE102" s="59">
        <v>0</v>
      </c>
      <c r="BF102" s="59">
        <f t="shared" si="44"/>
        <v>0</v>
      </c>
      <c r="BH102" s="44">
        <f t="shared" si="45"/>
        <v>0</v>
      </c>
      <c r="BI102" s="44">
        <f t="shared" si="46"/>
        <v>0</v>
      </c>
      <c r="BJ102" s="44">
        <f t="shared" si="47"/>
        <v>0</v>
      </c>
      <c r="BK102" s="44" t="s">
        <v>675</v>
      </c>
      <c r="BL102" s="59">
        <v>722</v>
      </c>
    </row>
    <row r="103" spans="1:47" ht="12.75">
      <c r="A103" s="96"/>
      <c r="B103" s="97"/>
      <c r="C103" s="97" t="s">
        <v>270</v>
      </c>
      <c r="D103" s="189" t="s">
        <v>462</v>
      </c>
      <c r="E103" s="190"/>
      <c r="F103" s="96" t="s">
        <v>73</v>
      </c>
      <c r="G103" s="96" t="s">
        <v>73</v>
      </c>
      <c r="H103" s="96" t="s">
        <v>73</v>
      </c>
      <c r="I103" s="98">
        <f>SUM(I104:I133)</f>
        <v>0</v>
      </c>
      <c r="J103" s="98">
        <f>SUM(J104:J133)</f>
        <v>0</v>
      </c>
      <c r="K103" s="98">
        <f>SUM(K104:K133)</f>
        <v>0</v>
      </c>
      <c r="L103" s="99"/>
      <c r="M103" s="98">
        <f>SUM(M104:M133)</f>
        <v>0.18020000000000003</v>
      </c>
      <c r="N103" s="95"/>
      <c r="O103" s="82"/>
      <c r="AI103" s="53"/>
      <c r="AS103" s="65">
        <f>SUM(AJ104:AJ133)</f>
        <v>0</v>
      </c>
      <c r="AT103" s="65">
        <f>SUM(AK104:AK133)</f>
        <v>0</v>
      </c>
      <c r="AU103" s="65">
        <f>SUM(AL104:AL133)</f>
        <v>0</v>
      </c>
    </row>
    <row r="104" spans="1:64" ht="12.75">
      <c r="A104" s="85" t="s">
        <v>122</v>
      </c>
      <c r="B104" s="85"/>
      <c r="C104" s="85" t="s">
        <v>271</v>
      </c>
      <c r="D104" s="185" t="s">
        <v>463</v>
      </c>
      <c r="E104" s="186"/>
      <c r="F104" s="85" t="s">
        <v>612</v>
      </c>
      <c r="G104" s="89">
        <v>1</v>
      </c>
      <c r="H104" s="102"/>
      <c r="I104" s="89">
        <f aca="true" t="shared" si="48" ref="I104:I111">G104*AO104</f>
        <v>0</v>
      </c>
      <c r="J104" s="89">
        <f aca="true" t="shared" si="49" ref="J104:J111">G104*AP104</f>
        <v>0</v>
      </c>
      <c r="K104" s="89">
        <f aca="true" t="shared" si="50" ref="K104:K111">G104*H104</f>
        <v>0</v>
      </c>
      <c r="L104" s="89">
        <v>0.01933</v>
      </c>
      <c r="M104" s="89">
        <f aca="true" t="shared" si="51" ref="M104:M111">G104*L104</f>
        <v>0.01933</v>
      </c>
      <c r="N104" s="80" t="s">
        <v>630</v>
      </c>
      <c r="O104" s="82"/>
      <c r="Z104" s="59">
        <f aca="true" t="shared" si="52" ref="Z104:Z111">IF(AQ104="5",BJ104,0)</f>
        <v>0</v>
      </c>
      <c r="AB104" s="59">
        <f aca="true" t="shared" si="53" ref="AB104:AB111">IF(AQ104="1",BH104,0)</f>
        <v>0</v>
      </c>
      <c r="AC104" s="59">
        <f aca="true" t="shared" si="54" ref="AC104:AC111">IF(AQ104="1",BI104,0)</f>
        <v>0</v>
      </c>
      <c r="AD104" s="59">
        <f aca="true" t="shared" si="55" ref="AD104:AD111">IF(AQ104="7",BH104,0)</f>
        <v>0</v>
      </c>
      <c r="AE104" s="59">
        <f aca="true" t="shared" si="56" ref="AE104:AE111">IF(AQ104="7",BI104,0)</f>
        <v>0</v>
      </c>
      <c r="AF104" s="59">
        <f aca="true" t="shared" si="57" ref="AF104:AF111">IF(AQ104="2",BH104,0)</f>
        <v>0</v>
      </c>
      <c r="AG104" s="59">
        <f aca="true" t="shared" si="58" ref="AG104:AG111">IF(AQ104="2",BI104,0)</f>
        <v>0</v>
      </c>
      <c r="AH104" s="59">
        <f aca="true" t="shared" si="59" ref="AH104:AH111">IF(AQ104="0",BJ104,0)</f>
        <v>0</v>
      </c>
      <c r="AI104" s="53"/>
      <c r="AJ104" s="44">
        <f aca="true" t="shared" si="60" ref="AJ104:AJ111">IF(AN104=0,K104,0)</f>
        <v>0</v>
      </c>
      <c r="AK104" s="44">
        <f aca="true" t="shared" si="61" ref="AK104:AK111">IF(AN104=15,K104,0)</f>
        <v>0</v>
      </c>
      <c r="AL104" s="44">
        <f aca="true" t="shared" si="62" ref="AL104:AL111">IF(AN104=21,K104,0)</f>
        <v>0</v>
      </c>
      <c r="AN104" s="59">
        <v>15</v>
      </c>
      <c r="AO104" s="59">
        <f aca="true" t="shared" si="63" ref="AO104:AO111">H104*0</f>
        <v>0</v>
      </c>
      <c r="AP104" s="59">
        <f aca="true" t="shared" si="64" ref="AP104:AP111">H104*(1-0)</f>
        <v>0</v>
      </c>
      <c r="AQ104" s="60" t="s">
        <v>80</v>
      </c>
      <c r="AV104" s="59">
        <f aca="true" t="shared" si="65" ref="AV104:AV111">AW104+AX104</f>
        <v>0</v>
      </c>
      <c r="AW104" s="59">
        <f aca="true" t="shared" si="66" ref="AW104:AW111">G104*AO104</f>
        <v>0</v>
      </c>
      <c r="AX104" s="59">
        <f aca="true" t="shared" si="67" ref="AX104:AX111">G104*AP104</f>
        <v>0</v>
      </c>
      <c r="AY104" s="62" t="s">
        <v>647</v>
      </c>
      <c r="AZ104" s="62" t="s">
        <v>665</v>
      </c>
      <c r="BA104" s="53" t="s">
        <v>670</v>
      </c>
      <c r="BC104" s="59">
        <f aca="true" t="shared" si="68" ref="BC104:BC111">AW104+AX104</f>
        <v>0</v>
      </c>
      <c r="BD104" s="59">
        <f aca="true" t="shared" si="69" ref="BD104:BD111">H104/(100-BE104)*100</f>
        <v>0</v>
      </c>
      <c r="BE104" s="59">
        <v>0</v>
      </c>
      <c r="BF104" s="59">
        <f aca="true" t="shared" si="70" ref="BF104:BF111">M104</f>
        <v>0.01933</v>
      </c>
      <c r="BH104" s="44">
        <f aca="true" t="shared" si="71" ref="BH104:BH111">G104*AO104</f>
        <v>0</v>
      </c>
      <c r="BI104" s="44">
        <f aca="true" t="shared" si="72" ref="BI104:BI111">G104*AP104</f>
        <v>0</v>
      </c>
      <c r="BJ104" s="44">
        <f aca="true" t="shared" si="73" ref="BJ104:BJ111">G104*H104</f>
        <v>0</v>
      </c>
      <c r="BK104" s="44" t="s">
        <v>675</v>
      </c>
      <c r="BL104" s="59">
        <v>725</v>
      </c>
    </row>
    <row r="105" spans="1:64" ht="12.75">
      <c r="A105" s="85" t="s">
        <v>123</v>
      </c>
      <c r="B105" s="85"/>
      <c r="C105" s="85" t="s">
        <v>272</v>
      </c>
      <c r="D105" s="185" t="s">
        <v>464</v>
      </c>
      <c r="E105" s="186"/>
      <c r="F105" s="85" t="s">
        <v>612</v>
      </c>
      <c r="G105" s="89">
        <v>1</v>
      </c>
      <c r="H105" s="102"/>
      <c r="I105" s="89">
        <f t="shared" si="48"/>
        <v>0</v>
      </c>
      <c r="J105" s="89">
        <f t="shared" si="49"/>
        <v>0</v>
      </c>
      <c r="K105" s="89">
        <f t="shared" si="50"/>
        <v>0</v>
      </c>
      <c r="L105" s="89">
        <v>0.01946</v>
      </c>
      <c r="M105" s="89">
        <f t="shared" si="51"/>
        <v>0.01946</v>
      </c>
      <c r="N105" s="80" t="s">
        <v>630</v>
      </c>
      <c r="O105" s="82"/>
      <c r="Z105" s="59">
        <f t="shared" si="52"/>
        <v>0</v>
      </c>
      <c r="AB105" s="59">
        <f t="shared" si="53"/>
        <v>0</v>
      </c>
      <c r="AC105" s="59">
        <f t="shared" si="54"/>
        <v>0</v>
      </c>
      <c r="AD105" s="59">
        <f t="shared" si="55"/>
        <v>0</v>
      </c>
      <c r="AE105" s="59">
        <f t="shared" si="56"/>
        <v>0</v>
      </c>
      <c r="AF105" s="59">
        <f t="shared" si="57"/>
        <v>0</v>
      </c>
      <c r="AG105" s="59">
        <f t="shared" si="58"/>
        <v>0</v>
      </c>
      <c r="AH105" s="59">
        <f t="shared" si="59"/>
        <v>0</v>
      </c>
      <c r="AI105" s="53"/>
      <c r="AJ105" s="44">
        <f t="shared" si="60"/>
        <v>0</v>
      </c>
      <c r="AK105" s="44">
        <f t="shared" si="61"/>
        <v>0</v>
      </c>
      <c r="AL105" s="44">
        <f t="shared" si="62"/>
        <v>0</v>
      </c>
      <c r="AN105" s="59">
        <v>15</v>
      </c>
      <c r="AO105" s="59">
        <f t="shared" si="63"/>
        <v>0</v>
      </c>
      <c r="AP105" s="59">
        <f t="shared" si="64"/>
        <v>0</v>
      </c>
      <c r="AQ105" s="60" t="s">
        <v>80</v>
      </c>
      <c r="AV105" s="59">
        <f t="shared" si="65"/>
        <v>0</v>
      </c>
      <c r="AW105" s="59">
        <f t="shared" si="66"/>
        <v>0</v>
      </c>
      <c r="AX105" s="59">
        <f t="shared" si="67"/>
        <v>0</v>
      </c>
      <c r="AY105" s="62" t="s">
        <v>647</v>
      </c>
      <c r="AZ105" s="62" t="s">
        <v>665</v>
      </c>
      <c r="BA105" s="53" t="s">
        <v>670</v>
      </c>
      <c r="BC105" s="59">
        <f t="shared" si="68"/>
        <v>0</v>
      </c>
      <c r="BD105" s="59">
        <f t="shared" si="69"/>
        <v>0</v>
      </c>
      <c r="BE105" s="59">
        <v>0</v>
      </c>
      <c r="BF105" s="59">
        <f t="shared" si="70"/>
        <v>0.01946</v>
      </c>
      <c r="BH105" s="44">
        <f t="shared" si="71"/>
        <v>0</v>
      </c>
      <c r="BI105" s="44">
        <f t="shared" si="72"/>
        <v>0</v>
      </c>
      <c r="BJ105" s="44">
        <f t="shared" si="73"/>
        <v>0</v>
      </c>
      <c r="BK105" s="44" t="s">
        <v>675</v>
      </c>
      <c r="BL105" s="59">
        <v>725</v>
      </c>
    </row>
    <row r="106" spans="1:64" ht="12.75">
      <c r="A106" s="85" t="s">
        <v>124</v>
      </c>
      <c r="B106" s="85"/>
      <c r="C106" s="85" t="s">
        <v>273</v>
      </c>
      <c r="D106" s="185" t="s">
        <v>465</v>
      </c>
      <c r="E106" s="186"/>
      <c r="F106" s="85" t="s">
        <v>609</v>
      </c>
      <c r="G106" s="89">
        <v>1</v>
      </c>
      <c r="H106" s="102"/>
      <c r="I106" s="89">
        <f t="shared" si="48"/>
        <v>0</v>
      </c>
      <c r="J106" s="89">
        <f t="shared" si="49"/>
        <v>0</v>
      </c>
      <c r="K106" s="89">
        <f t="shared" si="50"/>
        <v>0</v>
      </c>
      <c r="L106" s="89">
        <v>0.00225</v>
      </c>
      <c r="M106" s="89">
        <f t="shared" si="51"/>
        <v>0.00225</v>
      </c>
      <c r="N106" s="80" t="s">
        <v>630</v>
      </c>
      <c r="O106" s="82"/>
      <c r="Z106" s="59">
        <f t="shared" si="52"/>
        <v>0</v>
      </c>
      <c r="AB106" s="59">
        <f t="shared" si="53"/>
        <v>0</v>
      </c>
      <c r="AC106" s="59">
        <f t="shared" si="54"/>
        <v>0</v>
      </c>
      <c r="AD106" s="59">
        <f t="shared" si="55"/>
        <v>0</v>
      </c>
      <c r="AE106" s="59">
        <f t="shared" si="56"/>
        <v>0</v>
      </c>
      <c r="AF106" s="59">
        <f t="shared" si="57"/>
        <v>0</v>
      </c>
      <c r="AG106" s="59">
        <f t="shared" si="58"/>
        <v>0</v>
      </c>
      <c r="AH106" s="59">
        <f t="shared" si="59"/>
        <v>0</v>
      </c>
      <c r="AI106" s="53"/>
      <c r="AJ106" s="44">
        <f t="shared" si="60"/>
        <v>0</v>
      </c>
      <c r="AK106" s="44">
        <f t="shared" si="61"/>
        <v>0</v>
      </c>
      <c r="AL106" s="44">
        <f t="shared" si="62"/>
        <v>0</v>
      </c>
      <c r="AN106" s="59">
        <v>15</v>
      </c>
      <c r="AO106" s="59">
        <f t="shared" si="63"/>
        <v>0</v>
      </c>
      <c r="AP106" s="59">
        <f t="shared" si="64"/>
        <v>0</v>
      </c>
      <c r="AQ106" s="60" t="s">
        <v>80</v>
      </c>
      <c r="AV106" s="59">
        <f t="shared" si="65"/>
        <v>0</v>
      </c>
      <c r="AW106" s="59">
        <f t="shared" si="66"/>
        <v>0</v>
      </c>
      <c r="AX106" s="59">
        <f t="shared" si="67"/>
        <v>0</v>
      </c>
      <c r="AY106" s="62" t="s">
        <v>647</v>
      </c>
      <c r="AZ106" s="62" t="s">
        <v>665</v>
      </c>
      <c r="BA106" s="53" t="s">
        <v>670</v>
      </c>
      <c r="BC106" s="59">
        <f t="shared" si="68"/>
        <v>0</v>
      </c>
      <c r="BD106" s="59">
        <f t="shared" si="69"/>
        <v>0</v>
      </c>
      <c r="BE106" s="59">
        <v>0</v>
      </c>
      <c r="BF106" s="59">
        <f t="shared" si="70"/>
        <v>0.00225</v>
      </c>
      <c r="BH106" s="44">
        <f t="shared" si="71"/>
        <v>0</v>
      </c>
      <c r="BI106" s="44">
        <f t="shared" si="72"/>
        <v>0</v>
      </c>
      <c r="BJ106" s="44">
        <f t="shared" si="73"/>
        <v>0</v>
      </c>
      <c r="BK106" s="44" t="s">
        <v>675</v>
      </c>
      <c r="BL106" s="59">
        <v>725</v>
      </c>
    </row>
    <row r="107" spans="1:64" ht="12.75">
      <c r="A107" s="85" t="s">
        <v>125</v>
      </c>
      <c r="B107" s="85"/>
      <c r="C107" s="85" t="s">
        <v>274</v>
      </c>
      <c r="D107" s="185" t="s">
        <v>466</v>
      </c>
      <c r="E107" s="186"/>
      <c r="F107" s="85" t="s">
        <v>612</v>
      </c>
      <c r="G107" s="89">
        <v>1</v>
      </c>
      <c r="H107" s="102"/>
      <c r="I107" s="89">
        <f t="shared" si="48"/>
        <v>0</v>
      </c>
      <c r="J107" s="89">
        <f t="shared" si="49"/>
        <v>0</v>
      </c>
      <c r="K107" s="89">
        <f t="shared" si="50"/>
        <v>0</v>
      </c>
      <c r="L107" s="89">
        <v>0.00086</v>
      </c>
      <c r="M107" s="89">
        <f t="shared" si="51"/>
        <v>0.00086</v>
      </c>
      <c r="N107" s="80" t="s">
        <v>630</v>
      </c>
      <c r="O107" s="82"/>
      <c r="Z107" s="59">
        <f t="shared" si="52"/>
        <v>0</v>
      </c>
      <c r="AB107" s="59">
        <f t="shared" si="53"/>
        <v>0</v>
      </c>
      <c r="AC107" s="59">
        <f t="shared" si="54"/>
        <v>0</v>
      </c>
      <c r="AD107" s="59">
        <f t="shared" si="55"/>
        <v>0</v>
      </c>
      <c r="AE107" s="59">
        <f t="shared" si="56"/>
        <v>0</v>
      </c>
      <c r="AF107" s="59">
        <f t="shared" si="57"/>
        <v>0</v>
      </c>
      <c r="AG107" s="59">
        <f t="shared" si="58"/>
        <v>0</v>
      </c>
      <c r="AH107" s="59">
        <f t="shared" si="59"/>
        <v>0</v>
      </c>
      <c r="AI107" s="53"/>
      <c r="AJ107" s="44">
        <f t="shared" si="60"/>
        <v>0</v>
      </c>
      <c r="AK107" s="44">
        <f t="shared" si="61"/>
        <v>0</v>
      </c>
      <c r="AL107" s="44">
        <f t="shared" si="62"/>
        <v>0</v>
      </c>
      <c r="AN107" s="59">
        <v>15</v>
      </c>
      <c r="AO107" s="59">
        <f t="shared" si="63"/>
        <v>0</v>
      </c>
      <c r="AP107" s="59">
        <f t="shared" si="64"/>
        <v>0</v>
      </c>
      <c r="AQ107" s="60" t="s">
        <v>80</v>
      </c>
      <c r="AV107" s="59">
        <f t="shared" si="65"/>
        <v>0</v>
      </c>
      <c r="AW107" s="59">
        <f t="shared" si="66"/>
        <v>0</v>
      </c>
      <c r="AX107" s="59">
        <f t="shared" si="67"/>
        <v>0</v>
      </c>
      <c r="AY107" s="62" t="s">
        <v>647</v>
      </c>
      <c r="AZ107" s="62" t="s">
        <v>665</v>
      </c>
      <c r="BA107" s="53" t="s">
        <v>670</v>
      </c>
      <c r="BC107" s="59">
        <f t="shared" si="68"/>
        <v>0</v>
      </c>
      <c r="BD107" s="59">
        <f t="shared" si="69"/>
        <v>0</v>
      </c>
      <c r="BE107" s="59">
        <v>0</v>
      </c>
      <c r="BF107" s="59">
        <f t="shared" si="70"/>
        <v>0.00086</v>
      </c>
      <c r="BH107" s="44">
        <f t="shared" si="71"/>
        <v>0</v>
      </c>
      <c r="BI107" s="44">
        <f t="shared" si="72"/>
        <v>0</v>
      </c>
      <c r="BJ107" s="44">
        <f t="shared" si="73"/>
        <v>0</v>
      </c>
      <c r="BK107" s="44" t="s">
        <v>675</v>
      </c>
      <c r="BL107" s="59">
        <v>725</v>
      </c>
    </row>
    <row r="108" spans="1:64" ht="12.75">
      <c r="A108" s="85" t="s">
        <v>126</v>
      </c>
      <c r="B108" s="85"/>
      <c r="C108" s="85" t="s">
        <v>275</v>
      </c>
      <c r="D108" s="185" t="s">
        <v>467</v>
      </c>
      <c r="E108" s="186"/>
      <c r="F108" s="85" t="s">
        <v>609</v>
      </c>
      <c r="G108" s="89">
        <v>3</v>
      </c>
      <c r="H108" s="102"/>
      <c r="I108" s="89">
        <f t="shared" si="48"/>
        <v>0</v>
      </c>
      <c r="J108" s="89">
        <f t="shared" si="49"/>
        <v>0</v>
      </c>
      <c r="K108" s="89">
        <f t="shared" si="50"/>
        <v>0</v>
      </c>
      <c r="L108" s="89">
        <v>0.00085</v>
      </c>
      <c r="M108" s="89">
        <f t="shared" si="51"/>
        <v>0.0025499999999999997</v>
      </c>
      <c r="N108" s="80" t="s">
        <v>630</v>
      </c>
      <c r="O108" s="82"/>
      <c r="Z108" s="59">
        <f t="shared" si="52"/>
        <v>0</v>
      </c>
      <c r="AB108" s="59">
        <f t="shared" si="53"/>
        <v>0</v>
      </c>
      <c r="AC108" s="59">
        <f t="shared" si="54"/>
        <v>0</v>
      </c>
      <c r="AD108" s="59">
        <f t="shared" si="55"/>
        <v>0</v>
      </c>
      <c r="AE108" s="59">
        <f t="shared" si="56"/>
        <v>0</v>
      </c>
      <c r="AF108" s="59">
        <f t="shared" si="57"/>
        <v>0</v>
      </c>
      <c r="AG108" s="59">
        <f t="shared" si="58"/>
        <v>0</v>
      </c>
      <c r="AH108" s="59">
        <f t="shared" si="59"/>
        <v>0</v>
      </c>
      <c r="AI108" s="53"/>
      <c r="AJ108" s="44">
        <f t="shared" si="60"/>
        <v>0</v>
      </c>
      <c r="AK108" s="44">
        <f t="shared" si="61"/>
        <v>0</v>
      </c>
      <c r="AL108" s="44">
        <f t="shared" si="62"/>
        <v>0</v>
      </c>
      <c r="AN108" s="59">
        <v>15</v>
      </c>
      <c r="AO108" s="59">
        <f t="shared" si="63"/>
        <v>0</v>
      </c>
      <c r="AP108" s="59">
        <f t="shared" si="64"/>
        <v>0</v>
      </c>
      <c r="AQ108" s="60" t="s">
        <v>80</v>
      </c>
      <c r="AV108" s="59">
        <f t="shared" si="65"/>
        <v>0</v>
      </c>
      <c r="AW108" s="59">
        <f t="shared" si="66"/>
        <v>0</v>
      </c>
      <c r="AX108" s="59">
        <f t="shared" si="67"/>
        <v>0</v>
      </c>
      <c r="AY108" s="62" t="s">
        <v>647</v>
      </c>
      <c r="AZ108" s="62" t="s">
        <v>665</v>
      </c>
      <c r="BA108" s="53" t="s">
        <v>670</v>
      </c>
      <c r="BC108" s="59">
        <f t="shared" si="68"/>
        <v>0</v>
      </c>
      <c r="BD108" s="59">
        <f t="shared" si="69"/>
        <v>0</v>
      </c>
      <c r="BE108" s="59">
        <v>0</v>
      </c>
      <c r="BF108" s="59">
        <f t="shared" si="70"/>
        <v>0.0025499999999999997</v>
      </c>
      <c r="BH108" s="44">
        <f t="shared" si="71"/>
        <v>0</v>
      </c>
      <c r="BI108" s="44">
        <f t="shared" si="72"/>
        <v>0</v>
      </c>
      <c r="BJ108" s="44">
        <f t="shared" si="73"/>
        <v>0</v>
      </c>
      <c r="BK108" s="44" t="s">
        <v>675</v>
      </c>
      <c r="BL108" s="59">
        <v>725</v>
      </c>
    </row>
    <row r="109" spans="1:64" ht="12.75">
      <c r="A109" s="85" t="s">
        <v>127</v>
      </c>
      <c r="B109" s="85"/>
      <c r="C109" s="85" t="s">
        <v>276</v>
      </c>
      <c r="D109" s="185" t="s">
        <v>468</v>
      </c>
      <c r="E109" s="186"/>
      <c r="F109" s="85" t="s">
        <v>612</v>
      </c>
      <c r="G109" s="89">
        <v>1</v>
      </c>
      <c r="H109" s="102"/>
      <c r="I109" s="89">
        <f t="shared" si="48"/>
        <v>0</v>
      </c>
      <c r="J109" s="89">
        <f t="shared" si="49"/>
        <v>0</v>
      </c>
      <c r="K109" s="89">
        <f t="shared" si="50"/>
        <v>0</v>
      </c>
      <c r="L109" s="89">
        <v>0.0329</v>
      </c>
      <c r="M109" s="89">
        <f t="shared" si="51"/>
        <v>0.0329</v>
      </c>
      <c r="N109" s="80" t="s">
        <v>630</v>
      </c>
      <c r="O109" s="82"/>
      <c r="Z109" s="59">
        <f t="shared" si="52"/>
        <v>0</v>
      </c>
      <c r="AB109" s="59">
        <f t="shared" si="53"/>
        <v>0</v>
      </c>
      <c r="AC109" s="59">
        <f t="shared" si="54"/>
        <v>0</v>
      </c>
      <c r="AD109" s="59">
        <f t="shared" si="55"/>
        <v>0</v>
      </c>
      <c r="AE109" s="59">
        <f t="shared" si="56"/>
        <v>0</v>
      </c>
      <c r="AF109" s="59">
        <f t="shared" si="57"/>
        <v>0</v>
      </c>
      <c r="AG109" s="59">
        <f t="shared" si="58"/>
        <v>0</v>
      </c>
      <c r="AH109" s="59">
        <f t="shared" si="59"/>
        <v>0</v>
      </c>
      <c r="AI109" s="53"/>
      <c r="AJ109" s="44">
        <f t="shared" si="60"/>
        <v>0</v>
      </c>
      <c r="AK109" s="44">
        <f t="shared" si="61"/>
        <v>0</v>
      </c>
      <c r="AL109" s="44">
        <f t="shared" si="62"/>
        <v>0</v>
      </c>
      <c r="AN109" s="59">
        <v>15</v>
      </c>
      <c r="AO109" s="59">
        <f t="shared" si="63"/>
        <v>0</v>
      </c>
      <c r="AP109" s="59">
        <f t="shared" si="64"/>
        <v>0</v>
      </c>
      <c r="AQ109" s="60" t="s">
        <v>80</v>
      </c>
      <c r="AV109" s="59">
        <f t="shared" si="65"/>
        <v>0</v>
      </c>
      <c r="AW109" s="59">
        <f t="shared" si="66"/>
        <v>0</v>
      </c>
      <c r="AX109" s="59">
        <f t="shared" si="67"/>
        <v>0</v>
      </c>
      <c r="AY109" s="62" t="s">
        <v>647</v>
      </c>
      <c r="AZ109" s="62" t="s">
        <v>665</v>
      </c>
      <c r="BA109" s="53" t="s">
        <v>670</v>
      </c>
      <c r="BC109" s="59">
        <f t="shared" si="68"/>
        <v>0</v>
      </c>
      <c r="BD109" s="59">
        <f t="shared" si="69"/>
        <v>0</v>
      </c>
      <c r="BE109" s="59">
        <v>0</v>
      </c>
      <c r="BF109" s="59">
        <f t="shared" si="70"/>
        <v>0.0329</v>
      </c>
      <c r="BH109" s="44">
        <f t="shared" si="71"/>
        <v>0</v>
      </c>
      <c r="BI109" s="44">
        <f t="shared" si="72"/>
        <v>0</v>
      </c>
      <c r="BJ109" s="44">
        <f t="shared" si="73"/>
        <v>0</v>
      </c>
      <c r="BK109" s="44" t="s">
        <v>675</v>
      </c>
      <c r="BL109" s="59">
        <v>725</v>
      </c>
    </row>
    <row r="110" spans="1:64" ht="12.75">
      <c r="A110" s="85" t="s">
        <v>128</v>
      </c>
      <c r="B110" s="85"/>
      <c r="C110" s="85" t="s">
        <v>275</v>
      </c>
      <c r="D110" s="185" t="s">
        <v>467</v>
      </c>
      <c r="E110" s="186"/>
      <c r="F110" s="85" t="s">
        <v>609</v>
      </c>
      <c r="G110" s="89">
        <v>3</v>
      </c>
      <c r="H110" s="102"/>
      <c r="I110" s="89">
        <f t="shared" si="48"/>
        <v>0</v>
      </c>
      <c r="J110" s="89">
        <f t="shared" si="49"/>
        <v>0</v>
      </c>
      <c r="K110" s="89">
        <f t="shared" si="50"/>
        <v>0</v>
      </c>
      <c r="L110" s="89">
        <v>0.00085</v>
      </c>
      <c r="M110" s="89">
        <f t="shared" si="51"/>
        <v>0.0025499999999999997</v>
      </c>
      <c r="N110" s="80" t="s">
        <v>630</v>
      </c>
      <c r="O110" s="82"/>
      <c r="Z110" s="59">
        <f t="shared" si="52"/>
        <v>0</v>
      </c>
      <c r="AB110" s="59">
        <f t="shared" si="53"/>
        <v>0</v>
      </c>
      <c r="AC110" s="59">
        <f t="shared" si="54"/>
        <v>0</v>
      </c>
      <c r="AD110" s="59">
        <f t="shared" si="55"/>
        <v>0</v>
      </c>
      <c r="AE110" s="59">
        <f t="shared" si="56"/>
        <v>0</v>
      </c>
      <c r="AF110" s="59">
        <f t="shared" si="57"/>
        <v>0</v>
      </c>
      <c r="AG110" s="59">
        <f t="shared" si="58"/>
        <v>0</v>
      </c>
      <c r="AH110" s="59">
        <f t="shared" si="59"/>
        <v>0</v>
      </c>
      <c r="AI110" s="53"/>
      <c r="AJ110" s="44">
        <f t="shared" si="60"/>
        <v>0</v>
      </c>
      <c r="AK110" s="44">
        <f t="shared" si="61"/>
        <v>0</v>
      </c>
      <c r="AL110" s="44">
        <f t="shared" si="62"/>
        <v>0</v>
      </c>
      <c r="AN110" s="59">
        <v>15</v>
      </c>
      <c r="AO110" s="59">
        <f t="shared" si="63"/>
        <v>0</v>
      </c>
      <c r="AP110" s="59">
        <f t="shared" si="64"/>
        <v>0</v>
      </c>
      <c r="AQ110" s="60" t="s">
        <v>80</v>
      </c>
      <c r="AV110" s="59">
        <f t="shared" si="65"/>
        <v>0</v>
      </c>
      <c r="AW110" s="59">
        <f t="shared" si="66"/>
        <v>0</v>
      </c>
      <c r="AX110" s="59">
        <f t="shared" si="67"/>
        <v>0</v>
      </c>
      <c r="AY110" s="62" t="s">
        <v>647</v>
      </c>
      <c r="AZ110" s="62" t="s">
        <v>665</v>
      </c>
      <c r="BA110" s="53" t="s">
        <v>670</v>
      </c>
      <c r="BC110" s="59">
        <f t="shared" si="68"/>
        <v>0</v>
      </c>
      <c r="BD110" s="59">
        <f t="shared" si="69"/>
        <v>0</v>
      </c>
      <c r="BE110" s="59">
        <v>0</v>
      </c>
      <c r="BF110" s="59">
        <f t="shared" si="70"/>
        <v>0.0025499999999999997</v>
      </c>
      <c r="BH110" s="44">
        <f t="shared" si="71"/>
        <v>0</v>
      </c>
      <c r="BI110" s="44">
        <f t="shared" si="72"/>
        <v>0</v>
      </c>
      <c r="BJ110" s="44">
        <f t="shared" si="73"/>
        <v>0</v>
      </c>
      <c r="BK110" s="44" t="s">
        <v>675</v>
      </c>
      <c r="BL110" s="59">
        <v>725</v>
      </c>
    </row>
    <row r="111" spans="1:64" ht="12.75">
      <c r="A111" s="85" t="s">
        <v>129</v>
      </c>
      <c r="B111" s="85"/>
      <c r="C111" s="85" t="s">
        <v>277</v>
      </c>
      <c r="D111" s="185" t="s">
        <v>469</v>
      </c>
      <c r="E111" s="186"/>
      <c r="F111" s="85" t="s">
        <v>609</v>
      </c>
      <c r="G111" s="89">
        <v>1</v>
      </c>
      <c r="H111" s="102"/>
      <c r="I111" s="89">
        <f t="shared" si="48"/>
        <v>0</v>
      </c>
      <c r="J111" s="89">
        <f t="shared" si="49"/>
        <v>0</v>
      </c>
      <c r="K111" s="89">
        <f t="shared" si="50"/>
        <v>0</v>
      </c>
      <c r="L111" s="89">
        <v>0.005</v>
      </c>
      <c r="M111" s="89">
        <f t="shared" si="51"/>
        <v>0.005</v>
      </c>
      <c r="N111" s="80" t="s">
        <v>630</v>
      </c>
      <c r="O111" s="82"/>
      <c r="Z111" s="59">
        <f t="shared" si="52"/>
        <v>0</v>
      </c>
      <c r="AB111" s="59">
        <f t="shared" si="53"/>
        <v>0</v>
      </c>
      <c r="AC111" s="59">
        <f t="shared" si="54"/>
        <v>0</v>
      </c>
      <c r="AD111" s="59">
        <f t="shared" si="55"/>
        <v>0</v>
      </c>
      <c r="AE111" s="59">
        <f t="shared" si="56"/>
        <v>0</v>
      </c>
      <c r="AF111" s="59">
        <f t="shared" si="57"/>
        <v>0</v>
      </c>
      <c r="AG111" s="59">
        <f t="shared" si="58"/>
        <v>0</v>
      </c>
      <c r="AH111" s="59">
        <f t="shared" si="59"/>
        <v>0</v>
      </c>
      <c r="AI111" s="53"/>
      <c r="AJ111" s="44">
        <f t="shared" si="60"/>
        <v>0</v>
      </c>
      <c r="AK111" s="44">
        <f t="shared" si="61"/>
        <v>0</v>
      </c>
      <c r="AL111" s="44">
        <f t="shared" si="62"/>
        <v>0</v>
      </c>
      <c r="AN111" s="59">
        <v>15</v>
      </c>
      <c r="AO111" s="59">
        <f t="shared" si="63"/>
        <v>0</v>
      </c>
      <c r="AP111" s="59">
        <f t="shared" si="64"/>
        <v>0</v>
      </c>
      <c r="AQ111" s="60" t="s">
        <v>80</v>
      </c>
      <c r="AV111" s="59">
        <f t="shared" si="65"/>
        <v>0</v>
      </c>
      <c r="AW111" s="59">
        <f t="shared" si="66"/>
        <v>0</v>
      </c>
      <c r="AX111" s="59">
        <f t="shared" si="67"/>
        <v>0</v>
      </c>
      <c r="AY111" s="62" t="s">
        <v>647</v>
      </c>
      <c r="AZ111" s="62" t="s">
        <v>665</v>
      </c>
      <c r="BA111" s="53" t="s">
        <v>670</v>
      </c>
      <c r="BC111" s="59">
        <f t="shared" si="68"/>
        <v>0</v>
      </c>
      <c r="BD111" s="59">
        <f t="shared" si="69"/>
        <v>0</v>
      </c>
      <c r="BE111" s="59">
        <v>0</v>
      </c>
      <c r="BF111" s="59">
        <f t="shared" si="70"/>
        <v>0.005</v>
      </c>
      <c r="BH111" s="44">
        <f t="shared" si="71"/>
        <v>0</v>
      </c>
      <c r="BI111" s="44">
        <f t="shared" si="72"/>
        <v>0</v>
      </c>
      <c r="BJ111" s="44">
        <f t="shared" si="73"/>
        <v>0</v>
      </c>
      <c r="BK111" s="44" t="s">
        <v>675</v>
      </c>
      <c r="BL111" s="59">
        <v>725</v>
      </c>
    </row>
    <row r="112" spans="1:15" ht="12.75">
      <c r="A112" s="91"/>
      <c r="B112" s="92"/>
      <c r="C112" s="92"/>
      <c r="D112" s="93" t="s">
        <v>470</v>
      </c>
      <c r="E112" s="93"/>
      <c r="F112" s="92"/>
      <c r="G112" s="94">
        <v>0</v>
      </c>
      <c r="H112" s="92"/>
      <c r="I112" s="92"/>
      <c r="J112" s="92"/>
      <c r="K112" s="92"/>
      <c r="L112" s="92"/>
      <c r="M112" s="92"/>
      <c r="N112" s="83"/>
      <c r="O112" s="82"/>
    </row>
    <row r="113" spans="1:15" ht="12.75">
      <c r="A113" s="91"/>
      <c r="B113" s="92"/>
      <c r="C113" s="92"/>
      <c r="D113" s="93" t="s">
        <v>74</v>
      </c>
      <c r="E113" s="93"/>
      <c r="F113" s="92"/>
      <c r="G113" s="94">
        <v>1</v>
      </c>
      <c r="H113" s="92"/>
      <c r="I113" s="92"/>
      <c r="J113" s="92"/>
      <c r="K113" s="92"/>
      <c r="L113" s="92"/>
      <c r="M113" s="92"/>
      <c r="N113" s="83"/>
      <c r="O113" s="82"/>
    </row>
    <row r="114" spans="1:64" ht="12.75">
      <c r="A114" s="78" t="s">
        <v>130</v>
      </c>
      <c r="B114" s="78"/>
      <c r="C114" s="78" t="s">
        <v>278</v>
      </c>
      <c r="D114" s="187" t="s">
        <v>471</v>
      </c>
      <c r="E114" s="188"/>
      <c r="F114" s="78" t="s">
        <v>612</v>
      </c>
      <c r="G114" s="79">
        <v>1</v>
      </c>
      <c r="H114" s="103"/>
      <c r="I114" s="79">
        <f aca="true" t="shared" si="74" ref="I114:I133">G114*AO114</f>
        <v>0</v>
      </c>
      <c r="J114" s="79">
        <f aca="true" t="shared" si="75" ref="J114:J133">G114*AP114</f>
        <v>0</v>
      </c>
      <c r="K114" s="79">
        <f aca="true" t="shared" si="76" ref="K114:K133">G114*H114</f>
        <v>0</v>
      </c>
      <c r="L114" s="79">
        <v>0.00141</v>
      </c>
      <c r="M114" s="79">
        <f aca="true" t="shared" si="77" ref="M114:M133">G114*L114</f>
        <v>0.00141</v>
      </c>
      <c r="N114" s="81" t="s">
        <v>630</v>
      </c>
      <c r="O114" s="82"/>
      <c r="Z114" s="59">
        <f aca="true" t="shared" si="78" ref="Z114:Z133">IF(AQ114="5",BJ114,0)</f>
        <v>0</v>
      </c>
      <c r="AB114" s="59">
        <f aca="true" t="shared" si="79" ref="AB114:AB133">IF(AQ114="1",BH114,0)</f>
        <v>0</v>
      </c>
      <c r="AC114" s="59">
        <f aca="true" t="shared" si="80" ref="AC114:AC133">IF(AQ114="1",BI114,0)</f>
        <v>0</v>
      </c>
      <c r="AD114" s="59">
        <f aca="true" t="shared" si="81" ref="AD114:AD133">IF(AQ114="7",BH114,0)</f>
        <v>0</v>
      </c>
      <c r="AE114" s="59">
        <f aca="true" t="shared" si="82" ref="AE114:AE133">IF(AQ114="7",BI114,0)</f>
        <v>0</v>
      </c>
      <c r="AF114" s="59">
        <f aca="true" t="shared" si="83" ref="AF114:AF133">IF(AQ114="2",BH114,0)</f>
        <v>0</v>
      </c>
      <c r="AG114" s="59">
        <f aca="true" t="shared" si="84" ref="AG114:AG133">IF(AQ114="2",BI114,0)</f>
        <v>0</v>
      </c>
      <c r="AH114" s="59">
        <f aca="true" t="shared" si="85" ref="AH114:AH133">IF(AQ114="0",BJ114,0)</f>
        <v>0</v>
      </c>
      <c r="AI114" s="53"/>
      <c r="AJ114" s="44">
        <f aca="true" t="shared" si="86" ref="AJ114:AJ133">IF(AN114=0,K114,0)</f>
        <v>0</v>
      </c>
      <c r="AK114" s="44">
        <f aca="true" t="shared" si="87" ref="AK114:AK133">IF(AN114=15,K114,0)</f>
        <v>0</v>
      </c>
      <c r="AL114" s="44">
        <f aca="true" t="shared" si="88" ref="AL114:AL133">IF(AN114=21,K114,0)</f>
        <v>0</v>
      </c>
      <c r="AN114" s="59">
        <v>15</v>
      </c>
      <c r="AO114" s="59">
        <f>H114*0.115237556561086</f>
        <v>0</v>
      </c>
      <c r="AP114" s="59">
        <f>H114*(1-0.115237556561086)</f>
        <v>0</v>
      </c>
      <c r="AQ114" s="60" t="s">
        <v>80</v>
      </c>
      <c r="AV114" s="59">
        <f aca="true" t="shared" si="89" ref="AV114:AV133">AW114+AX114</f>
        <v>0</v>
      </c>
      <c r="AW114" s="59">
        <f aca="true" t="shared" si="90" ref="AW114:AW133">G114*AO114</f>
        <v>0</v>
      </c>
      <c r="AX114" s="59">
        <f aca="true" t="shared" si="91" ref="AX114:AX133">G114*AP114</f>
        <v>0</v>
      </c>
      <c r="AY114" s="62" t="s">
        <v>647</v>
      </c>
      <c r="AZ114" s="62" t="s">
        <v>665</v>
      </c>
      <c r="BA114" s="53" t="s">
        <v>670</v>
      </c>
      <c r="BC114" s="59">
        <f aca="true" t="shared" si="92" ref="BC114:BC133">AW114+AX114</f>
        <v>0</v>
      </c>
      <c r="BD114" s="59">
        <f aca="true" t="shared" si="93" ref="BD114:BD133">H114/(100-BE114)*100</f>
        <v>0</v>
      </c>
      <c r="BE114" s="59">
        <v>0</v>
      </c>
      <c r="BF114" s="59">
        <f aca="true" t="shared" si="94" ref="BF114:BF133">M114</f>
        <v>0.00141</v>
      </c>
      <c r="BH114" s="44">
        <f aca="true" t="shared" si="95" ref="BH114:BH133">G114*AO114</f>
        <v>0</v>
      </c>
      <c r="BI114" s="44">
        <f aca="true" t="shared" si="96" ref="BI114:BI133">G114*AP114</f>
        <v>0</v>
      </c>
      <c r="BJ114" s="44">
        <f aca="true" t="shared" si="97" ref="BJ114:BJ133">G114*H114</f>
        <v>0</v>
      </c>
      <c r="BK114" s="44" t="s">
        <v>675</v>
      </c>
      <c r="BL114" s="59">
        <v>725</v>
      </c>
    </row>
    <row r="115" spans="1:64" ht="12.75">
      <c r="A115" s="73" t="s">
        <v>131</v>
      </c>
      <c r="B115" s="17"/>
      <c r="C115" s="17" t="s">
        <v>279</v>
      </c>
      <c r="D115" s="123" t="s">
        <v>472</v>
      </c>
      <c r="E115" s="184"/>
      <c r="F115" s="17" t="s">
        <v>612</v>
      </c>
      <c r="G115" s="59">
        <v>1</v>
      </c>
      <c r="H115" s="101"/>
      <c r="I115" s="59">
        <f t="shared" si="74"/>
        <v>0</v>
      </c>
      <c r="J115" s="59">
        <f t="shared" si="75"/>
        <v>0</v>
      </c>
      <c r="K115" s="59">
        <f t="shared" si="76"/>
        <v>0</v>
      </c>
      <c r="L115" s="59">
        <v>0.01401</v>
      </c>
      <c r="M115" s="59">
        <f t="shared" si="77"/>
        <v>0.01401</v>
      </c>
      <c r="N115" s="74" t="s">
        <v>630</v>
      </c>
      <c r="O115" s="18"/>
      <c r="Z115" s="59">
        <f t="shared" si="78"/>
        <v>0</v>
      </c>
      <c r="AB115" s="59">
        <f t="shared" si="79"/>
        <v>0</v>
      </c>
      <c r="AC115" s="59">
        <f t="shared" si="80"/>
        <v>0</v>
      </c>
      <c r="AD115" s="59">
        <f t="shared" si="81"/>
        <v>0</v>
      </c>
      <c r="AE115" s="59">
        <f t="shared" si="82"/>
        <v>0</v>
      </c>
      <c r="AF115" s="59">
        <f t="shared" si="83"/>
        <v>0</v>
      </c>
      <c r="AG115" s="59">
        <f t="shared" si="84"/>
        <v>0</v>
      </c>
      <c r="AH115" s="59">
        <f t="shared" si="85"/>
        <v>0</v>
      </c>
      <c r="AI115" s="53"/>
      <c r="AJ115" s="44">
        <f t="shared" si="86"/>
        <v>0</v>
      </c>
      <c r="AK115" s="44">
        <f t="shared" si="87"/>
        <v>0</v>
      </c>
      <c r="AL115" s="44">
        <f t="shared" si="88"/>
        <v>0</v>
      </c>
      <c r="AN115" s="59">
        <v>15</v>
      </c>
      <c r="AO115" s="59">
        <f>H115*0.661334681496461</f>
        <v>0</v>
      </c>
      <c r="AP115" s="59">
        <f>H115*(1-0.661334681496461)</f>
        <v>0</v>
      </c>
      <c r="AQ115" s="60" t="s">
        <v>80</v>
      </c>
      <c r="AV115" s="59">
        <f t="shared" si="89"/>
        <v>0</v>
      </c>
      <c r="AW115" s="59">
        <f t="shared" si="90"/>
        <v>0</v>
      </c>
      <c r="AX115" s="59">
        <f t="shared" si="91"/>
        <v>0</v>
      </c>
      <c r="AY115" s="62" t="s">
        <v>647</v>
      </c>
      <c r="AZ115" s="62" t="s">
        <v>665</v>
      </c>
      <c r="BA115" s="53" t="s">
        <v>670</v>
      </c>
      <c r="BC115" s="59">
        <f t="shared" si="92"/>
        <v>0</v>
      </c>
      <c r="BD115" s="59">
        <f t="shared" si="93"/>
        <v>0</v>
      </c>
      <c r="BE115" s="59">
        <v>0</v>
      </c>
      <c r="BF115" s="59">
        <f t="shared" si="94"/>
        <v>0.01401</v>
      </c>
      <c r="BH115" s="44">
        <f t="shared" si="95"/>
        <v>0</v>
      </c>
      <c r="BI115" s="44">
        <f t="shared" si="96"/>
        <v>0</v>
      </c>
      <c r="BJ115" s="44">
        <f t="shared" si="97"/>
        <v>0</v>
      </c>
      <c r="BK115" s="44" t="s">
        <v>675</v>
      </c>
      <c r="BL115" s="59">
        <v>725</v>
      </c>
    </row>
    <row r="116" spans="1:64" ht="12.75">
      <c r="A116" s="85" t="s">
        <v>132</v>
      </c>
      <c r="B116" s="85"/>
      <c r="C116" s="85" t="s">
        <v>280</v>
      </c>
      <c r="D116" s="185" t="s">
        <v>473</v>
      </c>
      <c r="E116" s="186"/>
      <c r="F116" s="85" t="s">
        <v>609</v>
      </c>
      <c r="G116" s="89">
        <v>1</v>
      </c>
      <c r="H116" s="102"/>
      <c r="I116" s="89">
        <f t="shared" si="74"/>
        <v>0</v>
      </c>
      <c r="J116" s="89">
        <f t="shared" si="75"/>
        <v>0</v>
      </c>
      <c r="K116" s="89">
        <f t="shared" si="76"/>
        <v>0</v>
      </c>
      <c r="L116" s="89">
        <v>0.0002</v>
      </c>
      <c r="M116" s="89">
        <f t="shared" si="77"/>
        <v>0.0002</v>
      </c>
      <c r="N116" s="80" t="s">
        <v>630</v>
      </c>
      <c r="O116" s="82"/>
      <c r="Z116" s="59">
        <f t="shared" si="78"/>
        <v>0</v>
      </c>
      <c r="AB116" s="59">
        <f t="shared" si="79"/>
        <v>0</v>
      </c>
      <c r="AC116" s="59">
        <f t="shared" si="80"/>
        <v>0</v>
      </c>
      <c r="AD116" s="59">
        <f t="shared" si="81"/>
        <v>0</v>
      </c>
      <c r="AE116" s="59">
        <f t="shared" si="82"/>
        <v>0</v>
      </c>
      <c r="AF116" s="59">
        <f t="shared" si="83"/>
        <v>0</v>
      </c>
      <c r="AG116" s="59">
        <f t="shared" si="84"/>
        <v>0</v>
      </c>
      <c r="AH116" s="59">
        <f t="shared" si="85"/>
        <v>0</v>
      </c>
      <c r="AI116" s="53"/>
      <c r="AJ116" s="44">
        <f t="shared" si="86"/>
        <v>0</v>
      </c>
      <c r="AK116" s="44">
        <f t="shared" si="87"/>
        <v>0</v>
      </c>
      <c r="AL116" s="44">
        <f t="shared" si="88"/>
        <v>0</v>
      </c>
      <c r="AN116" s="59">
        <v>15</v>
      </c>
      <c r="AO116" s="59">
        <f>H116*0.673503836317136</f>
        <v>0</v>
      </c>
      <c r="AP116" s="59">
        <f>H116*(1-0.673503836317136)</f>
        <v>0</v>
      </c>
      <c r="AQ116" s="60" t="s">
        <v>80</v>
      </c>
      <c r="AV116" s="59">
        <f t="shared" si="89"/>
        <v>0</v>
      </c>
      <c r="AW116" s="59">
        <f t="shared" si="90"/>
        <v>0</v>
      </c>
      <c r="AX116" s="59">
        <f t="shared" si="91"/>
        <v>0</v>
      </c>
      <c r="AY116" s="62" t="s">
        <v>647</v>
      </c>
      <c r="AZ116" s="62" t="s">
        <v>665</v>
      </c>
      <c r="BA116" s="53" t="s">
        <v>670</v>
      </c>
      <c r="BC116" s="59">
        <f t="shared" si="92"/>
        <v>0</v>
      </c>
      <c r="BD116" s="59">
        <f t="shared" si="93"/>
        <v>0</v>
      </c>
      <c r="BE116" s="59">
        <v>0</v>
      </c>
      <c r="BF116" s="59">
        <f t="shared" si="94"/>
        <v>0.0002</v>
      </c>
      <c r="BH116" s="44">
        <f t="shared" si="95"/>
        <v>0</v>
      </c>
      <c r="BI116" s="44">
        <f t="shared" si="96"/>
        <v>0</v>
      </c>
      <c r="BJ116" s="44">
        <f t="shared" si="97"/>
        <v>0</v>
      </c>
      <c r="BK116" s="44" t="s">
        <v>675</v>
      </c>
      <c r="BL116" s="59">
        <v>725</v>
      </c>
    </row>
    <row r="117" spans="1:64" ht="12.75">
      <c r="A117" s="85" t="s">
        <v>133</v>
      </c>
      <c r="B117" s="85"/>
      <c r="C117" s="85" t="s">
        <v>281</v>
      </c>
      <c r="D117" s="185" t="s">
        <v>474</v>
      </c>
      <c r="E117" s="186"/>
      <c r="F117" s="85" t="s">
        <v>609</v>
      </c>
      <c r="G117" s="89">
        <v>1</v>
      </c>
      <c r="H117" s="102"/>
      <c r="I117" s="89">
        <f t="shared" si="74"/>
        <v>0</v>
      </c>
      <c r="J117" s="89">
        <f t="shared" si="75"/>
        <v>0</v>
      </c>
      <c r="K117" s="89">
        <f t="shared" si="76"/>
        <v>0</v>
      </c>
      <c r="L117" s="89">
        <v>0.00041</v>
      </c>
      <c r="M117" s="89">
        <f t="shared" si="77"/>
        <v>0.00041</v>
      </c>
      <c r="N117" s="80" t="s">
        <v>630</v>
      </c>
      <c r="O117" s="82"/>
      <c r="Z117" s="59">
        <f t="shared" si="78"/>
        <v>0</v>
      </c>
      <c r="AB117" s="59">
        <f t="shared" si="79"/>
        <v>0</v>
      </c>
      <c r="AC117" s="59">
        <f t="shared" si="80"/>
        <v>0</v>
      </c>
      <c r="AD117" s="59">
        <f t="shared" si="81"/>
        <v>0</v>
      </c>
      <c r="AE117" s="59">
        <f t="shared" si="82"/>
        <v>0</v>
      </c>
      <c r="AF117" s="59">
        <f t="shared" si="83"/>
        <v>0</v>
      </c>
      <c r="AG117" s="59">
        <f t="shared" si="84"/>
        <v>0</v>
      </c>
      <c r="AH117" s="59">
        <f t="shared" si="85"/>
        <v>0</v>
      </c>
      <c r="AI117" s="53"/>
      <c r="AJ117" s="44">
        <f t="shared" si="86"/>
        <v>0</v>
      </c>
      <c r="AK117" s="44">
        <f t="shared" si="87"/>
        <v>0</v>
      </c>
      <c r="AL117" s="44">
        <f t="shared" si="88"/>
        <v>0</v>
      </c>
      <c r="AN117" s="59">
        <v>15</v>
      </c>
      <c r="AO117" s="59">
        <f>H117*0.494415841584158</f>
        <v>0</v>
      </c>
      <c r="AP117" s="59">
        <f>H117*(1-0.494415841584158)</f>
        <v>0</v>
      </c>
      <c r="AQ117" s="60" t="s">
        <v>80</v>
      </c>
      <c r="AV117" s="59">
        <f t="shared" si="89"/>
        <v>0</v>
      </c>
      <c r="AW117" s="59">
        <f t="shared" si="90"/>
        <v>0</v>
      </c>
      <c r="AX117" s="59">
        <f t="shared" si="91"/>
        <v>0</v>
      </c>
      <c r="AY117" s="62" t="s">
        <v>647</v>
      </c>
      <c r="AZ117" s="62" t="s">
        <v>665</v>
      </c>
      <c r="BA117" s="53" t="s">
        <v>670</v>
      </c>
      <c r="BC117" s="59">
        <f t="shared" si="92"/>
        <v>0</v>
      </c>
      <c r="BD117" s="59">
        <f t="shared" si="93"/>
        <v>0</v>
      </c>
      <c r="BE117" s="59">
        <v>0</v>
      </c>
      <c r="BF117" s="59">
        <f t="shared" si="94"/>
        <v>0.00041</v>
      </c>
      <c r="BH117" s="44">
        <f t="shared" si="95"/>
        <v>0</v>
      </c>
      <c r="BI117" s="44">
        <f t="shared" si="96"/>
        <v>0</v>
      </c>
      <c r="BJ117" s="44">
        <f t="shared" si="97"/>
        <v>0</v>
      </c>
      <c r="BK117" s="44" t="s">
        <v>675</v>
      </c>
      <c r="BL117" s="59">
        <v>725</v>
      </c>
    </row>
    <row r="118" spans="1:64" ht="12.75">
      <c r="A118" s="85" t="s">
        <v>134</v>
      </c>
      <c r="B118" s="85"/>
      <c r="C118" s="85" t="s">
        <v>282</v>
      </c>
      <c r="D118" s="185" t="s">
        <v>475</v>
      </c>
      <c r="E118" s="186"/>
      <c r="F118" s="85" t="s">
        <v>609</v>
      </c>
      <c r="G118" s="89">
        <v>2</v>
      </c>
      <c r="H118" s="102"/>
      <c r="I118" s="89">
        <f t="shared" si="74"/>
        <v>0</v>
      </c>
      <c r="J118" s="89">
        <f t="shared" si="75"/>
        <v>0</v>
      </c>
      <c r="K118" s="89">
        <f t="shared" si="76"/>
        <v>0</v>
      </c>
      <c r="L118" s="89">
        <v>4E-05</v>
      </c>
      <c r="M118" s="89">
        <f t="shared" si="77"/>
        <v>8E-05</v>
      </c>
      <c r="N118" s="80" t="s">
        <v>630</v>
      </c>
      <c r="O118" s="82"/>
      <c r="Z118" s="59">
        <f t="shared" si="78"/>
        <v>0</v>
      </c>
      <c r="AB118" s="59">
        <f t="shared" si="79"/>
        <v>0</v>
      </c>
      <c r="AC118" s="59">
        <f t="shared" si="80"/>
        <v>0</v>
      </c>
      <c r="AD118" s="59">
        <f t="shared" si="81"/>
        <v>0</v>
      </c>
      <c r="AE118" s="59">
        <f t="shared" si="82"/>
        <v>0</v>
      </c>
      <c r="AF118" s="59">
        <f t="shared" si="83"/>
        <v>0</v>
      </c>
      <c r="AG118" s="59">
        <f t="shared" si="84"/>
        <v>0</v>
      </c>
      <c r="AH118" s="59">
        <f t="shared" si="85"/>
        <v>0</v>
      </c>
      <c r="AI118" s="53"/>
      <c r="AJ118" s="44">
        <f t="shared" si="86"/>
        <v>0</v>
      </c>
      <c r="AK118" s="44">
        <f t="shared" si="87"/>
        <v>0</v>
      </c>
      <c r="AL118" s="44">
        <f t="shared" si="88"/>
        <v>0</v>
      </c>
      <c r="AN118" s="59">
        <v>15</v>
      </c>
      <c r="AO118" s="59">
        <f>H118*0.0298739495798319</f>
        <v>0</v>
      </c>
      <c r="AP118" s="59">
        <f>H118*(1-0.0298739495798319)</f>
        <v>0</v>
      </c>
      <c r="AQ118" s="60" t="s">
        <v>80</v>
      </c>
      <c r="AV118" s="59">
        <f t="shared" si="89"/>
        <v>0</v>
      </c>
      <c r="AW118" s="59">
        <f t="shared" si="90"/>
        <v>0</v>
      </c>
      <c r="AX118" s="59">
        <f t="shared" si="91"/>
        <v>0</v>
      </c>
      <c r="AY118" s="62" t="s">
        <v>647</v>
      </c>
      <c r="AZ118" s="62" t="s">
        <v>665</v>
      </c>
      <c r="BA118" s="53" t="s">
        <v>670</v>
      </c>
      <c r="BC118" s="59">
        <f t="shared" si="92"/>
        <v>0</v>
      </c>
      <c r="BD118" s="59">
        <f t="shared" si="93"/>
        <v>0</v>
      </c>
      <c r="BE118" s="59">
        <v>0</v>
      </c>
      <c r="BF118" s="59">
        <f t="shared" si="94"/>
        <v>8E-05</v>
      </c>
      <c r="BH118" s="44">
        <f t="shared" si="95"/>
        <v>0</v>
      </c>
      <c r="BI118" s="44">
        <f t="shared" si="96"/>
        <v>0</v>
      </c>
      <c r="BJ118" s="44">
        <f t="shared" si="97"/>
        <v>0</v>
      </c>
      <c r="BK118" s="44" t="s">
        <v>675</v>
      </c>
      <c r="BL118" s="59">
        <v>725</v>
      </c>
    </row>
    <row r="119" spans="1:64" ht="12.75">
      <c r="A119" s="85" t="s">
        <v>135</v>
      </c>
      <c r="B119" s="85"/>
      <c r="C119" s="85" t="s">
        <v>283</v>
      </c>
      <c r="D119" s="185" t="s">
        <v>476</v>
      </c>
      <c r="E119" s="186"/>
      <c r="F119" s="85" t="s">
        <v>609</v>
      </c>
      <c r="G119" s="89">
        <v>1</v>
      </c>
      <c r="H119" s="102"/>
      <c r="I119" s="89">
        <f t="shared" si="74"/>
        <v>0</v>
      </c>
      <c r="J119" s="89">
        <f t="shared" si="75"/>
        <v>0</v>
      </c>
      <c r="K119" s="89">
        <f t="shared" si="76"/>
        <v>0</v>
      </c>
      <c r="L119" s="89">
        <v>0.00013</v>
      </c>
      <c r="M119" s="89">
        <f t="shared" si="77"/>
        <v>0.00013</v>
      </c>
      <c r="N119" s="80" t="s">
        <v>630</v>
      </c>
      <c r="O119" s="82"/>
      <c r="Z119" s="59">
        <f t="shared" si="78"/>
        <v>0</v>
      </c>
      <c r="AB119" s="59">
        <f t="shared" si="79"/>
        <v>0</v>
      </c>
      <c r="AC119" s="59">
        <f t="shared" si="80"/>
        <v>0</v>
      </c>
      <c r="AD119" s="59">
        <f t="shared" si="81"/>
        <v>0</v>
      </c>
      <c r="AE119" s="59">
        <f t="shared" si="82"/>
        <v>0</v>
      </c>
      <c r="AF119" s="59">
        <f t="shared" si="83"/>
        <v>0</v>
      </c>
      <c r="AG119" s="59">
        <f t="shared" si="84"/>
        <v>0</v>
      </c>
      <c r="AH119" s="59">
        <f t="shared" si="85"/>
        <v>0</v>
      </c>
      <c r="AI119" s="53"/>
      <c r="AJ119" s="44">
        <f t="shared" si="86"/>
        <v>0</v>
      </c>
      <c r="AK119" s="44">
        <f t="shared" si="87"/>
        <v>0</v>
      </c>
      <c r="AL119" s="44">
        <f t="shared" si="88"/>
        <v>0</v>
      </c>
      <c r="AN119" s="59">
        <v>15</v>
      </c>
      <c r="AO119" s="59">
        <f>H119*0.209803921568627</f>
        <v>0</v>
      </c>
      <c r="AP119" s="59">
        <f>H119*(1-0.209803921568627)</f>
        <v>0</v>
      </c>
      <c r="AQ119" s="60" t="s">
        <v>80</v>
      </c>
      <c r="AV119" s="59">
        <f t="shared" si="89"/>
        <v>0</v>
      </c>
      <c r="AW119" s="59">
        <f t="shared" si="90"/>
        <v>0</v>
      </c>
      <c r="AX119" s="59">
        <f t="shared" si="91"/>
        <v>0</v>
      </c>
      <c r="AY119" s="62" t="s">
        <v>647</v>
      </c>
      <c r="AZ119" s="62" t="s">
        <v>665</v>
      </c>
      <c r="BA119" s="53" t="s">
        <v>670</v>
      </c>
      <c r="BC119" s="59">
        <f t="shared" si="92"/>
        <v>0</v>
      </c>
      <c r="BD119" s="59">
        <f t="shared" si="93"/>
        <v>0</v>
      </c>
      <c r="BE119" s="59">
        <v>0</v>
      </c>
      <c r="BF119" s="59">
        <f t="shared" si="94"/>
        <v>0.00013</v>
      </c>
      <c r="BH119" s="44">
        <f t="shared" si="95"/>
        <v>0</v>
      </c>
      <c r="BI119" s="44">
        <f t="shared" si="96"/>
        <v>0</v>
      </c>
      <c r="BJ119" s="44">
        <f t="shared" si="97"/>
        <v>0</v>
      </c>
      <c r="BK119" s="44" t="s">
        <v>675</v>
      </c>
      <c r="BL119" s="59">
        <v>725</v>
      </c>
    </row>
    <row r="120" spans="1:64" ht="12.75">
      <c r="A120" s="85" t="s">
        <v>136</v>
      </c>
      <c r="B120" s="85"/>
      <c r="C120" s="85" t="s">
        <v>284</v>
      </c>
      <c r="D120" s="185" t="s">
        <v>477</v>
      </c>
      <c r="E120" s="186"/>
      <c r="F120" s="85" t="s">
        <v>609</v>
      </c>
      <c r="G120" s="89">
        <v>1</v>
      </c>
      <c r="H120" s="102"/>
      <c r="I120" s="89">
        <f t="shared" si="74"/>
        <v>0</v>
      </c>
      <c r="J120" s="89">
        <f t="shared" si="75"/>
        <v>0</v>
      </c>
      <c r="K120" s="89">
        <f t="shared" si="76"/>
        <v>0</v>
      </c>
      <c r="L120" s="89">
        <v>0.0005</v>
      </c>
      <c r="M120" s="89">
        <f t="shared" si="77"/>
        <v>0.0005</v>
      </c>
      <c r="N120" s="80" t="s">
        <v>630</v>
      </c>
      <c r="O120" s="82"/>
      <c r="Z120" s="59">
        <f t="shared" si="78"/>
        <v>0</v>
      </c>
      <c r="AB120" s="59">
        <f t="shared" si="79"/>
        <v>0</v>
      </c>
      <c r="AC120" s="59">
        <f t="shared" si="80"/>
        <v>0</v>
      </c>
      <c r="AD120" s="59">
        <f t="shared" si="81"/>
        <v>0</v>
      </c>
      <c r="AE120" s="59">
        <f t="shared" si="82"/>
        <v>0</v>
      </c>
      <c r="AF120" s="59">
        <f t="shared" si="83"/>
        <v>0</v>
      </c>
      <c r="AG120" s="59">
        <f t="shared" si="84"/>
        <v>0</v>
      </c>
      <c r="AH120" s="59">
        <f t="shared" si="85"/>
        <v>0</v>
      </c>
      <c r="AI120" s="53"/>
      <c r="AJ120" s="44">
        <f t="shared" si="86"/>
        <v>0</v>
      </c>
      <c r="AK120" s="44">
        <f t="shared" si="87"/>
        <v>0</v>
      </c>
      <c r="AL120" s="44">
        <f t="shared" si="88"/>
        <v>0</v>
      </c>
      <c r="AN120" s="59">
        <v>15</v>
      </c>
      <c r="AO120" s="59">
        <f>H120*0.915288652952887</f>
        <v>0</v>
      </c>
      <c r="AP120" s="59">
        <f>H120*(1-0.915288652952887)</f>
        <v>0</v>
      </c>
      <c r="AQ120" s="60" t="s">
        <v>80</v>
      </c>
      <c r="AV120" s="59">
        <f t="shared" si="89"/>
        <v>0</v>
      </c>
      <c r="AW120" s="59">
        <f t="shared" si="90"/>
        <v>0</v>
      </c>
      <c r="AX120" s="59">
        <f t="shared" si="91"/>
        <v>0</v>
      </c>
      <c r="AY120" s="62" t="s">
        <v>647</v>
      </c>
      <c r="AZ120" s="62" t="s">
        <v>665</v>
      </c>
      <c r="BA120" s="53" t="s">
        <v>670</v>
      </c>
      <c r="BC120" s="59">
        <f t="shared" si="92"/>
        <v>0</v>
      </c>
      <c r="BD120" s="59">
        <f t="shared" si="93"/>
        <v>0</v>
      </c>
      <c r="BE120" s="59">
        <v>0</v>
      </c>
      <c r="BF120" s="59">
        <f t="shared" si="94"/>
        <v>0.0005</v>
      </c>
      <c r="BH120" s="44">
        <f t="shared" si="95"/>
        <v>0</v>
      </c>
      <c r="BI120" s="44">
        <f t="shared" si="96"/>
        <v>0</v>
      </c>
      <c r="BJ120" s="44">
        <f t="shared" si="97"/>
        <v>0</v>
      </c>
      <c r="BK120" s="44" t="s">
        <v>675</v>
      </c>
      <c r="BL120" s="59">
        <v>725</v>
      </c>
    </row>
    <row r="121" spans="1:64" ht="12.75">
      <c r="A121" s="85" t="s">
        <v>137</v>
      </c>
      <c r="B121" s="85"/>
      <c r="C121" s="85" t="s">
        <v>285</v>
      </c>
      <c r="D121" s="185" t="s">
        <v>478</v>
      </c>
      <c r="E121" s="186"/>
      <c r="F121" s="85" t="s">
        <v>609</v>
      </c>
      <c r="G121" s="89">
        <v>1</v>
      </c>
      <c r="H121" s="102"/>
      <c r="I121" s="89">
        <f t="shared" si="74"/>
        <v>0</v>
      </c>
      <c r="J121" s="89">
        <f t="shared" si="75"/>
        <v>0</v>
      </c>
      <c r="K121" s="89">
        <f t="shared" si="76"/>
        <v>0</v>
      </c>
      <c r="L121" s="89">
        <v>0.00033</v>
      </c>
      <c r="M121" s="89">
        <f t="shared" si="77"/>
        <v>0.00033</v>
      </c>
      <c r="N121" s="80" t="s">
        <v>630</v>
      </c>
      <c r="O121" s="82"/>
      <c r="Z121" s="59">
        <f t="shared" si="78"/>
        <v>0</v>
      </c>
      <c r="AB121" s="59">
        <f t="shared" si="79"/>
        <v>0</v>
      </c>
      <c r="AC121" s="59">
        <f t="shared" si="80"/>
        <v>0</v>
      </c>
      <c r="AD121" s="59">
        <f t="shared" si="81"/>
        <v>0</v>
      </c>
      <c r="AE121" s="59">
        <f t="shared" si="82"/>
        <v>0</v>
      </c>
      <c r="AF121" s="59">
        <f t="shared" si="83"/>
        <v>0</v>
      </c>
      <c r="AG121" s="59">
        <f t="shared" si="84"/>
        <v>0</v>
      </c>
      <c r="AH121" s="59">
        <f t="shared" si="85"/>
        <v>0</v>
      </c>
      <c r="AI121" s="53"/>
      <c r="AJ121" s="44">
        <f t="shared" si="86"/>
        <v>0</v>
      </c>
      <c r="AK121" s="44">
        <f t="shared" si="87"/>
        <v>0</v>
      </c>
      <c r="AL121" s="44">
        <f t="shared" si="88"/>
        <v>0</v>
      </c>
      <c r="AN121" s="59">
        <v>15</v>
      </c>
      <c r="AO121" s="59">
        <f>H121*0.829103078982597</f>
        <v>0</v>
      </c>
      <c r="AP121" s="59">
        <f>H121*(1-0.829103078982597)</f>
        <v>0</v>
      </c>
      <c r="AQ121" s="60" t="s">
        <v>80</v>
      </c>
      <c r="AV121" s="59">
        <f t="shared" si="89"/>
        <v>0</v>
      </c>
      <c r="AW121" s="59">
        <f t="shared" si="90"/>
        <v>0</v>
      </c>
      <c r="AX121" s="59">
        <f t="shared" si="91"/>
        <v>0</v>
      </c>
      <c r="AY121" s="62" t="s">
        <v>647</v>
      </c>
      <c r="AZ121" s="62" t="s">
        <v>665</v>
      </c>
      <c r="BA121" s="53" t="s">
        <v>670</v>
      </c>
      <c r="BC121" s="59">
        <f t="shared" si="92"/>
        <v>0</v>
      </c>
      <c r="BD121" s="59">
        <f t="shared" si="93"/>
        <v>0</v>
      </c>
      <c r="BE121" s="59">
        <v>0</v>
      </c>
      <c r="BF121" s="59">
        <f t="shared" si="94"/>
        <v>0.00033</v>
      </c>
      <c r="BH121" s="44">
        <f t="shared" si="95"/>
        <v>0</v>
      </c>
      <c r="BI121" s="44">
        <f t="shared" si="96"/>
        <v>0</v>
      </c>
      <c r="BJ121" s="44">
        <f t="shared" si="97"/>
        <v>0</v>
      </c>
      <c r="BK121" s="44" t="s">
        <v>675</v>
      </c>
      <c r="BL121" s="59">
        <v>725</v>
      </c>
    </row>
    <row r="122" spans="1:64" ht="12.75">
      <c r="A122" s="85" t="s">
        <v>138</v>
      </c>
      <c r="B122" s="85"/>
      <c r="C122" s="85" t="s">
        <v>286</v>
      </c>
      <c r="D122" s="185" t="s">
        <v>479</v>
      </c>
      <c r="E122" s="186"/>
      <c r="F122" s="85" t="s">
        <v>612</v>
      </c>
      <c r="G122" s="89">
        <v>7</v>
      </c>
      <c r="H122" s="102"/>
      <c r="I122" s="89">
        <f t="shared" si="74"/>
        <v>0</v>
      </c>
      <c r="J122" s="89">
        <f t="shared" si="75"/>
        <v>0</v>
      </c>
      <c r="K122" s="89">
        <f t="shared" si="76"/>
        <v>0</v>
      </c>
      <c r="L122" s="89">
        <v>0.00017</v>
      </c>
      <c r="M122" s="89">
        <f t="shared" si="77"/>
        <v>0.00119</v>
      </c>
      <c r="N122" s="80" t="s">
        <v>630</v>
      </c>
      <c r="O122" s="82"/>
      <c r="Z122" s="59">
        <f t="shared" si="78"/>
        <v>0</v>
      </c>
      <c r="AB122" s="59">
        <f t="shared" si="79"/>
        <v>0</v>
      </c>
      <c r="AC122" s="59">
        <f t="shared" si="80"/>
        <v>0</v>
      </c>
      <c r="AD122" s="59">
        <f t="shared" si="81"/>
        <v>0</v>
      </c>
      <c r="AE122" s="59">
        <f t="shared" si="82"/>
        <v>0</v>
      </c>
      <c r="AF122" s="59">
        <f t="shared" si="83"/>
        <v>0</v>
      </c>
      <c r="AG122" s="59">
        <f t="shared" si="84"/>
        <v>0</v>
      </c>
      <c r="AH122" s="59">
        <f t="shared" si="85"/>
        <v>0</v>
      </c>
      <c r="AI122" s="53"/>
      <c r="AJ122" s="44">
        <f t="shared" si="86"/>
        <v>0</v>
      </c>
      <c r="AK122" s="44">
        <f t="shared" si="87"/>
        <v>0</v>
      </c>
      <c r="AL122" s="44">
        <f t="shared" si="88"/>
        <v>0</v>
      </c>
      <c r="AN122" s="59">
        <v>15</v>
      </c>
      <c r="AO122" s="59">
        <f>H122*0.523036437246963</f>
        <v>0</v>
      </c>
      <c r="AP122" s="59">
        <f>H122*(1-0.523036437246963)</f>
        <v>0</v>
      </c>
      <c r="AQ122" s="60" t="s">
        <v>80</v>
      </c>
      <c r="AV122" s="59">
        <f t="shared" si="89"/>
        <v>0</v>
      </c>
      <c r="AW122" s="59">
        <f t="shared" si="90"/>
        <v>0</v>
      </c>
      <c r="AX122" s="59">
        <f t="shared" si="91"/>
        <v>0</v>
      </c>
      <c r="AY122" s="62" t="s">
        <v>647</v>
      </c>
      <c r="AZ122" s="62" t="s">
        <v>665</v>
      </c>
      <c r="BA122" s="53" t="s">
        <v>670</v>
      </c>
      <c r="BC122" s="59">
        <f t="shared" si="92"/>
        <v>0</v>
      </c>
      <c r="BD122" s="59">
        <f t="shared" si="93"/>
        <v>0</v>
      </c>
      <c r="BE122" s="59">
        <v>0</v>
      </c>
      <c r="BF122" s="59">
        <f t="shared" si="94"/>
        <v>0.00119</v>
      </c>
      <c r="BH122" s="44">
        <f t="shared" si="95"/>
        <v>0</v>
      </c>
      <c r="BI122" s="44">
        <f t="shared" si="96"/>
        <v>0</v>
      </c>
      <c r="BJ122" s="44">
        <f t="shared" si="97"/>
        <v>0</v>
      </c>
      <c r="BK122" s="44" t="s">
        <v>675</v>
      </c>
      <c r="BL122" s="59">
        <v>725</v>
      </c>
    </row>
    <row r="123" spans="1:64" ht="12.75">
      <c r="A123" s="85" t="s">
        <v>139</v>
      </c>
      <c r="B123" s="85"/>
      <c r="C123" s="85" t="s">
        <v>287</v>
      </c>
      <c r="D123" s="185" t="s">
        <v>480</v>
      </c>
      <c r="E123" s="186"/>
      <c r="F123" s="85" t="s">
        <v>609</v>
      </c>
      <c r="G123" s="89">
        <v>2</v>
      </c>
      <c r="H123" s="102"/>
      <c r="I123" s="89">
        <f t="shared" si="74"/>
        <v>0</v>
      </c>
      <c r="J123" s="89">
        <f t="shared" si="75"/>
        <v>0</v>
      </c>
      <c r="K123" s="89">
        <f t="shared" si="76"/>
        <v>0</v>
      </c>
      <c r="L123" s="89">
        <v>0.00164</v>
      </c>
      <c r="M123" s="89">
        <f t="shared" si="77"/>
        <v>0.00328</v>
      </c>
      <c r="N123" s="80" t="s">
        <v>630</v>
      </c>
      <c r="O123" s="82"/>
      <c r="Z123" s="59">
        <f t="shared" si="78"/>
        <v>0</v>
      </c>
      <c r="AB123" s="59">
        <f t="shared" si="79"/>
        <v>0</v>
      </c>
      <c r="AC123" s="59">
        <f t="shared" si="80"/>
        <v>0</v>
      </c>
      <c r="AD123" s="59">
        <f t="shared" si="81"/>
        <v>0</v>
      </c>
      <c r="AE123" s="59">
        <f t="shared" si="82"/>
        <v>0</v>
      </c>
      <c r="AF123" s="59">
        <f t="shared" si="83"/>
        <v>0</v>
      </c>
      <c r="AG123" s="59">
        <f t="shared" si="84"/>
        <v>0</v>
      </c>
      <c r="AH123" s="59">
        <f t="shared" si="85"/>
        <v>0</v>
      </c>
      <c r="AI123" s="53"/>
      <c r="AJ123" s="44">
        <f t="shared" si="86"/>
        <v>0</v>
      </c>
      <c r="AK123" s="44">
        <f t="shared" si="87"/>
        <v>0</v>
      </c>
      <c r="AL123" s="44">
        <f t="shared" si="88"/>
        <v>0</v>
      </c>
      <c r="AN123" s="59">
        <v>15</v>
      </c>
      <c r="AO123" s="59">
        <f>H123*0.886520884520885</f>
        <v>0</v>
      </c>
      <c r="AP123" s="59">
        <f>H123*(1-0.886520884520885)</f>
        <v>0</v>
      </c>
      <c r="AQ123" s="60" t="s">
        <v>80</v>
      </c>
      <c r="AV123" s="59">
        <f t="shared" si="89"/>
        <v>0</v>
      </c>
      <c r="AW123" s="59">
        <f t="shared" si="90"/>
        <v>0</v>
      </c>
      <c r="AX123" s="59">
        <f t="shared" si="91"/>
        <v>0</v>
      </c>
      <c r="AY123" s="62" t="s">
        <v>647</v>
      </c>
      <c r="AZ123" s="62" t="s">
        <v>665</v>
      </c>
      <c r="BA123" s="53" t="s">
        <v>670</v>
      </c>
      <c r="BC123" s="59">
        <f t="shared" si="92"/>
        <v>0</v>
      </c>
      <c r="BD123" s="59">
        <f t="shared" si="93"/>
        <v>0</v>
      </c>
      <c r="BE123" s="59">
        <v>0</v>
      </c>
      <c r="BF123" s="59">
        <f t="shared" si="94"/>
        <v>0.00328</v>
      </c>
      <c r="BH123" s="44">
        <f t="shared" si="95"/>
        <v>0</v>
      </c>
      <c r="BI123" s="44">
        <f t="shared" si="96"/>
        <v>0</v>
      </c>
      <c r="BJ123" s="44">
        <f t="shared" si="97"/>
        <v>0</v>
      </c>
      <c r="BK123" s="44" t="s">
        <v>675</v>
      </c>
      <c r="BL123" s="59">
        <v>725</v>
      </c>
    </row>
    <row r="124" spans="1:64" ht="12.75">
      <c r="A124" s="85" t="s">
        <v>140</v>
      </c>
      <c r="B124" s="85"/>
      <c r="C124" s="85" t="s">
        <v>288</v>
      </c>
      <c r="D124" s="185" t="s">
        <v>481</v>
      </c>
      <c r="E124" s="186"/>
      <c r="F124" s="85" t="s">
        <v>609</v>
      </c>
      <c r="G124" s="89">
        <v>1</v>
      </c>
      <c r="H124" s="102"/>
      <c r="I124" s="89">
        <f t="shared" si="74"/>
        <v>0</v>
      </c>
      <c r="J124" s="89">
        <f t="shared" si="75"/>
        <v>0</v>
      </c>
      <c r="K124" s="89">
        <f t="shared" si="76"/>
        <v>0</v>
      </c>
      <c r="L124" s="89">
        <v>0.00152</v>
      </c>
      <c r="M124" s="89">
        <f t="shared" si="77"/>
        <v>0.00152</v>
      </c>
      <c r="N124" s="80" t="s">
        <v>630</v>
      </c>
      <c r="O124" s="82"/>
      <c r="Z124" s="59">
        <f t="shared" si="78"/>
        <v>0</v>
      </c>
      <c r="AB124" s="59">
        <f t="shared" si="79"/>
        <v>0</v>
      </c>
      <c r="AC124" s="59">
        <f t="shared" si="80"/>
        <v>0</v>
      </c>
      <c r="AD124" s="59">
        <f t="shared" si="81"/>
        <v>0</v>
      </c>
      <c r="AE124" s="59">
        <f t="shared" si="82"/>
        <v>0</v>
      </c>
      <c r="AF124" s="59">
        <f t="shared" si="83"/>
        <v>0</v>
      </c>
      <c r="AG124" s="59">
        <f t="shared" si="84"/>
        <v>0</v>
      </c>
      <c r="AH124" s="59">
        <f t="shared" si="85"/>
        <v>0</v>
      </c>
      <c r="AI124" s="53"/>
      <c r="AJ124" s="44">
        <f t="shared" si="86"/>
        <v>0</v>
      </c>
      <c r="AK124" s="44">
        <f t="shared" si="87"/>
        <v>0</v>
      </c>
      <c r="AL124" s="44">
        <f t="shared" si="88"/>
        <v>0</v>
      </c>
      <c r="AN124" s="59">
        <v>15</v>
      </c>
      <c r="AO124" s="59">
        <f>H124*0.852484261501211</f>
        <v>0</v>
      </c>
      <c r="AP124" s="59">
        <f>H124*(1-0.852484261501211)</f>
        <v>0</v>
      </c>
      <c r="AQ124" s="60" t="s">
        <v>80</v>
      </c>
      <c r="AV124" s="59">
        <f t="shared" si="89"/>
        <v>0</v>
      </c>
      <c r="AW124" s="59">
        <f t="shared" si="90"/>
        <v>0</v>
      </c>
      <c r="AX124" s="59">
        <f t="shared" si="91"/>
        <v>0</v>
      </c>
      <c r="AY124" s="62" t="s">
        <v>647</v>
      </c>
      <c r="AZ124" s="62" t="s">
        <v>665</v>
      </c>
      <c r="BA124" s="53" t="s">
        <v>670</v>
      </c>
      <c r="BC124" s="59">
        <f t="shared" si="92"/>
        <v>0</v>
      </c>
      <c r="BD124" s="59">
        <f t="shared" si="93"/>
        <v>0</v>
      </c>
      <c r="BE124" s="59">
        <v>0</v>
      </c>
      <c r="BF124" s="59">
        <f t="shared" si="94"/>
        <v>0.00152</v>
      </c>
      <c r="BH124" s="44">
        <f t="shared" si="95"/>
        <v>0</v>
      </c>
      <c r="BI124" s="44">
        <f t="shared" si="96"/>
        <v>0</v>
      </c>
      <c r="BJ124" s="44">
        <f t="shared" si="97"/>
        <v>0</v>
      </c>
      <c r="BK124" s="44" t="s">
        <v>675</v>
      </c>
      <c r="BL124" s="59">
        <v>725</v>
      </c>
    </row>
    <row r="125" spans="1:64" ht="12.75">
      <c r="A125" s="85" t="s">
        <v>141</v>
      </c>
      <c r="B125" s="85"/>
      <c r="C125" s="85" t="s">
        <v>289</v>
      </c>
      <c r="D125" s="185" t="s">
        <v>482</v>
      </c>
      <c r="E125" s="186"/>
      <c r="F125" s="85" t="s">
        <v>612</v>
      </c>
      <c r="G125" s="89">
        <v>1</v>
      </c>
      <c r="H125" s="102"/>
      <c r="I125" s="89">
        <f t="shared" si="74"/>
        <v>0</v>
      </c>
      <c r="J125" s="89">
        <f t="shared" si="75"/>
        <v>0</v>
      </c>
      <c r="K125" s="89">
        <f t="shared" si="76"/>
        <v>0</v>
      </c>
      <c r="L125" s="89">
        <v>0.00024</v>
      </c>
      <c r="M125" s="89">
        <f t="shared" si="77"/>
        <v>0.00024</v>
      </c>
      <c r="N125" s="80" t="s">
        <v>630</v>
      </c>
      <c r="O125" s="82"/>
      <c r="Z125" s="59">
        <f t="shared" si="78"/>
        <v>0</v>
      </c>
      <c r="AB125" s="59">
        <f t="shared" si="79"/>
        <v>0</v>
      </c>
      <c r="AC125" s="59">
        <f t="shared" si="80"/>
        <v>0</v>
      </c>
      <c r="AD125" s="59">
        <f t="shared" si="81"/>
        <v>0</v>
      </c>
      <c r="AE125" s="59">
        <f t="shared" si="82"/>
        <v>0</v>
      </c>
      <c r="AF125" s="59">
        <f t="shared" si="83"/>
        <v>0</v>
      </c>
      <c r="AG125" s="59">
        <f t="shared" si="84"/>
        <v>0</v>
      </c>
      <c r="AH125" s="59">
        <f t="shared" si="85"/>
        <v>0</v>
      </c>
      <c r="AI125" s="53"/>
      <c r="AJ125" s="44">
        <f t="shared" si="86"/>
        <v>0</v>
      </c>
      <c r="AK125" s="44">
        <f t="shared" si="87"/>
        <v>0</v>
      </c>
      <c r="AL125" s="44">
        <f t="shared" si="88"/>
        <v>0</v>
      </c>
      <c r="AN125" s="59">
        <v>15</v>
      </c>
      <c r="AO125" s="59">
        <f>H125*0.894161184210526</f>
        <v>0</v>
      </c>
      <c r="AP125" s="59">
        <f>H125*(1-0.894161184210526)</f>
        <v>0</v>
      </c>
      <c r="AQ125" s="60" t="s">
        <v>80</v>
      </c>
      <c r="AV125" s="59">
        <f t="shared" si="89"/>
        <v>0</v>
      </c>
      <c r="AW125" s="59">
        <f t="shared" si="90"/>
        <v>0</v>
      </c>
      <c r="AX125" s="59">
        <f t="shared" si="91"/>
        <v>0</v>
      </c>
      <c r="AY125" s="62" t="s">
        <v>647</v>
      </c>
      <c r="AZ125" s="62" t="s">
        <v>665</v>
      </c>
      <c r="BA125" s="53" t="s">
        <v>670</v>
      </c>
      <c r="BC125" s="59">
        <f t="shared" si="92"/>
        <v>0</v>
      </c>
      <c r="BD125" s="59">
        <f t="shared" si="93"/>
        <v>0</v>
      </c>
      <c r="BE125" s="59">
        <v>0</v>
      </c>
      <c r="BF125" s="59">
        <f t="shared" si="94"/>
        <v>0.00024</v>
      </c>
      <c r="BH125" s="44">
        <f t="shared" si="95"/>
        <v>0</v>
      </c>
      <c r="BI125" s="44">
        <f t="shared" si="96"/>
        <v>0</v>
      </c>
      <c r="BJ125" s="44">
        <f t="shared" si="97"/>
        <v>0</v>
      </c>
      <c r="BK125" s="44" t="s">
        <v>675</v>
      </c>
      <c r="BL125" s="59">
        <v>725</v>
      </c>
    </row>
    <row r="126" spans="1:64" ht="12.75">
      <c r="A126" s="78" t="s">
        <v>142</v>
      </c>
      <c r="B126" s="78"/>
      <c r="C126" s="78" t="s">
        <v>290</v>
      </c>
      <c r="D126" s="187" t="s">
        <v>483</v>
      </c>
      <c r="E126" s="188"/>
      <c r="F126" s="78" t="s">
        <v>612</v>
      </c>
      <c r="G126" s="79">
        <v>1</v>
      </c>
      <c r="H126" s="103"/>
      <c r="I126" s="79">
        <f t="shared" si="74"/>
        <v>0</v>
      </c>
      <c r="J126" s="79">
        <f t="shared" si="75"/>
        <v>0</v>
      </c>
      <c r="K126" s="79">
        <f t="shared" si="76"/>
        <v>0</v>
      </c>
      <c r="L126" s="79">
        <v>0.00186</v>
      </c>
      <c r="M126" s="79">
        <f t="shared" si="77"/>
        <v>0.00186</v>
      </c>
      <c r="N126" s="81" t="s">
        <v>630</v>
      </c>
      <c r="O126" s="82"/>
      <c r="Z126" s="59">
        <f t="shared" si="78"/>
        <v>0</v>
      </c>
      <c r="AB126" s="59">
        <f t="shared" si="79"/>
        <v>0</v>
      </c>
      <c r="AC126" s="59">
        <f t="shared" si="80"/>
        <v>0</v>
      </c>
      <c r="AD126" s="59">
        <f t="shared" si="81"/>
        <v>0</v>
      </c>
      <c r="AE126" s="59">
        <f t="shared" si="82"/>
        <v>0</v>
      </c>
      <c r="AF126" s="59">
        <f t="shared" si="83"/>
        <v>0</v>
      </c>
      <c r="AG126" s="59">
        <f t="shared" si="84"/>
        <v>0</v>
      </c>
      <c r="AH126" s="59">
        <f t="shared" si="85"/>
        <v>0</v>
      </c>
      <c r="AI126" s="53"/>
      <c r="AJ126" s="44">
        <f t="shared" si="86"/>
        <v>0</v>
      </c>
      <c r="AK126" s="44">
        <f t="shared" si="87"/>
        <v>0</v>
      </c>
      <c r="AL126" s="44">
        <f t="shared" si="88"/>
        <v>0</v>
      </c>
      <c r="AN126" s="59">
        <v>15</v>
      </c>
      <c r="AO126" s="59">
        <f>H126*0.449284009546539</f>
        <v>0</v>
      </c>
      <c r="AP126" s="59">
        <f>H126*(1-0.449284009546539)</f>
        <v>0</v>
      </c>
      <c r="AQ126" s="60" t="s">
        <v>80</v>
      </c>
      <c r="AV126" s="59">
        <f t="shared" si="89"/>
        <v>0</v>
      </c>
      <c r="AW126" s="59">
        <f t="shared" si="90"/>
        <v>0</v>
      </c>
      <c r="AX126" s="59">
        <f t="shared" si="91"/>
        <v>0</v>
      </c>
      <c r="AY126" s="62" t="s">
        <v>647</v>
      </c>
      <c r="AZ126" s="62" t="s">
        <v>665</v>
      </c>
      <c r="BA126" s="53" t="s">
        <v>670</v>
      </c>
      <c r="BC126" s="59">
        <f t="shared" si="92"/>
        <v>0</v>
      </c>
      <c r="BD126" s="59">
        <f t="shared" si="93"/>
        <v>0</v>
      </c>
      <c r="BE126" s="59">
        <v>0</v>
      </c>
      <c r="BF126" s="59">
        <f t="shared" si="94"/>
        <v>0.00186</v>
      </c>
      <c r="BH126" s="44">
        <f t="shared" si="95"/>
        <v>0</v>
      </c>
      <c r="BI126" s="44">
        <f t="shared" si="96"/>
        <v>0</v>
      </c>
      <c r="BJ126" s="44">
        <f t="shared" si="97"/>
        <v>0</v>
      </c>
      <c r="BK126" s="44" t="s">
        <v>675</v>
      </c>
      <c r="BL126" s="59">
        <v>725</v>
      </c>
    </row>
    <row r="127" spans="1:64" ht="12.75">
      <c r="A127" s="73" t="s">
        <v>143</v>
      </c>
      <c r="B127" s="17"/>
      <c r="C127" s="17" t="s">
        <v>291</v>
      </c>
      <c r="D127" s="123" t="s">
        <v>484</v>
      </c>
      <c r="E127" s="184"/>
      <c r="F127" s="17" t="s">
        <v>612</v>
      </c>
      <c r="G127" s="59">
        <v>1</v>
      </c>
      <c r="H127" s="101"/>
      <c r="I127" s="59">
        <f t="shared" si="74"/>
        <v>0</v>
      </c>
      <c r="J127" s="59">
        <f t="shared" si="75"/>
        <v>0</v>
      </c>
      <c r="K127" s="59">
        <f t="shared" si="76"/>
        <v>0</v>
      </c>
      <c r="L127" s="59">
        <v>0.02794</v>
      </c>
      <c r="M127" s="59">
        <f t="shared" si="77"/>
        <v>0.02794</v>
      </c>
      <c r="N127" s="74" t="s">
        <v>630</v>
      </c>
      <c r="O127" s="18"/>
      <c r="Z127" s="59">
        <f t="shared" si="78"/>
        <v>0</v>
      </c>
      <c r="AB127" s="59">
        <f t="shared" si="79"/>
        <v>0</v>
      </c>
      <c r="AC127" s="59">
        <f t="shared" si="80"/>
        <v>0</v>
      </c>
      <c r="AD127" s="59">
        <f t="shared" si="81"/>
        <v>0</v>
      </c>
      <c r="AE127" s="59">
        <f t="shared" si="82"/>
        <v>0</v>
      </c>
      <c r="AF127" s="59">
        <f t="shared" si="83"/>
        <v>0</v>
      </c>
      <c r="AG127" s="59">
        <f t="shared" si="84"/>
        <v>0</v>
      </c>
      <c r="AH127" s="59">
        <f t="shared" si="85"/>
        <v>0</v>
      </c>
      <c r="AI127" s="53"/>
      <c r="AJ127" s="44">
        <f t="shared" si="86"/>
        <v>0</v>
      </c>
      <c r="AK127" s="44">
        <f t="shared" si="87"/>
        <v>0</v>
      </c>
      <c r="AL127" s="44">
        <f t="shared" si="88"/>
        <v>0</v>
      </c>
      <c r="AN127" s="59">
        <v>15</v>
      </c>
      <c r="AO127" s="59">
        <f>H127*0.849222123104371</f>
        <v>0</v>
      </c>
      <c r="AP127" s="59">
        <f>H127*(1-0.849222123104371)</f>
        <v>0</v>
      </c>
      <c r="AQ127" s="60" t="s">
        <v>80</v>
      </c>
      <c r="AV127" s="59">
        <f t="shared" si="89"/>
        <v>0</v>
      </c>
      <c r="AW127" s="59">
        <f t="shared" si="90"/>
        <v>0</v>
      </c>
      <c r="AX127" s="59">
        <f t="shared" si="91"/>
        <v>0</v>
      </c>
      <c r="AY127" s="62" t="s">
        <v>647</v>
      </c>
      <c r="AZ127" s="62" t="s">
        <v>665</v>
      </c>
      <c r="BA127" s="53" t="s">
        <v>670</v>
      </c>
      <c r="BC127" s="59">
        <f t="shared" si="92"/>
        <v>0</v>
      </c>
      <c r="BD127" s="59">
        <f t="shared" si="93"/>
        <v>0</v>
      </c>
      <c r="BE127" s="59">
        <v>0</v>
      </c>
      <c r="BF127" s="59">
        <f t="shared" si="94"/>
        <v>0.02794</v>
      </c>
      <c r="BH127" s="44">
        <f t="shared" si="95"/>
        <v>0</v>
      </c>
      <c r="BI127" s="44">
        <f t="shared" si="96"/>
        <v>0</v>
      </c>
      <c r="BJ127" s="44">
        <f t="shared" si="97"/>
        <v>0</v>
      </c>
      <c r="BK127" s="44" t="s">
        <v>675</v>
      </c>
      <c r="BL127" s="59">
        <v>725</v>
      </c>
    </row>
    <row r="128" spans="1:64" ht="12.75">
      <c r="A128" s="85" t="s">
        <v>144</v>
      </c>
      <c r="B128" s="85"/>
      <c r="C128" s="85" t="s">
        <v>292</v>
      </c>
      <c r="D128" s="185" t="s">
        <v>485</v>
      </c>
      <c r="E128" s="186"/>
      <c r="F128" s="85" t="s">
        <v>612</v>
      </c>
      <c r="G128" s="89">
        <v>2</v>
      </c>
      <c r="H128" s="102"/>
      <c r="I128" s="89">
        <f t="shared" si="74"/>
        <v>0</v>
      </c>
      <c r="J128" s="89">
        <f t="shared" si="75"/>
        <v>0</v>
      </c>
      <c r="K128" s="89">
        <f t="shared" si="76"/>
        <v>0</v>
      </c>
      <c r="L128" s="89">
        <v>0.0011</v>
      </c>
      <c r="M128" s="89">
        <f t="shared" si="77"/>
        <v>0.0022</v>
      </c>
      <c r="N128" s="80" t="s">
        <v>630</v>
      </c>
      <c r="O128" s="82"/>
      <c r="Z128" s="59">
        <f t="shared" si="78"/>
        <v>0</v>
      </c>
      <c r="AB128" s="59">
        <f t="shared" si="79"/>
        <v>0</v>
      </c>
      <c r="AC128" s="59">
        <f t="shared" si="80"/>
        <v>0</v>
      </c>
      <c r="AD128" s="59">
        <f t="shared" si="81"/>
        <v>0</v>
      </c>
      <c r="AE128" s="59">
        <f t="shared" si="82"/>
        <v>0</v>
      </c>
      <c r="AF128" s="59">
        <f t="shared" si="83"/>
        <v>0</v>
      </c>
      <c r="AG128" s="59">
        <f t="shared" si="84"/>
        <v>0</v>
      </c>
      <c r="AH128" s="59">
        <f t="shared" si="85"/>
        <v>0</v>
      </c>
      <c r="AI128" s="53"/>
      <c r="AJ128" s="44">
        <f t="shared" si="86"/>
        <v>0</v>
      </c>
      <c r="AK128" s="44">
        <f t="shared" si="87"/>
        <v>0</v>
      </c>
      <c r="AL128" s="44">
        <f t="shared" si="88"/>
        <v>0</v>
      </c>
      <c r="AN128" s="59">
        <v>15</v>
      </c>
      <c r="AO128" s="59">
        <f>H128*0.778173575129534</f>
        <v>0</v>
      </c>
      <c r="AP128" s="59">
        <f>H128*(1-0.778173575129534)</f>
        <v>0</v>
      </c>
      <c r="AQ128" s="60" t="s">
        <v>80</v>
      </c>
      <c r="AV128" s="59">
        <f t="shared" si="89"/>
        <v>0</v>
      </c>
      <c r="AW128" s="59">
        <f t="shared" si="90"/>
        <v>0</v>
      </c>
      <c r="AX128" s="59">
        <f t="shared" si="91"/>
        <v>0</v>
      </c>
      <c r="AY128" s="62" t="s">
        <v>647</v>
      </c>
      <c r="AZ128" s="62" t="s">
        <v>665</v>
      </c>
      <c r="BA128" s="53" t="s">
        <v>670</v>
      </c>
      <c r="BC128" s="59">
        <f t="shared" si="92"/>
        <v>0</v>
      </c>
      <c r="BD128" s="59">
        <f t="shared" si="93"/>
        <v>0</v>
      </c>
      <c r="BE128" s="59">
        <v>0</v>
      </c>
      <c r="BF128" s="59">
        <f t="shared" si="94"/>
        <v>0.0022</v>
      </c>
      <c r="BH128" s="44">
        <f t="shared" si="95"/>
        <v>0</v>
      </c>
      <c r="BI128" s="44">
        <f t="shared" si="96"/>
        <v>0</v>
      </c>
      <c r="BJ128" s="44">
        <f t="shared" si="97"/>
        <v>0</v>
      </c>
      <c r="BK128" s="44" t="s">
        <v>675</v>
      </c>
      <c r="BL128" s="59">
        <v>725</v>
      </c>
    </row>
    <row r="129" spans="1:64" ht="12.75">
      <c r="A129" s="78" t="s">
        <v>145</v>
      </c>
      <c r="B129" s="78"/>
      <c r="C129" s="78" t="s">
        <v>293</v>
      </c>
      <c r="D129" s="187" t="s">
        <v>486</v>
      </c>
      <c r="E129" s="192"/>
      <c r="F129" s="78" t="s">
        <v>609</v>
      </c>
      <c r="G129" s="79">
        <v>1</v>
      </c>
      <c r="H129" s="103"/>
      <c r="I129" s="79">
        <f t="shared" si="74"/>
        <v>0</v>
      </c>
      <c r="J129" s="79">
        <f t="shared" si="75"/>
        <v>0</v>
      </c>
      <c r="K129" s="79">
        <f t="shared" si="76"/>
        <v>0</v>
      </c>
      <c r="L129" s="79">
        <v>0.008</v>
      </c>
      <c r="M129" s="79">
        <f t="shared" si="77"/>
        <v>0.008</v>
      </c>
      <c r="N129" s="81" t="s">
        <v>630</v>
      </c>
      <c r="O129" s="82"/>
      <c r="Z129" s="59">
        <f t="shared" si="78"/>
        <v>0</v>
      </c>
      <c r="AB129" s="59">
        <f t="shared" si="79"/>
        <v>0</v>
      </c>
      <c r="AC129" s="59">
        <f t="shared" si="80"/>
        <v>0</v>
      </c>
      <c r="AD129" s="59">
        <f t="shared" si="81"/>
        <v>0</v>
      </c>
      <c r="AE129" s="59">
        <f t="shared" si="82"/>
        <v>0</v>
      </c>
      <c r="AF129" s="59">
        <f t="shared" si="83"/>
        <v>0</v>
      </c>
      <c r="AG129" s="59">
        <f t="shared" si="84"/>
        <v>0</v>
      </c>
      <c r="AH129" s="59">
        <f t="shared" si="85"/>
        <v>0</v>
      </c>
      <c r="AI129" s="53"/>
      <c r="AJ129" s="45">
        <f t="shared" si="86"/>
        <v>0</v>
      </c>
      <c r="AK129" s="45">
        <f t="shared" si="87"/>
        <v>0</v>
      </c>
      <c r="AL129" s="45">
        <f t="shared" si="88"/>
        <v>0</v>
      </c>
      <c r="AN129" s="59">
        <v>15</v>
      </c>
      <c r="AO129" s="59">
        <f>H129*1</f>
        <v>0</v>
      </c>
      <c r="AP129" s="59">
        <f>H129*(1-1)</f>
        <v>0</v>
      </c>
      <c r="AQ129" s="61" t="s">
        <v>80</v>
      </c>
      <c r="AV129" s="59">
        <f t="shared" si="89"/>
        <v>0</v>
      </c>
      <c r="AW129" s="59">
        <f t="shared" si="90"/>
        <v>0</v>
      </c>
      <c r="AX129" s="59">
        <f t="shared" si="91"/>
        <v>0</v>
      </c>
      <c r="AY129" s="62" t="s">
        <v>647</v>
      </c>
      <c r="AZ129" s="62" t="s">
        <v>665</v>
      </c>
      <c r="BA129" s="53" t="s">
        <v>670</v>
      </c>
      <c r="BC129" s="59">
        <f t="shared" si="92"/>
        <v>0</v>
      </c>
      <c r="BD129" s="59">
        <f t="shared" si="93"/>
        <v>0</v>
      </c>
      <c r="BE129" s="59">
        <v>0</v>
      </c>
      <c r="BF129" s="59">
        <f t="shared" si="94"/>
        <v>0.008</v>
      </c>
      <c r="BH129" s="45">
        <f t="shared" si="95"/>
        <v>0</v>
      </c>
      <c r="BI129" s="45">
        <f t="shared" si="96"/>
        <v>0</v>
      </c>
      <c r="BJ129" s="45">
        <f t="shared" si="97"/>
        <v>0</v>
      </c>
      <c r="BK129" s="45" t="s">
        <v>676</v>
      </c>
      <c r="BL129" s="59">
        <v>725</v>
      </c>
    </row>
    <row r="130" spans="1:64" ht="12.75">
      <c r="A130" s="73" t="s">
        <v>146</v>
      </c>
      <c r="B130" s="17"/>
      <c r="C130" s="17" t="s">
        <v>294</v>
      </c>
      <c r="D130" s="123" t="s">
        <v>487</v>
      </c>
      <c r="E130" s="193"/>
      <c r="F130" s="17" t="s">
        <v>609</v>
      </c>
      <c r="G130" s="59">
        <v>1</v>
      </c>
      <c r="H130" s="101"/>
      <c r="I130" s="59">
        <f t="shared" si="74"/>
        <v>0</v>
      </c>
      <c r="J130" s="59">
        <f t="shared" si="75"/>
        <v>0</v>
      </c>
      <c r="K130" s="59">
        <f t="shared" si="76"/>
        <v>0</v>
      </c>
      <c r="L130" s="59">
        <v>0.013</v>
      </c>
      <c r="M130" s="59">
        <f t="shared" si="77"/>
        <v>0.013</v>
      </c>
      <c r="N130" s="74" t="s">
        <v>630</v>
      </c>
      <c r="O130" s="18"/>
      <c r="Z130" s="59">
        <f t="shared" si="78"/>
        <v>0</v>
      </c>
      <c r="AB130" s="59">
        <f t="shared" si="79"/>
        <v>0</v>
      </c>
      <c r="AC130" s="59">
        <f t="shared" si="80"/>
        <v>0</v>
      </c>
      <c r="AD130" s="59">
        <f t="shared" si="81"/>
        <v>0</v>
      </c>
      <c r="AE130" s="59">
        <f t="shared" si="82"/>
        <v>0</v>
      </c>
      <c r="AF130" s="59">
        <f t="shared" si="83"/>
        <v>0</v>
      </c>
      <c r="AG130" s="59">
        <f t="shared" si="84"/>
        <v>0</v>
      </c>
      <c r="AH130" s="59">
        <f t="shared" si="85"/>
        <v>0</v>
      </c>
      <c r="AI130" s="53"/>
      <c r="AJ130" s="45">
        <f t="shared" si="86"/>
        <v>0</v>
      </c>
      <c r="AK130" s="45">
        <f t="shared" si="87"/>
        <v>0</v>
      </c>
      <c r="AL130" s="45">
        <f t="shared" si="88"/>
        <v>0</v>
      </c>
      <c r="AN130" s="59">
        <v>15</v>
      </c>
      <c r="AO130" s="59">
        <f>H130*1</f>
        <v>0</v>
      </c>
      <c r="AP130" s="59">
        <f>H130*(1-1)</f>
        <v>0</v>
      </c>
      <c r="AQ130" s="61" t="s">
        <v>80</v>
      </c>
      <c r="AV130" s="59">
        <f t="shared" si="89"/>
        <v>0</v>
      </c>
      <c r="AW130" s="59">
        <f t="shared" si="90"/>
        <v>0</v>
      </c>
      <c r="AX130" s="59">
        <f t="shared" si="91"/>
        <v>0</v>
      </c>
      <c r="AY130" s="62" t="s">
        <v>647</v>
      </c>
      <c r="AZ130" s="62" t="s">
        <v>665</v>
      </c>
      <c r="BA130" s="53" t="s">
        <v>670</v>
      </c>
      <c r="BC130" s="59">
        <f t="shared" si="92"/>
        <v>0</v>
      </c>
      <c r="BD130" s="59">
        <f t="shared" si="93"/>
        <v>0</v>
      </c>
      <c r="BE130" s="59">
        <v>0</v>
      </c>
      <c r="BF130" s="59">
        <f t="shared" si="94"/>
        <v>0.013</v>
      </c>
      <c r="BH130" s="45">
        <f t="shared" si="95"/>
        <v>0</v>
      </c>
      <c r="BI130" s="45">
        <f t="shared" si="96"/>
        <v>0</v>
      </c>
      <c r="BJ130" s="45">
        <f t="shared" si="97"/>
        <v>0</v>
      </c>
      <c r="BK130" s="45" t="s">
        <v>676</v>
      </c>
      <c r="BL130" s="59">
        <v>725</v>
      </c>
    </row>
    <row r="131" spans="1:64" ht="12.75">
      <c r="A131" s="73" t="s">
        <v>147</v>
      </c>
      <c r="B131" s="17"/>
      <c r="C131" s="17" t="s">
        <v>295</v>
      </c>
      <c r="D131" s="123" t="s">
        <v>488</v>
      </c>
      <c r="E131" s="193"/>
      <c r="F131" s="17" t="s">
        <v>609</v>
      </c>
      <c r="G131" s="59">
        <v>1</v>
      </c>
      <c r="H131" s="101"/>
      <c r="I131" s="59">
        <f t="shared" si="74"/>
        <v>0</v>
      </c>
      <c r="J131" s="59">
        <f t="shared" si="75"/>
        <v>0</v>
      </c>
      <c r="K131" s="59">
        <f t="shared" si="76"/>
        <v>0</v>
      </c>
      <c r="L131" s="59">
        <v>0.01</v>
      </c>
      <c r="M131" s="59">
        <f t="shared" si="77"/>
        <v>0.01</v>
      </c>
      <c r="N131" s="74" t="s">
        <v>630</v>
      </c>
      <c r="O131" s="18"/>
      <c r="Z131" s="59">
        <f t="shared" si="78"/>
        <v>0</v>
      </c>
      <c r="AB131" s="59">
        <f t="shared" si="79"/>
        <v>0</v>
      </c>
      <c r="AC131" s="59">
        <f t="shared" si="80"/>
        <v>0</v>
      </c>
      <c r="AD131" s="59">
        <f t="shared" si="81"/>
        <v>0</v>
      </c>
      <c r="AE131" s="59">
        <f t="shared" si="82"/>
        <v>0</v>
      </c>
      <c r="AF131" s="59">
        <f t="shared" si="83"/>
        <v>0</v>
      </c>
      <c r="AG131" s="59">
        <f t="shared" si="84"/>
        <v>0</v>
      </c>
      <c r="AH131" s="59">
        <f t="shared" si="85"/>
        <v>0</v>
      </c>
      <c r="AI131" s="53"/>
      <c r="AJ131" s="45">
        <f t="shared" si="86"/>
        <v>0</v>
      </c>
      <c r="AK131" s="45">
        <f t="shared" si="87"/>
        <v>0</v>
      </c>
      <c r="AL131" s="45">
        <f t="shared" si="88"/>
        <v>0</v>
      </c>
      <c r="AN131" s="59">
        <v>15</v>
      </c>
      <c r="AO131" s="59">
        <f>H131*1</f>
        <v>0</v>
      </c>
      <c r="AP131" s="59">
        <f>H131*(1-1)</f>
        <v>0</v>
      </c>
      <c r="AQ131" s="61" t="s">
        <v>80</v>
      </c>
      <c r="AV131" s="59">
        <f t="shared" si="89"/>
        <v>0</v>
      </c>
      <c r="AW131" s="59">
        <f t="shared" si="90"/>
        <v>0</v>
      </c>
      <c r="AX131" s="59">
        <f t="shared" si="91"/>
        <v>0</v>
      </c>
      <c r="AY131" s="62" t="s">
        <v>647</v>
      </c>
      <c r="AZ131" s="62" t="s">
        <v>665</v>
      </c>
      <c r="BA131" s="53" t="s">
        <v>670</v>
      </c>
      <c r="BC131" s="59">
        <f t="shared" si="92"/>
        <v>0</v>
      </c>
      <c r="BD131" s="59">
        <f t="shared" si="93"/>
        <v>0</v>
      </c>
      <c r="BE131" s="59">
        <v>0</v>
      </c>
      <c r="BF131" s="59">
        <f t="shared" si="94"/>
        <v>0.01</v>
      </c>
      <c r="BH131" s="45">
        <f t="shared" si="95"/>
        <v>0</v>
      </c>
      <c r="BI131" s="45">
        <f t="shared" si="96"/>
        <v>0</v>
      </c>
      <c r="BJ131" s="45">
        <f t="shared" si="97"/>
        <v>0</v>
      </c>
      <c r="BK131" s="45" t="s">
        <v>676</v>
      </c>
      <c r="BL131" s="59">
        <v>725</v>
      </c>
    </row>
    <row r="132" spans="1:64" ht="12.75">
      <c r="A132" s="73" t="s">
        <v>148</v>
      </c>
      <c r="B132" s="17"/>
      <c r="C132" s="17" t="s">
        <v>296</v>
      </c>
      <c r="D132" s="123" t="s">
        <v>489</v>
      </c>
      <c r="E132" s="193"/>
      <c r="F132" s="17" t="s">
        <v>609</v>
      </c>
      <c r="G132" s="59">
        <v>1</v>
      </c>
      <c r="H132" s="101"/>
      <c r="I132" s="59">
        <f t="shared" si="74"/>
        <v>0</v>
      </c>
      <c r="J132" s="59">
        <f t="shared" si="75"/>
        <v>0</v>
      </c>
      <c r="K132" s="59">
        <f t="shared" si="76"/>
        <v>0</v>
      </c>
      <c r="L132" s="59">
        <v>0.009</v>
      </c>
      <c r="M132" s="59">
        <f t="shared" si="77"/>
        <v>0.009</v>
      </c>
      <c r="N132" s="74" t="s">
        <v>630</v>
      </c>
      <c r="O132" s="18"/>
      <c r="Z132" s="59">
        <f t="shared" si="78"/>
        <v>0</v>
      </c>
      <c r="AB132" s="59">
        <f t="shared" si="79"/>
        <v>0</v>
      </c>
      <c r="AC132" s="59">
        <f t="shared" si="80"/>
        <v>0</v>
      </c>
      <c r="AD132" s="59">
        <f t="shared" si="81"/>
        <v>0</v>
      </c>
      <c r="AE132" s="59">
        <f t="shared" si="82"/>
        <v>0</v>
      </c>
      <c r="AF132" s="59">
        <f t="shared" si="83"/>
        <v>0</v>
      </c>
      <c r="AG132" s="59">
        <f t="shared" si="84"/>
        <v>0</v>
      </c>
      <c r="AH132" s="59">
        <f t="shared" si="85"/>
        <v>0</v>
      </c>
      <c r="AI132" s="53"/>
      <c r="AJ132" s="45">
        <f t="shared" si="86"/>
        <v>0</v>
      </c>
      <c r="AK132" s="45">
        <f t="shared" si="87"/>
        <v>0</v>
      </c>
      <c r="AL132" s="45">
        <f t="shared" si="88"/>
        <v>0</v>
      </c>
      <c r="AN132" s="59">
        <v>15</v>
      </c>
      <c r="AO132" s="59">
        <f>H132*1</f>
        <v>0</v>
      </c>
      <c r="AP132" s="59">
        <f>H132*(1-1)</f>
        <v>0</v>
      </c>
      <c r="AQ132" s="61" t="s">
        <v>80</v>
      </c>
      <c r="AV132" s="59">
        <f t="shared" si="89"/>
        <v>0</v>
      </c>
      <c r="AW132" s="59">
        <f t="shared" si="90"/>
        <v>0</v>
      </c>
      <c r="AX132" s="59">
        <f t="shared" si="91"/>
        <v>0</v>
      </c>
      <c r="AY132" s="62" t="s">
        <v>647</v>
      </c>
      <c r="AZ132" s="62" t="s">
        <v>665</v>
      </c>
      <c r="BA132" s="53" t="s">
        <v>670</v>
      </c>
      <c r="BC132" s="59">
        <f t="shared" si="92"/>
        <v>0</v>
      </c>
      <c r="BD132" s="59">
        <f t="shared" si="93"/>
        <v>0</v>
      </c>
      <c r="BE132" s="59">
        <v>0</v>
      </c>
      <c r="BF132" s="59">
        <f t="shared" si="94"/>
        <v>0.009</v>
      </c>
      <c r="BH132" s="45">
        <f t="shared" si="95"/>
        <v>0</v>
      </c>
      <c r="BI132" s="45">
        <f t="shared" si="96"/>
        <v>0</v>
      </c>
      <c r="BJ132" s="45">
        <f t="shared" si="97"/>
        <v>0</v>
      </c>
      <c r="BK132" s="45" t="s">
        <v>676</v>
      </c>
      <c r="BL132" s="59">
        <v>725</v>
      </c>
    </row>
    <row r="133" spans="1:64" ht="12.75">
      <c r="A133" s="78" t="s">
        <v>149</v>
      </c>
      <c r="B133" s="78"/>
      <c r="C133" s="78" t="s">
        <v>297</v>
      </c>
      <c r="D133" s="187" t="s">
        <v>490</v>
      </c>
      <c r="E133" s="188"/>
      <c r="F133" s="78" t="s">
        <v>610</v>
      </c>
      <c r="G133" s="79">
        <v>0.2</v>
      </c>
      <c r="H133" s="103"/>
      <c r="I133" s="79">
        <f t="shared" si="74"/>
        <v>0</v>
      </c>
      <c r="J133" s="79">
        <f t="shared" si="75"/>
        <v>0</v>
      </c>
      <c r="K133" s="79">
        <f t="shared" si="76"/>
        <v>0</v>
      </c>
      <c r="L133" s="79">
        <v>0</v>
      </c>
      <c r="M133" s="79">
        <f t="shared" si="77"/>
        <v>0</v>
      </c>
      <c r="N133" s="81" t="s">
        <v>630</v>
      </c>
      <c r="O133" s="82"/>
      <c r="Z133" s="59">
        <f t="shared" si="78"/>
        <v>0</v>
      </c>
      <c r="AB133" s="59">
        <f t="shared" si="79"/>
        <v>0</v>
      </c>
      <c r="AC133" s="59">
        <f t="shared" si="80"/>
        <v>0</v>
      </c>
      <c r="AD133" s="59">
        <f t="shared" si="81"/>
        <v>0</v>
      </c>
      <c r="AE133" s="59">
        <f t="shared" si="82"/>
        <v>0</v>
      </c>
      <c r="AF133" s="59">
        <f t="shared" si="83"/>
        <v>0</v>
      </c>
      <c r="AG133" s="59">
        <f t="shared" si="84"/>
        <v>0</v>
      </c>
      <c r="AH133" s="59">
        <f t="shared" si="85"/>
        <v>0</v>
      </c>
      <c r="AI133" s="53"/>
      <c r="AJ133" s="44">
        <f t="shared" si="86"/>
        <v>0</v>
      </c>
      <c r="AK133" s="44">
        <f t="shared" si="87"/>
        <v>0</v>
      </c>
      <c r="AL133" s="44">
        <f t="shared" si="88"/>
        <v>0</v>
      </c>
      <c r="AN133" s="59">
        <v>15</v>
      </c>
      <c r="AO133" s="59">
        <f>H133*0</f>
        <v>0</v>
      </c>
      <c r="AP133" s="59">
        <f>H133*(1-0)</f>
        <v>0</v>
      </c>
      <c r="AQ133" s="60" t="s">
        <v>80</v>
      </c>
      <c r="AV133" s="59">
        <f t="shared" si="89"/>
        <v>0</v>
      </c>
      <c r="AW133" s="59">
        <f t="shared" si="90"/>
        <v>0</v>
      </c>
      <c r="AX133" s="59">
        <f t="shared" si="91"/>
        <v>0</v>
      </c>
      <c r="AY133" s="62" t="s">
        <v>647</v>
      </c>
      <c r="AZ133" s="62" t="s">
        <v>665</v>
      </c>
      <c r="BA133" s="53" t="s">
        <v>670</v>
      </c>
      <c r="BC133" s="59">
        <f t="shared" si="92"/>
        <v>0</v>
      </c>
      <c r="BD133" s="59">
        <f t="shared" si="93"/>
        <v>0</v>
      </c>
      <c r="BE133" s="59">
        <v>0</v>
      </c>
      <c r="BF133" s="59">
        <f t="shared" si="94"/>
        <v>0</v>
      </c>
      <c r="BH133" s="44">
        <f t="shared" si="95"/>
        <v>0</v>
      </c>
      <c r="BI133" s="44">
        <f t="shared" si="96"/>
        <v>0</v>
      </c>
      <c r="BJ133" s="44">
        <f t="shared" si="97"/>
        <v>0</v>
      </c>
      <c r="BK133" s="44" t="s">
        <v>675</v>
      </c>
      <c r="BL133" s="59">
        <v>725</v>
      </c>
    </row>
    <row r="134" spans="1:47" ht="12.75">
      <c r="A134" s="67"/>
      <c r="B134" s="68"/>
      <c r="C134" s="68" t="s">
        <v>298</v>
      </c>
      <c r="D134" s="182" t="s">
        <v>491</v>
      </c>
      <c r="E134" s="183"/>
      <c r="F134" s="69" t="s">
        <v>73</v>
      </c>
      <c r="G134" s="69" t="s">
        <v>73</v>
      </c>
      <c r="H134" s="69" t="s">
        <v>73</v>
      </c>
      <c r="I134" s="70">
        <f>SUM(I135:I136)</f>
        <v>0</v>
      </c>
      <c r="J134" s="70">
        <f>SUM(J135:J136)</f>
        <v>0</v>
      </c>
      <c r="K134" s="70">
        <f>SUM(K135:K136)</f>
        <v>0</v>
      </c>
      <c r="L134" s="71"/>
      <c r="M134" s="70">
        <f>SUM(M135:M136)</f>
        <v>0</v>
      </c>
      <c r="N134" s="72"/>
      <c r="O134" s="18"/>
      <c r="AI134" s="53"/>
      <c r="AS134" s="65">
        <f>SUM(AJ135:AJ136)</f>
        <v>0</v>
      </c>
      <c r="AT134" s="65">
        <f>SUM(AK135:AK136)</f>
        <v>0</v>
      </c>
      <c r="AU134" s="65">
        <f>SUM(AL135:AL136)</f>
        <v>0</v>
      </c>
    </row>
    <row r="135" spans="1:64" ht="12.75">
      <c r="A135" s="85" t="s">
        <v>150</v>
      </c>
      <c r="B135" s="85"/>
      <c r="C135" s="85" t="s">
        <v>238</v>
      </c>
      <c r="D135" s="185" t="s">
        <v>492</v>
      </c>
      <c r="E135" s="186"/>
      <c r="F135" s="85" t="s">
        <v>613</v>
      </c>
      <c r="G135" s="89">
        <v>1</v>
      </c>
      <c r="H135" s="102"/>
      <c r="I135" s="89">
        <f>G135*AO135</f>
        <v>0</v>
      </c>
      <c r="J135" s="89">
        <f>G135*AP135</f>
        <v>0</v>
      </c>
      <c r="K135" s="89">
        <f>G135*H135</f>
        <v>0</v>
      </c>
      <c r="L135" s="89">
        <v>0</v>
      </c>
      <c r="M135" s="89">
        <f>G135*L135</f>
        <v>0</v>
      </c>
      <c r="N135" s="80" t="s">
        <v>238</v>
      </c>
      <c r="O135" s="82"/>
      <c r="Z135" s="59">
        <f>IF(AQ135="5",BJ135,0)</f>
        <v>0</v>
      </c>
      <c r="AB135" s="59">
        <f>IF(AQ135="1",BH135,0)</f>
        <v>0</v>
      </c>
      <c r="AC135" s="59">
        <f>IF(AQ135="1",BI135,0)</f>
        <v>0</v>
      </c>
      <c r="AD135" s="59">
        <f>IF(AQ135="7",BH135,0)</f>
        <v>0</v>
      </c>
      <c r="AE135" s="59">
        <f>IF(AQ135="7",BI135,0)</f>
        <v>0</v>
      </c>
      <c r="AF135" s="59">
        <f>IF(AQ135="2",BH135,0)</f>
        <v>0</v>
      </c>
      <c r="AG135" s="59">
        <f>IF(AQ135="2",BI135,0)</f>
        <v>0</v>
      </c>
      <c r="AH135" s="59">
        <f>IF(AQ135="0",BJ135,0)</f>
        <v>0</v>
      </c>
      <c r="AI135" s="53"/>
      <c r="AJ135" s="44">
        <f>IF(AN135=0,K135,0)</f>
        <v>0</v>
      </c>
      <c r="AK135" s="44">
        <f>IF(AN135=15,K135,0)</f>
        <v>0</v>
      </c>
      <c r="AL135" s="44">
        <f>IF(AN135=21,K135,0)</f>
        <v>0</v>
      </c>
      <c r="AN135" s="59">
        <v>15</v>
      </c>
      <c r="AO135" s="59">
        <f>H135*0</f>
        <v>0</v>
      </c>
      <c r="AP135" s="59">
        <f>H135*(1-0)</f>
        <v>0</v>
      </c>
      <c r="AQ135" s="60" t="s">
        <v>78</v>
      </c>
      <c r="AV135" s="59">
        <f>AW135+AX135</f>
        <v>0</v>
      </c>
      <c r="AW135" s="59">
        <f>G135*AO135</f>
        <v>0</v>
      </c>
      <c r="AX135" s="59">
        <f>G135*AP135</f>
        <v>0</v>
      </c>
      <c r="AY135" s="62" t="s">
        <v>648</v>
      </c>
      <c r="AZ135" s="62" t="s">
        <v>665</v>
      </c>
      <c r="BA135" s="53" t="s">
        <v>670</v>
      </c>
      <c r="BC135" s="59">
        <f>AW135+AX135</f>
        <v>0</v>
      </c>
      <c r="BD135" s="59">
        <f>H135/(100-BE135)*100</f>
        <v>0</v>
      </c>
      <c r="BE135" s="59">
        <v>0</v>
      </c>
      <c r="BF135" s="59">
        <f>M135</f>
        <v>0</v>
      </c>
      <c r="BH135" s="44">
        <f>G135*AO135</f>
        <v>0</v>
      </c>
      <c r="BI135" s="44">
        <f>G135*AP135</f>
        <v>0</v>
      </c>
      <c r="BJ135" s="44">
        <f>G135*H135</f>
        <v>0</v>
      </c>
      <c r="BK135" s="44" t="s">
        <v>675</v>
      </c>
      <c r="BL135" s="59">
        <v>728</v>
      </c>
    </row>
    <row r="136" spans="1:64" ht="12.75">
      <c r="A136" s="85" t="s">
        <v>151</v>
      </c>
      <c r="B136" s="85"/>
      <c r="C136" s="85" t="s">
        <v>299</v>
      </c>
      <c r="D136" s="185" t="s">
        <v>493</v>
      </c>
      <c r="E136" s="186"/>
      <c r="F136" s="85" t="s">
        <v>610</v>
      </c>
      <c r="G136" s="89">
        <v>0.01</v>
      </c>
      <c r="H136" s="102"/>
      <c r="I136" s="89">
        <f>G136*AO136</f>
        <v>0</v>
      </c>
      <c r="J136" s="89">
        <f>G136*AP136</f>
        <v>0</v>
      </c>
      <c r="K136" s="89">
        <f>G136*H136</f>
        <v>0</v>
      </c>
      <c r="L136" s="89">
        <v>0</v>
      </c>
      <c r="M136" s="89">
        <f>G136*L136</f>
        <v>0</v>
      </c>
      <c r="N136" s="80" t="s">
        <v>630</v>
      </c>
      <c r="O136" s="82"/>
      <c r="Z136" s="59">
        <f>IF(AQ136="5",BJ136,0)</f>
        <v>0</v>
      </c>
      <c r="AB136" s="59">
        <f>IF(AQ136="1",BH136,0)</f>
        <v>0</v>
      </c>
      <c r="AC136" s="59">
        <f>IF(AQ136="1",BI136,0)</f>
        <v>0</v>
      </c>
      <c r="AD136" s="59">
        <f>IF(AQ136="7",BH136,0)</f>
        <v>0</v>
      </c>
      <c r="AE136" s="59">
        <f>IF(AQ136="7",BI136,0)</f>
        <v>0</v>
      </c>
      <c r="AF136" s="59">
        <f>IF(AQ136="2",BH136,0)</f>
        <v>0</v>
      </c>
      <c r="AG136" s="59">
        <f>IF(AQ136="2",BI136,0)</f>
        <v>0</v>
      </c>
      <c r="AH136" s="59">
        <f>IF(AQ136="0",BJ136,0)</f>
        <v>0</v>
      </c>
      <c r="AI136" s="53"/>
      <c r="AJ136" s="44">
        <f>IF(AN136=0,K136,0)</f>
        <v>0</v>
      </c>
      <c r="AK136" s="44">
        <f>IF(AN136=15,K136,0)</f>
        <v>0</v>
      </c>
      <c r="AL136" s="44">
        <f>IF(AN136=21,K136,0)</f>
        <v>0</v>
      </c>
      <c r="AN136" s="59">
        <v>15</v>
      </c>
      <c r="AO136" s="59">
        <f>H136*0</f>
        <v>0</v>
      </c>
      <c r="AP136" s="59">
        <f>H136*(1-0)</f>
        <v>0</v>
      </c>
      <c r="AQ136" s="60" t="s">
        <v>78</v>
      </c>
      <c r="AV136" s="59">
        <f>AW136+AX136</f>
        <v>0</v>
      </c>
      <c r="AW136" s="59">
        <f>G136*AO136</f>
        <v>0</v>
      </c>
      <c r="AX136" s="59">
        <f>G136*AP136</f>
        <v>0</v>
      </c>
      <c r="AY136" s="62" t="s">
        <v>648</v>
      </c>
      <c r="AZ136" s="62" t="s">
        <v>665</v>
      </c>
      <c r="BA136" s="53" t="s">
        <v>670</v>
      </c>
      <c r="BC136" s="59">
        <f>AW136+AX136</f>
        <v>0</v>
      </c>
      <c r="BD136" s="59">
        <f>H136/(100-BE136)*100</f>
        <v>0</v>
      </c>
      <c r="BE136" s="59">
        <v>0</v>
      </c>
      <c r="BF136" s="59">
        <f>M136</f>
        <v>0</v>
      </c>
      <c r="BH136" s="44">
        <f>G136*AO136</f>
        <v>0</v>
      </c>
      <c r="BI136" s="44">
        <f>G136*AP136</f>
        <v>0</v>
      </c>
      <c r="BJ136" s="44">
        <f>G136*H136</f>
        <v>0</v>
      </c>
      <c r="BK136" s="44" t="s">
        <v>675</v>
      </c>
      <c r="BL136" s="59">
        <v>728</v>
      </c>
    </row>
    <row r="137" spans="1:47" ht="12.75">
      <c r="A137" s="96"/>
      <c r="B137" s="97"/>
      <c r="C137" s="97" t="s">
        <v>300</v>
      </c>
      <c r="D137" s="189" t="s">
        <v>494</v>
      </c>
      <c r="E137" s="190"/>
      <c r="F137" s="96" t="s">
        <v>73</v>
      </c>
      <c r="G137" s="96" t="s">
        <v>73</v>
      </c>
      <c r="H137" s="96" t="s">
        <v>73</v>
      </c>
      <c r="I137" s="98">
        <f>SUM(I138:I153)</f>
        <v>0</v>
      </c>
      <c r="J137" s="98">
        <f>SUM(J138:J153)</f>
        <v>0</v>
      </c>
      <c r="K137" s="98">
        <f>SUM(K138:K153)</f>
        <v>0</v>
      </c>
      <c r="L137" s="99"/>
      <c r="M137" s="98">
        <f>SUM(M138:M153)</f>
        <v>0.32664999999999994</v>
      </c>
      <c r="N137" s="95"/>
      <c r="O137" s="82"/>
      <c r="AI137" s="53"/>
      <c r="AS137" s="65">
        <f>SUM(AJ138:AJ153)</f>
        <v>0</v>
      </c>
      <c r="AT137" s="65">
        <f>SUM(AK138:AK153)</f>
        <v>0</v>
      </c>
      <c r="AU137" s="65">
        <f>SUM(AL138:AL153)</f>
        <v>0</v>
      </c>
    </row>
    <row r="138" spans="1:64" ht="12.75">
      <c r="A138" s="85" t="s">
        <v>152</v>
      </c>
      <c r="B138" s="85"/>
      <c r="C138" s="85" t="s">
        <v>301</v>
      </c>
      <c r="D138" s="185" t="s">
        <v>495</v>
      </c>
      <c r="E138" s="186"/>
      <c r="F138" s="85" t="s">
        <v>609</v>
      </c>
      <c r="G138" s="89">
        <v>3</v>
      </c>
      <c r="H138" s="102"/>
      <c r="I138" s="89">
        <f aca="true" t="shared" si="98" ref="I138:I150">G138*AO138</f>
        <v>0</v>
      </c>
      <c r="J138" s="89">
        <f aca="true" t="shared" si="99" ref="J138:J150">G138*AP138</f>
        <v>0</v>
      </c>
      <c r="K138" s="89">
        <f aca="true" t="shared" si="100" ref="K138:K150">G138*H138</f>
        <v>0</v>
      </c>
      <c r="L138" s="89">
        <v>0.0018</v>
      </c>
      <c r="M138" s="89">
        <f aca="true" t="shared" si="101" ref="M138:M150">G138*L138</f>
        <v>0.0054</v>
      </c>
      <c r="N138" s="80" t="s">
        <v>630</v>
      </c>
      <c r="O138" s="82"/>
      <c r="Z138" s="59">
        <f aca="true" t="shared" si="102" ref="Z138:Z150">IF(AQ138="5",BJ138,0)</f>
        <v>0</v>
      </c>
      <c r="AB138" s="59">
        <f aca="true" t="shared" si="103" ref="AB138:AB150">IF(AQ138="1",BH138,0)</f>
        <v>0</v>
      </c>
      <c r="AC138" s="59">
        <f aca="true" t="shared" si="104" ref="AC138:AC150">IF(AQ138="1",BI138,0)</f>
        <v>0</v>
      </c>
      <c r="AD138" s="59">
        <f aca="true" t="shared" si="105" ref="AD138:AD150">IF(AQ138="7",BH138,0)</f>
        <v>0</v>
      </c>
      <c r="AE138" s="59">
        <f aca="true" t="shared" si="106" ref="AE138:AE150">IF(AQ138="7",BI138,0)</f>
        <v>0</v>
      </c>
      <c r="AF138" s="59">
        <f aca="true" t="shared" si="107" ref="AF138:AF150">IF(AQ138="2",BH138,0)</f>
        <v>0</v>
      </c>
      <c r="AG138" s="59">
        <f aca="true" t="shared" si="108" ref="AG138:AG150">IF(AQ138="2",BI138,0)</f>
        <v>0</v>
      </c>
      <c r="AH138" s="59">
        <f aca="true" t="shared" si="109" ref="AH138:AH150">IF(AQ138="0",BJ138,0)</f>
        <v>0</v>
      </c>
      <c r="AI138" s="53"/>
      <c r="AJ138" s="44">
        <f aca="true" t="shared" si="110" ref="AJ138:AJ150">IF(AN138=0,K138,0)</f>
        <v>0</v>
      </c>
      <c r="AK138" s="44">
        <f aca="true" t="shared" si="111" ref="AK138:AK150">IF(AN138=15,K138,0)</f>
        <v>0</v>
      </c>
      <c r="AL138" s="44">
        <f aca="true" t="shared" si="112" ref="AL138:AL150">IF(AN138=21,K138,0)</f>
        <v>0</v>
      </c>
      <c r="AN138" s="59">
        <v>15</v>
      </c>
      <c r="AO138" s="59">
        <f>H138*0</f>
        <v>0</v>
      </c>
      <c r="AP138" s="59">
        <f>H138*(1-0)</f>
        <v>0</v>
      </c>
      <c r="AQ138" s="60" t="s">
        <v>80</v>
      </c>
      <c r="AV138" s="59">
        <f aca="true" t="shared" si="113" ref="AV138:AV150">AW138+AX138</f>
        <v>0</v>
      </c>
      <c r="AW138" s="59">
        <f aca="true" t="shared" si="114" ref="AW138:AW150">G138*AO138</f>
        <v>0</v>
      </c>
      <c r="AX138" s="59">
        <f aca="true" t="shared" si="115" ref="AX138:AX150">G138*AP138</f>
        <v>0</v>
      </c>
      <c r="AY138" s="62" t="s">
        <v>649</v>
      </c>
      <c r="AZ138" s="62" t="s">
        <v>666</v>
      </c>
      <c r="BA138" s="53" t="s">
        <v>670</v>
      </c>
      <c r="BC138" s="59">
        <f aca="true" t="shared" si="116" ref="BC138:BC150">AW138+AX138</f>
        <v>0</v>
      </c>
      <c r="BD138" s="59">
        <f aca="true" t="shared" si="117" ref="BD138:BD150">H138/(100-BE138)*100</f>
        <v>0</v>
      </c>
      <c r="BE138" s="59">
        <v>0</v>
      </c>
      <c r="BF138" s="59">
        <f aca="true" t="shared" si="118" ref="BF138:BF150">M138</f>
        <v>0.0054</v>
      </c>
      <c r="BH138" s="44">
        <f aca="true" t="shared" si="119" ref="BH138:BH150">G138*AO138</f>
        <v>0</v>
      </c>
      <c r="BI138" s="44">
        <f aca="true" t="shared" si="120" ref="BI138:BI150">G138*AP138</f>
        <v>0</v>
      </c>
      <c r="BJ138" s="44">
        <f aca="true" t="shared" si="121" ref="BJ138:BJ150">G138*H138</f>
        <v>0</v>
      </c>
      <c r="BK138" s="44" t="s">
        <v>675</v>
      </c>
      <c r="BL138" s="59">
        <v>766</v>
      </c>
    </row>
    <row r="139" spans="1:64" ht="12.75">
      <c r="A139" s="85" t="s">
        <v>153</v>
      </c>
      <c r="B139" s="85"/>
      <c r="C139" s="85" t="s">
        <v>302</v>
      </c>
      <c r="D139" s="185" t="s">
        <v>496</v>
      </c>
      <c r="E139" s="186"/>
      <c r="F139" s="85" t="s">
        <v>609</v>
      </c>
      <c r="G139" s="89">
        <v>1</v>
      </c>
      <c r="H139" s="102"/>
      <c r="I139" s="89">
        <f t="shared" si="98"/>
        <v>0</v>
      </c>
      <c r="J139" s="89">
        <f t="shared" si="99"/>
        <v>0</v>
      </c>
      <c r="K139" s="89">
        <f t="shared" si="100"/>
        <v>0</v>
      </c>
      <c r="L139" s="89">
        <v>0.174</v>
      </c>
      <c r="M139" s="89">
        <f t="shared" si="101"/>
        <v>0.174</v>
      </c>
      <c r="N139" s="80" t="s">
        <v>630</v>
      </c>
      <c r="O139" s="82"/>
      <c r="Z139" s="59">
        <f t="shared" si="102"/>
        <v>0</v>
      </c>
      <c r="AB139" s="59">
        <f t="shared" si="103"/>
        <v>0</v>
      </c>
      <c r="AC139" s="59">
        <f t="shared" si="104"/>
        <v>0</v>
      </c>
      <c r="AD139" s="59">
        <f t="shared" si="105"/>
        <v>0</v>
      </c>
      <c r="AE139" s="59">
        <f t="shared" si="106"/>
        <v>0</v>
      </c>
      <c r="AF139" s="59">
        <f t="shared" si="107"/>
        <v>0</v>
      </c>
      <c r="AG139" s="59">
        <f t="shared" si="108"/>
        <v>0</v>
      </c>
      <c r="AH139" s="59">
        <f t="shared" si="109"/>
        <v>0</v>
      </c>
      <c r="AI139" s="53"/>
      <c r="AJ139" s="44">
        <f t="shared" si="110"/>
        <v>0</v>
      </c>
      <c r="AK139" s="44">
        <f t="shared" si="111"/>
        <v>0</v>
      </c>
      <c r="AL139" s="44">
        <f t="shared" si="112"/>
        <v>0</v>
      </c>
      <c r="AN139" s="59">
        <v>15</v>
      </c>
      <c r="AO139" s="59">
        <f>H139*0</f>
        <v>0</v>
      </c>
      <c r="AP139" s="59">
        <f>H139*(1-0)</f>
        <v>0</v>
      </c>
      <c r="AQ139" s="60" t="s">
        <v>80</v>
      </c>
      <c r="AV139" s="59">
        <f t="shared" si="113"/>
        <v>0</v>
      </c>
      <c r="AW139" s="59">
        <f t="shared" si="114"/>
        <v>0</v>
      </c>
      <c r="AX139" s="59">
        <f t="shared" si="115"/>
        <v>0</v>
      </c>
      <c r="AY139" s="62" t="s">
        <v>649</v>
      </c>
      <c r="AZ139" s="62" t="s">
        <v>666</v>
      </c>
      <c r="BA139" s="53" t="s">
        <v>670</v>
      </c>
      <c r="BC139" s="59">
        <f t="shared" si="116"/>
        <v>0</v>
      </c>
      <c r="BD139" s="59">
        <f t="shared" si="117"/>
        <v>0</v>
      </c>
      <c r="BE139" s="59">
        <v>0</v>
      </c>
      <c r="BF139" s="59">
        <f t="shared" si="118"/>
        <v>0.174</v>
      </c>
      <c r="BH139" s="44">
        <f t="shared" si="119"/>
        <v>0</v>
      </c>
      <c r="BI139" s="44">
        <f t="shared" si="120"/>
        <v>0</v>
      </c>
      <c r="BJ139" s="44">
        <f t="shared" si="121"/>
        <v>0</v>
      </c>
      <c r="BK139" s="44" t="s">
        <v>675</v>
      </c>
      <c r="BL139" s="59">
        <v>766</v>
      </c>
    </row>
    <row r="140" spans="1:64" ht="12.75">
      <c r="A140" s="85" t="s">
        <v>154</v>
      </c>
      <c r="B140" s="85"/>
      <c r="C140" s="85" t="s">
        <v>303</v>
      </c>
      <c r="D140" s="185" t="s">
        <v>497</v>
      </c>
      <c r="E140" s="186"/>
      <c r="F140" s="85" t="s">
        <v>609</v>
      </c>
      <c r="G140" s="89">
        <v>1</v>
      </c>
      <c r="H140" s="102"/>
      <c r="I140" s="89">
        <f t="shared" si="98"/>
        <v>0</v>
      </c>
      <c r="J140" s="89">
        <f t="shared" si="99"/>
        <v>0</v>
      </c>
      <c r="K140" s="89">
        <f t="shared" si="100"/>
        <v>0</v>
      </c>
      <c r="L140" s="89">
        <v>0.0881</v>
      </c>
      <c r="M140" s="89">
        <f t="shared" si="101"/>
        <v>0.0881</v>
      </c>
      <c r="N140" s="80" t="s">
        <v>630</v>
      </c>
      <c r="O140" s="82"/>
      <c r="Z140" s="59">
        <f t="shared" si="102"/>
        <v>0</v>
      </c>
      <c r="AB140" s="59">
        <f t="shared" si="103"/>
        <v>0</v>
      </c>
      <c r="AC140" s="59">
        <f t="shared" si="104"/>
        <v>0</v>
      </c>
      <c r="AD140" s="59">
        <f t="shared" si="105"/>
        <v>0</v>
      </c>
      <c r="AE140" s="59">
        <f t="shared" si="106"/>
        <v>0</v>
      </c>
      <c r="AF140" s="59">
        <f t="shared" si="107"/>
        <v>0</v>
      </c>
      <c r="AG140" s="59">
        <f t="shared" si="108"/>
        <v>0</v>
      </c>
      <c r="AH140" s="59">
        <f t="shared" si="109"/>
        <v>0</v>
      </c>
      <c r="AI140" s="53"/>
      <c r="AJ140" s="44">
        <f t="shared" si="110"/>
        <v>0</v>
      </c>
      <c r="AK140" s="44">
        <f t="shared" si="111"/>
        <v>0</v>
      </c>
      <c r="AL140" s="44">
        <f t="shared" si="112"/>
        <v>0</v>
      </c>
      <c r="AN140" s="59">
        <v>15</v>
      </c>
      <c r="AO140" s="59">
        <f>H140*0</f>
        <v>0</v>
      </c>
      <c r="AP140" s="59">
        <f>H140*(1-0)</f>
        <v>0</v>
      </c>
      <c r="AQ140" s="60" t="s">
        <v>80</v>
      </c>
      <c r="AV140" s="59">
        <f t="shared" si="113"/>
        <v>0</v>
      </c>
      <c r="AW140" s="59">
        <f t="shared" si="114"/>
        <v>0</v>
      </c>
      <c r="AX140" s="59">
        <f t="shared" si="115"/>
        <v>0</v>
      </c>
      <c r="AY140" s="62" t="s">
        <v>649</v>
      </c>
      <c r="AZ140" s="62" t="s">
        <v>666</v>
      </c>
      <c r="BA140" s="53" t="s">
        <v>670</v>
      </c>
      <c r="BC140" s="59">
        <f t="shared" si="116"/>
        <v>0</v>
      </c>
      <c r="BD140" s="59">
        <f t="shared" si="117"/>
        <v>0</v>
      </c>
      <c r="BE140" s="59">
        <v>0</v>
      </c>
      <c r="BF140" s="59">
        <f t="shared" si="118"/>
        <v>0.0881</v>
      </c>
      <c r="BH140" s="44">
        <f t="shared" si="119"/>
        <v>0</v>
      </c>
      <c r="BI140" s="44">
        <f t="shared" si="120"/>
        <v>0</v>
      </c>
      <c r="BJ140" s="44">
        <f t="shared" si="121"/>
        <v>0</v>
      </c>
      <c r="BK140" s="44" t="s">
        <v>675</v>
      </c>
      <c r="BL140" s="59">
        <v>766</v>
      </c>
    </row>
    <row r="141" spans="1:64" ht="12.75">
      <c r="A141" s="85" t="s">
        <v>155</v>
      </c>
      <c r="B141" s="85"/>
      <c r="C141" s="85" t="s">
        <v>304</v>
      </c>
      <c r="D141" s="185" t="s">
        <v>498</v>
      </c>
      <c r="E141" s="186"/>
      <c r="F141" s="85" t="s">
        <v>609</v>
      </c>
      <c r="G141" s="89">
        <v>7</v>
      </c>
      <c r="H141" s="102"/>
      <c r="I141" s="89">
        <f t="shared" si="98"/>
        <v>0</v>
      </c>
      <c r="J141" s="89">
        <f t="shared" si="99"/>
        <v>0</v>
      </c>
      <c r="K141" s="89">
        <f t="shared" si="100"/>
        <v>0</v>
      </c>
      <c r="L141" s="89">
        <v>0</v>
      </c>
      <c r="M141" s="89">
        <f t="shared" si="101"/>
        <v>0</v>
      </c>
      <c r="N141" s="80" t="s">
        <v>630</v>
      </c>
      <c r="O141" s="82"/>
      <c r="Z141" s="59">
        <f t="shared" si="102"/>
        <v>0</v>
      </c>
      <c r="AB141" s="59">
        <f t="shared" si="103"/>
        <v>0</v>
      </c>
      <c r="AC141" s="59">
        <f t="shared" si="104"/>
        <v>0</v>
      </c>
      <c r="AD141" s="59">
        <f t="shared" si="105"/>
        <v>0</v>
      </c>
      <c r="AE141" s="59">
        <f t="shared" si="106"/>
        <v>0</v>
      </c>
      <c r="AF141" s="59">
        <f t="shared" si="107"/>
        <v>0</v>
      </c>
      <c r="AG141" s="59">
        <f t="shared" si="108"/>
        <v>0</v>
      </c>
      <c r="AH141" s="59">
        <f t="shared" si="109"/>
        <v>0</v>
      </c>
      <c r="AI141" s="53"/>
      <c r="AJ141" s="44">
        <f t="shared" si="110"/>
        <v>0</v>
      </c>
      <c r="AK141" s="44">
        <f t="shared" si="111"/>
        <v>0</v>
      </c>
      <c r="AL141" s="44">
        <f t="shared" si="112"/>
        <v>0</v>
      </c>
      <c r="AN141" s="59">
        <v>15</v>
      </c>
      <c r="AO141" s="59">
        <f>H141*0</f>
        <v>0</v>
      </c>
      <c r="AP141" s="59">
        <f>H141*(1-0)</f>
        <v>0</v>
      </c>
      <c r="AQ141" s="60" t="s">
        <v>80</v>
      </c>
      <c r="AV141" s="59">
        <f t="shared" si="113"/>
        <v>0</v>
      </c>
      <c r="AW141" s="59">
        <f t="shared" si="114"/>
        <v>0</v>
      </c>
      <c r="AX141" s="59">
        <f t="shared" si="115"/>
        <v>0</v>
      </c>
      <c r="AY141" s="62" t="s">
        <v>649</v>
      </c>
      <c r="AZ141" s="62" t="s">
        <v>666</v>
      </c>
      <c r="BA141" s="53" t="s">
        <v>670</v>
      </c>
      <c r="BC141" s="59">
        <f t="shared" si="116"/>
        <v>0</v>
      </c>
      <c r="BD141" s="59">
        <f t="shared" si="117"/>
        <v>0</v>
      </c>
      <c r="BE141" s="59">
        <v>0</v>
      </c>
      <c r="BF141" s="59">
        <f t="shared" si="118"/>
        <v>0</v>
      </c>
      <c r="BH141" s="44">
        <f t="shared" si="119"/>
        <v>0</v>
      </c>
      <c r="BI141" s="44">
        <f t="shared" si="120"/>
        <v>0</v>
      </c>
      <c r="BJ141" s="44">
        <f t="shared" si="121"/>
        <v>0</v>
      </c>
      <c r="BK141" s="44" t="s">
        <v>675</v>
      </c>
      <c r="BL141" s="59">
        <v>766</v>
      </c>
    </row>
    <row r="142" spans="1:64" ht="12.75">
      <c r="A142" s="78" t="s">
        <v>156</v>
      </c>
      <c r="B142" s="78"/>
      <c r="C142" s="78" t="s">
        <v>305</v>
      </c>
      <c r="D142" s="187" t="s">
        <v>499</v>
      </c>
      <c r="E142" s="192"/>
      <c r="F142" s="78" t="s">
        <v>609</v>
      </c>
      <c r="G142" s="79">
        <v>1</v>
      </c>
      <c r="H142" s="103"/>
      <c r="I142" s="79">
        <f t="shared" si="98"/>
        <v>0</v>
      </c>
      <c r="J142" s="79">
        <f t="shared" si="99"/>
        <v>0</v>
      </c>
      <c r="K142" s="79">
        <f t="shared" si="100"/>
        <v>0</v>
      </c>
      <c r="L142" s="79">
        <v>0.0138</v>
      </c>
      <c r="M142" s="79">
        <f t="shared" si="101"/>
        <v>0.0138</v>
      </c>
      <c r="N142" s="81" t="s">
        <v>630</v>
      </c>
      <c r="O142" s="82"/>
      <c r="Z142" s="59">
        <f t="shared" si="102"/>
        <v>0</v>
      </c>
      <c r="AB142" s="59">
        <f t="shared" si="103"/>
        <v>0</v>
      </c>
      <c r="AC142" s="59">
        <f t="shared" si="104"/>
        <v>0</v>
      </c>
      <c r="AD142" s="59">
        <f t="shared" si="105"/>
        <v>0</v>
      </c>
      <c r="AE142" s="59">
        <f t="shared" si="106"/>
        <v>0</v>
      </c>
      <c r="AF142" s="59">
        <f t="shared" si="107"/>
        <v>0</v>
      </c>
      <c r="AG142" s="59">
        <f t="shared" si="108"/>
        <v>0</v>
      </c>
      <c r="AH142" s="59">
        <f t="shared" si="109"/>
        <v>0</v>
      </c>
      <c r="AI142" s="53"/>
      <c r="AJ142" s="45">
        <f t="shared" si="110"/>
        <v>0</v>
      </c>
      <c r="AK142" s="45">
        <f t="shared" si="111"/>
        <v>0</v>
      </c>
      <c r="AL142" s="45">
        <f t="shared" si="112"/>
        <v>0</v>
      </c>
      <c r="AN142" s="59">
        <v>15</v>
      </c>
      <c r="AO142" s="59">
        <f>H142*1</f>
        <v>0</v>
      </c>
      <c r="AP142" s="59">
        <f>H142*(1-1)</f>
        <v>0</v>
      </c>
      <c r="AQ142" s="61" t="s">
        <v>80</v>
      </c>
      <c r="AV142" s="59">
        <f t="shared" si="113"/>
        <v>0</v>
      </c>
      <c r="AW142" s="59">
        <f t="shared" si="114"/>
        <v>0</v>
      </c>
      <c r="AX142" s="59">
        <f t="shared" si="115"/>
        <v>0</v>
      </c>
      <c r="AY142" s="62" t="s">
        <v>649</v>
      </c>
      <c r="AZ142" s="62" t="s">
        <v>666</v>
      </c>
      <c r="BA142" s="53" t="s">
        <v>670</v>
      </c>
      <c r="BC142" s="59">
        <f t="shared" si="116"/>
        <v>0</v>
      </c>
      <c r="BD142" s="59">
        <f t="shared" si="117"/>
        <v>0</v>
      </c>
      <c r="BE142" s="59">
        <v>0</v>
      </c>
      <c r="BF142" s="59">
        <f t="shared" si="118"/>
        <v>0.0138</v>
      </c>
      <c r="BH142" s="45">
        <f t="shared" si="119"/>
        <v>0</v>
      </c>
      <c r="BI142" s="45">
        <f t="shared" si="120"/>
        <v>0</v>
      </c>
      <c r="BJ142" s="45">
        <f t="shared" si="121"/>
        <v>0</v>
      </c>
      <c r="BK142" s="45" t="s">
        <v>676</v>
      </c>
      <c r="BL142" s="59">
        <v>766</v>
      </c>
    </row>
    <row r="143" spans="1:64" ht="12.75">
      <c r="A143" s="73" t="s">
        <v>157</v>
      </c>
      <c r="B143" s="17"/>
      <c r="C143" s="17" t="s">
        <v>306</v>
      </c>
      <c r="D143" s="123" t="s">
        <v>500</v>
      </c>
      <c r="E143" s="193"/>
      <c r="F143" s="17" t="s">
        <v>609</v>
      </c>
      <c r="G143" s="59">
        <v>2</v>
      </c>
      <c r="H143" s="101"/>
      <c r="I143" s="59">
        <f t="shared" si="98"/>
        <v>0</v>
      </c>
      <c r="J143" s="59">
        <f t="shared" si="99"/>
        <v>0</v>
      </c>
      <c r="K143" s="59">
        <f t="shared" si="100"/>
        <v>0</v>
      </c>
      <c r="L143" s="59">
        <v>0.0205</v>
      </c>
      <c r="M143" s="59">
        <f t="shared" si="101"/>
        <v>0.041</v>
      </c>
      <c r="N143" s="74" t="s">
        <v>630</v>
      </c>
      <c r="O143" s="18"/>
      <c r="Z143" s="59">
        <f t="shared" si="102"/>
        <v>0</v>
      </c>
      <c r="AB143" s="59">
        <f t="shared" si="103"/>
        <v>0</v>
      </c>
      <c r="AC143" s="59">
        <f t="shared" si="104"/>
        <v>0</v>
      </c>
      <c r="AD143" s="59">
        <f t="shared" si="105"/>
        <v>0</v>
      </c>
      <c r="AE143" s="59">
        <f t="shared" si="106"/>
        <v>0</v>
      </c>
      <c r="AF143" s="59">
        <f t="shared" si="107"/>
        <v>0</v>
      </c>
      <c r="AG143" s="59">
        <f t="shared" si="108"/>
        <v>0</v>
      </c>
      <c r="AH143" s="59">
        <f t="shared" si="109"/>
        <v>0</v>
      </c>
      <c r="AI143" s="53"/>
      <c r="AJ143" s="45">
        <f t="shared" si="110"/>
        <v>0</v>
      </c>
      <c r="AK143" s="45">
        <f t="shared" si="111"/>
        <v>0</v>
      </c>
      <c r="AL143" s="45">
        <f t="shared" si="112"/>
        <v>0</v>
      </c>
      <c r="AN143" s="59">
        <v>15</v>
      </c>
      <c r="AO143" s="59">
        <f>H143*1</f>
        <v>0</v>
      </c>
      <c r="AP143" s="59">
        <f>H143*(1-1)</f>
        <v>0</v>
      </c>
      <c r="AQ143" s="61" t="s">
        <v>80</v>
      </c>
      <c r="AV143" s="59">
        <f t="shared" si="113"/>
        <v>0</v>
      </c>
      <c r="AW143" s="59">
        <f t="shared" si="114"/>
        <v>0</v>
      </c>
      <c r="AX143" s="59">
        <f t="shared" si="115"/>
        <v>0</v>
      </c>
      <c r="AY143" s="62" t="s">
        <v>649</v>
      </c>
      <c r="AZ143" s="62" t="s">
        <v>666</v>
      </c>
      <c r="BA143" s="53" t="s">
        <v>670</v>
      </c>
      <c r="BC143" s="59">
        <f t="shared" si="116"/>
        <v>0</v>
      </c>
      <c r="BD143" s="59">
        <f t="shared" si="117"/>
        <v>0</v>
      </c>
      <c r="BE143" s="59">
        <v>0</v>
      </c>
      <c r="BF143" s="59">
        <f t="shared" si="118"/>
        <v>0.041</v>
      </c>
      <c r="BH143" s="45">
        <f t="shared" si="119"/>
        <v>0</v>
      </c>
      <c r="BI143" s="45">
        <f t="shared" si="120"/>
        <v>0</v>
      </c>
      <c r="BJ143" s="45">
        <f t="shared" si="121"/>
        <v>0</v>
      </c>
      <c r="BK143" s="45" t="s">
        <v>676</v>
      </c>
      <c r="BL143" s="59">
        <v>766</v>
      </c>
    </row>
    <row r="144" spans="1:64" ht="12.75">
      <c r="A144" s="85" t="s">
        <v>158</v>
      </c>
      <c r="B144" s="85"/>
      <c r="C144" s="85" t="s">
        <v>307</v>
      </c>
      <c r="D144" s="185" t="s">
        <v>501</v>
      </c>
      <c r="E144" s="186"/>
      <c r="F144" s="85" t="s">
        <v>609</v>
      </c>
      <c r="G144" s="89">
        <v>4</v>
      </c>
      <c r="H144" s="102"/>
      <c r="I144" s="89">
        <f t="shared" si="98"/>
        <v>0</v>
      </c>
      <c r="J144" s="89">
        <f t="shared" si="99"/>
        <v>0</v>
      </c>
      <c r="K144" s="89">
        <f t="shared" si="100"/>
        <v>0</v>
      </c>
      <c r="L144" s="89">
        <v>0</v>
      </c>
      <c r="M144" s="89">
        <f t="shared" si="101"/>
        <v>0</v>
      </c>
      <c r="N144" s="80" t="s">
        <v>630</v>
      </c>
      <c r="O144" s="82"/>
      <c r="Z144" s="59">
        <f t="shared" si="102"/>
        <v>0</v>
      </c>
      <c r="AB144" s="59">
        <f t="shared" si="103"/>
        <v>0</v>
      </c>
      <c r="AC144" s="59">
        <f t="shared" si="104"/>
        <v>0</v>
      </c>
      <c r="AD144" s="59">
        <f t="shared" si="105"/>
        <v>0</v>
      </c>
      <c r="AE144" s="59">
        <f t="shared" si="106"/>
        <v>0</v>
      </c>
      <c r="AF144" s="59">
        <f t="shared" si="107"/>
        <v>0</v>
      </c>
      <c r="AG144" s="59">
        <f t="shared" si="108"/>
        <v>0</v>
      </c>
      <c r="AH144" s="59">
        <f t="shared" si="109"/>
        <v>0</v>
      </c>
      <c r="AI144" s="53"/>
      <c r="AJ144" s="44">
        <f t="shared" si="110"/>
        <v>0</v>
      </c>
      <c r="AK144" s="44">
        <f t="shared" si="111"/>
        <v>0</v>
      </c>
      <c r="AL144" s="44">
        <f t="shared" si="112"/>
        <v>0</v>
      </c>
      <c r="AN144" s="59">
        <v>15</v>
      </c>
      <c r="AO144" s="59">
        <f>H144*0</f>
        <v>0</v>
      </c>
      <c r="AP144" s="59">
        <f>H144*(1-0)</f>
        <v>0</v>
      </c>
      <c r="AQ144" s="60" t="s">
        <v>80</v>
      </c>
      <c r="AV144" s="59">
        <f t="shared" si="113"/>
        <v>0</v>
      </c>
      <c r="AW144" s="59">
        <f t="shared" si="114"/>
        <v>0</v>
      </c>
      <c r="AX144" s="59">
        <f t="shared" si="115"/>
        <v>0</v>
      </c>
      <c r="AY144" s="62" t="s">
        <v>649</v>
      </c>
      <c r="AZ144" s="62" t="s">
        <v>666</v>
      </c>
      <c r="BA144" s="53" t="s">
        <v>670</v>
      </c>
      <c r="BC144" s="59">
        <f t="shared" si="116"/>
        <v>0</v>
      </c>
      <c r="BD144" s="59">
        <f t="shared" si="117"/>
        <v>0</v>
      </c>
      <c r="BE144" s="59">
        <v>0</v>
      </c>
      <c r="BF144" s="59">
        <f t="shared" si="118"/>
        <v>0</v>
      </c>
      <c r="BH144" s="44">
        <f t="shared" si="119"/>
        <v>0</v>
      </c>
      <c r="BI144" s="44">
        <f t="shared" si="120"/>
        <v>0</v>
      </c>
      <c r="BJ144" s="44">
        <f t="shared" si="121"/>
        <v>0</v>
      </c>
      <c r="BK144" s="44" t="s">
        <v>675</v>
      </c>
      <c r="BL144" s="59">
        <v>766</v>
      </c>
    </row>
    <row r="145" spans="1:64" ht="12.75">
      <c r="A145" s="85" t="s">
        <v>159</v>
      </c>
      <c r="B145" s="85"/>
      <c r="C145" s="85" t="s">
        <v>308</v>
      </c>
      <c r="D145" s="185" t="s">
        <v>502</v>
      </c>
      <c r="E145" s="191"/>
      <c r="F145" s="85" t="s">
        <v>609</v>
      </c>
      <c r="G145" s="89">
        <v>4</v>
      </c>
      <c r="H145" s="102"/>
      <c r="I145" s="89">
        <f t="shared" si="98"/>
        <v>0</v>
      </c>
      <c r="J145" s="89">
        <f t="shared" si="99"/>
        <v>0</v>
      </c>
      <c r="K145" s="89">
        <f t="shared" si="100"/>
        <v>0</v>
      </c>
      <c r="L145" s="89">
        <v>0.00075</v>
      </c>
      <c r="M145" s="89">
        <f t="shared" si="101"/>
        <v>0.003</v>
      </c>
      <c r="N145" s="80" t="s">
        <v>630</v>
      </c>
      <c r="O145" s="82"/>
      <c r="Z145" s="59">
        <f t="shared" si="102"/>
        <v>0</v>
      </c>
      <c r="AB145" s="59">
        <f t="shared" si="103"/>
        <v>0</v>
      </c>
      <c r="AC145" s="59">
        <f t="shared" si="104"/>
        <v>0</v>
      </c>
      <c r="AD145" s="59">
        <f t="shared" si="105"/>
        <v>0</v>
      </c>
      <c r="AE145" s="59">
        <f t="shared" si="106"/>
        <v>0</v>
      </c>
      <c r="AF145" s="59">
        <f t="shared" si="107"/>
        <v>0</v>
      </c>
      <c r="AG145" s="59">
        <f t="shared" si="108"/>
        <v>0</v>
      </c>
      <c r="AH145" s="59">
        <f t="shared" si="109"/>
        <v>0</v>
      </c>
      <c r="AI145" s="53"/>
      <c r="AJ145" s="45">
        <f t="shared" si="110"/>
        <v>0</v>
      </c>
      <c r="AK145" s="45">
        <f t="shared" si="111"/>
        <v>0</v>
      </c>
      <c r="AL145" s="45">
        <f t="shared" si="112"/>
        <v>0</v>
      </c>
      <c r="AN145" s="59">
        <v>15</v>
      </c>
      <c r="AO145" s="59">
        <f>H145*1</f>
        <v>0</v>
      </c>
      <c r="AP145" s="59">
        <f>H145*(1-1)</f>
        <v>0</v>
      </c>
      <c r="AQ145" s="61" t="s">
        <v>80</v>
      </c>
      <c r="AV145" s="59">
        <f t="shared" si="113"/>
        <v>0</v>
      </c>
      <c r="AW145" s="59">
        <f t="shared" si="114"/>
        <v>0</v>
      </c>
      <c r="AX145" s="59">
        <f t="shared" si="115"/>
        <v>0</v>
      </c>
      <c r="AY145" s="62" t="s">
        <v>649</v>
      </c>
      <c r="AZ145" s="62" t="s">
        <v>666</v>
      </c>
      <c r="BA145" s="53" t="s">
        <v>670</v>
      </c>
      <c r="BC145" s="59">
        <f t="shared" si="116"/>
        <v>0</v>
      </c>
      <c r="BD145" s="59">
        <f t="shared" si="117"/>
        <v>0</v>
      </c>
      <c r="BE145" s="59">
        <v>0</v>
      </c>
      <c r="BF145" s="59">
        <f t="shared" si="118"/>
        <v>0.003</v>
      </c>
      <c r="BH145" s="45">
        <f t="shared" si="119"/>
        <v>0</v>
      </c>
      <c r="BI145" s="45">
        <f t="shared" si="120"/>
        <v>0</v>
      </c>
      <c r="BJ145" s="45">
        <f t="shared" si="121"/>
        <v>0</v>
      </c>
      <c r="BK145" s="45" t="s">
        <v>676</v>
      </c>
      <c r="BL145" s="59">
        <v>766</v>
      </c>
    </row>
    <row r="146" spans="1:64" ht="12.75">
      <c r="A146" s="85" t="s">
        <v>160</v>
      </c>
      <c r="B146" s="85"/>
      <c r="C146" s="85" t="s">
        <v>309</v>
      </c>
      <c r="D146" s="185" t="s">
        <v>503</v>
      </c>
      <c r="E146" s="191"/>
      <c r="F146" s="85" t="s">
        <v>609</v>
      </c>
      <c r="G146" s="89">
        <v>3</v>
      </c>
      <c r="H146" s="102"/>
      <c r="I146" s="89">
        <f t="shared" si="98"/>
        <v>0</v>
      </c>
      <c r="J146" s="89">
        <f t="shared" si="99"/>
        <v>0</v>
      </c>
      <c r="K146" s="89">
        <f t="shared" si="100"/>
        <v>0</v>
      </c>
      <c r="L146" s="89">
        <v>0.00045</v>
      </c>
      <c r="M146" s="89">
        <f t="shared" si="101"/>
        <v>0.00135</v>
      </c>
      <c r="N146" s="80" t="s">
        <v>630</v>
      </c>
      <c r="O146" s="82"/>
      <c r="Z146" s="59">
        <f t="shared" si="102"/>
        <v>0</v>
      </c>
      <c r="AB146" s="59">
        <f t="shared" si="103"/>
        <v>0</v>
      </c>
      <c r="AC146" s="59">
        <f t="shared" si="104"/>
        <v>0</v>
      </c>
      <c r="AD146" s="59">
        <f t="shared" si="105"/>
        <v>0</v>
      </c>
      <c r="AE146" s="59">
        <f t="shared" si="106"/>
        <v>0</v>
      </c>
      <c r="AF146" s="59">
        <f t="shared" si="107"/>
        <v>0</v>
      </c>
      <c r="AG146" s="59">
        <f t="shared" si="108"/>
        <v>0</v>
      </c>
      <c r="AH146" s="59">
        <f t="shared" si="109"/>
        <v>0</v>
      </c>
      <c r="AI146" s="53"/>
      <c r="AJ146" s="45">
        <f t="shared" si="110"/>
        <v>0</v>
      </c>
      <c r="AK146" s="45">
        <f t="shared" si="111"/>
        <v>0</v>
      </c>
      <c r="AL146" s="45">
        <f t="shared" si="112"/>
        <v>0</v>
      </c>
      <c r="AN146" s="59">
        <v>15</v>
      </c>
      <c r="AO146" s="59">
        <f>H146*1</f>
        <v>0</v>
      </c>
      <c r="AP146" s="59">
        <f>H146*(1-1)</f>
        <v>0</v>
      </c>
      <c r="AQ146" s="61" t="s">
        <v>80</v>
      </c>
      <c r="AV146" s="59">
        <f t="shared" si="113"/>
        <v>0</v>
      </c>
      <c r="AW146" s="59">
        <f t="shared" si="114"/>
        <v>0</v>
      </c>
      <c r="AX146" s="59">
        <f t="shared" si="115"/>
        <v>0</v>
      </c>
      <c r="AY146" s="62" t="s">
        <v>649</v>
      </c>
      <c r="AZ146" s="62" t="s">
        <v>666</v>
      </c>
      <c r="BA146" s="53" t="s">
        <v>670</v>
      </c>
      <c r="BC146" s="59">
        <f t="shared" si="116"/>
        <v>0</v>
      </c>
      <c r="BD146" s="59">
        <f t="shared" si="117"/>
        <v>0</v>
      </c>
      <c r="BE146" s="59">
        <v>0</v>
      </c>
      <c r="BF146" s="59">
        <f t="shared" si="118"/>
        <v>0.00135</v>
      </c>
      <c r="BH146" s="45">
        <f t="shared" si="119"/>
        <v>0</v>
      </c>
      <c r="BI146" s="45">
        <f t="shared" si="120"/>
        <v>0</v>
      </c>
      <c r="BJ146" s="45">
        <f t="shared" si="121"/>
        <v>0</v>
      </c>
      <c r="BK146" s="45" t="s">
        <v>676</v>
      </c>
      <c r="BL146" s="59">
        <v>766</v>
      </c>
    </row>
    <row r="147" spans="1:64" ht="12.75">
      <c r="A147" s="85" t="s">
        <v>161</v>
      </c>
      <c r="B147" s="85"/>
      <c r="C147" s="85" t="s">
        <v>310</v>
      </c>
      <c r="D147" s="185" t="s">
        <v>504</v>
      </c>
      <c r="E147" s="186"/>
      <c r="F147" s="85" t="s">
        <v>609</v>
      </c>
      <c r="G147" s="89">
        <v>3</v>
      </c>
      <c r="H147" s="102"/>
      <c r="I147" s="89">
        <f t="shared" si="98"/>
        <v>0</v>
      </c>
      <c r="J147" s="89">
        <f t="shared" si="99"/>
        <v>0</v>
      </c>
      <c r="K147" s="89">
        <f t="shared" si="100"/>
        <v>0</v>
      </c>
      <c r="L147" s="89">
        <v>0</v>
      </c>
      <c r="M147" s="89">
        <f t="shared" si="101"/>
        <v>0</v>
      </c>
      <c r="N147" s="80" t="s">
        <v>630</v>
      </c>
      <c r="O147" s="82"/>
      <c r="Z147" s="59">
        <f t="shared" si="102"/>
        <v>0</v>
      </c>
      <c r="AB147" s="59">
        <f t="shared" si="103"/>
        <v>0</v>
      </c>
      <c r="AC147" s="59">
        <f t="shared" si="104"/>
        <v>0</v>
      </c>
      <c r="AD147" s="59">
        <f t="shared" si="105"/>
        <v>0</v>
      </c>
      <c r="AE147" s="59">
        <f t="shared" si="106"/>
        <v>0</v>
      </c>
      <c r="AF147" s="59">
        <f t="shared" si="107"/>
        <v>0</v>
      </c>
      <c r="AG147" s="59">
        <f t="shared" si="108"/>
        <v>0</v>
      </c>
      <c r="AH147" s="59">
        <f t="shared" si="109"/>
        <v>0</v>
      </c>
      <c r="AI147" s="53"/>
      <c r="AJ147" s="44">
        <f t="shared" si="110"/>
        <v>0</v>
      </c>
      <c r="AK147" s="44">
        <f t="shared" si="111"/>
        <v>0</v>
      </c>
      <c r="AL147" s="44">
        <f t="shared" si="112"/>
        <v>0</v>
      </c>
      <c r="AN147" s="59">
        <v>15</v>
      </c>
      <c r="AO147" s="59">
        <f>H147*0</f>
        <v>0</v>
      </c>
      <c r="AP147" s="59">
        <f>H147*(1-0)</f>
        <v>0</v>
      </c>
      <c r="AQ147" s="60" t="s">
        <v>80</v>
      </c>
      <c r="AV147" s="59">
        <f t="shared" si="113"/>
        <v>0</v>
      </c>
      <c r="AW147" s="59">
        <f t="shared" si="114"/>
        <v>0</v>
      </c>
      <c r="AX147" s="59">
        <f t="shared" si="115"/>
        <v>0</v>
      </c>
      <c r="AY147" s="62" t="s">
        <v>649</v>
      </c>
      <c r="AZ147" s="62" t="s">
        <v>666</v>
      </c>
      <c r="BA147" s="53" t="s">
        <v>670</v>
      </c>
      <c r="BC147" s="59">
        <f t="shared" si="116"/>
        <v>0</v>
      </c>
      <c r="BD147" s="59">
        <f t="shared" si="117"/>
        <v>0</v>
      </c>
      <c r="BE147" s="59">
        <v>0</v>
      </c>
      <c r="BF147" s="59">
        <f t="shared" si="118"/>
        <v>0</v>
      </c>
      <c r="BH147" s="44">
        <f t="shared" si="119"/>
        <v>0</v>
      </c>
      <c r="BI147" s="44">
        <f t="shared" si="120"/>
        <v>0</v>
      </c>
      <c r="BJ147" s="44">
        <f t="shared" si="121"/>
        <v>0</v>
      </c>
      <c r="BK147" s="44" t="s">
        <v>675</v>
      </c>
      <c r="BL147" s="59">
        <v>766</v>
      </c>
    </row>
    <row r="148" spans="1:64" ht="12.75">
      <c r="A148" s="85" t="s">
        <v>162</v>
      </c>
      <c r="B148" s="85"/>
      <c r="C148" s="85" t="s">
        <v>311</v>
      </c>
      <c r="D148" s="185" t="s">
        <v>505</v>
      </c>
      <c r="E148" s="186"/>
      <c r="F148" s="85" t="s">
        <v>609</v>
      </c>
      <c r="G148" s="89">
        <v>1</v>
      </c>
      <c r="H148" s="102"/>
      <c r="I148" s="89">
        <f t="shared" si="98"/>
        <v>0</v>
      </c>
      <c r="J148" s="89">
        <f t="shared" si="99"/>
        <v>0</v>
      </c>
      <c r="K148" s="89">
        <f t="shared" si="100"/>
        <v>0</v>
      </c>
      <c r="L148" s="89">
        <v>0</v>
      </c>
      <c r="M148" s="89">
        <f t="shared" si="101"/>
        <v>0</v>
      </c>
      <c r="N148" s="80" t="s">
        <v>630</v>
      </c>
      <c r="O148" s="82"/>
      <c r="Z148" s="59">
        <f t="shared" si="102"/>
        <v>0</v>
      </c>
      <c r="AB148" s="59">
        <f t="shared" si="103"/>
        <v>0</v>
      </c>
      <c r="AC148" s="59">
        <f t="shared" si="104"/>
        <v>0</v>
      </c>
      <c r="AD148" s="59">
        <f t="shared" si="105"/>
        <v>0</v>
      </c>
      <c r="AE148" s="59">
        <f t="shared" si="106"/>
        <v>0</v>
      </c>
      <c r="AF148" s="59">
        <f t="shared" si="107"/>
        <v>0</v>
      </c>
      <c r="AG148" s="59">
        <f t="shared" si="108"/>
        <v>0</v>
      </c>
      <c r="AH148" s="59">
        <f t="shared" si="109"/>
        <v>0</v>
      </c>
      <c r="AI148" s="53"/>
      <c r="AJ148" s="44">
        <f t="shared" si="110"/>
        <v>0</v>
      </c>
      <c r="AK148" s="44">
        <f t="shared" si="111"/>
        <v>0</v>
      </c>
      <c r="AL148" s="44">
        <f t="shared" si="112"/>
        <v>0</v>
      </c>
      <c r="AN148" s="59">
        <v>15</v>
      </c>
      <c r="AO148" s="59">
        <f>H148*0</f>
        <v>0</v>
      </c>
      <c r="AP148" s="59">
        <f>H148*(1-0)</f>
        <v>0</v>
      </c>
      <c r="AQ148" s="60" t="s">
        <v>80</v>
      </c>
      <c r="AV148" s="59">
        <f t="shared" si="113"/>
        <v>0</v>
      </c>
      <c r="AW148" s="59">
        <f t="shared" si="114"/>
        <v>0</v>
      </c>
      <c r="AX148" s="59">
        <f t="shared" si="115"/>
        <v>0</v>
      </c>
      <c r="AY148" s="62" t="s">
        <v>649</v>
      </c>
      <c r="AZ148" s="62" t="s">
        <v>666</v>
      </c>
      <c r="BA148" s="53" t="s">
        <v>670</v>
      </c>
      <c r="BC148" s="59">
        <f t="shared" si="116"/>
        <v>0</v>
      </c>
      <c r="BD148" s="59">
        <f t="shared" si="117"/>
        <v>0</v>
      </c>
      <c r="BE148" s="59">
        <v>0</v>
      </c>
      <c r="BF148" s="59">
        <f t="shared" si="118"/>
        <v>0</v>
      </c>
      <c r="BH148" s="44">
        <f t="shared" si="119"/>
        <v>0</v>
      </c>
      <c r="BI148" s="44">
        <f t="shared" si="120"/>
        <v>0</v>
      </c>
      <c r="BJ148" s="44">
        <f t="shared" si="121"/>
        <v>0</v>
      </c>
      <c r="BK148" s="44" t="s">
        <v>675</v>
      </c>
      <c r="BL148" s="59">
        <v>766</v>
      </c>
    </row>
    <row r="149" spans="1:64" ht="12.75">
      <c r="A149" s="85" t="s">
        <v>163</v>
      </c>
      <c r="B149" s="85"/>
      <c r="C149" s="85" t="s">
        <v>238</v>
      </c>
      <c r="D149" s="185" t="s">
        <v>506</v>
      </c>
      <c r="E149" s="191"/>
      <c r="F149" s="85" t="s">
        <v>613</v>
      </c>
      <c r="G149" s="89">
        <v>1</v>
      </c>
      <c r="H149" s="102"/>
      <c r="I149" s="89">
        <f t="shared" si="98"/>
        <v>0</v>
      </c>
      <c r="J149" s="89">
        <f t="shared" si="99"/>
        <v>0</v>
      </c>
      <c r="K149" s="89">
        <f t="shared" si="100"/>
        <v>0</v>
      </c>
      <c r="L149" s="89">
        <v>0</v>
      </c>
      <c r="M149" s="89">
        <f t="shared" si="101"/>
        <v>0</v>
      </c>
      <c r="N149" s="80" t="s">
        <v>238</v>
      </c>
      <c r="O149" s="82"/>
      <c r="Z149" s="59">
        <f t="shared" si="102"/>
        <v>0</v>
      </c>
      <c r="AB149" s="59">
        <f t="shared" si="103"/>
        <v>0</v>
      </c>
      <c r="AC149" s="59">
        <f t="shared" si="104"/>
        <v>0</v>
      </c>
      <c r="AD149" s="59">
        <f t="shared" si="105"/>
        <v>0</v>
      </c>
      <c r="AE149" s="59">
        <f t="shared" si="106"/>
        <v>0</v>
      </c>
      <c r="AF149" s="59">
        <f t="shared" si="107"/>
        <v>0</v>
      </c>
      <c r="AG149" s="59">
        <f t="shared" si="108"/>
        <v>0</v>
      </c>
      <c r="AH149" s="59">
        <f t="shared" si="109"/>
        <v>0</v>
      </c>
      <c r="AI149" s="53"/>
      <c r="AJ149" s="45">
        <f t="shared" si="110"/>
        <v>0</v>
      </c>
      <c r="AK149" s="45">
        <f t="shared" si="111"/>
        <v>0</v>
      </c>
      <c r="AL149" s="45">
        <f t="shared" si="112"/>
        <v>0</v>
      </c>
      <c r="AN149" s="59">
        <v>15</v>
      </c>
      <c r="AO149" s="59">
        <f>H149*1</f>
        <v>0</v>
      </c>
      <c r="AP149" s="59">
        <f>H149*(1-1)</f>
        <v>0</v>
      </c>
      <c r="AQ149" s="61" t="s">
        <v>80</v>
      </c>
      <c r="AV149" s="59">
        <f t="shared" si="113"/>
        <v>0</v>
      </c>
      <c r="AW149" s="59">
        <f t="shared" si="114"/>
        <v>0</v>
      </c>
      <c r="AX149" s="59">
        <f t="shared" si="115"/>
        <v>0</v>
      </c>
      <c r="AY149" s="62" t="s">
        <v>649</v>
      </c>
      <c r="AZ149" s="62" t="s">
        <v>666</v>
      </c>
      <c r="BA149" s="53" t="s">
        <v>670</v>
      </c>
      <c r="BC149" s="59">
        <f t="shared" si="116"/>
        <v>0</v>
      </c>
      <c r="BD149" s="59">
        <f t="shared" si="117"/>
        <v>0</v>
      </c>
      <c r="BE149" s="59">
        <v>0</v>
      </c>
      <c r="BF149" s="59">
        <f t="shared" si="118"/>
        <v>0</v>
      </c>
      <c r="BH149" s="45">
        <f t="shared" si="119"/>
        <v>0</v>
      </c>
      <c r="BI149" s="45">
        <f t="shared" si="120"/>
        <v>0</v>
      </c>
      <c r="BJ149" s="45">
        <f t="shared" si="121"/>
        <v>0</v>
      </c>
      <c r="BK149" s="45" t="s">
        <v>676</v>
      </c>
      <c r="BL149" s="59">
        <v>766</v>
      </c>
    </row>
    <row r="150" spans="1:64" ht="12.75">
      <c r="A150" s="85" t="s">
        <v>164</v>
      </c>
      <c r="B150" s="85"/>
      <c r="C150" s="85" t="s">
        <v>238</v>
      </c>
      <c r="D150" s="185" t="s">
        <v>507</v>
      </c>
      <c r="E150" s="191"/>
      <c r="F150" s="85" t="s">
        <v>613</v>
      </c>
      <c r="G150" s="89">
        <v>1</v>
      </c>
      <c r="H150" s="102"/>
      <c r="I150" s="89">
        <f t="shared" si="98"/>
        <v>0</v>
      </c>
      <c r="J150" s="89">
        <f t="shared" si="99"/>
        <v>0</v>
      </c>
      <c r="K150" s="89">
        <f t="shared" si="100"/>
        <v>0</v>
      </c>
      <c r="L150" s="89">
        <v>0</v>
      </c>
      <c r="M150" s="89">
        <f t="shared" si="101"/>
        <v>0</v>
      </c>
      <c r="N150" s="80" t="s">
        <v>238</v>
      </c>
      <c r="O150" s="82"/>
      <c r="Z150" s="59">
        <f t="shared" si="102"/>
        <v>0</v>
      </c>
      <c r="AB150" s="59">
        <f t="shared" si="103"/>
        <v>0</v>
      </c>
      <c r="AC150" s="59">
        <f t="shared" si="104"/>
        <v>0</v>
      </c>
      <c r="AD150" s="59">
        <f t="shared" si="105"/>
        <v>0</v>
      </c>
      <c r="AE150" s="59">
        <f t="shared" si="106"/>
        <v>0</v>
      </c>
      <c r="AF150" s="59">
        <f t="shared" si="107"/>
        <v>0</v>
      </c>
      <c r="AG150" s="59">
        <f t="shared" si="108"/>
        <v>0</v>
      </c>
      <c r="AH150" s="59">
        <f t="shared" si="109"/>
        <v>0</v>
      </c>
      <c r="AI150" s="53"/>
      <c r="AJ150" s="45">
        <f t="shared" si="110"/>
        <v>0</v>
      </c>
      <c r="AK150" s="45">
        <f t="shared" si="111"/>
        <v>0</v>
      </c>
      <c r="AL150" s="45">
        <f t="shared" si="112"/>
        <v>0</v>
      </c>
      <c r="AN150" s="59">
        <v>15</v>
      </c>
      <c r="AO150" s="59">
        <f>H150*1</f>
        <v>0</v>
      </c>
      <c r="AP150" s="59">
        <f>H150*(1-1)</f>
        <v>0</v>
      </c>
      <c r="AQ150" s="61" t="s">
        <v>80</v>
      </c>
      <c r="AV150" s="59">
        <f t="shared" si="113"/>
        <v>0</v>
      </c>
      <c r="AW150" s="59">
        <f t="shared" si="114"/>
        <v>0</v>
      </c>
      <c r="AX150" s="59">
        <f t="shared" si="115"/>
        <v>0</v>
      </c>
      <c r="AY150" s="62" t="s">
        <v>649</v>
      </c>
      <c r="AZ150" s="62" t="s">
        <v>666</v>
      </c>
      <c r="BA150" s="53" t="s">
        <v>670</v>
      </c>
      <c r="BC150" s="59">
        <f t="shared" si="116"/>
        <v>0</v>
      </c>
      <c r="BD150" s="59">
        <f t="shared" si="117"/>
        <v>0</v>
      </c>
      <c r="BE150" s="59">
        <v>0</v>
      </c>
      <c r="BF150" s="59">
        <f t="shared" si="118"/>
        <v>0</v>
      </c>
      <c r="BH150" s="45">
        <f t="shared" si="119"/>
        <v>0</v>
      </c>
      <c r="BI150" s="45">
        <f t="shared" si="120"/>
        <v>0</v>
      </c>
      <c r="BJ150" s="45">
        <f t="shared" si="121"/>
        <v>0</v>
      </c>
      <c r="BK150" s="45" t="s">
        <v>676</v>
      </c>
      <c r="BL150" s="59">
        <v>766</v>
      </c>
    </row>
    <row r="151" spans="1:15" ht="12.75">
      <c r="A151" s="91"/>
      <c r="B151" s="92"/>
      <c r="C151" s="92"/>
      <c r="D151" s="93" t="s">
        <v>508</v>
      </c>
      <c r="E151" s="93"/>
      <c r="F151" s="92"/>
      <c r="G151" s="94">
        <v>0</v>
      </c>
      <c r="H151" s="92"/>
      <c r="I151" s="92"/>
      <c r="J151" s="92"/>
      <c r="K151" s="92"/>
      <c r="L151" s="92"/>
      <c r="M151" s="92"/>
      <c r="N151" s="83"/>
      <c r="O151" s="82"/>
    </row>
    <row r="152" spans="1:15" ht="12.75">
      <c r="A152" s="91"/>
      <c r="B152" s="92"/>
      <c r="C152" s="92"/>
      <c r="D152" s="93" t="s">
        <v>74</v>
      </c>
      <c r="E152" s="93"/>
      <c r="F152" s="92"/>
      <c r="G152" s="94">
        <v>1</v>
      </c>
      <c r="H152" s="92"/>
      <c r="I152" s="92"/>
      <c r="J152" s="92"/>
      <c r="K152" s="92"/>
      <c r="L152" s="92"/>
      <c r="M152" s="92"/>
      <c r="N152" s="83"/>
      <c r="O152" s="82"/>
    </row>
    <row r="153" spans="1:64" ht="12.75">
      <c r="A153" s="85" t="s">
        <v>165</v>
      </c>
      <c r="B153" s="85"/>
      <c r="C153" s="85" t="s">
        <v>312</v>
      </c>
      <c r="D153" s="185" t="s">
        <v>509</v>
      </c>
      <c r="E153" s="186"/>
      <c r="F153" s="85" t="s">
        <v>610</v>
      </c>
      <c r="G153" s="89">
        <v>0.3</v>
      </c>
      <c r="H153" s="102"/>
      <c r="I153" s="89">
        <f>G153*AO153</f>
        <v>0</v>
      </c>
      <c r="J153" s="89">
        <f>G153*AP153</f>
        <v>0</v>
      </c>
      <c r="K153" s="89">
        <f>G153*H153</f>
        <v>0</v>
      </c>
      <c r="L153" s="89">
        <v>0</v>
      </c>
      <c r="M153" s="89">
        <f>G153*L153</f>
        <v>0</v>
      </c>
      <c r="N153" s="80" t="s">
        <v>630</v>
      </c>
      <c r="O153" s="82"/>
      <c r="Z153" s="59">
        <f>IF(AQ153="5",BJ153,0)</f>
        <v>0</v>
      </c>
      <c r="AB153" s="59">
        <f>IF(AQ153="1",BH153,0)</f>
        <v>0</v>
      </c>
      <c r="AC153" s="59">
        <f>IF(AQ153="1",BI153,0)</f>
        <v>0</v>
      </c>
      <c r="AD153" s="59">
        <f>IF(AQ153="7",BH153,0)</f>
        <v>0</v>
      </c>
      <c r="AE153" s="59">
        <f>IF(AQ153="7",BI153,0)</f>
        <v>0</v>
      </c>
      <c r="AF153" s="59">
        <f>IF(AQ153="2",BH153,0)</f>
        <v>0</v>
      </c>
      <c r="AG153" s="59">
        <f>IF(AQ153="2",BI153,0)</f>
        <v>0</v>
      </c>
      <c r="AH153" s="59">
        <f>IF(AQ153="0",BJ153,0)</f>
        <v>0</v>
      </c>
      <c r="AI153" s="53"/>
      <c r="AJ153" s="44">
        <f>IF(AN153=0,K153,0)</f>
        <v>0</v>
      </c>
      <c r="AK153" s="44">
        <f>IF(AN153=15,K153,0)</f>
        <v>0</v>
      </c>
      <c r="AL153" s="44">
        <f>IF(AN153=21,K153,0)</f>
        <v>0</v>
      </c>
      <c r="AN153" s="59">
        <v>15</v>
      </c>
      <c r="AO153" s="59">
        <f>H153*0</f>
        <v>0</v>
      </c>
      <c r="AP153" s="59">
        <f>H153*(1-0)</f>
        <v>0</v>
      </c>
      <c r="AQ153" s="60" t="s">
        <v>78</v>
      </c>
      <c r="AV153" s="59">
        <f>AW153+AX153</f>
        <v>0</v>
      </c>
      <c r="AW153" s="59">
        <f>G153*AO153</f>
        <v>0</v>
      </c>
      <c r="AX153" s="59">
        <f>G153*AP153</f>
        <v>0</v>
      </c>
      <c r="AY153" s="62" t="s">
        <v>649</v>
      </c>
      <c r="AZ153" s="62" t="s">
        <v>666</v>
      </c>
      <c r="BA153" s="53" t="s">
        <v>670</v>
      </c>
      <c r="BC153" s="59">
        <f>AW153+AX153</f>
        <v>0</v>
      </c>
      <c r="BD153" s="59">
        <f>H153/(100-BE153)*100</f>
        <v>0</v>
      </c>
      <c r="BE153" s="59">
        <v>0</v>
      </c>
      <c r="BF153" s="59">
        <f>M153</f>
        <v>0</v>
      </c>
      <c r="BH153" s="44">
        <f>G153*AO153</f>
        <v>0</v>
      </c>
      <c r="BI153" s="44">
        <f>G153*AP153</f>
        <v>0</v>
      </c>
      <c r="BJ153" s="44">
        <f>G153*H153</f>
        <v>0</v>
      </c>
      <c r="BK153" s="44" t="s">
        <v>675</v>
      </c>
      <c r="BL153" s="59">
        <v>766</v>
      </c>
    </row>
    <row r="154" spans="1:47" ht="12.75">
      <c r="A154" s="96"/>
      <c r="B154" s="97"/>
      <c r="C154" s="97" t="s">
        <v>313</v>
      </c>
      <c r="D154" s="189" t="s">
        <v>510</v>
      </c>
      <c r="E154" s="190"/>
      <c r="F154" s="96" t="s">
        <v>73</v>
      </c>
      <c r="G154" s="96" t="s">
        <v>73</v>
      </c>
      <c r="H154" s="96" t="s">
        <v>73</v>
      </c>
      <c r="I154" s="98">
        <f>SUM(I155:I166)</f>
        <v>0</v>
      </c>
      <c r="J154" s="98">
        <f>SUM(J155:J166)</f>
        <v>0</v>
      </c>
      <c r="K154" s="98">
        <f>SUM(K155:K166)</f>
        <v>0</v>
      </c>
      <c r="L154" s="99"/>
      <c r="M154" s="98">
        <f>SUM(M155:M166)</f>
        <v>0.0902944</v>
      </c>
      <c r="N154" s="95"/>
      <c r="O154" s="82"/>
      <c r="AI154" s="53"/>
      <c r="AS154" s="65">
        <f>SUM(AJ155:AJ166)</f>
        <v>0</v>
      </c>
      <c r="AT154" s="65">
        <f>SUM(AK155:AK166)</f>
        <v>0</v>
      </c>
      <c r="AU154" s="65">
        <f>SUM(AL155:AL166)</f>
        <v>0</v>
      </c>
    </row>
    <row r="155" spans="1:64" ht="12.75">
      <c r="A155" s="85" t="s">
        <v>166</v>
      </c>
      <c r="B155" s="85"/>
      <c r="C155" s="85" t="s">
        <v>314</v>
      </c>
      <c r="D155" s="185" t="s">
        <v>511</v>
      </c>
      <c r="E155" s="186"/>
      <c r="F155" s="85" t="s">
        <v>607</v>
      </c>
      <c r="G155" s="89">
        <v>3.44</v>
      </c>
      <c r="H155" s="102"/>
      <c r="I155" s="89">
        <f>G155*AO155</f>
        <v>0</v>
      </c>
      <c r="J155" s="89">
        <f>G155*AP155</f>
        <v>0</v>
      </c>
      <c r="K155" s="89">
        <f>G155*H155</f>
        <v>0</v>
      </c>
      <c r="L155" s="89">
        <v>0.00483</v>
      </c>
      <c r="M155" s="89">
        <f>G155*L155</f>
        <v>0.0166152</v>
      </c>
      <c r="N155" s="80" t="s">
        <v>630</v>
      </c>
      <c r="O155" s="82"/>
      <c r="Z155" s="59">
        <f>IF(AQ155="5",BJ155,0)</f>
        <v>0</v>
      </c>
      <c r="AB155" s="59">
        <f>IF(AQ155="1",BH155,0)</f>
        <v>0</v>
      </c>
      <c r="AC155" s="59">
        <f>IF(AQ155="1",BI155,0)</f>
        <v>0</v>
      </c>
      <c r="AD155" s="59">
        <f>IF(AQ155="7",BH155,0)</f>
        <v>0</v>
      </c>
      <c r="AE155" s="59">
        <f>IF(AQ155="7",BI155,0)</f>
        <v>0</v>
      </c>
      <c r="AF155" s="59">
        <f>IF(AQ155="2",BH155,0)</f>
        <v>0</v>
      </c>
      <c r="AG155" s="59">
        <f>IF(AQ155="2",BI155,0)</f>
        <v>0</v>
      </c>
      <c r="AH155" s="59">
        <f>IF(AQ155="0",BJ155,0)</f>
        <v>0</v>
      </c>
      <c r="AI155" s="53"/>
      <c r="AJ155" s="44">
        <f>IF(AN155=0,K155,0)</f>
        <v>0</v>
      </c>
      <c r="AK155" s="44">
        <f>IF(AN155=15,K155,0)</f>
        <v>0</v>
      </c>
      <c r="AL155" s="44">
        <f>IF(AN155=21,K155,0)</f>
        <v>0</v>
      </c>
      <c r="AN155" s="59">
        <v>15</v>
      </c>
      <c r="AO155" s="59">
        <f>H155*0.15991652754591</f>
        <v>0</v>
      </c>
      <c r="AP155" s="59">
        <f>H155*(1-0.15991652754591)</f>
        <v>0</v>
      </c>
      <c r="AQ155" s="60" t="s">
        <v>80</v>
      </c>
      <c r="AV155" s="59">
        <f>AW155+AX155</f>
        <v>0</v>
      </c>
      <c r="AW155" s="59">
        <f>G155*AO155</f>
        <v>0</v>
      </c>
      <c r="AX155" s="59">
        <f>G155*AP155</f>
        <v>0</v>
      </c>
      <c r="AY155" s="62" t="s">
        <v>650</v>
      </c>
      <c r="AZ155" s="62" t="s">
        <v>667</v>
      </c>
      <c r="BA155" s="53" t="s">
        <v>670</v>
      </c>
      <c r="BC155" s="59">
        <f>AW155+AX155</f>
        <v>0</v>
      </c>
      <c r="BD155" s="59">
        <f>H155/(100-BE155)*100</f>
        <v>0</v>
      </c>
      <c r="BE155" s="59">
        <v>0</v>
      </c>
      <c r="BF155" s="59">
        <f>M155</f>
        <v>0.0166152</v>
      </c>
      <c r="BH155" s="44">
        <f>G155*AO155</f>
        <v>0</v>
      </c>
      <c r="BI155" s="44">
        <f>G155*AP155</f>
        <v>0</v>
      </c>
      <c r="BJ155" s="44">
        <f>G155*H155</f>
        <v>0</v>
      </c>
      <c r="BK155" s="44" t="s">
        <v>675</v>
      </c>
      <c r="BL155" s="59">
        <v>771</v>
      </c>
    </row>
    <row r="156" spans="1:15" ht="12.75">
      <c r="A156" s="91"/>
      <c r="B156" s="92"/>
      <c r="C156" s="92"/>
      <c r="D156" s="93" t="s">
        <v>512</v>
      </c>
      <c r="E156" s="93"/>
      <c r="F156" s="92"/>
      <c r="G156" s="94">
        <v>0</v>
      </c>
      <c r="H156" s="92"/>
      <c r="I156" s="92"/>
      <c r="J156" s="92"/>
      <c r="K156" s="92"/>
      <c r="L156" s="92"/>
      <c r="M156" s="92"/>
      <c r="N156" s="83"/>
      <c r="O156" s="82"/>
    </row>
    <row r="157" spans="1:15" ht="12.75">
      <c r="A157" s="91"/>
      <c r="B157" s="92"/>
      <c r="C157" s="92"/>
      <c r="D157" s="93" t="s">
        <v>513</v>
      </c>
      <c r="E157" s="93"/>
      <c r="F157" s="92"/>
      <c r="G157" s="94">
        <v>3.44</v>
      </c>
      <c r="H157" s="92"/>
      <c r="I157" s="92"/>
      <c r="J157" s="92"/>
      <c r="K157" s="92"/>
      <c r="L157" s="92"/>
      <c r="M157" s="92"/>
      <c r="N157" s="83"/>
      <c r="O157" s="82"/>
    </row>
    <row r="158" spans="1:64" ht="12.75">
      <c r="A158" s="85" t="s">
        <v>167</v>
      </c>
      <c r="B158" s="85"/>
      <c r="C158" s="85" t="s">
        <v>315</v>
      </c>
      <c r="D158" s="185" t="s">
        <v>514</v>
      </c>
      <c r="E158" s="186"/>
      <c r="F158" s="85" t="s">
        <v>607</v>
      </c>
      <c r="G158" s="89">
        <v>3.44</v>
      </c>
      <c r="H158" s="102"/>
      <c r="I158" s="89">
        <f>G158*AO158</f>
        <v>0</v>
      </c>
      <c r="J158" s="89">
        <f>G158*AP158</f>
        <v>0</v>
      </c>
      <c r="K158" s="89">
        <f>G158*H158</f>
        <v>0</v>
      </c>
      <c r="L158" s="89">
        <v>0</v>
      </c>
      <c r="M158" s="89">
        <f>G158*L158</f>
        <v>0</v>
      </c>
      <c r="N158" s="80" t="s">
        <v>630</v>
      </c>
      <c r="O158" s="82"/>
      <c r="Z158" s="59">
        <f>IF(AQ158="5",BJ158,0)</f>
        <v>0</v>
      </c>
      <c r="AB158" s="59">
        <f>IF(AQ158="1",BH158,0)</f>
        <v>0</v>
      </c>
      <c r="AC158" s="59">
        <f>IF(AQ158="1",BI158,0)</f>
        <v>0</v>
      </c>
      <c r="AD158" s="59">
        <f>IF(AQ158="7",BH158,0)</f>
        <v>0</v>
      </c>
      <c r="AE158" s="59">
        <f>IF(AQ158="7",BI158,0)</f>
        <v>0</v>
      </c>
      <c r="AF158" s="59">
        <f>IF(AQ158="2",BH158,0)</f>
        <v>0</v>
      </c>
      <c r="AG158" s="59">
        <f>IF(AQ158="2",BI158,0)</f>
        <v>0</v>
      </c>
      <c r="AH158" s="59">
        <f>IF(AQ158="0",BJ158,0)</f>
        <v>0</v>
      </c>
      <c r="AI158" s="53"/>
      <c r="AJ158" s="44">
        <f>IF(AN158=0,K158,0)</f>
        <v>0</v>
      </c>
      <c r="AK158" s="44">
        <f>IF(AN158=15,K158,0)</f>
        <v>0</v>
      </c>
      <c r="AL158" s="44">
        <f>IF(AN158=21,K158,0)</f>
        <v>0</v>
      </c>
      <c r="AN158" s="59">
        <v>15</v>
      </c>
      <c r="AO158" s="59">
        <f>H158*0</f>
        <v>0</v>
      </c>
      <c r="AP158" s="59">
        <f>H158*(1-0)</f>
        <v>0</v>
      </c>
      <c r="AQ158" s="60" t="s">
        <v>80</v>
      </c>
      <c r="AV158" s="59">
        <f>AW158+AX158</f>
        <v>0</v>
      </c>
      <c r="AW158" s="59">
        <f>G158*AO158</f>
        <v>0</v>
      </c>
      <c r="AX158" s="59">
        <f>G158*AP158</f>
        <v>0</v>
      </c>
      <c r="AY158" s="62" t="s">
        <v>650</v>
      </c>
      <c r="AZ158" s="62" t="s">
        <v>667</v>
      </c>
      <c r="BA158" s="53" t="s">
        <v>670</v>
      </c>
      <c r="BC158" s="59">
        <f>AW158+AX158</f>
        <v>0</v>
      </c>
      <c r="BD158" s="59">
        <f>H158/(100-BE158)*100</f>
        <v>0</v>
      </c>
      <c r="BE158" s="59">
        <v>0</v>
      </c>
      <c r="BF158" s="59">
        <f>M158</f>
        <v>0</v>
      </c>
      <c r="BH158" s="44">
        <f>G158*AO158</f>
        <v>0</v>
      </c>
      <c r="BI158" s="44">
        <f>G158*AP158</f>
        <v>0</v>
      </c>
      <c r="BJ158" s="44">
        <f>G158*H158</f>
        <v>0</v>
      </c>
      <c r="BK158" s="44" t="s">
        <v>675</v>
      </c>
      <c r="BL158" s="59">
        <v>771</v>
      </c>
    </row>
    <row r="159" spans="1:64" ht="12.75">
      <c r="A159" s="85" t="s">
        <v>168</v>
      </c>
      <c r="B159" s="85"/>
      <c r="C159" s="85" t="s">
        <v>316</v>
      </c>
      <c r="D159" s="185" t="s">
        <v>515</v>
      </c>
      <c r="E159" s="186"/>
      <c r="F159" s="85" t="s">
        <v>607</v>
      </c>
      <c r="G159" s="89">
        <v>3.44</v>
      </c>
      <c r="H159" s="102"/>
      <c r="I159" s="89">
        <f>G159*AO159</f>
        <v>0</v>
      </c>
      <c r="J159" s="89">
        <f>G159*AP159</f>
        <v>0</v>
      </c>
      <c r="K159" s="89">
        <f>G159*H159</f>
        <v>0</v>
      </c>
      <c r="L159" s="89">
        <v>0</v>
      </c>
      <c r="M159" s="89">
        <f>G159*L159</f>
        <v>0</v>
      </c>
      <c r="N159" s="80" t="s">
        <v>630</v>
      </c>
      <c r="O159" s="82"/>
      <c r="Z159" s="59">
        <f>IF(AQ159="5",BJ159,0)</f>
        <v>0</v>
      </c>
      <c r="AB159" s="59">
        <f>IF(AQ159="1",BH159,0)</f>
        <v>0</v>
      </c>
      <c r="AC159" s="59">
        <f>IF(AQ159="1",BI159,0)</f>
        <v>0</v>
      </c>
      <c r="AD159" s="59">
        <f>IF(AQ159="7",BH159,0)</f>
        <v>0</v>
      </c>
      <c r="AE159" s="59">
        <f>IF(AQ159="7",BI159,0)</f>
        <v>0</v>
      </c>
      <c r="AF159" s="59">
        <f>IF(AQ159="2",BH159,0)</f>
        <v>0</v>
      </c>
      <c r="AG159" s="59">
        <f>IF(AQ159="2",BI159,0)</f>
        <v>0</v>
      </c>
      <c r="AH159" s="59">
        <f>IF(AQ159="0",BJ159,0)</f>
        <v>0</v>
      </c>
      <c r="AI159" s="53"/>
      <c r="AJ159" s="44">
        <f>IF(AN159=0,K159,0)</f>
        <v>0</v>
      </c>
      <c r="AK159" s="44">
        <f>IF(AN159=15,K159,0)</f>
        <v>0</v>
      </c>
      <c r="AL159" s="44">
        <f>IF(AN159=21,K159,0)</f>
        <v>0</v>
      </c>
      <c r="AN159" s="59">
        <v>15</v>
      </c>
      <c r="AO159" s="59">
        <f>H159*0</f>
        <v>0</v>
      </c>
      <c r="AP159" s="59">
        <f>H159*(1-0)</f>
        <v>0</v>
      </c>
      <c r="AQ159" s="60" t="s">
        <v>80</v>
      </c>
      <c r="AV159" s="59">
        <f>AW159+AX159</f>
        <v>0</v>
      </c>
      <c r="AW159" s="59">
        <f>G159*AO159</f>
        <v>0</v>
      </c>
      <c r="AX159" s="59">
        <f>G159*AP159</f>
        <v>0</v>
      </c>
      <c r="AY159" s="62" t="s">
        <v>650</v>
      </c>
      <c r="AZ159" s="62" t="s">
        <v>667</v>
      </c>
      <c r="BA159" s="53" t="s">
        <v>670</v>
      </c>
      <c r="BC159" s="59">
        <f>AW159+AX159</f>
        <v>0</v>
      </c>
      <c r="BD159" s="59">
        <f>H159/(100-BE159)*100</f>
        <v>0</v>
      </c>
      <c r="BE159" s="59">
        <v>0</v>
      </c>
      <c r="BF159" s="59">
        <f>M159</f>
        <v>0</v>
      </c>
      <c r="BH159" s="44">
        <f>G159*AO159</f>
        <v>0</v>
      </c>
      <c r="BI159" s="44">
        <f>G159*AP159</f>
        <v>0</v>
      </c>
      <c r="BJ159" s="44">
        <f>G159*H159</f>
        <v>0</v>
      </c>
      <c r="BK159" s="44" t="s">
        <v>675</v>
      </c>
      <c r="BL159" s="59">
        <v>771</v>
      </c>
    </row>
    <row r="160" spans="1:64" ht="12.75">
      <c r="A160" s="78" t="s">
        <v>169</v>
      </c>
      <c r="B160" s="78"/>
      <c r="C160" s="78" t="s">
        <v>317</v>
      </c>
      <c r="D160" s="187" t="s">
        <v>516</v>
      </c>
      <c r="E160" s="188"/>
      <c r="F160" s="78" t="s">
        <v>607</v>
      </c>
      <c r="G160" s="79">
        <v>3.44</v>
      </c>
      <c r="H160" s="103"/>
      <c r="I160" s="79">
        <f>G160*AO160</f>
        <v>0</v>
      </c>
      <c r="J160" s="79">
        <f>G160*AP160</f>
        <v>0</v>
      </c>
      <c r="K160" s="79">
        <f>G160*H160</f>
        <v>0</v>
      </c>
      <c r="L160" s="79">
        <v>0</v>
      </c>
      <c r="M160" s="79">
        <f>G160*L160</f>
        <v>0</v>
      </c>
      <c r="N160" s="81" t="s">
        <v>630</v>
      </c>
      <c r="O160" s="82"/>
      <c r="Z160" s="59">
        <f>IF(AQ160="5",BJ160,0)</f>
        <v>0</v>
      </c>
      <c r="AB160" s="59">
        <f>IF(AQ160="1",BH160,0)</f>
        <v>0</v>
      </c>
      <c r="AC160" s="59">
        <f>IF(AQ160="1",BI160,0)</f>
        <v>0</v>
      </c>
      <c r="AD160" s="59">
        <f>IF(AQ160="7",BH160,0)</f>
        <v>0</v>
      </c>
      <c r="AE160" s="59">
        <f>IF(AQ160="7",BI160,0)</f>
        <v>0</v>
      </c>
      <c r="AF160" s="59">
        <f>IF(AQ160="2",BH160,0)</f>
        <v>0</v>
      </c>
      <c r="AG160" s="59">
        <f>IF(AQ160="2",BI160,0)</f>
        <v>0</v>
      </c>
      <c r="AH160" s="59">
        <f>IF(AQ160="0",BJ160,0)</f>
        <v>0</v>
      </c>
      <c r="AI160" s="53"/>
      <c r="AJ160" s="44">
        <f>IF(AN160=0,K160,0)</f>
        <v>0</v>
      </c>
      <c r="AK160" s="44">
        <f>IF(AN160=15,K160,0)</f>
        <v>0</v>
      </c>
      <c r="AL160" s="44">
        <f>IF(AN160=21,K160,0)</f>
        <v>0</v>
      </c>
      <c r="AN160" s="59">
        <v>15</v>
      </c>
      <c r="AO160" s="59">
        <f>H160*0</f>
        <v>0</v>
      </c>
      <c r="AP160" s="59">
        <f>H160*(1-0)</f>
        <v>0</v>
      </c>
      <c r="AQ160" s="60" t="s">
        <v>80</v>
      </c>
      <c r="AV160" s="59">
        <f>AW160+AX160</f>
        <v>0</v>
      </c>
      <c r="AW160" s="59">
        <f>G160*AO160</f>
        <v>0</v>
      </c>
      <c r="AX160" s="59">
        <f>G160*AP160</f>
        <v>0</v>
      </c>
      <c r="AY160" s="62" t="s">
        <v>650</v>
      </c>
      <c r="AZ160" s="62" t="s">
        <v>667</v>
      </c>
      <c r="BA160" s="53" t="s">
        <v>670</v>
      </c>
      <c r="BC160" s="59">
        <f>AW160+AX160</f>
        <v>0</v>
      </c>
      <c r="BD160" s="59">
        <f>H160/(100-BE160)*100</f>
        <v>0</v>
      </c>
      <c r="BE160" s="59">
        <v>0</v>
      </c>
      <c r="BF160" s="59">
        <f>M160</f>
        <v>0</v>
      </c>
      <c r="BH160" s="44">
        <f>G160*AO160</f>
        <v>0</v>
      </c>
      <c r="BI160" s="44">
        <f>G160*AP160</f>
        <v>0</v>
      </c>
      <c r="BJ160" s="44">
        <f>G160*H160</f>
        <v>0</v>
      </c>
      <c r="BK160" s="44" t="s">
        <v>675</v>
      </c>
      <c r="BL160" s="59">
        <v>771</v>
      </c>
    </row>
    <row r="161" spans="1:64" ht="12.75">
      <c r="A161" s="73" t="s">
        <v>170</v>
      </c>
      <c r="B161" s="17"/>
      <c r="C161" s="17" t="s">
        <v>318</v>
      </c>
      <c r="D161" s="123" t="s">
        <v>517</v>
      </c>
      <c r="E161" s="184"/>
      <c r="F161" s="17" t="s">
        <v>608</v>
      </c>
      <c r="G161" s="59">
        <v>7.6</v>
      </c>
      <c r="H161" s="101"/>
      <c r="I161" s="59">
        <f>G161*AO161</f>
        <v>0</v>
      </c>
      <c r="J161" s="59">
        <f>G161*AP161</f>
        <v>0</v>
      </c>
      <c r="K161" s="59">
        <f>G161*H161</f>
        <v>0</v>
      </c>
      <c r="L161" s="59">
        <v>4E-05</v>
      </c>
      <c r="M161" s="59">
        <f>G161*L161</f>
        <v>0.000304</v>
      </c>
      <c r="N161" s="74" t="s">
        <v>630</v>
      </c>
      <c r="O161" s="18"/>
      <c r="Z161" s="59">
        <f>IF(AQ161="5",BJ161,0)</f>
        <v>0</v>
      </c>
      <c r="AB161" s="59">
        <f>IF(AQ161="1",BH161,0)</f>
        <v>0</v>
      </c>
      <c r="AC161" s="59">
        <f>IF(AQ161="1",BI161,0)</f>
        <v>0</v>
      </c>
      <c r="AD161" s="59">
        <f>IF(AQ161="7",BH161,0)</f>
        <v>0</v>
      </c>
      <c r="AE161" s="59">
        <f>IF(AQ161="7",BI161,0)</f>
        <v>0</v>
      </c>
      <c r="AF161" s="59">
        <f>IF(AQ161="2",BH161,0)</f>
        <v>0</v>
      </c>
      <c r="AG161" s="59">
        <f>IF(AQ161="2",BI161,0)</f>
        <v>0</v>
      </c>
      <c r="AH161" s="59">
        <f>IF(AQ161="0",BJ161,0)</f>
        <v>0</v>
      </c>
      <c r="AI161" s="53"/>
      <c r="AJ161" s="44">
        <f>IF(AN161=0,K161,0)</f>
        <v>0</v>
      </c>
      <c r="AK161" s="44">
        <f>IF(AN161=15,K161,0)</f>
        <v>0</v>
      </c>
      <c r="AL161" s="44">
        <f>IF(AN161=21,K161,0)</f>
        <v>0</v>
      </c>
      <c r="AN161" s="59">
        <v>15</v>
      </c>
      <c r="AO161" s="59">
        <f>H161*0.374803006974006</f>
        <v>0</v>
      </c>
      <c r="AP161" s="59">
        <f>H161*(1-0.374803006974006)</f>
        <v>0</v>
      </c>
      <c r="AQ161" s="60" t="s">
        <v>80</v>
      </c>
      <c r="AV161" s="59">
        <f>AW161+AX161</f>
        <v>0</v>
      </c>
      <c r="AW161" s="59">
        <f>G161*AO161</f>
        <v>0</v>
      </c>
      <c r="AX161" s="59">
        <f>G161*AP161</f>
        <v>0</v>
      </c>
      <c r="AY161" s="62" t="s">
        <v>650</v>
      </c>
      <c r="AZ161" s="62" t="s">
        <v>667</v>
      </c>
      <c r="BA161" s="53" t="s">
        <v>670</v>
      </c>
      <c r="BC161" s="59">
        <f>AW161+AX161</f>
        <v>0</v>
      </c>
      <c r="BD161" s="59">
        <f>H161/(100-BE161)*100</f>
        <v>0</v>
      </c>
      <c r="BE161" s="59">
        <v>0</v>
      </c>
      <c r="BF161" s="59">
        <f>M161</f>
        <v>0.000304</v>
      </c>
      <c r="BH161" s="44">
        <f>G161*AO161</f>
        <v>0</v>
      </c>
      <c r="BI161" s="44">
        <f>G161*AP161</f>
        <v>0</v>
      </c>
      <c r="BJ161" s="44">
        <f>G161*H161</f>
        <v>0</v>
      </c>
      <c r="BK161" s="44" t="s">
        <v>675</v>
      </c>
      <c r="BL161" s="59">
        <v>771</v>
      </c>
    </row>
    <row r="162" spans="1:15" ht="12.75">
      <c r="A162" s="18"/>
      <c r="B162" s="75"/>
      <c r="C162" s="75"/>
      <c r="D162" s="76" t="s">
        <v>518</v>
      </c>
      <c r="E162" s="76"/>
      <c r="F162" s="75"/>
      <c r="G162" s="77">
        <v>7.6</v>
      </c>
      <c r="H162" s="75"/>
      <c r="I162" s="75"/>
      <c r="J162" s="75"/>
      <c r="K162" s="75"/>
      <c r="L162" s="75"/>
      <c r="M162" s="75"/>
      <c r="N162" s="16"/>
      <c r="O162" s="18"/>
    </row>
    <row r="163" spans="1:64" ht="12.75">
      <c r="A163" s="85" t="s">
        <v>171</v>
      </c>
      <c r="B163" s="85"/>
      <c r="C163" s="85" t="s">
        <v>319</v>
      </c>
      <c r="D163" s="185" t="s">
        <v>519</v>
      </c>
      <c r="E163" s="186"/>
      <c r="F163" s="85" t="s">
        <v>607</v>
      </c>
      <c r="G163" s="89">
        <v>3.44</v>
      </c>
      <c r="H163" s="102"/>
      <c r="I163" s="89">
        <f>G163*AO163</f>
        <v>0</v>
      </c>
      <c r="J163" s="89">
        <f>G163*AP163</f>
        <v>0</v>
      </c>
      <c r="K163" s="89">
        <f>G163*H163</f>
        <v>0</v>
      </c>
      <c r="L163" s="89">
        <v>0.00021</v>
      </c>
      <c r="M163" s="89">
        <f>G163*L163</f>
        <v>0.0007224</v>
      </c>
      <c r="N163" s="80" t="s">
        <v>630</v>
      </c>
      <c r="O163" s="82"/>
      <c r="Z163" s="59">
        <f>IF(AQ163="5",BJ163,0)</f>
        <v>0</v>
      </c>
      <c r="AB163" s="59">
        <f>IF(AQ163="1",BH163,0)</f>
        <v>0</v>
      </c>
      <c r="AC163" s="59">
        <f>IF(AQ163="1",BI163,0)</f>
        <v>0</v>
      </c>
      <c r="AD163" s="59">
        <f>IF(AQ163="7",BH163,0)</f>
        <v>0</v>
      </c>
      <c r="AE163" s="59">
        <f>IF(AQ163="7",BI163,0)</f>
        <v>0</v>
      </c>
      <c r="AF163" s="59">
        <f>IF(AQ163="2",BH163,0)</f>
        <v>0</v>
      </c>
      <c r="AG163" s="59">
        <f>IF(AQ163="2",BI163,0)</f>
        <v>0</v>
      </c>
      <c r="AH163" s="59">
        <f>IF(AQ163="0",BJ163,0)</f>
        <v>0</v>
      </c>
      <c r="AI163" s="53"/>
      <c r="AJ163" s="44">
        <f>IF(AN163=0,K163,0)</f>
        <v>0</v>
      </c>
      <c r="AK163" s="44">
        <f>IF(AN163=15,K163,0)</f>
        <v>0</v>
      </c>
      <c r="AL163" s="44">
        <f>IF(AN163=21,K163,0)</f>
        <v>0</v>
      </c>
      <c r="AN163" s="59">
        <v>15</v>
      </c>
      <c r="AO163" s="59">
        <f>H163*0.506665192881618</f>
        <v>0</v>
      </c>
      <c r="AP163" s="59">
        <f>H163*(1-0.506665192881618)</f>
        <v>0</v>
      </c>
      <c r="AQ163" s="60" t="s">
        <v>80</v>
      </c>
      <c r="AV163" s="59">
        <f>AW163+AX163</f>
        <v>0</v>
      </c>
      <c r="AW163" s="59">
        <f>G163*AO163</f>
        <v>0</v>
      </c>
      <c r="AX163" s="59">
        <f>G163*AP163</f>
        <v>0</v>
      </c>
      <c r="AY163" s="62" t="s">
        <v>650</v>
      </c>
      <c r="AZ163" s="62" t="s">
        <v>667</v>
      </c>
      <c r="BA163" s="53" t="s">
        <v>670</v>
      </c>
      <c r="BC163" s="59">
        <f>AW163+AX163</f>
        <v>0</v>
      </c>
      <c r="BD163" s="59">
        <f>H163/(100-BE163)*100</f>
        <v>0</v>
      </c>
      <c r="BE163" s="59">
        <v>0</v>
      </c>
      <c r="BF163" s="59">
        <f>M163</f>
        <v>0.0007224</v>
      </c>
      <c r="BH163" s="44">
        <f>G163*AO163</f>
        <v>0</v>
      </c>
      <c r="BI163" s="44">
        <f>G163*AP163</f>
        <v>0</v>
      </c>
      <c r="BJ163" s="44">
        <f>G163*H163</f>
        <v>0</v>
      </c>
      <c r="BK163" s="44" t="s">
        <v>675</v>
      </c>
      <c r="BL163" s="59">
        <v>771</v>
      </c>
    </row>
    <row r="164" spans="1:64" ht="12.75">
      <c r="A164" s="85" t="s">
        <v>172</v>
      </c>
      <c r="B164" s="85"/>
      <c r="C164" s="85" t="s">
        <v>320</v>
      </c>
      <c r="D164" s="185" t="s">
        <v>520</v>
      </c>
      <c r="E164" s="191"/>
      <c r="F164" s="85" t="s">
        <v>607</v>
      </c>
      <c r="G164" s="89">
        <v>3.784</v>
      </c>
      <c r="H164" s="102"/>
      <c r="I164" s="89">
        <f>G164*AO164</f>
        <v>0</v>
      </c>
      <c r="J164" s="89">
        <f>G164*AP164</f>
        <v>0</v>
      </c>
      <c r="K164" s="89">
        <f>G164*H164</f>
        <v>0</v>
      </c>
      <c r="L164" s="89">
        <v>0.0192</v>
      </c>
      <c r="M164" s="89">
        <f>G164*L164</f>
        <v>0.07265279999999999</v>
      </c>
      <c r="N164" s="80" t="s">
        <v>630</v>
      </c>
      <c r="O164" s="82"/>
      <c r="Z164" s="59">
        <f>IF(AQ164="5",BJ164,0)</f>
        <v>0</v>
      </c>
      <c r="AB164" s="59">
        <f>IF(AQ164="1",BH164,0)</f>
        <v>0</v>
      </c>
      <c r="AC164" s="59">
        <f>IF(AQ164="1",BI164,0)</f>
        <v>0</v>
      </c>
      <c r="AD164" s="59">
        <f>IF(AQ164="7",BH164,0)</f>
        <v>0</v>
      </c>
      <c r="AE164" s="59">
        <f>IF(AQ164="7",BI164,0)</f>
        <v>0</v>
      </c>
      <c r="AF164" s="59">
        <f>IF(AQ164="2",BH164,0)</f>
        <v>0</v>
      </c>
      <c r="AG164" s="59">
        <f>IF(AQ164="2",BI164,0)</f>
        <v>0</v>
      </c>
      <c r="AH164" s="59">
        <f>IF(AQ164="0",BJ164,0)</f>
        <v>0</v>
      </c>
      <c r="AI164" s="53"/>
      <c r="AJ164" s="45">
        <f>IF(AN164=0,K164,0)</f>
        <v>0</v>
      </c>
      <c r="AK164" s="45">
        <f>IF(AN164=15,K164,0)</f>
        <v>0</v>
      </c>
      <c r="AL164" s="45">
        <f>IF(AN164=21,K164,0)</f>
        <v>0</v>
      </c>
      <c r="AN164" s="59">
        <v>15</v>
      </c>
      <c r="AO164" s="59">
        <f>H164*1</f>
        <v>0</v>
      </c>
      <c r="AP164" s="59">
        <f>H164*(1-1)</f>
        <v>0</v>
      </c>
      <c r="AQ164" s="61" t="s">
        <v>80</v>
      </c>
      <c r="AV164" s="59">
        <f>AW164+AX164</f>
        <v>0</v>
      </c>
      <c r="AW164" s="59">
        <f>G164*AO164</f>
        <v>0</v>
      </c>
      <c r="AX164" s="59">
        <f>G164*AP164</f>
        <v>0</v>
      </c>
      <c r="AY164" s="62" t="s">
        <v>650</v>
      </c>
      <c r="AZ164" s="62" t="s">
        <v>667</v>
      </c>
      <c r="BA164" s="53" t="s">
        <v>670</v>
      </c>
      <c r="BC164" s="59">
        <f>AW164+AX164</f>
        <v>0</v>
      </c>
      <c r="BD164" s="59">
        <f>H164/(100-BE164)*100</f>
        <v>0</v>
      </c>
      <c r="BE164" s="59">
        <v>0</v>
      </c>
      <c r="BF164" s="59">
        <f>M164</f>
        <v>0.07265279999999999</v>
      </c>
      <c r="BH164" s="45">
        <f>G164*AO164</f>
        <v>0</v>
      </c>
      <c r="BI164" s="45">
        <f>G164*AP164</f>
        <v>0</v>
      </c>
      <c r="BJ164" s="45">
        <f>G164*H164</f>
        <v>0</v>
      </c>
      <c r="BK164" s="45" t="s">
        <v>676</v>
      </c>
      <c r="BL164" s="59">
        <v>771</v>
      </c>
    </row>
    <row r="165" spans="1:15" ht="12.75">
      <c r="A165" s="91"/>
      <c r="B165" s="92"/>
      <c r="C165" s="92"/>
      <c r="D165" s="93" t="s">
        <v>521</v>
      </c>
      <c r="E165" s="93"/>
      <c r="F165" s="92"/>
      <c r="G165" s="94">
        <v>3.784</v>
      </c>
      <c r="H165" s="92"/>
      <c r="I165" s="92"/>
      <c r="J165" s="92"/>
      <c r="K165" s="92"/>
      <c r="L165" s="92"/>
      <c r="M165" s="92"/>
      <c r="N165" s="83"/>
      <c r="O165" s="82"/>
    </row>
    <row r="166" spans="1:64" ht="12.75">
      <c r="A166" s="85" t="s">
        <v>173</v>
      </c>
      <c r="B166" s="85"/>
      <c r="C166" s="85" t="s">
        <v>321</v>
      </c>
      <c r="D166" s="185" t="s">
        <v>522</v>
      </c>
      <c r="E166" s="186"/>
      <c r="F166" s="85" t="s">
        <v>610</v>
      </c>
      <c r="G166" s="89">
        <v>0.1</v>
      </c>
      <c r="H166" s="102"/>
      <c r="I166" s="89">
        <f>G166*AO166</f>
        <v>0</v>
      </c>
      <c r="J166" s="89">
        <f>G166*AP166</f>
        <v>0</v>
      </c>
      <c r="K166" s="89">
        <f>G166*H166</f>
        <v>0</v>
      </c>
      <c r="L166" s="89">
        <v>0</v>
      </c>
      <c r="M166" s="89">
        <f>G166*L166</f>
        <v>0</v>
      </c>
      <c r="N166" s="80" t="s">
        <v>630</v>
      </c>
      <c r="O166" s="82"/>
      <c r="Z166" s="59">
        <f>IF(AQ166="5",BJ166,0)</f>
        <v>0</v>
      </c>
      <c r="AB166" s="59">
        <f>IF(AQ166="1",BH166,0)</f>
        <v>0</v>
      </c>
      <c r="AC166" s="59">
        <f>IF(AQ166="1",BI166,0)</f>
        <v>0</v>
      </c>
      <c r="AD166" s="59">
        <f>IF(AQ166="7",BH166,0)</f>
        <v>0</v>
      </c>
      <c r="AE166" s="59">
        <f>IF(AQ166="7",BI166,0)</f>
        <v>0</v>
      </c>
      <c r="AF166" s="59">
        <f>IF(AQ166="2",BH166,0)</f>
        <v>0</v>
      </c>
      <c r="AG166" s="59">
        <f>IF(AQ166="2",BI166,0)</f>
        <v>0</v>
      </c>
      <c r="AH166" s="59">
        <f>IF(AQ166="0",BJ166,0)</f>
        <v>0</v>
      </c>
      <c r="AI166" s="53"/>
      <c r="AJ166" s="44">
        <f>IF(AN166=0,K166,0)</f>
        <v>0</v>
      </c>
      <c r="AK166" s="44">
        <f>IF(AN166=15,K166,0)</f>
        <v>0</v>
      </c>
      <c r="AL166" s="44">
        <f>IF(AN166=21,K166,0)</f>
        <v>0</v>
      </c>
      <c r="AN166" s="59">
        <v>15</v>
      </c>
      <c r="AO166" s="59">
        <f>H166*0</f>
        <v>0</v>
      </c>
      <c r="AP166" s="59">
        <f>H166*(1-0)</f>
        <v>0</v>
      </c>
      <c r="AQ166" s="60" t="s">
        <v>78</v>
      </c>
      <c r="AV166" s="59">
        <f>AW166+AX166</f>
        <v>0</v>
      </c>
      <c r="AW166" s="59">
        <f>G166*AO166</f>
        <v>0</v>
      </c>
      <c r="AX166" s="59">
        <f>G166*AP166</f>
        <v>0</v>
      </c>
      <c r="AY166" s="62" t="s">
        <v>650</v>
      </c>
      <c r="AZ166" s="62" t="s">
        <v>667</v>
      </c>
      <c r="BA166" s="53" t="s">
        <v>670</v>
      </c>
      <c r="BC166" s="59">
        <f>AW166+AX166</f>
        <v>0</v>
      </c>
      <c r="BD166" s="59">
        <f>H166/(100-BE166)*100</f>
        <v>0</v>
      </c>
      <c r="BE166" s="59">
        <v>0</v>
      </c>
      <c r="BF166" s="59">
        <f>M166</f>
        <v>0</v>
      </c>
      <c r="BH166" s="44">
        <f>G166*AO166</f>
        <v>0</v>
      </c>
      <c r="BI166" s="44">
        <f>G166*AP166</f>
        <v>0</v>
      </c>
      <c r="BJ166" s="44">
        <f>G166*H166</f>
        <v>0</v>
      </c>
      <c r="BK166" s="44" t="s">
        <v>675</v>
      </c>
      <c r="BL166" s="59">
        <v>771</v>
      </c>
    </row>
    <row r="167" spans="1:47" ht="12.75">
      <c r="A167" s="96"/>
      <c r="B167" s="97"/>
      <c r="C167" s="97" t="s">
        <v>322</v>
      </c>
      <c r="D167" s="189" t="s">
        <v>523</v>
      </c>
      <c r="E167" s="190"/>
      <c r="F167" s="96" t="s">
        <v>73</v>
      </c>
      <c r="G167" s="96" t="s">
        <v>73</v>
      </c>
      <c r="H167" s="96" t="s">
        <v>73</v>
      </c>
      <c r="I167" s="98">
        <f>SUM(I168:I199)</f>
        <v>0</v>
      </c>
      <c r="J167" s="98">
        <f>SUM(J168:J199)</f>
        <v>0</v>
      </c>
      <c r="K167" s="98">
        <f>SUM(K168:K199)</f>
        <v>0</v>
      </c>
      <c r="L167" s="99"/>
      <c r="M167" s="98">
        <f>SUM(M168:M199)</f>
        <v>0.39322550000000006</v>
      </c>
      <c r="N167" s="95"/>
      <c r="O167" s="82"/>
      <c r="AI167" s="53"/>
      <c r="AS167" s="65">
        <f>SUM(AJ168:AJ199)</f>
        <v>0</v>
      </c>
      <c r="AT167" s="65">
        <f>SUM(AK168:AK199)</f>
        <v>0</v>
      </c>
      <c r="AU167" s="65">
        <f>SUM(AL168:AL199)</f>
        <v>0</v>
      </c>
    </row>
    <row r="168" spans="1:64" ht="12.75">
      <c r="A168" s="85" t="s">
        <v>174</v>
      </c>
      <c r="B168" s="85"/>
      <c r="C168" s="85" t="s">
        <v>323</v>
      </c>
      <c r="D168" s="185" t="s">
        <v>524</v>
      </c>
      <c r="E168" s="186"/>
      <c r="F168" s="85" t="s">
        <v>608</v>
      </c>
      <c r="G168" s="89">
        <v>32.03</v>
      </c>
      <c r="H168" s="102"/>
      <c r="I168" s="89">
        <f>G168*AO168</f>
        <v>0</v>
      </c>
      <c r="J168" s="89">
        <f>G168*AP168</f>
        <v>0</v>
      </c>
      <c r="K168" s="89">
        <f>G168*H168</f>
        <v>0</v>
      </c>
      <c r="L168" s="89">
        <v>8E-05</v>
      </c>
      <c r="M168" s="89">
        <f>G168*L168</f>
        <v>0.0025624000000000003</v>
      </c>
      <c r="N168" s="80" t="s">
        <v>630</v>
      </c>
      <c r="O168" s="82"/>
      <c r="Z168" s="59">
        <f>IF(AQ168="5",BJ168,0)</f>
        <v>0</v>
      </c>
      <c r="AB168" s="59">
        <f>IF(AQ168="1",BH168,0)</f>
        <v>0</v>
      </c>
      <c r="AC168" s="59">
        <f>IF(AQ168="1",BI168,0)</f>
        <v>0</v>
      </c>
      <c r="AD168" s="59">
        <f>IF(AQ168="7",BH168,0)</f>
        <v>0</v>
      </c>
      <c r="AE168" s="59">
        <f>IF(AQ168="7",BI168,0)</f>
        <v>0</v>
      </c>
      <c r="AF168" s="59">
        <f>IF(AQ168="2",BH168,0)</f>
        <v>0</v>
      </c>
      <c r="AG168" s="59">
        <f>IF(AQ168="2",BI168,0)</f>
        <v>0</v>
      </c>
      <c r="AH168" s="59">
        <f>IF(AQ168="0",BJ168,0)</f>
        <v>0</v>
      </c>
      <c r="AI168" s="53"/>
      <c r="AJ168" s="44">
        <f>IF(AN168=0,K168,0)</f>
        <v>0</v>
      </c>
      <c r="AK168" s="44">
        <f>IF(AN168=15,K168,0)</f>
        <v>0</v>
      </c>
      <c r="AL168" s="44">
        <f>IF(AN168=21,K168,0)</f>
        <v>0</v>
      </c>
      <c r="AN168" s="59">
        <v>15</v>
      </c>
      <c r="AO168" s="59">
        <f>H168*0</f>
        <v>0</v>
      </c>
      <c r="AP168" s="59">
        <f>H168*(1-0)</f>
        <v>0</v>
      </c>
      <c r="AQ168" s="60" t="s">
        <v>80</v>
      </c>
      <c r="AV168" s="59">
        <f>AW168+AX168</f>
        <v>0</v>
      </c>
      <c r="AW168" s="59">
        <f>G168*AO168</f>
        <v>0</v>
      </c>
      <c r="AX168" s="59">
        <f>G168*AP168</f>
        <v>0</v>
      </c>
      <c r="AY168" s="62" t="s">
        <v>651</v>
      </c>
      <c r="AZ168" s="62" t="s">
        <v>667</v>
      </c>
      <c r="BA168" s="53" t="s">
        <v>670</v>
      </c>
      <c r="BC168" s="59">
        <f>AW168+AX168</f>
        <v>0</v>
      </c>
      <c r="BD168" s="59">
        <f>H168/(100-BE168)*100</f>
        <v>0</v>
      </c>
      <c r="BE168" s="59">
        <v>0</v>
      </c>
      <c r="BF168" s="59">
        <f>M168</f>
        <v>0.0025624000000000003</v>
      </c>
      <c r="BH168" s="44">
        <f>G168*AO168</f>
        <v>0</v>
      </c>
      <c r="BI168" s="44">
        <f>G168*AP168</f>
        <v>0</v>
      </c>
      <c r="BJ168" s="44">
        <f>G168*H168</f>
        <v>0</v>
      </c>
      <c r="BK168" s="44" t="s">
        <v>675</v>
      </c>
      <c r="BL168" s="59">
        <v>776</v>
      </c>
    </row>
    <row r="169" spans="1:15" ht="12.75">
      <c r="A169" s="91"/>
      <c r="B169" s="92"/>
      <c r="C169" s="92"/>
      <c r="D169" s="93" t="s">
        <v>406</v>
      </c>
      <c r="E169" s="93"/>
      <c r="F169" s="92"/>
      <c r="G169" s="94">
        <v>0</v>
      </c>
      <c r="H169" s="92"/>
      <c r="I169" s="92"/>
      <c r="J169" s="92"/>
      <c r="K169" s="92"/>
      <c r="L169" s="92"/>
      <c r="M169" s="92"/>
      <c r="N169" s="83"/>
      <c r="O169" s="82"/>
    </row>
    <row r="170" spans="1:15" ht="12.75">
      <c r="A170" s="91"/>
      <c r="B170" s="92"/>
      <c r="C170" s="92"/>
      <c r="D170" s="93" t="s">
        <v>525</v>
      </c>
      <c r="E170" s="93"/>
      <c r="F170" s="92"/>
      <c r="G170" s="94">
        <v>4.55</v>
      </c>
      <c r="H170" s="92"/>
      <c r="I170" s="92"/>
      <c r="J170" s="92"/>
      <c r="K170" s="92"/>
      <c r="L170" s="92"/>
      <c r="M170" s="92"/>
      <c r="N170" s="83"/>
      <c r="O170" s="82"/>
    </row>
    <row r="171" spans="1:15" ht="12.75">
      <c r="A171" s="91"/>
      <c r="B171" s="92"/>
      <c r="C171" s="92"/>
      <c r="D171" s="93" t="s">
        <v>410</v>
      </c>
      <c r="E171" s="93"/>
      <c r="F171" s="92"/>
      <c r="G171" s="94">
        <v>0</v>
      </c>
      <c r="H171" s="92"/>
      <c r="I171" s="92"/>
      <c r="J171" s="92"/>
      <c r="K171" s="92"/>
      <c r="L171" s="92"/>
      <c r="M171" s="92"/>
      <c r="N171" s="83"/>
      <c r="O171" s="82"/>
    </row>
    <row r="172" spans="1:15" ht="12.75">
      <c r="A172" s="91"/>
      <c r="B172" s="92"/>
      <c r="C172" s="92"/>
      <c r="D172" s="93" t="s">
        <v>526</v>
      </c>
      <c r="E172" s="93"/>
      <c r="F172" s="92"/>
      <c r="G172" s="94">
        <v>12.68</v>
      </c>
      <c r="H172" s="92"/>
      <c r="I172" s="92"/>
      <c r="J172" s="92"/>
      <c r="K172" s="92"/>
      <c r="L172" s="92"/>
      <c r="M172" s="92"/>
      <c r="N172" s="83"/>
      <c r="O172" s="82"/>
    </row>
    <row r="173" spans="1:15" ht="12.75">
      <c r="A173" s="91"/>
      <c r="B173" s="92"/>
      <c r="C173" s="92"/>
      <c r="D173" s="93" t="s">
        <v>413</v>
      </c>
      <c r="E173" s="93"/>
      <c r="F173" s="92"/>
      <c r="G173" s="94">
        <v>0</v>
      </c>
      <c r="H173" s="92"/>
      <c r="I173" s="92"/>
      <c r="J173" s="92"/>
      <c r="K173" s="92"/>
      <c r="L173" s="92"/>
      <c r="M173" s="92"/>
      <c r="N173" s="83"/>
      <c r="O173" s="82"/>
    </row>
    <row r="174" spans="1:15" ht="12.75">
      <c r="A174" s="91"/>
      <c r="B174" s="92"/>
      <c r="C174" s="92"/>
      <c r="D174" s="93" t="s">
        <v>527</v>
      </c>
      <c r="E174" s="93"/>
      <c r="F174" s="92"/>
      <c r="G174" s="94">
        <v>14.8</v>
      </c>
      <c r="H174" s="92"/>
      <c r="I174" s="92"/>
      <c r="J174" s="92"/>
      <c r="K174" s="92"/>
      <c r="L174" s="92"/>
      <c r="M174" s="92"/>
      <c r="N174" s="83"/>
      <c r="O174" s="82"/>
    </row>
    <row r="175" spans="1:64" ht="12.75">
      <c r="A175" s="85" t="s">
        <v>175</v>
      </c>
      <c r="B175" s="85"/>
      <c r="C175" s="85" t="s">
        <v>324</v>
      </c>
      <c r="D175" s="185" t="s">
        <v>528</v>
      </c>
      <c r="E175" s="186"/>
      <c r="F175" s="85" t="s">
        <v>607</v>
      </c>
      <c r="G175" s="89">
        <v>31.69</v>
      </c>
      <c r="H175" s="102"/>
      <c r="I175" s="89">
        <f>G175*AO175</f>
        <v>0</v>
      </c>
      <c r="J175" s="89">
        <f>G175*AP175</f>
        <v>0</v>
      </c>
      <c r="K175" s="89">
        <f>G175*H175</f>
        <v>0</v>
      </c>
      <c r="L175" s="89">
        <v>0.001</v>
      </c>
      <c r="M175" s="89">
        <f>G175*L175</f>
        <v>0.03169</v>
      </c>
      <c r="N175" s="80" t="s">
        <v>630</v>
      </c>
      <c r="O175" s="82"/>
      <c r="Z175" s="59">
        <f>IF(AQ175="5",BJ175,0)</f>
        <v>0</v>
      </c>
      <c r="AB175" s="59">
        <f>IF(AQ175="1",BH175,0)</f>
        <v>0</v>
      </c>
      <c r="AC175" s="59">
        <f>IF(AQ175="1",BI175,0)</f>
        <v>0</v>
      </c>
      <c r="AD175" s="59">
        <f>IF(AQ175="7",BH175,0)</f>
        <v>0</v>
      </c>
      <c r="AE175" s="59">
        <f>IF(AQ175="7",BI175,0)</f>
        <v>0</v>
      </c>
      <c r="AF175" s="59">
        <f>IF(AQ175="2",BH175,0)</f>
        <v>0</v>
      </c>
      <c r="AG175" s="59">
        <f>IF(AQ175="2",BI175,0)</f>
        <v>0</v>
      </c>
      <c r="AH175" s="59">
        <f>IF(AQ175="0",BJ175,0)</f>
        <v>0</v>
      </c>
      <c r="AI175" s="53"/>
      <c r="AJ175" s="44">
        <f>IF(AN175=0,K175,0)</f>
        <v>0</v>
      </c>
      <c r="AK175" s="44">
        <f>IF(AN175=15,K175,0)</f>
        <v>0</v>
      </c>
      <c r="AL175" s="44">
        <f>IF(AN175=21,K175,0)</f>
        <v>0</v>
      </c>
      <c r="AN175" s="59">
        <v>15</v>
      </c>
      <c r="AO175" s="59">
        <f>H175*0</f>
        <v>0</v>
      </c>
      <c r="AP175" s="59">
        <f>H175*(1-0)</f>
        <v>0</v>
      </c>
      <c r="AQ175" s="60" t="s">
        <v>80</v>
      </c>
      <c r="AV175" s="59">
        <f>AW175+AX175</f>
        <v>0</v>
      </c>
      <c r="AW175" s="59">
        <f>G175*AO175</f>
        <v>0</v>
      </c>
      <c r="AX175" s="59">
        <f>G175*AP175</f>
        <v>0</v>
      </c>
      <c r="AY175" s="62" t="s">
        <v>651</v>
      </c>
      <c r="AZ175" s="62" t="s">
        <v>667</v>
      </c>
      <c r="BA175" s="53" t="s">
        <v>670</v>
      </c>
      <c r="BC175" s="59">
        <f>AW175+AX175</f>
        <v>0</v>
      </c>
      <c r="BD175" s="59">
        <f>H175/(100-BE175)*100</f>
        <v>0</v>
      </c>
      <c r="BE175" s="59">
        <v>0</v>
      </c>
      <c r="BF175" s="59">
        <f>M175</f>
        <v>0.03169</v>
      </c>
      <c r="BH175" s="44">
        <f>G175*AO175</f>
        <v>0</v>
      </c>
      <c r="BI175" s="44">
        <f>G175*AP175</f>
        <v>0</v>
      </c>
      <c r="BJ175" s="44">
        <f>G175*H175</f>
        <v>0</v>
      </c>
      <c r="BK175" s="44" t="s">
        <v>675</v>
      </c>
      <c r="BL175" s="59">
        <v>776</v>
      </c>
    </row>
    <row r="176" spans="1:15" ht="12.75">
      <c r="A176" s="91"/>
      <c r="B176" s="92"/>
      <c r="C176" s="92"/>
      <c r="D176" s="93" t="s">
        <v>406</v>
      </c>
      <c r="E176" s="93"/>
      <c r="F176" s="92"/>
      <c r="G176" s="94">
        <v>0</v>
      </c>
      <c r="H176" s="92"/>
      <c r="I176" s="92"/>
      <c r="J176" s="92"/>
      <c r="K176" s="92"/>
      <c r="L176" s="92"/>
      <c r="M176" s="92"/>
      <c r="N176" s="83"/>
      <c r="O176" s="82"/>
    </row>
    <row r="177" spans="1:15" ht="12.75">
      <c r="A177" s="91"/>
      <c r="B177" s="92"/>
      <c r="C177" s="92"/>
      <c r="D177" s="93" t="s">
        <v>529</v>
      </c>
      <c r="E177" s="93"/>
      <c r="F177" s="92"/>
      <c r="G177" s="94">
        <v>2.95</v>
      </c>
      <c r="H177" s="92"/>
      <c r="I177" s="92"/>
      <c r="J177" s="92"/>
      <c r="K177" s="92"/>
      <c r="L177" s="92"/>
      <c r="M177" s="92"/>
      <c r="N177" s="83"/>
      <c r="O177" s="82"/>
    </row>
    <row r="178" spans="1:15" ht="12.75">
      <c r="A178" s="91"/>
      <c r="B178" s="92"/>
      <c r="C178" s="92"/>
      <c r="D178" s="93" t="s">
        <v>410</v>
      </c>
      <c r="E178" s="93"/>
      <c r="F178" s="92"/>
      <c r="G178" s="94">
        <v>0</v>
      </c>
      <c r="H178" s="92"/>
      <c r="I178" s="92"/>
      <c r="J178" s="92"/>
      <c r="K178" s="92"/>
      <c r="L178" s="92"/>
      <c r="M178" s="92"/>
      <c r="N178" s="83"/>
      <c r="O178" s="82"/>
    </row>
    <row r="179" spans="1:15" ht="12.75">
      <c r="A179" s="91"/>
      <c r="B179" s="92"/>
      <c r="C179" s="92"/>
      <c r="D179" s="93" t="s">
        <v>530</v>
      </c>
      <c r="E179" s="93"/>
      <c r="F179" s="92"/>
      <c r="G179" s="94">
        <v>9.84</v>
      </c>
      <c r="H179" s="92"/>
      <c r="I179" s="92"/>
      <c r="J179" s="92"/>
      <c r="K179" s="92"/>
      <c r="L179" s="92"/>
      <c r="M179" s="92"/>
      <c r="N179" s="83"/>
      <c r="O179" s="82"/>
    </row>
    <row r="180" spans="1:15" ht="12.75">
      <c r="A180" s="91"/>
      <c r="B180" s="92"/>
      <c r="C180" s="92"/>
      <c r="D180" s="93" t="s">
        <v>413</v>
      </c>
      <c r="E180" s="93"/>
      <c r="F180" s="92"/>
      <c r="G180" s="94">
        <v>0</v>
      </c>
      <c r="H180" s="92"/>
      <c r="I180" s="92"/>
      <c r="J180" s="92"/>
      <c r="K180" s="92"/>
      <c r="L180" s="92"/>
      <c r="M180" s="92"/>
      <c r="N180" s="83"/>
      <c r="O180" s="82"/>
    </row>
    <row r="181" spans="1:15" ht="12.75">
      <c r="A181" s="91"/>
      <c r="B181" s="92"/>
      <c r="C181" s="92"/>
      <c r="D181" s="93" t="s">
        <v>531</v>
      </c>
      <c r="E181" s="93"/>
      <c r="F181" s="92"/>
      <c r="G181" s="94">
        <v>15.4</v>
      </c>
      <c r="H181" s="92"/>
      <c r="I181" s="92"/>
      <c r="J181" s="92"/>
      <c r="K181" s="92"/>
      <c r="L181" s="92"/>
      <c r="M181" s="92"/>
      <c r="N181" s="83"/>
      <c r="O181" s="82"/>
    </row>
    <row r="182" spans="1:15" ht="12.75">
      <c r="A182" s="91"/>
      <c r="B182" s="92"/>
      <c r="C182" s="92"/>
      <c r="D182" s="93" t="s">
        <v>408</v>
      </c>
      <c r="E182" s="93"/>
      <c r="F182" s="92"/>
      <c r="G182" s="94">
        <v>0</v>
      </c>
      <c r="H182" s="92"/>
      <c r="I182" s="92"/>
      <c r="J182" s="92"/>
      <c r="K182" s="92"/>
      <c r="L182" s="92"/>
      <c r="M182" s="92"/>
      <c r="N182" s="83"/>
      <c r="O182" s="82"/>
    </row>
    <row r="183" spans="1:15" ht="12.75">
      <c r="A183" s="91"/>
      <c r="B183" s="92"/>
      <c r="C183" s="92"/>
      <c r="D183" s="93" t="s">
        <v>532</v>
      </c>
      <c r="E183" s="93"/>
      <c r="F183" s="92"/>
      <c r="G183" s="94">
        <v>3.5</v>
      </c>
      <c r="H183" s="92"/>
      <c r="I183" s="92"/>
      <c r="J183" s="92"/>
      <c r="K183" s="92"/>
      <c r="L183" s="92"/>
      <c r="M183" s="92"/>
      <c r="N183" s="83"/>
      <c r="O183" s="82"/>
    </row>
    <row r="184" spans="1:64" ht="12.75">
      <c r="A184" s="78" t="s">
        <v>176</v>
      </c>
      <c r="B184" s="78"/>
      <c r="C184" s="78" t="s">
        <v>238</v>
      </c>
      <c r="D184" s="187" t="s">
        <v>533</v>
      </c>
      <c r="E184" s="188"/>
      <c r="F184" s="78" t="s">
        <v>607</v>
      </c>
      <c r="G184" s="79">
        <v>31.69</v>
      </c>
      <c r="H184" s="103"/>
      <c r="I184" s="79">
        <f>G184*AO184</f>
        <v>0</v>
      </c>
      <c r="J184" s="79">
        <f>G184*AP184</f>
        <v>0</v>
      </c>
      <c r="K184" s="79">
        <f>G184*H184</f>
        <v>0</v>
      </c>
      <c r="L184" s="79">
        <v>0</v>
      </c>
      <c r="M184" s="79">
        <f>G184*L184</f>
        <v>0</v>
      </c>
      <c r="N184" s="81" t="s">
        <v>238</v>
      </c>
      <c r="O184" s="82"/>
      <c r="Z184" s="59">
        <f>IF(AQ184="5",BJ184,0)</f>
        <v>0</v>
      </c>
      <c r="AB184" s="59">
        <f>IF(AQ184="1",BH184,0)</f>
        <v>0</v>
      </c>
      <c r="AC184" s="59">
        <f>IF(AQ184="1",BI184,0)</f>
        <v>0</v>
      </c>
      <c r="AD184" s="59">
        <f>IF(AQ184="7",BH184,0)</f>
        <v>0</v>
      </c>
      <c r="AE184" s="59">
        <f>IF(AQ184="7",BI184,0)</f>
        <v>0</v>
      </c>
      <c r="AF184" s="59">
        <f>IF(AQ184="2",BH184,0)</f>
        <v>0</v>
      </c>
      <c r="AG184" s="59">
        <f>IF(AQ184="2",BI184,0)</f>
        <v>0</v>
      </c>
      <c r="AH184" s="59">
        <f>IF(AQ184="0",BJ184,0)</f>
        <v>0</v>
      </c>
      <c r="AI184" s="53"/>
      <c r="AJ184" s="44">
        <f>IF(AN184=0,K184,0)</f>
        <v>0</v>
      </c>
      <c r="AK184" s="44">
        <f>IF(AN184=15,K184,0)</f>
        <v>0</v>
      </c>
      <c r="AL184" s="44">
        <f>IF(AN184=21,K184,0)</f>
        <v>0</v>
      </c>
      <c r="AN184" s="59">
        <v>15</v>
      </c>
      <c r="AO184" s="59">
        <f>H184*0.285411764705882</f>
        <v>0</v>
      </c>
      <c r="AP184" s="59">
        <f>H184*(1-0.285411764705882)</f>
        <v>0</v>
      </c>
      <c r="AQ184" s="60" t="s">
        <v>80</v>
      </c>
      <c r="AV184" s="59">
        <f>AW184+AX184</f>
        <v>0</v>
      </c>
      <c r="AW184" s="59">
        <f>G184*AO184</f>
        <v>0</v>
      </c>
      <c r="AX184" s="59">
        <f>G184*AP184</f>
        <v>0</v>
      </c>
      <c r="AY184" s="62" t="s">
        <v>651</v>
      </c>
      <c r="AZ184" s="62" t="s">
        <v>667</v>
      </c>
      <c r="BA184" s="53" t="s">
        <v>670</v>
      </c>
      <c r="BC184" s="59">
        <f>AW184+AX184</f>
        <v>0</v>
      </c>
      <c r="BD184" s="59">
        <f>H184/(100-BE184)*100</f>
        <v>0</v>
      </c>
      <c r="BE184" s="59">
        <v>0</v>
      </c>
      <c r="BF184" s="59">
        <f>M184</f>
        <v>0</v>
      </c>
      <c r="BH184" s="44">
        <f>G184*AO184</f>
        <v>0</v>
      </c>
      <c r="BI184" s="44">
        <f>G184*AP184</f>
        <v>0</v>
      </c>
      <c r="BJ184" s="44">
        <f>G184*H184</f>
        <v>0</v>
      </c>
      <c r="BK184" s="44" t="s">
        <v>675</v>
      </c>
      <c r="BL184" s="59">
        <v>776</v>
      </c>
    </row>
    <row r="185" spans="1:64" ht="12.75">
      <c r="A185" s="73" t="s">
        <v>177</v>
      </c>
      <c r="B185" s="17"/>
      <c r="C185" s="17" t="s">
        <v>325</v>
      </c>
      <c r="D185" s="123" t="s">
        <v>534</v>
      </c>
      <c r="E185" s="184"/>
      <c r="F185" s="17" t="s">
        <v>607</v>
      </c>
      <c r="G185" s="59">
        <v>31.25</v>
      </c>
      <c r="H185" s="101"/>
      <c r="I185" s="59">
        <f>G185*AO185</f>
        <v>0</v>
      </c>
      <c r="J185" s="59">
        <f>G185*AP185</f>
        <v>0</v>
      </c>
      <c r="K185" s="59">
        <f>G185*H185</f>
        <v>0</v>
      </c>
      <c r="L185" s="59">
        <v>0.00892</v>
      </c>
      <c r="M185" s="59">
        <f>G185*L185</f>
        <v>0.27875000000000005</v>
      </c>
      <c r="N185" s="74" t="s">
        <v>630</v>
      </c>
      <c r="O185" s="18"/>
      <c r="Z185" s="59">
        <f>IF(AQ185="5",BJ185,0)</f>
        <v>0</v>
      </c>
      <c r="AB185" s="59">
        <f>IF(AQ185="1",BH185,0)</f>
        <v>0</v>
      </c>
      <c r="AC185" s="59">
        <f>IF(AQ185="1",BI185,0)</f>
        <v>0</v>
      </c>
      <c r="AD185" s="59">
        <f>IF(AQ185="7",BH185,0)</f>
        <v>0</v>
      </c>
      <c r="AE185" s="59">
        <f>IF(AQ185="7",BI185,0)</f>
        <v>0</v>
      </c>
      <c r="AF185" s="59">
        <f>IF(AQ185="2",BH185,0)</f>
        <v>0</v>
      </c>
      <c r="AG185" s="59">
        <f>IF(AQ185="2",BI185,0)</f>
        <v>0</v>
      </c>
      <c r="AH185" s="59">
        <f>IF(AQ185="0",BJ185,0)</f>
        <v>0</v>
      </c>
      <c r="AI185" s="53"/>
      <c r="AJ185" s="44">
        <f>IF(AN185=0,K185,0)</f>
        <v>0</v>
      </c>
      <c r="AK185" s="44">
        <f>IF(AN185=15,K185,0)</f>
        <v>0</v>
      </c>
      <c r="AL185" s="44">
        <f>IF(AN185=21,K185,0)</f>
        <v>0</v>
      </c>
      <c r="AN185" s="59">
        <v>15</v>
      </c>
      <c r="AO185" s="59">
        <f>H185*0.704642032332564</f>
        <v>0</v>
      </c>
      <c r="AP185" s="59">
        <f>H185*(1-0.704642032332564)</f>
        <v>0</v>
      </c>
      <c r="AQ185" s="60" t="s">
        <v>80</v>
      </c>
      <c r="AV185" s="59">
        <f>AW185+AX185</f>
        <v>0</v>
      </c>
      <c r="AW185" s="59">
        <f>G185*AO185</f>
        <v>0</v>
      </c>
      <c r="AX185" s="59">
        <f>G185*AP185</f>
        <v>0</v>
      </c>
      <c r="AY185" s="62" t="s">
        <v>651</v>
      </c>
      <c r="AZ185" s="62" t="s">
        <v>667</v>
      </c>
      <c r="BA185" s="53" t="s">
        <v>670</v>
      </c>
      <c r="BC185" s="59">
        <f>AW185+AX185</f>
        <v>0</v>
      </c>
      <c r="BD185" s="59">
        <f>H185/(100-BE185)*100</f>
        <v>0</v>
      </c>
      <c r="BE185" s="59">
        <v>0</v>
      </c>
      <c r="BF185" s="59">
        <f>M185</f>
        <v>0.27875000000000005</v>
      </c>
      <c r="BH185" s="44">
        <f>G185*AO185</f>
        <v>0</v>
      </c>
      <c r="BI185" s="44">
        <f>G185*AP185</f>
        <v>0</v>
      </c>
      <c r="BJ185" s="44">
        <f>G185*H185</f>
        <v>0</v>
      </c>
      <c r="BK185" s="44" t="s">
        <v>675</v>
      </c>
      <c r="BL185" s="59">
        <v>776</v>
      </c>
    </row>
    <row r="186" spans="1:64" ht="12.75">
      <c r="A186" s="85" t="s">
        <v>178</v>
      </c>
      <c r="B186" s="85"/>
      <c r="C186" s="85" t="s">
        <v>326</v>
      </c>
      <c r="D186" s="185" t="s">
        <v>535</v>
      </c>
      <c r="E186" s="186"/>
      <c r="F186" s="85" t="s">
        <v>608</v>
      </c>
      <c r="G186" s="89">
        <v>32.72</v>
      </c>
      <c r="H186" s="102"/>
      <c r="I186" s="89">
        <f>G186*AO186</f>
        <v>0</v>
      </c>
      <c r="J186" s="89">
        <f>G186*AP186</f>
        <v>0</v>
      </c>
      <c r="K186" s="89">
        <f>G186*H186</f>
        <v>0</v>
      </c>
      <c r="L186" s="89">
        <v>8E-05</v>
      </c>
      <c r="M186" s="89">
        <f>G186*L186</f>
        <v>0.0026176000000000003</v>
      </c>
      <c r="N186" s="80" t="s">
        <v>630</v>
      </c>
      <c r="O186" s="82"/>
      <c r="Z186" s="59">
        <f>IF(AQ186="5",BJ186,0)</f>
        <v>0</v>
      </c>
      <c r="AB186" s="59">
        <f>IF(AQ186="1",BH186,0)</f>
        <v>0</v>
      </c>
      <c r="AC186" s="59">
        <f>IF(AQ186="1",BI186,0)</f>
        <v>0</v>
      </c>
      <c r="AD186" s="59">
        <f>IF(AQ186="7",BH186,0)</f>
        <v>0</v>
      </c>
      <c r="AE186" s="59">
        <f>IF(AQ186="7",BI186,0)</f>
        <v>0</v>
      </c>
      <c r="AF186" s="59">
        <f>IF(AQ186="2",BH186,0)</f>
        <v>0</v>
      </c>
      <c r="AG186" s="59">
        <f>IF(AQ186="2",BI186,0)</f>
        <v>0</v>
      </c>
      <c r="AH186" s="59">
        <f>IF(AQ186="0",BJ186,0)</f>
        <v>0</v>
      </c>
      <c r="AI186" s="53"/>
      <c r="AJ186" s="44">
        <f>IF(AN186=0,K186,0)</f>
        <v>0</v>
      </c>
      <c r="AK186" s="44">
        <f>IF(AN186=15,K186,0)</f>
        <v>0</v>
      </c>
      <c r="AL186" s="44">
        <f>IF(AN186=21,K186,0)</f>
        <v>0</v>
      </c>
      <c r="AN186" s="59">
        <v>15</v>
      </c>
      <c r="AO186" s="59">
        <f>H186*0.322</f>
        <v>0</v>
      </c>
      <c r="AP186" s="59">
        <f>H186*(1-0.322)</f>
        <v>0</v>
      </c>
      <c r="AQ186" s="60" t="s">
        <v>80</v>
      </c>
      <c r="AV186" s="59">
        <f>AW186+AX186</f>
        <v>0</v>
      </c>
      <c r="AW186" s="59">
        <f>G186*AO186</f>
        <v>0</v>
      </c>
      <c r="AX186" s="59">
        <f>G186*AP186</f>
        <v>0</v>
      </c>
      <c r="AY186" s="62" t="s">
        <v>651</v>
      </c>
      <c r="AZ186" s="62" t="s">
        <v>667</v>
      </c>
      <c r="BA186" s="53" t="s">
        <v>670</v>
      </c>
      <c r="BC186" s="59">
        <f>AW186+AX186</f>
        <v>0</v>
      </c>
      <c r="BD186" s="59">
        <f>H186/(100-BE186)*100</f>
        <v>0</v>
      </c>
      <c r="BE186" s="59">
        <v>0</v>
      </c>
      <c r="BF186" s="59">
        <f>M186</f>
        <v>0.0026176000000000003</v>
      </c>
      <c r="BH186" s="44">
        <f>G186*AO186</f>
        <v>0</v>
      </c>
      <c r="BI186" s="44">
        <f>G186*AP186</f>
        <v>0</v>
      </c>
      <c r="BJ186" s="44">
        <f>G186*H186</f>
        <v>0</v>
      </c>
      <c r="BK186" s="44" t="s">
        <v>675</v>
      </c>
      <c r="BL186" s="59">
        <v>776</v>
      </c>
    </row>
    <row r="187" spans="1:15" ht="12.75">
      <c r="A187" s="91"/>
      <c r="B187" s="92"/>
      <c r="C187" s="92"/>
      <c r="D187" s="93" t="s">
        <v>406</v>
      </c>
      <c r="E187" s="93"/>
      <c r="F187" s="92"/>
      <c r="G187" s="94">
        <v>0</v>
      </c>
      <c r="H187" s="92"/>
      <c r="I187" s="92"/>
      <c r="J187" s="92"/>
      <c r="K187" s="92"/>
      <c r="L187" s="92"/>
      <c r="M187" s="92"/>
      <c r="N187" s="83"/>
      <c r="O187" s="82"/>
    </row>
    <row r="188" spans="1:15" ht="12.75">
      <c r="A188" s="91"/>
      <c r="B188" s="92"/>
      <c r="C188" s="92"/>
      <c r="D188" s="93" t="s">
        <v>536</v>
      </c>
      <c r="E188" s="93"/>
      <c r="F188" s="92"/>
      <c r="G188" s="94">
        <v>4.4</v>
      </c>
      <c r="H188" s="92"/>
      <c r="I188" s="92"/>
      <c r="J188" s="92"/>
      <c r="K188" s="92"/>
      <c r="L188" s="92"/>
      <c r="M188" s="92"/>
      <c r="N188" s="83"/>
      <c r="O188" s="82"/>
    </row>
    <row r="189" spans="1:15" ht="12.75">
      <c r="A189" s="91"/>
      <c r="B189" s="92"/>
      <c r="C189" s="92"/>
      <c r="D189" s="93" t="s">
        <v>537</v>
      </c>
      <c r="E189" s="93"/>
      <c r="F189" s="92"/>
      <c r="G189" s="94">
        <v>0</v>
      </c>
      <c r="H189" s="92"/>
      <c r="I189" s="92"/>
      <c r="J189" s="92"/>
      <c r="K189" s="92"/>
      <c r="L189" s="92"/>
      <c r="M189" s="92"/>
      <c r="N189" s="83"/>
      <c r="O189" s="82"/>
    </row>
    <row r="190" spans="1:15" ht="12.75">
      <c r="A190" s="91"/>
      <c r="B190" s="92"/>
      <c r="C190" s="92"/>
      <c r="D190" s="93" t="s">
        <v>538</v>
      </c>
      <c r="E190" s="93"/>
      <c r="F190" s="92"/>
      <c r="G190" s="94">
        <v>12.6</v>
      </c>
      <c r="H190" s="92"/>
      <c r="I190" s="92"/>
      <c r="J190" s="92"/>
      <c r="K190" s="92"/>
      <c r="L190" s="92"/>
      <c r="M190" s="92"/>
      <c r="N190" s="83"/>
      <c r="O190" s="82"/>
    </row>
    <row r="191" spans="1:15" ht="12.75">
      <c r="A191" s="91"/>
      <c r="B191" s="92"/>
      <c r="C191" s="92"/>
      <c r="D191" s="93" t="s">
        <v>413</v>
      </c>
      <c r="E191" s="93"/>
      <c r="F191" s="92"/>
      <c r="G191" s="94">
        <v>0</v>
      </c>
      <c r="H191" s="92"/>
      <c r="I191" s="92"/>
      <c r="J191" s="92"/>
      <c r="K191" s="92"/>
      <c r="L191" s="92"/>
      <c r="M191" s="92"/>
      <c r="N191" s="83"/>
      <c r="O191" s="82"/>
    </row>
    <row r="192" spans="1:15" ht="12.75">
      <c r="A192" s="91"/>
      <c r="B192" s="92"/>
      <c r="C192" s="92"/>
      <c r="D192" s="93" t="s">
        <v>539</v>
      </c>
      <c r="E192" s="93"/>
      <c r="F192" s="92"/>
      <c r="G192" s="94">
        <v>15.72</v>
      </c>
      <c r="H192" s="92"/>
      <c r="I192" s="92"/>
      <c r="J192" s="92"/>
      <c r="K192" s="92"/>
      <c r="L192" s="92"/>
      <c r="M192" s="92"/>
      <c r="N192" s="83"/>
      <c r="O192" s="82"/>
    </row>
    <row r="193" spans="1:64" ht="12.75">
      <c r="A193" s="85" t="s">
        <v>179</v>
      </c>
      <c r="B193" s="85"/>
      <c r="C193" s="85" t="s">
        <v>327</v>
      </c>
      <c r="D193" s="185" t="s">
        <v>540</v>
      </c>
      <c r="E193" s="186"/>
      <c r="F193" s="85" t="s">
        <v>607</v>
      </c>
      <c r="G193" s="89">
        <v>31.25</v>
      </c>
      <c r="H193" s="102"/>
      <c r="I193" s="89">
        <f>G193*AO193</f>
        <v>0</v>
      </c>
      <c r="J193" s="89">
        <f>G193*AP193</f>
        <v>0</v>
      </c>
      <c r="K193" s="89">
        <f>G193*H193</f>
        <v>0</v>
      </c>
      <c r="L193" s="89">
        <v>0.00025</v>
      </c>
      <c r="M193" s="89">
        <f>G193*L193</f>
        <v>0.0078125</v>
      </c>
      <c r="N193" s="80" t="s">
        <v>630</v>
      </c>
      <c r="O193" s="82"/>
      <c r="Z193" s="59">
        <f>IF(AQ193="5",BJ193,0)</f>
        <v>0</v>
      </c>
      <c r="AB193" s="59">
        <f>IF(AQ193="1",BH193,0)</f>
        <v>0</v>
      </c>
      <c r="AC193" s="59">
        <f>IF(AQ193="1",BI193,0)</f>
        <v>0</v>
      </c>
      <c r="AD193" s="59">
        <f>IF(AQ193="7",BH193,0)</f>
        <v>0</v>
      </c>
      <c r="AE193" s="59">
        <f>IF(AQ193="7",BI193,0)</f>
        <v>0</v>
      </c>
      <c r="AF193" s="59">
        <f>IF(AQ193="2",BH193,0)</f>
        <v>0</v>
      </c>
      <c r="AG193" s="59">
        <f>IF(AQ193="2",BI193,0)</f>
        <v>0</v>
      </c>
      <c r="AH193" s="59">
        <f>IF(AQ193="0",BJ193,0)</f>
        <v>0</v>
      </c>
      <c r="AI193" s="53"/>
      <c r="AJ193" s="44">
        <f>IF(AN193=0,K193,0)</f>
        <v>0</v>
      </c>
      <c r="AK193" s="44">
        <f>IF(AN193=15,K193,0)</f>
        <v>0</v>
      </c>
      <c r="AL193" s="44">
        <f>IF(AN193=21,K193,0)</f>
        <v>0</v>
      </c>
      <c r="AN193" s="59">
        <v>15</v>
      </c>
      <c r="AO193" s="59">
        <f>H193*0.34781990521327</f>
        <v>0</v>
      </c>
      <c r="AP193" s="59">
        <f>H193*(1-0.34781990521327)</f>
        <v>0</v>
      </c>
      <c r="AQ193" s="60" t="s">
        <v>80</v>
      </c>
      <c r="AV193" s="59">
        <f>AW193+AX193</f>
        <v>0</v>
      </c>
      <c r="AW193" s="59">
        <f>G193*AO193</f>
        <v>0</v>
      </c>
      <c r="AX193" s="59">
        <f>G193*AP193</f>
        <v>0</v>
      </c>
      <c r="AY193" s="62" t="s">
        <v>651</v>
      </c>
      <c r="AZ193" s="62" t="s">
        <v>667</v>
      </c>
      <c r="BA193" s="53" t="s">
        <v>670</v>
      </c>
      <c r="BC193" s="59">
        <f>AW193+AX193</f>
        <v>0</v>
      </c>
      <c r="BD193" s="59">
        <f>H193/(100-BE193)*100</f>
        <v>0</v>
      </c>
      <c r="BE193" s="59">
        <v>0</v>
      </c>
      <c r="BF193" s="59">
        <f>M193</f>
        <v>0.0078125</v>
      </c>
      <c r="BH193" s="44">
        <f>G193*AO193</f>
        <v>0</v>
      </c>
      <c r="BI193" s="44">
        <f>G193*AP193</f>
        <v>0</v>
      </c>
      <c r="BJ193" s="44">
        <f>G193*H193</f>
        <v>0</v>
      </c>
      <c r="BK193" s="44" t="s">
        <v>675</v>
      </c>
      <c r="BL193" s="59">
        <v>776</v>
      </c>
    </row>
    <row r="194" spans="1:64" ht="12.75">
      <c r="A194" s="85" t="s">
        <v>180</v>
      </c>
      <c r="B194" s="85"/>
      <c r="C194" s="85" t="s">
        <v>328</v>
      </c>
      <c r="D194" s="185" t="s">
        <v>541</v>
      </c>
      <c r="E194" s="191"/>
      <c r="F194" s="85" t="s">
        <v>607</v>
      </c>
      <c r="G194" s="89">
        <v>37.5</v>
      </c>
      <c r="H194" s="102"/>
      <c r="I194" s="89">
        <f>G194*AO194</f>
        <v>0</v>
      </c>
      <c r="J194" s="89">
        <f>G194*AP194</f>
        <v>0</v>
      </c>
      <c r="K194" s="89">
        <f>G194*H194</f>
        <v>0</v>
      </c>
      <c r="L194" s="89">
        <v>0.00185</v>
      </c>
      <c r="M194" s="89">
        <f>G194*L194</f>
        <v>0.069375</v>
      </c>
      <c r="N194" s="80" t="s">
        <v>630</v>
      </c>
      <c r="O194" s="82"/>
      <c r="Z194" s="59">
        <f>IF(AQ194="5",BJ194,0)</f>
        <v>0</v>
      </c>
      <c r="AB194" s="59">
        <f>IF(AQ194="1",BH194,0)</f>
        <v>0</v>
      </c>
      <c r="AC194" s="59">
        <f>IF(AQ194="1",BI194,0)</f>
        <v>0</v>
      </c>
      <c r="AD194" s="59">
        <f>IF(AQ194="7",BH194,0)</f>
        <v>0</v>
      </c>
      <c r="AE194" s="59">
        <f>IF(AQ194="7",BI194,0)</f>
        <v>0</v>
      </c>
      <c r="AF194" s="59">
        <f>IF(AQ194="2",BH194,0)</f>
        <v>0</v>
      </c>
      <c r="AG194" s="59">
        <f>IF(AQ194="2",BI194,0)</f>
        <v>0</v>
      </c>
      <c r="AH194" s="59">
        <f>IF(AQ194="0",BJ194,0)</f>
        <v>0</v>
      </c>
      <c r="AI194" s="53"/>
      <c r="AJ194" s="45">
        <f>IF(AN194=0,K194,0)</f>
        <v>0</v>
      </c>
      <c r="AK194" s="45">
        <f>IF(AN194=15,K194,0)</f>
        <v>0</v>
      </c>
      <c r="AL194" s="45">
        <f>IF(AN194=21,K194,0)</f>
        <v>0</v>
      </c>
      <c r="AN194" s="59">
        <v>15</v>
      </c>
      <c r="AO194" s="59">
        <f>H194*1</f>
        <v>0</v>
      </c>
      <c r="AP194" s="59">
        <f>H194*(1-1)</f>
        <v>0</v>
      </c>
      <c r="AQ194" s="61" t="s">
        <v>80</v>
      </c>
      <c r="AV194" s="59">
        <f>AW194+AX194</f>
        <v>0</v>
      </c>
      <c r="AW194" s="59">
        <f>G194*AO194</f>
        <v>0</v>
      </c>
      <c r="AX194" s="59">
        <f>G194*AP194</f>
        <v>0</v>
      </c>
      <c r="AY194" s="62" t="s">
        <v>651</v>
      </c>
      <c r="AZ194" s="62" t="s">
        <v>667</v>
      </c>
      <c r="BA194" s="53" t="s">
        <v>670</v>
      </c>
      <c r="BC194" s="59">
        <f>AW194+AX194</f>
        <v>0</v>
      </c>
      <c r="BD194" s="59">
        <f>H194/(100-BE194)*100</f>
        <v>0</v>
      </c>
      <c r="BE194" s="59">
        <v>0</v>
      </c>
      <c r="BF194" s="59">
        <f>M194</f>
        <v>0.069375</v>
      </c>
      <c r="BH194" s="45">
        <f>G194*AO194</f>
        <v>0</v>
      </c>
      <c r="BI194" s="45">
        <f>G194*AP194</f>
        <v>0</v>
      </c>
      <c r="BJ194" s="45">
        <f>G194*H194</f>
        <v>0</v>
      </c>
      <c r="BK194" s="45" t="s">
        <v>676</v>
      </c>
      <c r="BL194" s="59">
        <v>776</v>
      </c>
    </row>
    <row r="195" spans="1:15" ht="12.75">
      <c r="A195" s="91"/>
      <c r="B195" s="92"/>
      <c r="C195" s="92"/>
      <c r="D195" s="93" t="s">
        <v>542</v>
      </c>
      <c r="E195" s="93"/>
      <c r="F195" s="92"/>
      <c r="G195" s="94">
        <v>37.5</v>
      </c>
      <c r="H195" s="92"/>
      <c r="I195" s="92"/>
      <c r="J195" s="92"/>
      <c r="K195" s="92"/>
      <c r="L195" s="92"/>
      <c r="M195" s="92"/>
      <c r="N195" s="83"/>
      <c r="O195" s="82"/>
    </row>
    <row r="196" spans="1:64" ht="12.75">
      <c r="A196" s="85" t="s">
        <v>181</v>
      </c>
      <c r="B196" s="85"/>
      <c r="C196" s="85" t="s">
        <v>329</v>
      </c>
      <c r="D196" s="185" t="s">
        <v>543</v>
      </c>
      <c r="E196" s="186"/>
      <c r="F196" s="85" t="s">
        <v>608</v>
      </c>
      <c r="G196" s="89">
        <v>2.2</v>
      </c>
      <c r="H196" s="102"/>
      <c r="I196" s="89">
        <f>G196*AO196</f>
        <v>0</v>
      </c>
      <c r="J196" s="89">
        <f>G196*AP196</f>
        <v>0</v>
      </c>
      <c r="K196" s="89">
        <f>G196*H196</f>
        <v>0</v>
      </c>
      <c r="L196" s="89">
        <v>0</v>
      </c>
      <c r="M196" s="89">
        <f>G196*L196</f>
        <v>0</v>
      </c>
      <c r="N196" s="80" t="s">
        <v>630</v>
      </c>
      <c r="O196" s="82"/>
      <c r="Z196" s="59">
        <f>IF(AQ196="5",BJ196,0)</f>
        <v>0</v>
      </c>
      <c r="AB196" s="59">
        <f>IF(AQ196="1",BH196,0)</f>
        <v>0</v>
      </c>
      <c r="AC196" s="59">
        <f>IF(AQ196="1",BI196,0)</f>
        <v>0</v>
      </c>
      <c r="AD196" s="59">
        <f>IF(AQ196="7",BH196,0)</f>
        <v>0</v>
      </c>
      <c r="AE196" s="59">
        <f>IF(AQ196="7",BI196,0)</f>
        <v>0</v>
      </c>
      <c r="AF196" s="59">
        <f>IF(AQ196="2",BH196,0)</f>
        <v>0</v>
      </c>
      <c r="AG196" s="59">
        <f>IF(AQ196="2",BI196,0)</f>
        <v>0</v>
      </c>
      <c r="AH196" s="59">
        <f>IF(AQ196="0",BJ196,0)</f>
        <v>0</v>
      </c>
      <c r="AI196" s="53"/>
      <c r="AJ196" s="44">
        <f>IF(AN196=0,K196,0)</f>
        <v>0</v>
      </c>
      <c r="AK196" s="44">
        <f>IF(AN196=15,K196,0)</f>
        <v>0</v>
      </c>
      <c r="AL196" s="44">
        <f>IF(AN196=21,K196,0)</f>
        <v>0</v>
      </c>
      <c r="AN196" s="59">
        <v>15</v>
      </c>
      <c r="AO196" s="59">
        <f>H196*0</f>
        <v>0</v>
      </c>
      <c r="AP196" s="59">
        <f>H196*(1-0)</f>
        <v>0</v>
      </c>
      <c r="AQ196" s="60" t="s">
        <v>80</v>
      </c>
      <c r="AV196" s="59">
        <f>AW196+AX196</f>
        <v>0</v>
      </c>
      <c r="AW196" s="59">
        <f>G196*AO196</f>
        <v>0</v>
      </c>
      <c r="AX196" s="59">
        <f>G196*AP196</f>
        <v>0</v>
      </c>
      <c r="AY196" s="62" t="s">
        <v>651</v>
      </c>
      <c r="AZ196" s="62" t="s">
        <v>667</v>
      </c>
      <c r="BA196" s="53" t="s">
        <v>670</v>
      </c>
      <c r="BC196" s="59">
        <f>AW196+AX196</f>
        <v>0</v>
      </c>
      <c r="BD196" s="59">
        <f>H196/(100-BE196)*100</f>
        <v>0</v>
      </c>
      <c r="BE196" s="59">
        <v>0</v>
      </c>
      <c r="BF196" s="59">
        <f>M196</f>
        <v>0</v>
      </c>
      <c r="BH196" s="44">
        <f>G196*AO196</f>
        <v>0</v>
      </c>
      <c r="BI196" s="44">
        <f>G196*AP196</f>
        <v>0</v>
      </c>
      <c r="BJ196" s="44">
        <f>G196*H196</f>
        <v>0</v>
      </c>
      <c r="BK196" s="44" t="s">
        <v>675</v>
      </c>
      <c r="BL196" s="59">
        <v>776</v>
      </c>
    </row>
    <row r="197" spans="1:15" ht="12.75">
      <c r="A197" s="91"/>
      <c r="B197" s="92"/>
      <c r="C197" s="92"/>
      <c r="D197" s="93" t="s">
        <v>544</v>
      </c>
      <c r="E197" s="93"/>
      <c r="F197" s="92"/>
      <c r="G197" s="94">
        <v>2.2</v>
      </c>
      <c r="H197" s="92"/>
      <c r="I197" s="92"/>
      <c r="J197" s="92"/>
      <c r="K197" s="92"/>
      <c r="L197" s="92"/>
      <c r="M197" s="92"/>
      <c r="N197" s="83"/>
      <c r="O197" s="82"/>
    </row>
    <row r="198" spans="1:64" ht="12.75">
      <c r="A198" s="85" t="s">
        <v>182</v>
      </c>
      <c r="B198" s="85"/>
      <c r="C198" s="85" t="s">
        <v>330</v>
      </c>
      <c r="D198" s="185" t="s">
        <v>545</v>
      </c>
      <c r="E198" s="186"/>
      <c r="F198" s="85" t="s">
        <v>608</v>
      </c>
      <c r="G198" s="89">
        <v>2.2</v>
      </c>
      <c r="H198" s="102"/>
      <c r="I198" s="89">
        <f>G198*AO198</f>
        <v>0</v>
      </c>
      <c r="J198" s="89">
        <f>G198*AP198</f>
        <v>0</v>
      </c>
      <c r="K198" s="89">
        <f>G198*H198</f>
        <v>0</v>
      </c>
      <c r="L198" s="89">
        <v>0.00019</v>
      </c>
      <c r="M198" s="89">
        <f>G198*L198</f>
        <v>0.0004180000000000001</v>
      </c>
      <c r="N198" s="80" t="s">
        <v>630</v>
      </c>
      <c r="O198" s="82"/>
      <c r="Z198" s="59">
        <f>IF(AQ198="5",BJ198,0)</f>
        <v>0</v>
      </c>
      <c r="AB198" s="59">
        <f>IF(AQ198="1",BH198,0)</f>
        <v>0</v>
      </c>
      <c r="AC198" s="59">
        <f>IF(AQ198="1",BI198,0)</f>
        <v>0</v>
      </c>
      <c r="AD198" s="59">
        <f>IF(AQ198="7",BH198,0)</f>
        <v>0</v>
      </c>
      <c r="AE198" s="59">
        <f>IF(AQ198="7",BI198,0)</f>
        <v>0</v>
      </c>
      <c r="AF198" s="59">
        <f>IF(AQ198="2",BH198,0)</f>
        <v>0</v>
      </c>
      <c r="AG198" s="59">
        <f>IF(AQ198="2",BI198,0)</f>
        <v>0</v>
      </c>
      <c r="AH198" s="59">
        <f>IF(AQ198="0",BJ198,0)</f>
        <v>0</v>
      </c>
      <c r="AI198" s="53"/>
      <c r="AJ198" s="44">
        <f>IF(AN198=0,K198,0)</f>
        <v>0</v>
      </c>
      <c r="AK198" s="44">
        <f>IF(AN198=15,K198,0)</f>
        <v>0</v>
      </c>
      <c r="AL198" s="44">
        <f>IF(AN198=21,K198,0)</f>
        <v>0</v>
      </c>
      <c r="AN198" s="59">
        <v>15</v>
      </c>
      <c r="AO198" s="59">
        <f>H198*0.507457627118644</f>
        <v>0</v>
      </c>
      <c r="AP198" s="59">
        <f>H198*(1-0.507457627118644)</f>
        <v>0</v>
      </c>
      <c r="AQ198" s="60" t="s">
        <v>80</v>
      </c>
      <c r="AV198" s="59">
        <f>AW198+AX198</f>
        <v>0</v>
      </c>
      <c r="AW198" s="59">
        <f>G198*AO198</f>
        <v>0</v>
      </c>
      <c r="AX198" s="59">
        <f>G198*AP198</f>
        <v>0</v>
      </c>
      <c r="AY198" s="62" t="s">
        <v>651</v>
      </c>
      <c r="AZ198" s="62" t="s">
        <v>667</v>
      </c>
      <c r="BA198" s="53" t="s">
        <v>670</v>
      </c>
      <c r="BC198" s="59">
        <f>AW198+AX198</f>
        <v>0</v>
      </c>
      <c r="BD198" s="59">
        <f>H198/(100-BE198)*100</f>
        <v>0</v>
      </c>
      <c r="BE198" s="59">
        <v>0</v>
      </c>
      <c r="BF198" s="59">
        <f>M198</f>
        <v>0.0004180000000000001</v>
      </c>
      <c r="BH198" s="44">
        <f>G198*AO198</f>
        <v>0</v>
      </c>
      <c r="BI198" s="44">
        <f>G198*AP198</f>
        <v>0</v>
      </c>
      <c r="BJ198" s="44">
        <f>G198*H198</f>
        <v>0</v>
      </c>
      <c r="BK198" s="44" t="s">
        <v>675</v>
      </c>
      <c r="BL198" s="59">
        <v>776</v>
      </c>
    </row>
    <row r="199" spans="1:64" ht="12.75">
      <c r="A199" s="85" t="s">
        <v>183</v>
      </c>
      <c r="B199" s="85"/>
      <c r="C199" s="85" t="s">
        <v>331</v>
      </c>
      <c r="D199" s="185" t="s">
        <v>546</v>
      </c>
      <c r="E199" s="186"/>
      <c r="F199" s="85" t="s">
        <v>610</v>
      </c>
      <c r="G199" s="89">
        <v>0.4</v>
      </c>
      <c r="H199" s="102"/>
      <c r="I199" s="89">
        <f>G199*AO199</f>
        <v>0</v>
      </c>
      <c r="J199" s="89">
        <f>G199*AP199</f>
        <v>0</v>
      </c>
      <c r="K199" s="89">
        <f>G199*H199</f>
        <v>0</v>
      </c>
      <c r="L199" s="89">
        <v>0</v>
      </c>
      <c r="M199" s="89">
        <f>G199*L199</f>
        <v>0</v>
      </c>
      <c r="N199" s="80" t="s">
        <v>630</v>
      </c>
      <c r="O199" s="82"/>
      <c r="Z199" s="59">
        <f>IF(AQ199="5",BJ199,0)</f>
        <v>0</v>
      </c>
      <c r="AB199" s="59">
        <f>IF(AQ199="1",BH199,0)</f>
        <v>0</v>
      </c>
      <c r="AC199" s="59">
        <f>IF(AQ199="1",BI199,0)</f>
        <v>0</v>
      </c>
      <c r="AD199" s="59">
        <f>IF(AQ199="7",BH199,0)</f>
        <v>0</v>
      </c>
      <c r="AE199" s="59">
        <f>IF(AQ199="7",BI199,0)</f>
        <v>0</v>
      </c>
      <c r="AF199" s="59">
        <f>IF(AQ199="2",BH199,0)</f>
        <v>0</v>
      </c>
      <c r="AG199" s="59">
        <f>IF(AQ199="2",BI199,0)</f>
        <v>0</v>
      </c>
      <c r="AH199" s="59">
        <f>IF(AQ199="0",BJ199,0)</f>
        <v>0</v>
      </c>
      <c r="AI199" s="53"/>
      <c r="AJ199" s="44">
        <f>IF(AN199=0,K199,0)</f>
        <v>0</v>
      </c>
      <c r="AK199" s="44">
        <f>IF(AN199=15,K199,0)</f>
        <v>0</v>
      </c>
      <c r="AL199" s="44">
        <f>IF(AN199=21,K199,0)</f>
        <v>0</v>
      </c>
      <c r="AN199" s="59">
        <v>15</v>
      </c>
      <c r="AO199" s="59">
        <f>H199*0</f>
        <v>0</v>
      </c>
      <c r="AP199" s="59">
        <f>H199*(1-0)</f>
        <v>0</v>
      </c>
      <c r="AQ199" s="60" t="s">
        <v>78</v>
      </c>
      <c r="AV199" s="59">
        <f>AW199+AX199</f>
        <v>0</v>
      </c>
      <c r="AW199" s="59">
        <f>G199*AO199</f>
        <v>0</v>
      </c>
      <c r="AX199" s="59">
        <f>G199*AP199</f>
        <v>0</v>
      </c>
      <c r="AY199" s="62" t="s">
        <v>651</v>
      </c>
      <c r="AZ199" s="62" t="s">
        <v>667</v>
      </c>
      <c r="BA199" s="53" t="s">
        <v>670</v>
      </c>
      <c r="BC199" s="59">
        <f>AW199+AX199</f>
        <v>0</v>
      </c>
      <c r="BD199" s="59">
        <f>H199/(100-BE199)*100</f>
        <v>0</v>
      </c>
      <c r="BE199" s="59">
        <v>0</v>
      </c>
      <c r="BF199" s="59">
        <f>M199</f>
        <v>0</v>
      </c>
      <c r="BH199" s="44">
        <f>G199*AO199</f>
        <v>0</v>
      </c>
      <c r="BI199" s="44">
        <f>G199*AP199</f>
        <v>0</v>
      </c>
      <c r="BJ199" s="44">
        <f>G199*H199</f>
        <v>0</v>
      </c>
      <c r="BK199" s="44" t="s">
        <v>675</v>
      </c>
      <c r="BL199" s="59">
        <v>776</v>
      </c>
    </row>
    <row r="200" spans="1:47" ht="12.75">
      <c r="A200" s="96"/>
      <c r="B200" s="97"/>
      <c r="C200" s="97" t="s">
        <v>332</v>
      </c>
      <c r="D200" s="189" t="s">
        <v>547</v>
      </c>
      <c r="E200" s="190"/>
      <c r="F200" s="96" t="s">
        <v>73</v>
      </c>
      <c r="G200" s="96" t="s">
        <v>73</v>
      </c>
      <c r="H200" s="96" t="s">
        <v>73</v>
      </c>
      <c r="I200" s="98">
        <f>SUM(I201:I217)</f>
        <v>0</v>
      </c>
      <c r="J200" s="98">
        <f>SUM(J201:J217)</f>
        <v>0</v>
      </c>
      <c r="K200" s="98">
        <f>SUM(K201:K217)</f>
        <v>0</v>
      </c>
      <c r="L200" s="99"/>
      <c r="M200" s="98">
        <f>SUM(M201:M217)</f>
        <v>0.3674452</v>
      </c>
      <c r="N200" s="95"/>
      <c r="O200" s="82"/>
      <c r="AI200" s="53"/>
      <c r="AS200" s="65">
        <f>SUM(AJ201:AJ217)</f>
        <v>0</v>
      </c>
      <c r="AT200" s="65">
        <f>SUM(AK201:AK217)</f>
        <v>0</v>
      </c>
      <c r="AU200" s="65">
        <f>SUM(AL201:AL217)</f>
        <v>0</v>
      </c>
    </row>
    <row r="201" spans="1:64" ht="12.75">
      <c r="A201" s="85" t="s">
        <v>184</v>
      </c>
      <c r="B201" s="85"/>
      <c r="C201" s="85" t="s">
        <v>333</v>
      </c>
      <c r="D201" s="185" t="s">
        <v>548</v>
      </c>
      <c r="E201" s="186"/>
      <c r="F201" s="85" t="s">
        <v>607</v>
      </c>
      <c r="G201" s="89">
        <v>21.66</v>
      </c>
      <c r="H201" s="102"/>
      <c r="I201" s="89">
        <f>G201*AO201</f>
        <v>0</v>
      </c>
      <c r="J201" s="89">
        <f>G201*AP201</f>
        <v>0</v>
      </c>
      <c r="K201" s="89">
        <f>G201*H201</f>
        <v>0</v>
      </c>
      <c r="L201" s="89">
        <v>0.00318</v>
      </c>
      <c r="M201" s="89">
        <f>G201*L201</f>
        <v>0.0688788</v>
      </c>
      <c r="N201" s="80" t="s">
        <v>630</v>
      </c>
      <c r="O201" s="82"/>
      <c r="Z201" s="59">
        <f>IF(AQ201="5",BJ201,0)</f>
        <v>0</v>
      </c>
      <c r="AB201" s="59">
        <f>IF(AQ201="1",BH201,0)</f>
        <v>0</v>
      </c>
      <c r="AC201" s="59">
        <f>IF(AQ201="1",BI201,0)</f>
        <v>0</v>
      </c>
      <c r="AD201" s="59">
        <f>IF(AQ201="7",BH201,0)</f>
        <v>0</v>
      </c>
      <c r="AE201" s="59">
        <f>IF(AQ201="7",BI201,0)</f>
        <v>0</v>
      </c>
      <c r="AF201" s="59">
        <f>IF(AQ201="2",BH201,0)</f>
        <v>0</v>
      </c>
      <c r="AG201" s="59">
        <f>IF(AQ201="2",BI201,0)</f>
        <v>0</v>
      </c>
      <c r="AH201" s="59">
        <f>IF(AQ201="0",BJ201,0)</f>
        <v>0</v>
      </c>
      <c r="AI201" s="53"/>
      <c r="AJ201" s="44">
        <f>IF(AN201=0,K201,0)</f>
        <v>0</v>
      </c>
      <c r="AK201" s="44">
        <f>IF(AN201=15,K201,0)</f>
        <v>0</v>
      </c>
      <c r="AL201" s="44">
        <f>IF(AN201=21,K201,0)</f>
        <v>0</v>
      </c>
      <c r="AN201" s="59">
        <v>15</v>
      </c>
      <c r="AO201" s="59">
        <f>H201*0.10141788478768</f>
        <v>0</v>
      </c>
      <c r="AP201" s="59">
        <f>H201*(1-0.10141788478768)</f>
        <v>0</v>
      </c>
      <c r="AQ201" s="60" t="s">
        <v>80</v>
      </c>
      <c r="AV201" s="59">
        <f>AW201+AX201</f>
        <v>0</v>
      </c>
      <c r="AW201" s="59">
        <f>G201*AO201</f>
        <v>0</v>
      </c>
      <c r="AX201" s="59">
        <f>G201*AP201</f>
        <v>0</v>
      </c>
      <c r="AY201" s="62" t="s">
        <v>652</v>
      </c>
      <c r="AZ201" s="62" t="s">
        <v>668</v>
      </c>
      <c r="BA201" s="53" t="s">
        <v>670</v>
      </c>
      <c r="BC201" s="59">
        <f>AW201+AX201</f>
        <v>0</v>
      </c>
      <c r="BD201" s="59">
        <f>H201/(100-BE201)*100</f>
        <v>0</v>
      </c>
      <c r="BE201" s="59">
        <v>0</v>
      </c>
      <c r="BF201" s="59">
        <f>M201</f>
        <v>0.0688788</v>
      </c>
      <c r="BH201" s="44">
        <f>G201*AO201</f>
        <v>0</v>
      </c>
      <c r="BI201" s="44">
        <f>G201*AP201</f>
        <v>0</v>
      </c>
      <c r="BJ201" s="44">
        <f>G201*H201</f>
        <v>0</v>
      </c>
      <c r="BK201" s="44" t="s">
        <v>675</v>
      </c>
      <c r="BL201" s="59">
        <v>781</v>
      </c>
    </row>
    <row r="202" spans="1:15" ht="12.75">
      <c r="A202" s="91"/>
      <c r="B202" s="92"/>
      <c r="C202" s="92"/>
      <c r="D202" s="93" t="s">
        <v>408</v>
      </c>
      <c r="E202" s="93"/>
      <c r="F202" s="92"/>
      <c r="G202" s="94">
        <v>0</v>
      </c>
      <c r="H202" s="92"/>
      <c r="I202" s="92"/>
      <c r="J202" s="92"/>
      <c r="K202" s="92"/>
      <c r="L202" s="92"/>
      <c r="M202" s="92"/>
      <c r="N202" s="83"/>
      <c r="O202" s="82"/>
    </row>
    <row r="203" spans="1:15" ht="12.75">
      <c r="A203" s="91"/>
      <c r="B203" s="92"/>
      <c r="C203" s="92"/>
      <c r="D203" s="93" t="s">
        <v>549</v>
      </c>
      <c r="E203" s="93"/>
      <c r="F203" s="92"/>
      <c r="G203" s="94">
        <v>14.76</v>
      </c>
      <c r="H203" s="92"/>
      <c r="I203" s="92"/>
      <c r="J203" s="92"/>
      <c r="K203" s="92"/>
      <c r="L203" s="92"/>
      <c r="M203" s="92"/>
      <c r="N203" s="83"/>
      <c r="O203" s="82"/>
    </row>
    <row r="204" spans="1:15" ht="12.75">
      <c r="A204" s="91"/>
      <c r="B204" s="92"/>
      <c r="C204" s="92"/>
      <c r="D204" s="93" t="s">
        <v>537</v>
      </c>
      <c r="E204" s="93"/>
      <c r="F204" s="92"/>
      <c r="G204" s="94">
        <v>0</v>
      </c>
      <c r="H204" s="92"/>
      <c r="I204" s="92"/>
      <c r="J204" s="92"/>
      <c r="K204" s="92"/>
      <c r="L204" s="92"/>
      <c r="M204" s="92"/>
      <c r="N204" s="83"/>
      <c r="O204" s="82"/>
    </row>
    <row r="205" spans="1:15" ht="12.75">
      <c r="A205" s="91"/>
      <c r="B205" s="92"/>
      <c r="C205" s="92"/>
      <c r="D205" s="93" t="s">
        <v>550</v>
      </c>
      <c r="E205" s="93"/>
      <c r="F205" s="92"/>
      <c r="G205" s="94">
        <v>6.9</v>
      </c>
      <c r="H205" s="92"/>
      <c r="I205" s="92"/>
      <c r="J205" s="92"/>
      <c r="K205" s="92"/>
      <c r="L205" s="92"/>
      <c r="M205" s="92"/>
      <c r="N205" s="83"/>
      <c r="O205" s="82"/>
    </row>
    <row r="206" spans="1:64" ht="12.75">
      <c r="A206" s="85" t="s">
        <v>185</v>
      </c>
      <c r="B206" s="85"/>
      <c r="C206" s="85" t="s">
        <v>334</v>
      </c>
      <c r="D206" s="185" t="s">
        <v>551</v>
      </c>
      <c r="E206" s="186"/>
      <c r="F206" s="85" t="s">
        <v>607</v>
      </c>
      <c r="G206" s="89">
        <v>21.66</v>
      </c>
      <c r="H206" s="102"/>
      <c r="I206" s="89">
        <f>G206*AO206</f>
        <v>0</v>
      </c>
      <c r="J206" s="89">
        <f>G206*AP206</f>
        <v>0</v>
      </c>
      <c r="K206" s="89">
        <f>G206*H206</f>
        <v>0</v>
      </c>
      <c r="L206" s="89">
        <v>0</v>
      </c>
      <c r="M206" s="89">
        <f>G206*L206</f>
        <v>0</v>
      </c>
      <c r="N206" s="80" t="s">
        <v>630</v>
      </c>
      <c r="O206" s="82"/>
      <c r="Z206" s="59">
        <f>IF(AQ206="5",BJ206,0)</f>
        <v>0</v>
      </c>
      <c r="AB206" s="59">
        <f>IF(AQ206="1",BH206,0)</f>
        <v>0</v>
      </c>
      <c r="AC206" s="59">
        <f>IF(AQ206="1",BI206,0)</f>
        <v>0</v>
      </c>
      <c r="AD206" s="59">
        <f>IF(AQ206="7",BH206,0)</f>
        <v>0</v>
      </c>
      <c r="AE206" s="59">
        <f>IF(AQ206="7",BI206,0)</f>
        <v>0</v>
      </c>
      <c r="AF206" s="59">
        <f>IF(AQ206="2",BH206,0)</f>
        <v>0</v>
      </c>
      <c r="AG206" s="59">
        <f>IF(AQ206="2",BI206,0)</f>
        <v>0</v>
      </c>
      <c r="AH206" s="59">
        <f>IF(AQ206="0",BJ206,0)</f>
        <v>0</v>
      </c>
      <c r="AI206" s="53"/>
      <c r="AJ206" s="44">
        <f>IF(AN206=0,K206,0)</f>
        <v>0</v>
      </c>
      <c r="AK206" s="44">
        <f>IF(AN206=15,K206,0)</f>
        <v>0</v>
      </c>
      <c r="AL206" s="44">
        <f>IF(AN206=21,K206,0)</f>
        <v>0</v>
      </c>
      <c r="AN206" s="59">
        <v>15</v>
      </c>
      <c r="AO206" s="59">
        <f>H206*0</f>
        <v>0</v>
      </c>
      <c r="AP206" s="59">
        <f>H206*(1-0)</f>
        <v>0</v>
      </c>
      <c r="AQ206" s="60" t="s">
        <v>80</v>
      </c>
      <c r="AV206" s="59">
        <f>AW206+AX206</f>
        <v>0</v>
      </c>
      <c r="AW206" s="59">
        <f>G206*AO206</f>
        <v>0</v>
      </c>
      <c r="AX206" s="59">
        <f>G206*AP206</f>
        <v>0</v>
      </c>
      <c r="AY206" s="62" t="s">
        <v>652</v>
      </c>
      <c r="AZ206" s="62" t="s">
        <v>668</v>
      </c>
      <c r="BA206" s="53" t="s">
        <v>670</v>
      </c>
      <c r="BC206" s="59">
        <f>AW206+AX206</f>
        <v>0</v>
      </c>
      <c r="BD206" s="59">
        <f>H206/(100-BE206)*100</f>
        <v>0</v>
      </c>
      <c r="BE206" s="59">
        <v>0</v>
      </c>
      <c r="BF206" s="59">
        <f>M206</f>
        <v>0</v>
      </c>
      <c r="BH206" s="44">
        <f>G206*AO206</f>
        <v>0</v>
      </c>
      <c r="BI206" s="44">
        <f>G206*AP206</f>
        <v>0</v>
      </c>
      <c r="BJ206" s="44">
        <f>G206*H206</f>
        <v>0</v>
      </c>
      <c r="BK206" s="44" t="s">
        <v>675</v>
      </c>
      <c r="BL206" s="59">
        <v>781</v>
      </c>
    </row>
    <row r="207" spans="1:64" ht="12.75">
      <c r="A207" s="85" t="s">
        <v>186</v>
      </c>
      <c r="B207" s="85"/>
      <c r="C207" s="85" t="s">
        <v>335</v>
      </c>
      <c r="D207" s="185" t="s">
        <v>552</v>
      </c>
      <c r="E207" s="186"/>
      <c r="F207" s="85" t="s">
        <v>607</v>
      </c>
      <c r="G207" s="89">
        <v>21.66</v>
      </c>
      <c r="H207" s="102"/>
      <c r="I207" s="89">
        <f>G207*AO207</f>
        <v>0</v>
      </c>
      <c r="J207" s="89">
        <f>G207*AP207</f>
        <v>0</v>
      </c>
      <c r="K207" s="89">
        <f>G207*H207</f>
        <v>0</v>
      </c>
      <c r="L207" s="89">
        <v>0</v>
      </c>
      <c r="M207" s="89">
        <f>G207*L207</f>
        <v>0</v>
      </c>
      <c r="N207" s="80" t="s">
        <v>630</v>
      </c>
      <c r="O207" s="82"/>
      <c r="Z207" s="59">
        <f>IF(AQ207="5",BJ207,0)</f>
        <v>0</v>
      </c>
      <c r="AB207" s="59">
        <f>IF(AQ207="1",BH207,0)</f>
        <v>0</v>
      </c>
      <c r="AC207" s="59">
        <f>IF(AQ207="1",BI207,0)</f>
        <v>0</v>
      </c>
      <c r="AD207" s="59">
        <f>IF(AQ207="7",BH207,0)</f>
        <v>0</v>
      </c>
      <c r="AE207" s="59">
        <f>IF(AQ207="7",BI207,0)</f>
        <v>0</v>
      </c>
      <c r="AF207" s="59">
        <f>IF(AQ207="2",BH207,0)</f>
        <v>0</v>
      </c>
      <c r="AG207" s="59">
        <f>IF(AQ207="2",BI207,0)</f>
        <v>0</v>
      </c>
      <c r="AH207" s="59">
        <f>IF(AQ207="0",BJ207,0)</f>
        <v>0</v>
      </c>
      <c r="AI207" s="53"/>
      <c r="AJ207" s="44">
        <f>IF(AN207=0,K207,0)</f>
        <v>0</v>
      </c>
      <c r="AK207" s="44">
        <f>IF(AN207=15,K207,0)</f>
        <v>0</v>
      </c>
      <c r="AL207" s="44">
        <f>IF(AN207=21,K207,0)</f>
        <v>0</v>
      </c>
      <c r="AN207" s="59">
        <v>15</v>
      </c>
      <c r="AO207" s="59">
        <f>H207*0</f>
        <v>0</v>
      </c>
      <c r="AP207" s="59">
        <f>H207*(1-0)</f>
        <v>0</v>
      </c>
      <c r="AQ207" s="60" t="s">
        <v>80</v>
      </c>
      <c r="AV207" s="59">
        <f>AW207+AX207</f>
        <v>0</v>
      </c>
      <c r="AW207" s="59">
        <f>G207*AO207</f>
        <v>0</v>
      </c>
      <c r="AX207" s="59">
        <f>G207*AP207</f>
        <v>0</v>
      </c>
      <c r="AY207" s="62" t="s">
        <v>652</v>
      </c>
      <c r="AZ207" s="62" t="s">
        <v>668</v>
      </c>
      <c r="BA207" s="53" t="s">
        <v>670</v>
      </c>
      <c r="BC207" s="59">
        <f>AW207+AX207</f>
        <v>0</v>
      </c>
      <c r="BD207" s="59">
        <f>H207/(100-BE207)*100</f>
        <v>0</v>
      </c>
      <c r="BE207" s="59">
        <v>0</v>
      </c>
      <c r="BF207" s="59">
        <f>M207</f>
        <v>0</v>
      </c>
      <c r="BH207" s="44">
        <f>G207*AO207</f>
        <v>0</v>
      </c>
      <c r="BI207" s="44">
        <f>G207*AP207</f>
        <v>0</v>
      </c>
      <c r="BJ207" s="44">
        <f>G207*H207</f>
        <v>0</v>
      </c>
      <c r="BK207" s="44" t="s">
        <v>675</v>
      </c>
      <c r="BL207" s="59">
        <v>781</v>
      </c>
    </row>
    <row r="208" spans="1:64" ht="12.75">
      <c r="A208" s="85" t="s">
        <v>187</v>
      </c>
      <c r="B208" s="85"/>
      <c r="C208" s="85" t="s">
        <v>336</v>
      </c>
      <c r="D208" s="185" t="s">
        <v>553</v>
      </c>
      <c r="E208" s="191"/>
      <c r="F208" s="85" t="s">
        <v>607</v>
      </c>
      <c r="G208" s="89">
        <v>23.826</v>
      </c>
      <c r="H208" s="102"/>
      <c r="I208" s="89">
        <f>G208*AO208</f>
        <v>0</v>
      </c>
      <c r="J208" s="89">
        <f>G208*AP208</f>
        <v>0</v>
      </c>
      <c r="K208" s="89">
        <f>G208*H208</f>
        <v>0</v>
      </c>
      <c r="L208" s="89">
        <v>0.0122</v>
      </c>
      <c r="M208" s="89">
        <f>G208*L208</f>
        <v>0.2906772</v>
      </c>
      <c r="N208" s="80" t="s">
        <v>630</v>
      </c>
      <c r="O208" s="82"/>
      <c r="Z208" s="59">
        <f>IF(AQ208="5",BJ208,0)</f>
        <v>0</v>
      </c>
      <c r="AB208" s="59">
        <f>IF(AQ208="1",BH208,0)</f>
        <v>0</v>
      </c>
      <c r="AC208" s="59">
        <f>IF(AQ208="1",BI208,0)</f>
        <v>0</v>
      </c>
      <c r="AD208" s="59">
        <f>IF(AQ208="7",BH208,0)</f>
        <v>0</v>
      </c>
      <c r="AE208" s="59">
        <f>IF(AQ208="7",BI208,0)</f>
        <v>0</v>
      </c>
      <c r="AF208" s="59">
        <f>IF(AQ208="2",BH208,0)</f>
        <v>0</v>
      </c>
      <c r="AG208" s="59">
        <f>IF(AQ208="2",BI208,0)</f>
        <v>0</v>
      </c>
      <c r="AH208" s="59">
        <f>IF(AQ208="0",BJ208,0)</f>
        <v>0</v>
      </c>
      <c r="AI208" s="53"/>
      <c r="AJ208" s="45">
        <f>IF(AN208=0,K208,0)</f>
        <v>0</v>
      </c>
      <c r="AK208" s="45">
        <f>IF(AN208=15,K208,0)</f>
        <v>0</v>
      </c>
      <c r="AL208" s="45">
        <f>IF(AN208=21,K208,0)</f>
        <v>0</v>
      </c>
      <c r="AN208" s="59">
        <v>15</v>
      </c>
      <c r="AO208" s="59">
        <f>H208*1</f>
        <v>0</v>
      </c>
      <c r="AP208" s="59">
        <f>H208*(1-1)</f>
        <v>0</v>
      </c>
      <c r="AQ208" s="61" t="s">
        <v>80</v>
      </c>
      <c r="AV208" s="59">
        <f>AW208+AX208</f>
        <v>0</v>
      </c>
      <c r="AW208" s="59">
        <f>G208*AO208</f>
        <v>0</v>
      </c>
      <c r="AX208" s="59">
        <f>G208*AP208</f>
        <v>0</v>
      </c>
      <c r="AY208" s="62" t="s">
        <v>652</v>
      </c>
      <c r="AZ208" s="62" t="s">
        <v>668</v>
      </c>
      <c r="BA208" s="53" t="s">
        <v>670</v>
      </c>
      <c r="BC208" s="59">
        <f>AW208+AX208</f>
        <v>0</v>
      </c>
      <c r="BD208" s="59">
        <f>H208/(100-BE208)*100</f>
        <v>0</v>
      </c>
      <c r="BE208" s="59">
        <v>0</v>
      </c>
      <c r="BF208" s="59">
        <f>M208</f>
        <v>0.2906772</v>
      </c>
      <c r="BH208" s="45">
        <f>G208*AO208</f>
        <v>0</v>
      </c>
      <c r="BI208" s="45">
        <f>G208*AP208</f>
        <v>0</v>
      </c>
      <c r="BJ208" s="45">
        <f>G208*H208</f>
        <v>0</v>
      </c>
      <c r="BK208" s="45" t="s">
        <v>676</v>
      </c>
      <c r="BL208" s="59">
        <v>781</v>
      </c>
    </row>
    <row r="209" spans="1:15" ht="12.75">
      <c r="A209" s="91"/>
      <c r="B209" s="92"/>
      <c r="C209" s="92"/>
      <c r="D209" s="93" t="s">
        <v>554</v>
      </c>
      <c r="E209" s="93"/>
      <c r="F209" s="92"/>
      <c r="G209" s="94">
        <v>23.826</v>
      </c>
      <c r="H209" s="92"/>
      <c r="I209" s="92"/>
      <c r="J209" s="92"/>
      <c r="K209" s="92"/>
      <c r="L209" s="92"/>
      <c r="M209" s="92"/>
      <c r="N209" s="83"/>
      <c r="O209" s="82"/>
    </row>
    <row r="210" spans="1:64" ht="12.75">
      <c r="A210" s="85" t="s">
        <v>188</v>
      </c>
      <c r="B210" s="85"/>
      <c r="C210" s="85" t="s">
        <v>337</v>
      </c>
      <c r="D210" s="185" t="s">
        <v>555</v>
      </c>
      <c r="E210" s="186"/>
      <c r="F210" s="85" t="s">
        <v>608</v>
      </c>
      <c r="G210" s="89">
        <v>4</v>
      </c>
      <c r="H210" s="102"/>
      <c r="I210" s="89">
        <f>G210*AO210</f>
        <v>0</v>
      </c>
      <c r="J210" s="89">
        <f>G210*AP210</f>
        <v>0</v>
      </c>
      <c r="K210" s="89">
        <f>G210*H210</f>
        <v>0</v>
      </c>
      <c r="L210" s="89">
        <v>0</v>
      </c>
      <c r="M210" s="89">
        <f>G210*L210</f>
        <v>0</v>
      </c>
      <c r="N210" s="80" t="s">
        <v>630</v>
      </c>
      <c r="O210" s="82"/>
      <c r="Z210" s="59">
        <f>IF(AQ210="5",BJ210,0)</f>
        <v>0</v>
      </c>
      <c r="AB210" s="59">
        <f>IF(AQ210="1",BH210,0)</f>
        <v>0</v>
      </c>
      <c r="AC210" s="59">
        <f>IF(AQ210="1",BI210,0)</f>
        <v>0</v>
      </c>
      <c r="AD210" s="59">
        <f>IF(AQ210="7",BH210,0)</f>
        <v>0</v>
      </c>
      <c r="AE210" s="59">
        <f>IF(AQ210="7",BI210,0)</f>
        <v>0</v>
      </c>
      <c r="AF210" s="59">
        <f>IF(AQ210="2",BH210,0)</f>
        <v>0</v>
      </c>
      <c r="AG210" s="59">
        <f>IF(AQ210="2",BI210,0)</f>
        <v>0</v>
      </c>
      <c r="AH210" s="59">
        <f>IF(AQ210="0",BJ210,0)</f>
        <v>0</v>
      </c>
      <c r="AI210" s="53"/>
      <c r="AJ210" s="44">
        <f>IF(AN210=0,K210,0)</f>
        <v>0</v>
      </c>
      <c r="AK210" s="44">
        <f>IF(AN210=15,K210,0)</f>
        <v>0</v>
      </c>
      <c r="AL210" s="44">
        <f>IF(AN210=21,K210,0)</f>
        <v>0</v>
      </c>
      <c r="AN210" s="59">
        <v>15</v>
      </c>
      <c r="AO210" s="59">
        <f>H210*0.0560496380558428</f>
        <v>0</v>
      </c>
      <c r="AP210" s="59">
        <f>H210*(1-0.0560496380558428)</f>
        <v>0</v>
      </c>
      <c r="AQ210" s="60" t="s">
        <v>80</v>
      </c>
      <c r="AV210" s="59">
        <f>AW210+AX210</f>
        <v>0</v>
      </c>
      <c r="AW210" s="59">
        <f>G210*AO210</f>
        <v>0</v>
      </c>
      <c r="AX210" s="59">
        <f>G210*AP210</f>
        <v>0</v>
      </c>
      <c r="AY210" s="62" t="s">
        <v>652</v>
      </c>
      <c r="AZ210" s="62" t="s">
        <v>668</v>
      </c>
      <c r="BA210" s="53" t="s">
        <v>670</v>
      </c>
      <c r="BC210" s="59">
        <f>AW210+AX210</f>
        <v>0</v>
      </c>
      <c r="BD210" s="59">
        <f>H210/(100-BE210)*100</f>
        <v>0</v>
      </c>
      <c r="BE210" s="59">
        <v>0</v>
      </c>
      <c r="BF210" s="59">
        <f>M210</f>
        <v>0</v>
      </c>
      <c r="BH210" s="44">
        <f>G210*AO210</f>
        <v>0</v>
      </c>
      <c r="BI210" s="44">
        <f>G210*AP210</f>
        <v>0</v>
      </c>
      <c r="BJ210" s="44">
        <f>G210*H210</f>
        <v>0</v>
      </c>
      <c r="BK210" s="44" t="s">
        <v>675</v>
      </c>
      <c r="BL210" s="59">
        <v>781</v>
      </c>
    </row>
    <row r="211" spans="1:64" ht="12.75">
      <c r="A211" s="85" t="s">
        <v>189</v>
      </c>
      <c r="B211" s="85"/>
      <c r="C211" s="85" t="s">
        <v>338</v>
      </c>
      <c r="D211" s="185" t="s">
        <v>556</v>
      </c>
      <c r="E211" s="186"/>
      <c r="F211" s="85" t="s">
        <v>609</v>
      </c>
      <c r="G211" s="89">
        <v>8</v>
      </c>
      <c r="H211" s="102"/>
      <c r="I211" s="89">
        <f>G211*AO211</f>
        <v>0</v>
      </c>
      <c r="J211" s="89">
        <f>G211*AP211</f>
        <v>0</v>
      </c>
      <c r="K211" s="89">
        <f>G211*H211</f>
        <v>0</v>
      </c>
      <c r="L211" s="89">
        <v>0</v>
      </c>
      <c r="M211" s="89">
        <f>G211*L211</f>
        <v>0</v>
      </c>
      <c r="N211" s="80" t="s">
        <v>630</v>
      </c>
      <c r="O211" s="82"/>
      <c r="Z211" s="59">
        <f>IF(AQ211="5",BJ211,0)</f>
        <v>0</v>
      </c>
      <c r="AB211" s="59">
        <f>IF(AQ211="1",BH211,0)</f>
        <v>0</v>
      </c>
      <c r="AC211" s="59">
        <f>IF(AQ211="1",BI211,0)</f>
        <v>0</v>
      </c>
      <c r="AD211" s="59">
        <f>IF(AQ211="7",BH211,0)</f>
        <v>0</v>
      </c>
      <c r="AE211" s="59">
        <f>IF(AQ211="7",BI211,0)</f>
        <v>0</v>
      </c>
      <c r="AF211" s="59">
        <f>IF(AQ211="2",BH211,0)</f>
        <v>0</v>
      </c>
      <c r="AG211" s="59">
        <f>IF(AQ211="2",BI211,0)</f>
        <v>0</v>
      </c>
      <c r="AH211" s="59">
        <f>IF(AQ211="0",BJ211,0)</f>
        <v>0</v>
      </c>
      <c r="AI211" s="53"/>
      <c r="AJ211" s="44">
        <f>IF(AN211=0,K211,0)</f>
        <v>0</v>
      </c>
      <c r="AK211" s="44">
        <f>IF(AN211=15,K211,0)</f>
        <v>0</v>
      </c>
      <c r="AL211" s="44">
        <f>IF(AN211=21,K211,0)</f>
        <v>0</v>
      </c>
      <c r="AN211" s="59">
        <v>15</v>
      </c>
      <c r="AO211" s="59">
        <f>H211*0.0627257799671593</f>
        <v>0</v>
      </c>
      <c r="AP211" s="59">
        <f>H211*(1-0.0627257799671593)</f>
        <v>0</v>
      </c>
      <c r="AQ211" s="60" t="s">
        <v>80</v>
      </c>
      <c r="AV211" s="59">
        <f>AW211+AX211</f>
        <v>0</v>
      </c>
      <c r="AW211" s="59">
        <f>G211*AO211</f>
        <v>0</v>
      </c>
      <c r="AX211" s="59">
        <f>G211*AP211</f>
        <v>0</v>
      </c>
      <c r="AY211" s="62" t="s">
        <v>652</v>
      </c>
      <c r="AZ211" s="62" t="s">
        <v>668</v>
      </c>
      <c r="BA211" s="53" t="s">
        <v>670</v>
      </c>
      <c r="BC211" s="59">
        <f>AW211+AX211</f>
        <v>0</v>
      </c>
      <c r="BD211" s="59">
        <f>H211/(100-BE211)*100</f>
        <v>0</v>
      </c>
      <c r="BE211" s="59">
        <v>0</v>
      </c>
      <c r="BF211" s="59">
        <f>M211</f>
        <v>0</v>
      </c>
      <c r="BH211" s="44">
        <f>G211*AO211</f>
        <v>0</v>
      </c>
      <c r="BI211" s="44">
        <f>G211*AP211</f>
        <v>0</v>
      </c>
      <c r="BJ211" s="44">
        <f>G211*H211</f>
        <v>0</v>
      </c>
      <c r="BK211" s="44" t="s">
        <v>675</v>
      </c>
      <c r="BL211" s="59">
        <v>781</v>
      </c>
    </row>
    <row r="212" spans="1:64" ht="12.75">
      <c r="A212" s="85" t="s">
        <v>190</v>
      </c>
      <c r="B212" s="85"/>
      <c r="C212" s="85" t="s">
        <v>339</v>
      </c>
      <c r="D212" s="185" t="s">
        <v>557</v>
      </c>
      <c r="E212" s="186"/>
      <c r="F212" s="85" t="s">
        <v>608</v>
      </c>
      <c r="G212" s="89">
        <v>32.6</v>
      </c>
      <c r="H212" s="102"/>
      <c r="I212" s="89">
        <f>G212*AO212</f>
        <v>0</v>
      </c>
      <c r="J212" s="89">
        <f>G212*AP212</f>
        <v>0</v>
      </c>
      <c r="K212" s="89">
        <f>G212*H212</f>
        <v>0</v>
      </c>
      <c r="L212" s="89">
        <v>0</v>
      </c>
      <c r="M212" s="89">
        <f>G212*L212</f>
        <v>0</v>
      </c>
      <c r="N212" s="80" t="s">
        <v>630</v>
      </c>
      <c r="O212" s="82"/>
      <c r="Z212" s="59">
        <f>IF(AQ212="5",BJ212,0)</f>
        <v>0</v>
      </c>
      <c r="AB212" s="59">
        <f>IF(AQ212="1",BH212,0)</f>
        <v>0</v>
      </c>
      <c r="AC212" s="59">
        <f>IF(AQ212="1",BI212,0)</f>
        <v>0</v>
      </c>
      <c r="AD212" s="59">
        <f>IF(AQ212="7",BH212,0)</f>
        <v>0</v>
      </c>
      <c r="AE212" s="59">
        <f>IF(AQ212="7",BI212,0)</f>
        <v>0</v>
      </c>
      <c r="AF212" s="59">
        <f>IF(AQ212="2",BH212,0)</f>
        <v>0</v>
      </c>
      <c r="AG212" s="59">
        <f>IF(AQ212="2",BI212,0)</f>
        <v>0</v>
      </c>
      <c r="AH212" s="59">
        <f>IF(AQ212="0",BJ212,0)</f>
        <v>0</v>
      </c>
      <c r="AI212" s="53"/>
      <c r="AJ212" s="44">
        <f>IF(AN212=0,K212,0)</f>
        <v>0</v>
      </c>
      <c r="AK212" s="44">
        <f>IF(AN212=15,K212,0)</f>
        <v>0</v>
      </c>
      <c r="AL212" s="44">
        <f>IF(AN212=21,K212,0)</f>
        <v>0</v>
      </c>
      <c r="AN212" s="59">
        <v>15</v>
      </c>
      <c r="AO212" s="59">
        <f>H212*0</f>
        <v>0</v>
      </c>
      <c r="AP212" s="59">
        <f>H212*(1-0)</f>
        <v>0</v>
      </c>
      <c r="AQ212" s="60" t="s">
        <v>80</v>
      </c>
      <c r="AV212" s="59">
        <f>AW212+AX212</f>
        <v>0</v>
      </c>
      <c r="AW212" s="59">
        <f>G212*AO212</f>
        <v>0</v>
      </c>
      <c r="AX212" s="59">
        <f>G212*AP212</f>
        <v>0</v>
      </c>
      <c r="AY212" s="62" t="s">
        <v>652</v>
      </c>
      <c r="AZ212" s="62" t="s">
        <v>668</v>
      </c>
      <c r="BA212" s="53" t="s">
        <v>670</v>
      </c>
      <c r="BC212" s="59">
        <f>AW212+AX212</f>
        <v>0</v>
      </c>
      <c r="BD212" s="59">
        <f>H212/(100-BE212)*100</f>
        <v>0</v>
      </c>
      <c r="BE212" s="59">
        <v>0</v>
      </c>
      <c r="BF212" s="59">
        <f>M212</f>
        <v>0</v>
      </c>
      <c r="BH212" s="44">
        <f>G212*AO212</f>
        <v>0</v>
      </c>
      <c r="BI212" s="44">
        <f>G212*AP212</f>
        <v>0</v>
      </c>
      <c r="BJ212" s="44">
        <f>G212*H212</f>
        <v>0</v>
      </c>
      <c r="BK212" s="44" t="s">
        <v>675</v>
      </c>
      <c r="BL212" s="59">
        <v>781</v>
      </c>
    </row>
    <row r="213" spans="1:15" ht="12.75">
      <c r="A213" s="91"/>
      <c r="B213" s="92"/>
      <c r="C213" s="92"/>
      <c r="D213" s="93" t="s">
        <v>558</v>
      </c>
      <c r="E213" s="93"/>
      <c r="F213" s="92"/>
      <c r="G213" s="94">
        <v>10.4</v>
      </c>
      <c r="H213" s="92"/>
      <c r="I213" s="92"/>
      <c r="J213" s="92"/>
      <c r="K213" s="92"/>
      <c r="L213" s="92"/>
      <c r="M213" s="92"/>
      <c r="N213" s="83"/>
      <c r="O213" s="82"/>
    </row>
    <row r="214" spans="1:15" ht="12.75">
      <c r="A214" s="91"/>
      <c r="B214" s="92"/>
      <c r="C214" s="92"/>
      <c r="D214" s="93" t="s">
        <v>559</v>
      </c>
      <c r="E214" s="93"/>
      <c r="F214" s="92"/>
      <c r="G214" s="94">
        <v>22.2</v>
      </c>
      <c r="H214" s="92"/>
      <c r="I214" s="92"/>
      <c r="J214" s="92"/>
      <c r="K214" s="92"/>
      <c r="L214" s="92"/>
      <c r="M214" s="92"/>
      <c r="N214" s="83"/>
      <c r="O214" s="82"/>
    </row>
    <row r="215" spans="1:64" ht="12.75">
      <c r="A215" s="85" t="s">
        <v>191</v>
      </c>
      <c r="B215" s="85"/>
      <c r="C215" s="85" t="s">
        <v>340</v>
      </c>
      <c r="D215" s="185" t="s">
        <v>560</v>
      </c>
      <c r="E215" s="191"/>
      <c r="F215" s="85" t="s">
        <v>608</v>
      </c>
      <c r="G215" s="89">
        <v>35.86</v>
      </c>
      <c r="H215" s="102"/>
      <c r="I215" s="89">
        <f>G215*AO215</f>
        <v>0</v>
      </c>
      <c r="J215" s="89">
        <f>G215*AP215</f>
        <v>0</v>
      </c>
      <c r="K215" s="89">
        <f>G215*H215</f>
        <v>0</v>
      </c>
      <c r="L215" s="89">
        <v>0.00022</v>
      </c>
      <c r="M215" s="89">
        <f>G215*L215</f>
        <v>0.0078892</v>
      </c>
      <c r="N215" s="80" t="s">
        <v>630</v>
      </c>
      <c r="O215" s="82"/>
      <c r="Z215" s="59">
        <f>IF(AQ215="5",BJ215,0)</f>
        <v>0</v>
      </c>
      <c r="AB215" s="59">
        <f>IF(AQ215="1",BH215,0)</f>
        <v>0</v>
      </c>
      <c r="AC215" s="59">
        <f>IF(AQ215="1",BI215,0)</f>
        <v>0</v>
      </c>
      <c r="AD215" s="59">
        <f>IF(AQ215="7",BH215,0)</f>
        <v>0</v>
      </c>
      <c r="AE215" s="59">
        <f>IF(AQ215="7",BI215,0)</f>
        <v>0</v>
      </c>
      <c r="AF215" s="59">
        <f>IF(AQ215="2",BH215,0)</f>
        <v>0</v>
      </c>
      <c r="AG215" s="59">
        <f>IF(AQ215="2",BI215,0)</f>
        <v>0</v>
      </c>
      <c r="AH215" s="59">
        <f>IF(AQ215="0",BJ215,0)</f>
        <v>0</v>
      </c>
      <c r="AI215" s="53"/>
      <c r="AJ215" s="45">
        <f>IF(AN215=0,K215,0)</f>
        <v>0</v>
      </c>
      <c r="AK215" s="45">
        <f>IF(AN215=15,K215,0)</f>
        <v>0</v>
      </c>
      <c r="AL215" s="45">
        <f>IF(AN215=21,K215,0)</f>
        <v>0</v>
      </c>
      <c r="AN215" s="59">
        <v>15</v>
      </c>
      <c r="AO215" s="59">
        <f>H215*1</f>
        <v>0</v>
      </c>
      <c r="AP215" s="59">
        <f>H215*(1-1)</f>
        <v>0</v>
      </c>
      <c r="AQ215" s="61" t="s">
        <v>80</v>
      </c>
      <c r="AV215" s="59">
        <f>AW215+AX215</f>
        <v>0</v>
      </c>
      <c r="AW215" s="59">
        <f>G215*AO215</f>
        <v>0</v>
      </c>
      <c r="AX215" s="59">
        <f>G215*AP215</f>
        <v>0</v>
      </c>
      <c r="AY215" s="62" t="s">
        <v>652</v>
      </c>
      <c r="AZ215" s="62" t="s">
        <v>668</v>
      </c>
      <c r="BA215" s="53" t="s">
        <v>670</v>
      </c>
      <c r="BC215" s="59">
        <f>AW215+AX215</f>
        <v>0</v>
      </c>
      <c r="BD215" s="59">
        <f>H215/(100-BE215)*100</f>
        <v>0</v>
      </c>
      <c r="BE215" s="59">
        <v>0</v>
      </c>
      <c r="BF215" s="59">
        <f>M215</f>
        <v>0.0078892</v>
      </c>
      <c r="BH215" s="45">
        <f>G215*AO215</f>
        <v>0</v>
      </c>
      <c r="BI215" s="45">
        <f>G215*AP215</f>
        <v>0</v>
      </c>
      <c r="BJ215" s="45">
        <f>G215*H215</f>
        <v>0</v>
      </c>
      <c r="BK215" s="45" t="s">
        <v>676</v>
      </c>
      <c r="BL215" s="59">
        <v>781</v>
      </c>
    </row>
    <row r="216" spans="1:15" ht="12.75">
      <c r="A216" s="91"/>
      <c r="B216" s="92"/>
      <c r="C216" s="92"/>
      <c r="D216" s="93" t="s">
        <v>561</v>
      </c>
      <c r="E216" s="93"/>
      <c r="F216" s="92"/>
      <c r="G216" s="94">
        <v>35.86</v>
      </c>
      <c r="H216" s="92"/>
      <c r="I216" s="92"/>
      <c r="J216" s="92"/>
      <c r="K216" s="92"/>
      <c r="L216" s="92"/>
      <c r="M216" s="92"/>
      <c r="N216" s="83"/>
      <c r="O216" s="82"/>
    </row>
    <row r="217" spans="1:64" ht="12.75">
      <c r="A217" s="85" t="s">
        <v>192</v>
      </c>
      <c r="B217" s="85"/>
      <c r="C217" s="85" t="s">
        <v>341</v>
      </c>
      <c r="D217" s="185" t="s">
        <v>562</v>
      </c>
      <c r="E217" s="186"/>
      <c r="F217" s="85" t="s">
        <v>610</v>
      </c>
      <c r="G217" s="89">
        <v>0.4</v>
      </c>
      <c r="H217" s="102"/>
      <c r="I217" s="89">
        <f>G217*AO217</f>
        <v>0</v>
      </c>
      <c r="J217" s="89">
        <f>G217*AP217</f>
        <v>0</v>
      </c>
      <c r="K217" s="89">
        <f>G217*H217</f>
        <v>0</v>
      </c>
      <c r="L217" s="89">
        <v>0</v>
      </c>
      <c r="M217" s="89">
        <f>G217*L217</f>
        <v>0</v>
      </c>
      <c r="N217" s="80" t="s">
        <v>630</v>
      </c>
      <c r="O217" s="82"/>
      <c r="Z217" s="59">
        <f>IF(AQ217="5",BJ217,0)</f>
        <v>0</v>
      </c>
      <c r="AB217" s="59">
        <f>IF(AQ217="1",BH217,0)</f>
        <v>0</v>
      </c>
      <c r="AC217" s="59">
        <f>IF(AQ217="1",BI217,0)</f>
        <v>0</v>
      </c>
      <c r="AD217" s="59">
        <f>IF(AQ217="7",BH217,0)</f>
        <v>0</v>
      </c>
      <c r="AE217" s="59">
        <f>IF(AQ217="7",BI217,0)</f>
        <v>0</v>
      </c>
      <c r="AF217" s="59">
        <f>IF(AQ217="2",BH217,0)</f>
        <v>0</v>
      </c>
      <c r="AG217" s="59">
        <f>IF(AQ217="2",BI217,0)</f>
        <v>0</v>
      </c>
      <c r="AH217" s="59">
        <f>IF(AQ217="0",BJ217,0)</f>
        <v>0</v>
      </c>
      <c r="AI217" s="53"/>
      <c r="AJ217" s="44">
        <f>IF(AN217=0,K217,0)</f>
        <v>0</v>
      </c>
      <c r="AK217" s="44">
        <f>IF(AN217=15,K217,0)</f>
        <v>0</v>
      </c>
      <c r="AL217" s="44">
        <f>IF(AN217=21,K217,0)</f>
        <v>0</v>
      </c>
      <c r="AN217" s="59">
        <v>15</v>
      </c>
      <c r="AO217" s="59">
        <f>H217*0</f>
        <v>0</v>
      </c>
      <c r="AP217" s="59">
        <f>H217*(1-0)</f>
        <v>0</v>
      </c>
      <c r="AQ217" s="60" t="s">
        <v>78</v>
      </c>
      <c r="AV217" s="59">
        <f>AW217+AX217</f>
        <v>0</v>
      </c>
      <c r="AW217" s="59">
        <f>G217*AO217</f>
        <v>0</v>
      </c>
      <c r="AX217" s="59">
        <f>G217*AP217</f>
        <v>0</v>
      </c>
      <c r="AY217" s="62" t="s">
        <v>652</v>
      </c>
      <c r="AZ217" s="62" t="s">
        <v>668</v>
      </c>
      <c r="BA217" s="53" t="s">
        <v>670</v>
      </c>
      <c r="BC217" s="59">
        <f>AW217+AX217</f>
        <v>0</v>
      </c>
      <c r="BD217" s="59">
        <f>H217/(100-BE217)*100</f>
        <v>0</v>
      </c>
      <c r="BE217" s="59">
        <v>0</v>
      </c>
      <c r="BF217" s="59">
        <f>M217</f>
        <v>0</v>
      </c>
      <c r="BH217" s="44">
        <f>G217*AO217</f>
        <v>0</v>
      </c>
      <c r="BI217" s="44">
        <f>G217*AP217</f>
        <v>0</v>
      </c>
      <c r="BJ217" s="44">
        <f>G217*H217</f>
        <v>0</v>
      </c>
      <c r="BK217" s="44" t="s">
        <v>675</v>
      </c>
      <c r="BL217" s="59">
        <v>781</v>
      </c>
    </row>
    <row r="218" spans="1:47" ht="12.75">
      <c r="A218" s="96"/>
      <c r="B218" s="97"/>
      <c r="C218" s="97" t="s">
        <v>342</v>
      </c>
      <c r="D218" s="189" t="s">
        <v>563</v>
      </c>
      <c r="E218" s="190"/>
      <c r="F218" s="96" t="s">
        <v>73</v>
      </c>
      <c r="G218" s="96" t="s">
        <v>73</v>
      </c>
      <c r="H218" s="96" t="s">
        <v>73</v>
      </c>
      <c r="I218" s="98">
        <f>SUM(I219:I224)</f>
        <v>0</v>
      </c>
      <c r="J218" s="98">
        <f>SUM(J219:J224)</f>
        <v>0</v>
      </c>
      <c r="K218" s="98">
        <f>SUM(K219:K224)</f>
        <v>0</v>
      </c>
      <c r="L218" s="99"/>
      <c r="M218" s="98">
        <f>SUM(M219:M224)</f>
        <v>0.003108</v>
      </c>
      <c r="N218" s="95"/>
      <c r="O218" s="82"/>
      <c r="AI218" s="53"/>
      <c r="AS218" s="65">
        <f>SUM(AJ219:AJ224)</f>
        <v>0</v>
      </c>
      <c r="AT218" s="65">
        <f>SUM(AK219:AK224)</f>
        <v>0</v>
      </c>
      <c r="AU218" s="65">
        <f>SUM(AL219:AL224)</f>
        <v>0</v>
      </c>
    </row>
    <row r="219" spans="1:64" ht="12.75">
      <c r="A219" s="85" t="s">
        <v>193</v>
      </c>
      <c r="B219" s="85"/>
      <c r="C219" s="85" t="s">
        <v>343</v>
      </c>
      <c r="D219" s="185" t="s">
        <v>564</v>
      </c>
      <c r="E219" s="186"/>
      <c r="F219" s="85" t="s">
        <v>607</v>
      </c>
      <c r="G219" s="89">
        <v>6</v>
      </c>
      <c r="H219" s="102"/>
      <c r="I219" s="89">
        <f>G219*AO219</f>
        <v>0</v>
      </c>
      <c r="J219" s="89">
        <f>G219*AP219</f>
        <v>0</v>
      </c>
      <c r="K219" s="89">
        <f>G219*H219</f>
        <v>0</v>
      </c>
      <c r="L219" s="89">
        <v>0.00031</v>
      </c>
      <c r="M219" s="89">
        <f>G219*L219</f>
        <v>0.00186</v>
      </c>
      <c r="N219" s="80" t="s">
        <v>630</v>
      </c>
      <c r="O219" s="82"/>
      <c r="Z219" s="59">
        <f>IF(AQ219="5",BJ219,0)</f>
        <v>0</v>
      </c>
      <c r="AB219" s="59">
        <f>IF(AQ219="1",BH219,0)</f>
        <v>0</v>
      </c>
      <c r="AC219" s="59">
        <f>IF(AQ219="1",BI219,0)</f>
        <v>0</v>
      </c>
      <c r="AD219" s="59">
        <f>IF(AQ219="7",BH219,0)</f>
        <v>0</v>
      </c>
      <c r="AE219" s="59">
        <f>IF(AQ219="7",BI219,0)</f>
        <v>0</v>
      </c>
      <c r="AF219" s="59">
        <f>IF(AQ219="2",BH219,0)</f>
        <v>0</v>
      </c>
      <c r="AG219" s="59">
        <f>IF(AQ219="2",BI219,0)</f>
        <v>0</v>
      </c>
      <c r="AH219" s="59">
        <f>IF(AQ219="0",BJ219,0)</f>
        <v>0</v>
      </c>
      <c r="AI219" s="53"/>
      <c r="AJ219" s="44">
        <f>IF(AN219=0,K219,0)</f>
        <v>0</v>
      </c>
      <c r="AK219" s="44">
        <f>IF(AN219=15,K219,0)</f>
        <v>0</v>
      </c>
      <c r="AL219" s="44">
        <f>IF(AN219=21,K219,0)</f>
        <v>0</v>
      </c>
      <c r="AN219" s="59">
        <v>15</v>
      </c>
      <c r="AO219" s="59">
        <f>H219*0.176714579055441</f>
        <v>0</v>
      </c>
      <c r="AP219" s="59">
        <f>H219*(1-0.176714579055441)</f>
        <v>0</v>
      </c>
      <c r="AQ219" s="60" t="s">
        <v>80</v>
      </c>
      <c r="AV219" s="59">
        <f>AW219+AX219</f>
        <v>0</v>
      </c>
      <c r="AW219" s="59">
        <f>G219*AO219</f>
        <v>0</v>
      </c>
      <c r="AX219" s="59">
        <f>G219*AP219</f>
        <v>0</v>
      </c>
      <c r="AY219" s="62" t="s">
        <v>653</v>
      </c>
      <c r="AZ219" s="62" t="s">
        <v>668</v>
      </c>
      <c r="BA219" s="53" t="s">
        <v>670</v>
      </c>
      <c r="BC219" s="59">
        <f>AW219+AX219</f>
        <v>0</v>
      </c>
      <c r="BD219" s="59">
        <f>H219/(100-BE219)*100</f>
        <v>0</v>
      </c>
      <c r="BE219" s="59">
        <v>0</v>
      </c>
      <c r="BF219" s="59">
        <f>M219</f>
        <v>0.00186</v>
      </c>
      <c r="BH219" s="44">
        <f>G219*AO219</f>
        <v>0</v>
      </c>
      <c r="BI219" s="44">
        <f>G219*AP219</f>
        <v>0</v>
      </c>
      <c r="BJ219" s="44">
        <f>G219*H219</f>
        <v>0</v>
      </c>
      <c r="BK219" s="44" t="s">
        <v>675</v>
      </c>
      <c r="BL219" s="59">
        <v>783</v>
      </c>
    </row>
    <row r="220" spans="1:15" ht="12.75">
      <c r="A220" s="91"/>
      <c r="B220" s="92"/>
      <c r="C220" s="92"/>
      <c r="D220" s="93" t="s">
        <v>565</v>
      </c>
      <c r="E220" s="93"/>
      <c r="F220" s="92"/>
      <c r="G220" s="94">
        <v>6</v>
      </c>
      <c r="H220" s="92"/>
      <c r="I220" s="92"/>
      <c r="J220" s="92"/>
      <c r="K220" s="92"/>
      <c r="L220" s="92"/>
      <c r="M220" s="92"/>
      <c r="N220" s="83"/>
      <c r="O220" s="82"/>
    </row>
    <row r="221" spans="1:64" ht="12.75">
      <c r="A221" s="85" t="s">
        <v>194</v>
      </c>
      <c r="B221" s="85"/>
      <c r="C221" s="85" t="s">
        <v>344</v>
      </c>
      <c r="D221" s="185" t="s">
        <v>566</v>
      </c>
      <c r="E221" s="186"/>
      <c r="F221" s="85" t="s">
        <v>607</v>
      </c>
      <c r="G221" s="89">
        <v>6</v>
      </c>
      <c r="H221" s="102"/>
      <c r="I221" s="89">
        <f>G221*AO221</f>
        <v>0</v>
      </c>
      <c r="J221" s="89">
        <f>G221*AP221</f>
        <v>0</v>
      </c>
      <c r="K221" s="89">
        <f>G221*H221</f>
        <v>0</v>
      </c>
      <c r="L221" s="89">
        <v>1E-05</v>
      </c>
      <c r="M221" s="89">
        <f>G221*L221</f>
        <v>6.000000000000001E-05</v>
      </c>
      <c r="N221" s="80" t="s">
        <v>630</v>
      </c>
      <c r="O221" s="82"/>
      <c r="Z221" s="59">
        <f>IF(AQ221="5",BJ221,0)</f>
        <v>0</v>
      </c>
      <c r="AB221" s="59">
        <f>IF(AQ221="1",BH221,0)</f>
        <v>0</v>
      </c>
      <c r="AC221" s="59">
        <f>IF(AQ221="1",BI221,0)</f>
        <v>0</v>
      </c>
      <c r="AD221" s="59">
        <f>IF(AQ221="7",BH221,0)</f>
        <v>0</v>
      </c>
      <c r="AE221" s="59">
        <f>IF(AQ221="7",BI221,0)</f>
        <v>0</v>
      </c>
      <c r="AF221" s="59">
        <f>IF(AQ221="2",BH221,0)</f>
        <v>0</v>
      </c>
      <c r="AG221" s="59">
        <f>IF(AQ221="2",BI221,0)</f>
        <v>0</v>
      </c>
      <c r="AH221" s="59">
        <f>IF(AQ221="0",BJ221,0)</f>
        <v>0</v>
      </c>
      <c r="AI221" s="53"/>
      <c r="AJ221" s="44">
        <f>IF(AN221=0,K221,0)</f>
        <v>0</v>
      </c>
      <c r="AK221" s="44">
        <f>IF(AN221=15,K221,0)</f>
        <v>0</v>
      </c>
      <c r="AL221" s="44">
        <f>IF(AN221=21,K221,0)</f>
        <v>0</v>
      </c>
      <c r="AN221" s="59">
        <v>15</v>
      </c>
      <c r="AO221" s="59">
        <f>H221*0.0262806236080178</f>
        <v>0</v>
      </c>
      <c r="AP221" s="59">
        <f>H221*(1-0.0262806236080178)</f>
        <v>0</v>
      </c>
      <c r="AQ221" s="60" t="s">
        <v>80</v>
      </c>
      <c r="AV221" s="59">
        <f>AW221+AX221</f>
        <v>0</v>
      </c>
      <c r="AW221" s="59">
        <f>G221*AO221</f>
        <v>0</v>
      </c>
      <c r="AX221" s="59">
        <f>G221*AP221</f>
        <v>0</v>
      </c>
      <c r="AY221" s="62" t="s">
        <v>653</v>
      </c>
      <c r="AZ221" s="62" t="s">
        <v>668</v>
      </c>
      <c r="BA221" s="53" t="s">
        <v>670</v>
      </c>
      <c r="BC221" s="59">
        <f>AW221+AX221</f>
        <v>0</v>
      </c>
      <c r="BD221" s="59">
        <f>H221/(100-BE221)*100</f>
        <v>0</v>
      </c>
      <c r="BE221" s="59">
        <v>0</v>
      </c>
      <c r="BF221" s="59">
        <f>M221</f>
        <v>6.000000000000001E-05</v>
      </c>
      <c r="BH221" s="44">
        <f>G221*AO221</f>
        <v>0</v>
      </c>
      <c r="BI221" s="44">
        <f>G221*AP221</f>
        <v>0</v>
      </c>
      <c r="BJ221" s="44">
        <f>G221*H221</f>
        <v>0</v>
      </c>
      <c r="BK221" s="44" t="s">
        <v>675</v>
      </c>
      <c r="BL221" s="59">
        <v>783</v>
      </c>
    </row>
    <row r="222" spans="1:64" ht="12.75">
      <c r="A222" s="85" t="s">
        <v>195</v>
      </c>
      <c r="B222" s="85"/>
      <c r="C222" s="85" t="s">
        <v>345</v>
      </c>
      <c r="D222" s="185" t="s">
        <v>567</v>
      </c>
      <c r="E222" s="186"/>
      <c r="F222" s="85" t="s">
        <v>607</v>
      </c>
      <c r="G222" s="89">
        <v>2.64</v>
      </c>
      <c r="H222" s="102"/>
      <c r="I222" s="89">
        <f>G222*AO222</f>
        <v>0</v>
      </c>
      <c r="J222" s="89">
        <f>G222*AP222</f>
        <v>0</v>
      </c>
      <c r="K222" s="89">
        <f>G222*H222</f>
        <v>0</v>
      </c>
      <c r="L222" s="89">
        <v>0.00045</v>
      </c>
      <c r="M222" s="89">
        <f>G222*L222</f>
        <v>0.001188</v>
      </c>
      <c r="N222" s="80" t="s">
        <v>630</v>
      </c>
      <c r="O222" s="82"/>
      <c r="Z222" s="59">
        <f>IF(AQ222="5",BJ222,0)</f>
        <v>0</v>
      </c>
      <c r="AB222" s="59">
        <f>IF(AQ222="1",BH222,0)</f>
        <v>0</v>
      </c>
      <c r="AC222" s="59">
        <f>IF(AQ222="1",BI222,0)</f>
        <v>0</v>
      </c>
      <c r="AD222" s="59">
        <f>IF(AQ222="7",BH222,0)</f>
        <v>0</v>
      </c>
      <c r="AE222" s="59">
        <f>IF(AQ222="7",BI222,0)</f>
        <v>0</v>
      </c>
      <c r="AF222" s="59">
        <f>IF(AQ222="2",BH222,0)</f>
        <v>0</v>
      </c>
      <c r="AG222" s="59">
        <f>IF(AQ222="2",BI222,0)</f>
        <v>0</v>
      </c>
      <c r="AH222" s="59">
        <f>IF(AQ222="0",BJ222,0)</f>
        <v>0</v>
      </c>
      <c r="AI222" s="53"/>
      <c r="AJ222" s="44">
        <f>IF(AN222=0,K222,0)</f>
        <v>0</v>
      </c>
      <c r="AK222" s="44">
        <f>IF(AN222=15,K222,0)</f>
        <v>0</v>
      </c>
      <c r="AL222" s="44">
        <f>IF(AN222=21,K222,0)</f>
        <v>0</v>
      </c>
      <c r="AN222" s="59">
        <v>15</v>
      </c>
      <c r="AO222" s="59">
        <f>H222*0.505538939808115</f>
        <v>0</v>
      </c>
      <c r="AP222" s="59">
        <f>H222*(1-0.505538939808115)</f>
        <v>0</v>
      </c>
      <c r="AQ222" s="60" t="s">
        <v>80</v>
      </c>
      <c r="AV222" s="59">
        <f>AW222+AX222</f>
        <v>0</v>
      </c>
      <c r="AW222" s="59">
        <f>G222*AO222</f>
        <v>0</v>
      </c>
      <c r="AX222" s="59">
        <f>G222*AP222</f>
        <v>0</v>
      </c>
      <c r="AY222" s="62" t="s">
        <v>653</v>
      </c>
      <c r="AZ222" s="62" t="s">
        <v>668</v>
      </c>
      <c r="BA222" s="53" t="s">
        <v>670</v>
      </c>
      <c r="BC222" s="59">
        <f>AW222+AX222</f>
        <v>0</v>
      </c>
      <c r="BD222" s="59">
        <f>H222/(100-BE222)*100</f>
        <v>0</v>
      </c>
      <c r="BE222" s="59">
        <v>0</v>
      </c>
      <c r="BF222" s="59">
        <f>M222</f>
        <v>0.001188</v>
      </c>
      <c r="BH222" s="44">
        <f>G222*AO222</f>
        <v>0</v>
      </c>
      <c r="BI222" s="44">
        <f>G222*AP222</f>
        <v>0</v>
      </c>
      <c r="BJ222" s="44">
        <f>G222*H222</f>
        <v>0</v>
      </c>
      <c r="BK222" s="44" t="s">
        <v>675</v>
      </c>
      <c r="BL222" s="59">
        <v>783</v>
      </c>
    </row>
    <row r="223" spans="1:15" ht="12.75">
      <c r="A223" s="91"/>
      <c r="B223" s="92"/>
      <c r="C223" s="92"/>
      <c r="D223" s="93" t="s">
        <v>568</v>
      </c>
      <c r="E223" s="93"/>
      <c r="F223" s="92"/>
      <c r="G223" s="94">
        <v>2.64</v>
      </c>
      <c r="H223" s="92"/>
      <c r="I223" s="92"/>
      <c r="J223" s="92"/>
      <c r="K223" s="92"/>
      <c r="L223" s="92"/>
      <c r="M223" s="92"/>
      <c r="N223" s="83"/>
      <c r="O223" s="82"/>
    </row>
    <row r="224" spans="1:64" ht="12.75">
      <c r="A224" s="85" t="s">
        <v>196</v>
      </c>
      <c r="B224" s="85"/>
      <c r="C224" s="85" t="s">
        <v>344</v>
      </c>
      <c r="D224" s="185" t="s">
        <v>569</v>
      </c>
      <c r="E224" s="186"/>
      <c r="F224" s="85" t="s">
        <v>607</v>
      </c>
      <c r="G224" s="89">
        <v>2.64</v>
      </c>
      <c r="H224" s="102"/>
      <c r="I224" s="89">
        <f>G224*AO224</f>
        <v>0</v>
      </c>
      <c r="J224" s="89">
        <f>G224*AP224</f>
        <v>0</v>
      </c>
      <c r="K224" s="89">
        <f>G224*H224</f>
        <v>0</v>
      </c>
      <c r="L224" s="89">
        <v>0</v>
      </c>
      <c r="M224" s="89">
        <f>G224*L224</f>
        <v>0</v>
      </c>
      <c r="N224" s="80" t="s">
        <v>630</v>
      </c>
      <c r="O224" s="82"/>
      <c r="Z224" s="59">
        <f>IF(AQ224="5",BJ224,0)</f>
        <v>0</v>
      </c>
      <c r="AB224" s="59">
        <f>IF(AQ224="1",BH224,0)</f>
        <v>0</v>
      </c>
      <c r="AC224" s="59">
        <f>IF(AQ224="1",BI224,0)</f>
        <v>0</v>
      </c>
      <c r="AD224" s="59">
        <f>IF(AQ224="7",BH224,0)</f>
        <v>0</v>
      </c>
      <c r="AE224" s="59">
        <f>IF(AQ224="7",BI224,0)</f>
        <v>0</v>
      </c>
      <c r="AF224" s="59">
        <f>IF(AQ224="2",BH224,0)</f>
        <v>0</v>
      </c>
      <c r="AG224" s="59">
        <f>IF(AQ224="2",BI224,0)</f>
        <v>0</v>
      </c>
      <c r="AH224" s="59">
        <f>IF(AQ224="0",BJ224,0)</f>
        <v>0</v>
      </c>
      <c r="AI224" s="53"/>
      <c r="AJ224" s="44">
        <f>IF(AN224=0,K224,0)</f>
        <v>0</v>
      </c>
      <c r="AK224" s="44">
        <f>IF(AN224=15,K224,0)</f>
        <v>0</v>
      </c>
      <c r="AL224" s="44">
        <f>IF(AN224=21,K224,0)</f>
        <v>0</v>
      </c>
      <c r="AN224" s="59">
        <v>15</v>
      </c>
      <c r="AO224" s="59">
        <f>H224*0.0262797367977054</f>
        <v>0</v>
      </c>
      <c r="AP224" s="59">
        <f>H224*(1-0.0262797367977054)</f>
        <v>0</v>
      </c>
      <c r="AQ224" s="60" t="s">
        <v>80</v>
      </c>
      <c r="AV224" s="59">
        <f>AW224+AX224</f>
        <v>0</v>
      </c>
      <c r="AW224" s="59">
        <f>G224*AO224</f>
        <v>0</v>
      </c>
      <c r="AX224" s="59">
        <f>G224*AP224</f>
        <v>0</v>
      </c>
      <c r="AY224" s="62" t="s">
        <v>653</v>
      </c>
      <c r="AZ224" s="62" t="s">
        <v>668</v>
      </c>
      <c r="BA224" s="53" t="s">
        <v>670</v>
      </c>
      <c r="BC224" s="59">
        <f>AW224+AX224</f>
        <v>0</v>
      </c>
      <c r="BD224" s="59">
        <f>H224/(100-BE224)*100</f>
        <v>0</v>
      </c>
      <c r="BE224" s="59">
        <v>0</v>
      </c>
      <c r="BF224" s="59">
        <f>M224</f>
        <v>0</v>
      </c>
      <c r="BH224" s="44">
        <f>G224*AO224</f>
        <v>0</v>
      </c>
      <c r="BI224" s="44">
        <f>G224*AP224</f>
        <v>0</v>
      </c>
      <c r="BJ224" s="44">
        <f>G224*H224</f>
        <v>0</v>
      </c>
      <c r="BK224" s="44" t="s">
        <v>675</v>
      </c>
      <c r="BL224" s="59">
        <v>783</v>
      </c>
    </row>
    <row r="225" spans="1:47" ht="12.75">
      <c r="A225" s="96"/>
      <c r="B225" s="97"/>
      <c r="C225" s="97" t="s">
        <v>346</v>
      </c>
      <c r="D225" s="189" t="s">
        <v>570</v>
      </c>
      <c r="E225" s="190"/>
      <c r="F225" s="96" t="s">
        <v>73</v>
      </c>
      <c r="G225" s="96" t="s">
        <v>73</v>
      </c>
      <c r="H225" s="96" t="s">
        <v>73</v>
      </c>
      <c r="I225" s="98">
        <f>SUM(I226:I230)</f>
        <v>0</v>
      </c>
      <c r="J225" s="98">
        <f>SUM(J226:J230)</f>
        <v>0</v>
      </c>
      <c r="K225" s="98">
        <f>SUM(K226:K230)</f>
        <v>0</v>
      </c>
      <c r="L225" s="99"/>
      <c r="M225" s="98">
        <f>SUM(M226:M230)</f>
        <v>0.02446946</v>
      </c>
      <c r="N225" s="95"/>
      <c r="O225" s="82"/>
      <c r="AI225" s="53"/>
      <c r="AS225" s="65">
        <f>SUM(AJ226:AJ230)</f>
        <v>0</v>
      </c>
      <c r="AT225" s="65">
        <f>SUM(AK226:AK230)</f>
        <v>0</v>
      </c>
      <c r="AU225" s="65">
        <f>SUM(AL226:AL230)</f>
        <v>0</v>
      </c>
    </row>
    <row r="226" spans="1:64" ht="12.75">
      <c r="A226" s="85" t="s">
        <v>197</v>
      </c>
      <c r="B226" s="85"/>
      <c r="C226" s="85" t="s">
        <v>347</v>
      </c>
      <c r="D226" s="185" t="s">
        <v>571</v>
      </c>
      <c r="E226" s="186"/>
      <c r="F226" s="85" t="s">
        <v>608</v>
      </c>
      <c r="G226" s="89">
        <v>125</v>
      </c>
      <c r="H226" s="102"/>
      <c r="I226" s="89">
        <f>G226*AO226</f>
        <v>0</v>
      </c>
      <c r="J226" s="89">
        <f>G226*AP226</f>
        <v>0</v>
      </c>
      <c r="K226" s="89">
        <f>G226*H226</f>
        <v>0</v>
      </c>
      <c r="L226" s="89">
        <v>0</v>
      </c>
      <c r="M226" s="89">
        <f>G226*L226</f>
        <v>0</v>
      </c>
      <c r="N226" s="80" t="s">
        <v>630</v>
      </c>
      <c r="O226" s="82"/>
      <c r="Z226" s="59">
        <f>IF(AQ226="5",BJ226,0)</f>
        <v>0</v>
      </c>
      <c r="AB226" s="59">
        <f>IF(AQ226="1",BH226,0)</f>
        <v>0</v>
      </c>
      <c r="AC226" s="59">
        <f>IF(AQ226="1",BI226,0)</f>
        <v>0</v>
      </c>
      <c r="AD226" s="59">
        <f>IF(AQ226="7",BH226,0)</f>
        <v>0</v>
      </c>
      <c r="AE226" s="59">
        <f>IF(AQ226="7",BI226,0)</f>
        <v>0</v>
      </c>
      <c r="AF226" s="59">
        <f>IF(AQ226="2",BH226,0)</f>
        <v>0</v>
      </c>
      <c r="AG226" s="59">
        <f>IF(AQ226="2",BI226,0)</f>
        <v>0</v>
      </c>
      <c r="AH226" s="59">
        <f>IF(AQ226="0",BJ226,0)</f>
        <v>0</v>
      </c>
      <c r="AI226" s="53"/>
      <c r="AJ226" s="44">
        <f>IF(AN226=0,K226,0)</f>
        <v>0</v>
      </c>
      <c r="AK226" s="44">
        <f>IF(AN226=15,K226,0)</f>
        <v>0</v>
      </c>
      <c r="AL226" s="44">
        <f>IF(AN226=21,K226,0)</f>
        <v>0</v>
      </c>
      <c r="AN226" s="59">
        <v>15</v>
      </c>
      <c r="AO226" s="59">
        <f>H226*0.114074074074074</f>
        <v>0</v>
      </c>
      <c r="AP226" s="59">
        <f>H226*(1-0.114074074074074)</f>
        <v>0</v>
      </c>
      <c r="AQ226" s="60" t="s">
        <v>80</v>
      </c>
      <c r="AV226" s="59">
        <f>AW226+AX226</f>
        <v>0</v>
      </c>
      <c r="AW226" s="59">
        <f>G226*AO226</f>
        <v>0</v>
      </c>
      <c r="AX226" s="59">
        <f>G226*AP226</f>
        <v>0</v>
      </c>
      <c r="AY226" s="62" t="s">
        <v>654</v>
      </c>
      <c r="AZ226" s="62" t="s">
        <v>668</v>
      </c>
      <c r="BA226" s="53" t="s">
        <v>670</v>
      </c>
      <c r="BC226" s="59">
        <f>AW226+AX226</f>
        <v>0</v>
      </c>
      <c r="BD226" s="59">
        <f>H226/(100-BE226)*100</f>
        <v>0</v>
      </c>
      <c r="BE226" s="59">
        <v>0</v>
      </c>
      <c r="BF226" s="59">
        <f>M226</f>
        <v>0</v>
      </c>
      <c r="BH226" s="44">
        <f>G226*AO226</f>
        <v>0</v>
      </c>
      <c r="BI226" s="44">
        <f>G226*AP226</f>
        <v>0</v>
      </c>
      <c r="BJ226" s="44">
        <f>G226*H226</f>
        <v>0</v>
      </c>
      <c r="BK226" s="44" t="s">
        <v>675</v>
      </c>
      <c r="BL226" s="59">
        <v>784</v>
      </c>
    </row>
    <row r="227" spans="1:64" ht="12.75">
      <c r="A227" s="85" t="s">
        <v>198</v>
      </c>
      <c r="B227" s="85"/>
      <c r="C227" s="85" t="s">
        <v>348</v>
      </c>
      <c r="D227" s="185" t="s">
        <v>572</v>
      </c>
      <c r="E227" s="186"/>
      <c r="F227" s="85" t="s">
        <v>607</v>
      </c>
      <c r="G227" s="89">
        <v>143.938</v>
      </c>
      <c r="H227" s="102"/>
      <c r="I227" s="89">
        <f>G227*AO227</f>
        <v>0</v>
      </c>
      <c r="J227" s="89">
        <f>G227*AP227</f>
        <v>0</v>
      </c>
      <c r="K227" s="89">
        <f>G227*H227</f>
        <v>0</v>
      </c>
      <c r="L227" s="89">
        <v>0</v>
      </c>
      <c r="M227" s="89">
        <f>G227*L227</f>
        <v>0</v>
      </c>
      <c r="N227" s="80" t="s">
        <v>630</v>
      </c>
      <c r="O227" s="82"/>
      <c r="Z227" s="59">
        <f>IF(AQ227="5",BJ227,0)</f>
        <v>0</v>
      </c>
      <c r="AB227" s="59">
        <f>IF(AQ227="1",BH227,0)</f>
        <v>0</v>
      </c>
      <c r="AC227" s="59">
        <f>IF(AQ227="1",BI227,0)</f>
        <v>0</v>
      </c>
      <c r="AD227" s="59">
        <f>IF(AQ227="7",BH227,0)</f>
        <v>0</v>
      </c>
      <c r="AE227" s="59">
        <f>IF(AQ227="7",BI227,0)</f>
        <v>0</v>
      </c>
      <c r="AF227" s="59">
        <f>IF(AQ227="2",BH227,0)</f>
        <v>0</v>
      </c>
      <c r="AG227" s="59">
        <f>IF(AQ227="2",BI227,0)</f>
        <v>0</v>
      </c>
      <c r="AH227" s="59">
        <f>IF(AQ227="0",BJ227,0)</f>
        <v>0</v>
      </c>
      <c r="AI227" s="53"/>
      <c r="AJ227" s="44">
        <f>IF(AN227=0,K227,0)</f>
        <v>0</v>
      </c>
      <c r="AK227" s="44">
        <f>IF(AN227=15,K227,0)</f>
        <v>0</v>
      </c>
      <c r="AL227" s="44">
        <f>IF(AN227=21,K227,0)</f>
        <v>0</v>
      </c>
      <c r="AN227" s="59">
        <v>15</v>
      </c>
      <c r="AO227" s="59">
        <f>H227*0.00257732161818081</f>
        <v>0</v>
      </c>
      <c r="AP227" s="59">
        <f>H227*(1-0.00257732161818081)</f>
        <v>0</v>
      </c>
      <c r="AQ227" s="60" t="s">
        <v>80</v>
      </c>
      <c r="AV227" s="59">
        <f>AW227+AX227</f>
        <v>0</v>
      </c>
      <c r="AW227" s="59">
        <f>G227*AO227</f>
        <v>0</v>
      </c>
      <c r="AX227" s="59">
        <f>G227*AP227</f>
        <v>0</v>
      </c>
      <c r="AY227" s="62" t="s">
        <v>654</v>
      </c>
      <c r="AZ227" s="62" t="s">
        <v>668</v>
      </c>
      <c r="BA227" s="53" t="s">
        <v>670</v>
      </c>
      <c r="BC227" s="59">
        <f>AW227+AX227</f>
        <v>0</v>
      </c>
      <c r="BD227" s="59">
        <f>H227/(100-BE227)*100</f>
        <v>0</v>
      </c>
      <c r="BE227" s="59">
        <v>0</v>
      </c>
      <c r="BF227" s="59">
        <f>M227</f>
        <v>0</v>
      </c>
      <c r="BH227" s="44">
        <f>G227*AO227</f>
        <v>0</v>
      </c>
      <c r="BI227" s="44">
        <f>G227*AP227</f>
        <v>0</v>
      </c>
      <c r="BJ227" s="44">
        <f>G227*H227</f>
        <v>0</v>
      </c>
      <c r="BK227" s="44" t="s">
        <v>675</v>
      </c>
      <c r="BL227" s="59">
        <v>784</v>
      </c>
    </row>
    <row r="228" spans="1:15" ht="12.75">
      <c r="A228" s="91"/>
      <c r="B228" s="92"/>
      <c r="C228" s="92"/>
      <c r="D228" s="93" t="s">
        <v>573</v>
      </c>
      <c r="E228" s="93"/>
      <c r="F228" s="92"/>
      <c r="G228" s="94">
        <v>143.938</v>
      </c>
      <c r="H228" s="92"/>
      <c r="I228" s="92"/>
      <c r="J228" s="92"/>
      <c r="K228" s="92"/>
      <c r="L228" s="92"/>
      <c r="M228" s="92"/>
      <c r="N228" s="83"/>
      <c r="O228" s="82"/>
    </row>
    <row r="229" spans="1:64" ht="12.75">
      <c r="A229" s="85" t="s">
        <v>199</v>
      </c>
      <c r="B229" s="85"/>
      <c r="C229" s="85" t="s">
        <v>349</v>
      </c>
      <c r="D229" s="185" t="s">
        <v>574</v>
      </c>
      <c r="E229" s="186"/>
      <c r="F229" s="85" t="s">
        <v>607</v>
      </c>
      <c r="G229" s="89">
        <v>143.938</v>
      </c>
      <c r="H229" s="102"/>
      <c r="I229" s="89">
        <f>G229*AO229</f>
        <v>0</v>
      </c>
      <c r="J229" s="89">
        <f>G229*AP229</f>
        <v>0</v>
      </c>
      <c r="K229" s="89">
        <f>G229*H229</f>
        <v>0</v>
      </c>
      <c r="L229" s="89">
        <v>3E-05</v>
      </c>
      <c r="M229" s="89">
        <f>G229*L229</f>
        <v>0.00431814</v>
      </c>
      <c r="N229" s="80" t="s">
        <v>630</v>
      </c>
      <c r="O229" s="82"/>
      <c r="Z229" s="59">
        <f>IF(AQ229="5",BJ229,0)</f>
        <v>0</v>
      </c>
      <c r="AB229" s="59">
        <f>IF(AQ229="1",BH229,0)</f>
        <v>0</v>
      </c>
      <c r="AC229" s="59">
        <f>IF(AQ229="1",BI229,0)</f>
        <v>0</v>
      </c>
      <c r="AD229" s="59">
        <f>IF(AQ229="7",BH229,0)</f>
        <v>0</v>
      </c>
      <c r="AE229" s="59">
        <f>IF(AQ229="7",BI229,0)</f>
        <v>0</v>
      </c>
      <c r="AF229" s="59">
        <f>IF(AQ229="2",BH229,0)</f>
        <v>0</v>
      </c>
      <c r="AG229" s="59">
        <f>IF(AQ229="2",BI229,0)</f>
        <v>0</v>
      </c>
      <c r="AH229" s="59">
        <f>IF(AQ229="0",BJ229,0)</f>
        <v>0</v>
      </c>
      <c r="AI229" s="53"/>
      <c r="AJ229" s="44">
        <f>IF(AN229=0,K229,0)</f>
        <v>0</v>
      </c>
      <c r="AK229" s="44">
        <f>IF(AN229=15,K229,0)</f>
        <v>0</v>
      </c>
      <c r="AL229" s="44">
        <f>IF(AN229=21,K229,0)</f>
        <v>0</v>
      </c>
      <c r="AN229" s="59">
        <v>15</v>
      </c>
      <c r="AO229" s="59">
        <f>H229*0.0902703719698819</f>
        <v>0</v>
      </c>
      <c r="AP229" s="59">
        <f>H229*(1-0.0902703719698819)</f>
        <v>0</v>
      </c>
      <c r="AQ229" s="60" t="s">
        <v>80</v>
      </c>
      <c r="AV229" s="59">
        <f>AW229+AX229</f>
        <v>0</v>
      </c>
      <c r="AW229" s="59">
        <f>G229*AO229</f>
        <v>0</v>
      </c>
      <c r="AX229" s="59">
        <f>G229*AP229</f>
        <v>0</v>
      </c>
      <c r="AY229" s="62" t="s">
        <v>654</v>
      </c>
      <c r="AZ229" s="62" t="s">
        <v>668</v>
      </c>
      <c r="BA229" s="53" t="s">
        <v>670</v>
      </c>
      <c r="BC229" s="59">
        <f>AW229+AX229</f>
        <v>0</v>
      </c>
      <c r="BD229" s="59">
        <f>H229/(100-BE229)*100</f>
        <v>0</v>
      </c>
      <c r="BE229" s="59">
        <v>0</v>
      </c>
      <c r="BF229" s="59">
        <f>M229</f>
        <v>0.00431814</v>
      </c>
      <c r="BH229" s="44">
        <f>G229*AO229</f>
        <v>0</v>
      </c>
      <c r="BI229" s="44">
        <f>G229*AP229</f>
        <v>0</v>
      </c>
      <c r="BJ229" s="44">
        <f>G229*H229</f>
        <v>0</v>
      </c>
      <c r="BK229" s="44" t="s">
        <v>675</v>
      </c>
      <c r="BL229" s="59">
        <v>784</v>
      </c>
    </row>
    <row r="230" spans="1:64" ht="12.75">
      <c r="A230" s="78" t="s">
        <v>200</v>
      </c>
      <c r="B230" s="78"/>
      <c r="C230" s="78" t="s">
        <v>350</v>
      </c>
      <c r="D230" s="187" t="s">
        <v>575</v>
      </c>
      <c r="E230" s="188"/>
      <c r="F230" s="78" t="s">
        <v>607</v>
      </c>
      <c r="G230" s="79">
        <v>143.938</v>
      </c>
      <c r="H230" s="103"/>
      <c r="I230" s="79">
        <f>G230*AO230</f>
        <v>0</v>
      </c>
      <c r="J230" s="79">
        <f>G230*AP230</f>
        <v>0</v>
      </c>
      <c r="K230" s="79">
        <f>G230*H230</f>
        <v>0</v>
      </c>
      <c r="L230" s="79">
        <v>0.00014</v>
      </c>
      <c r="M230" s="79">
        <f>G230*L230</f>
        <v>0.020151319999999997</v>
      </c>
      <c r="N230" s="81" t="s">
        <v>630</v>
      </c>
      <c r="O230" s="82"/>
      <c r="Z230" s="59">
        <f>IF(AQ230="5",BJ230,0)</f>
        <v>0</v>
      </c>
      <c r="AB230" s="59">
        <f>IF(AQ230="1",BH230,0)</f>
        <v>0</v>
      </c>
      <c r="AC230" s="59">
        <f>IF(AQ230="1",BI230,0)</f>
        <v>0</v>
      </c>
      <c r="AD230" s="59">
        <f>IF(AQ230="7",BH230,0)</f>
        <v>0</v>
      </c>
      <c r="AE230" s="59">
        <f>IF(AQ230="7",BI230,0)</f>
        <v>0</v>
      </c>
      <c r="AF230" s="59">
        <f>IF(AQ230="2",BH230,0)</f>
        <v>0</v>
      </c>
      <c r="AG230" s="59">
        <f>IF(AQ230="2",BI230,0)</f>
        <v>0</v>
      </c>
      <c r="AH230" s="59">
        <f>IF(AQ230="0",BJ230,0)</f>
        <v>0</v>
      </c>
      <c r="AI230" s="53"/>
      <c r="AJ230" s="44">
        <f>IF(AN230=0,K230,0)</f>
        <v>0</v>
      </c>
      <c r="AK230" s="44">
        <f>IF(AN230=15,K230,0)</f>
        <v>0</v>
      </c>
      <c r="AL230" s="44">
        <f>IF(AN230=21,K230,0)</f>
        <v>0</v>
      </c>
      <c r="AN230" s="59">
        <v>15</v>
      </c>
      <c r="AO230" s="59">
        <f>H230*0.0737302959291191</f>
        <v>0</v>
      </c>
      <c r="AP230" s="59">
        <f>H230*(1-0.0737302959291191)</f>
        <v>0</v>
      </c>
      <c r="AQ230" s="60" t="s">
        <v>80</v>
      </c>
      <c r="AV230" s="59">
        <f>AW230+AX230</f>
        <v>0</v>
      </c>
      <c r="AW230" s="59">
        <f>G230*AO230</f>
        <v>0</v>
      </c>
      <c r="AX230" s="59">
        <f>G230*AP230</f>
        <v>0</v>
      </c>
      <c r="AY230" s="62" t="s">
        <v>654</v>
      </c>
      <c r="AZ230" s="62" t="s">
        <v>668</v>
      </c>
      <c r="BA230" s="53" t="s">
        <v>670</v>
      </c>
      <c r="BC230" s="59">
        <f>AW230+AX230</f>
        <v>0</v>
      </c>
      <c r="BD230" s="59">
        <f>H230/(100-BE230)*100</f>
        <v>0</v>
      </c>
      <c r="BE230" s="59">
        <v>0</v>
      </c>
      <c r="BF230" s="59">
        <f>M230</f>
        <v>0.020151319999999997</v>
      </c>
      <c r="BH230" s="44">
        <f>G230*AO230</f>
        <v>0</v>
      </c>
      <c r="BI230" s="44">
        <f>G230*AP230</f>
        <v>0</v>
      </c>
      <c r="BJ230" s="44">
        <f>G230*H230</f>
        <v>0</v>
      </c>
      <c r="BK230" s="44" t="s">
        <v>675</v>
      </c>
      <c r="BL230" s="59">
        <v>784</v>
      </c>
    </row>
    <row r="231" spans="1:47" ht="12.75">
      <c r="A231" s="67"/>
      <c r="B231" s="68"/>
      <c r="C231" s="68" t="s">
        <v>163</v>
      </c>
      <c r="D231" s="182" t="s">
        <v>576</v>
      </c>
      <c r="E231" s="183"/>
      <c r="F231" s="69" t="s">
        <v>73</v>
      </c>
      <c r="G231" s="69" t="s">
        <v>73</v>
      </c>
      <c r="H231" s="69" t="s">
        <v>73</v>
      </c>
      <c r="I231" s="70">
        <f>SUM(I232:I232)</f>
        <v>0</v>
      </c>
      <c r="J231" s="70">
        <f>SUM(J232:J232)</f>
        <v>0</v>
      </c>
      <c r="K231" s="70">
        <f>SUM(K232:K232)</f>
        <v>0</v>
      </c>
      <c r="L231" s="71"/>
      <c r="M231" s="70">
        <f>SUM(M232:M232)</f>
        <v>0</v>
      </c>
      <c r="N231" s="72"/>
      <c r="O231" s="18"/>
      <c r="AI231" s="53"/>
      <c r="AS231" s="65">
        <f>SUM(AJ232:AJ232)</f>
        <v>0</v>
      </c>
      <c r="AT231" s="65">
        <f>SUM(AK232:AK232)</f>
        <v>0</v>
      </c>
      <c r="AU231" s="65">
        <f>SUM(AL232:AL232)</f>
        <v>0</v>
      </c>
    </row>
    <row r="232" spans="1:64" ht="12.75">
      <c r="A232" s="73" t="s">
        <v>201</v>
      </c>
      <c r="B232" s="17"/>
      <c r="C232" s="17" t="s">
        <v>351</v>
      </c>
      <c r="D232" s="123" t="s">
        <v>577</v>
      </c>
      <c r="E232" s="184"/>
      <c r="F232" s="17" t="s">
        <v>614</v>
      </c>
      <c r="G232" s="59">
        <v>2.5</v>
      </c>
      <c r="H232" s="101"/>
      <c r="I232" s="59">
        <f>G232*AO232</f>
        <v>0</v>
      </c>
      <c r="J232" s="59">
        <f>G232*AP232</f>
        <v>0</v>
      </c>
      <c r="K232" s="59">
        <f>G232*H232</f>
        <v>0</v>
      </c>
      <c r="L232" s="59">
        <v>0</v>
      </c>
      <c r="M232" s="59">
        <f>G232*L232</f>
        <v>0</v>
      </c>
      <c r="N232" s="74" t="s">
        <v>630</v>
      </c>
      <c r="O232" s="18"/>
      <c r="Z232" s="59">
        <f>IF(AQ232="5",BJ232,0)</f>
        <v>0</v>
      </c>
      <c r="AB232" s="59">
        <f>IF(AQ232="1",BH232,0)</f>
        <v>0</v>
      </c>
      <c r="AC232" s="59">
        <f>IF(AQ232="1",BI232,0)</f>
        <v>0</v>
      </c>
      <c r="AD232" s="59">
        <f>IF(AQ232="7",BH232,0)</f>
        <v>0</v>
      </c>
      <c r="AE232" s="59">
        <f>IF(AQ232="7",BI232,0)</f>
        <v>0</v>
      </c>
      <c r="AF232" s="59">
        <f>IF(AQ232="2",BH232,0)</f>
        <v>0</v>
      </c>
      <c r="AG232" s="59">
        <f>IF(AQ232="2",BI232,0)</f>
        <v>0</v>
      </c>
      <c r="AH232" s="59">
        <f>IF(AQ232="0",BJ232,0)</f>
        <v>0</v>
      </c>
      <c r="AI232" s="53"/>
      <c r="AJ232" s="44">
        <f>IF(AN232=0,K232,0)</f>
        <v>0</v>
      </c>
      <c r="AK232" s="44">
        <f>IF(AN232=15,K232,0)</f>
        <v>0</v>
      </c>
      <c r="AL232" s="44">
        <f>IF(AN232=21,K232,0)</f>
        <v>0</v>
      </c>
      <c r="AN232" s="59">
        <v>15</v>
      </c>
      <c r="AO232" s="59">
        <f>H232*0</f>
        <v>0</v>
      </c>
      <c r="AP232" s="59">
        <f>H232*(1-0)</f>
        <v>0</v>
      </c>
      <c r="AQ232" s="60" t="s">
        <v>74</v>
      </c>
      <c r="AV232" s="59">
        <f>AW232+AX232</f>
        <v>0</v>
      </c>
      <c r="AW232" s="59">
        <f>G232*AO232</f>
        <v>0</v>
      </c>
      <c r="AX232" s="59">
        <f>G232*AP232</f>
        <v>0</v>
      </c>
      <c r="AY232" s="62" t="s">
        <v>655</v>
      </c>
      <c r="AZ232" s="62" t="s">
        <v>669</v>
      </c>
      <c r="BA232" s="53" t="s">
        <v>670</v>
      </c>
      <c r="BC232" s="59">
        <f>AW232+AX232</f>
        <v>0</v>
      </c>
      <c r="BD232" s="59">
        <f>H232/(100-BE232)*100</f>
        <v>0</v>
      </c>
      <c r="BE232" s="59">
        <v>0</v>
      </c>
      <c r="BF232" s="59">
        <f>M232</f>
        <v>0</v>
      </c>
      <c r="BH232" s="44">
        <f>G232*AO232</f>
        <v>0</v>
      </c>
      <c r="BI232" s="44">
        <f>G232*AP232</f>
        <v>0</v>
      </c>
      <c r="BJ232" s="44">
        <f>G232*H232</f>
        <v>0</v>
      </c>
      <c r="BK232" s="44" t="s">
        <v>675</v>
      </c>
      <c r="BL232" s="59">
        <v>90</v>
      </c>
    </row>
    <row r="233" spans="1:47" ht="12.75">
      <c r="A233" s="96"/>
      <c r="B233" s="97"/>
      <c r="C233" s="97" t="s">
        <v>167</v>
      </c>
      <c r="D233" s="189" t="s">
        <v>578</v>
      </c>
      <c r="E233" s="190"/>
      <c r="F233" s="96" t="s">
        <v>73</v>
      </c>
      <c r="G233" s="96" t="s">
        <v>73</v>
      </c>
      <c r="H233" s="96" t="s">
        <v>73</v>
      </c>
      <c r="I233" s="98">
        <f>SUM(I234:I234)</f>
        <v>0</v>
      </c>
      <c r="J233" s="98">
        <f>SUM(J234:J234)</f>
        <v>0</v>
      </c>
      <c r="K233" s="98">
        <f>SUM(K234:K234)</f>
        <v>0</v>
      </c>
      <c r="L233" s="99"/>
      <c r="M233" s="98">
        <f>SUM(M234:M234)</f>
        <v>0.049375</v>
      </c>
      <c r="N233" s="95"/>
      <c r="O233" s="82"/>
      <c r="AI233" s="53"/>
      <c r="AS233" s="65">
        <f>SUM(AJ234:AJ234)</f>
        <v>0</v>
      </c>
      <c r="AT233" s="65">
        <f>SUM(AK234:AK234)</f>
        <v>0</v>
      </c>
      <c r="AU233" s="65">
        <f>SUM(AL234:AL234)</f>
        <v>0</v>
      </c>
    </row>
    <row r="234" spans="1:64" ht="12.75">
      <c r="A234" s="85" t="s">
        <v>202</v>
      </c>
      <c r="B234" s="85"/>
      <c r="C234" s="85" t="s">
        <v>352</v>
      </c>
      <c r="D234" s="185" t="s">
        <v>579</v>
      </c>
      <c r="E234" s="186"/>
      <c r="F234" s="85" t="s">
        <v>607</v>
      </c>
      <c r="G234" s="89">
        <v>31.25</v>
      </c>
      <c r="H234" s="102"/>
      <c r="I234" s="89">
        <f>G234*AO234</f>
        <v>0</v>
      </c>
      <c r="J234" s="89">
        <f>G234*AP234</f>
        <v>0</v>
      </c>
      <c r="K234" s="89">
        <f>G234*H234</f>
        <v>0</v>
      </c>
      <c r="L234" s="89">
        <v>0.00158</v>
      </c>
      <c r="M234" s="89">
        <f>G234*L234</f>
        <v>0.049375</v>
      </c>
      <c r="N234" s="80" t="s">
        <v>630</v>
      </c>
      <c r="O234" s="82"/>
      <c r="Z234" s="59">
        <f>IF(AQ234="5",BJ234,0)</f>
        <v>0</v>
      </c>
      <c r="AB234" s="59">
        <f>IF(AQ234="1",BH234,0)</f>
        <v>0</v>
      </c>
      <c r="AC234" s="59">
        <f>IF(AQ234="1",BI234,0)</f>
        <v>0</v>
      </c>
      <c r="AD234" s="59">
        <f>IF(AQ234="7",BH234,0)</f>
        <v>0</v>
      </c>
      <c r="AE234" s="59">
        <f>IF(AQ234="7",BI234,0)</f>
        <v>0</v>
      </c>
      <c r="AF234" s="59">
        <f>IF(AQ234="2",BH234,0)</f>
        <v>0</v>
      </c>
      <c r="AG234" s="59">
        <f>IF(AQ234="2",BI234,0)</f>
        <v>0</v>
      </c>
      <c r="AH234" s="59">
        <f>IF(AQ234="0",BJ234,0)</f>
        <v>0</v>
      </c>
      <c r="AI234" s="53"/>
      <c r="AJ234" s="44">
        <f>IF(AN234=0,K234,0)</f>
        <v>0</v>
      </c>
      <c r="AK234" s="44">
        <f>IF(AN234=15,K234,0)</f>
        <v>0</v>
      </c>
      <c r="AL234" s="44">
        <f>IF(AN234=21,K234,0)</f>
        <v>0</v>
      </c>
      <c r="AN234" s="59">
        <v>15</v>
      </c>
      <c r="AO234" s="59">
        <f>H234*0.348242839513479</f>
        <v>0</v>
      </c>
      <c r="AP234" s="59">
        <f>H234*(1-0.348242839513479)</f>
        <v>0</v>
      </c>
      <c r="AQ234" s="60" t="s">
        <v>74</v>
      </c>
      <c r="AV234" s="59">
        <f>AW234+AX234</f>
        <v>0</v>
      </c>
      <c r="AW234" s="59">
        <f>G234*AO234</f>
        <v>0</v>
      </c>
      <c r="AX234" s="59">
        <f>G234*AP234</f>
        <v>0</v>
      </c>
      <c r="AY234" s="62" t="s">
        <v>656</v>
      </c>
      <c r="AZ234" s="62" t="s">
        <v>669</v>
      </c>
      <c r="BA234" s="53" t="s">
        <v>670</v>
      </c>
      <c r="BC234" s="59">
        <f>AW234+AX234</f>
        <v>0</v>
      </c>
      <c r="BD234" s="59">
        <f>H234/(100-BE234)*100</f>
        <v>0</v>
      </c>
      <c r="BE234" s="59">
        <v>0</v>
      </c>
      <c r="BF234" s="59">
        <f>M234</f>
        <v>0.049375</v>
      </c>
      <c r="BH234" s="44">
        <f>G234*AO234</f>
        <v>0</v>
      </c>
      <c r="BI234" s="44">
        <f>G234*AP234</f>
        <v>0</v>
      </c>
      <c r="BJ234" s="44">
        <f>G234*H234</f>
        <v>0</v>
      </c>
      <c r="BK234" s="44" t="s">
        <v>675</v>
      </c>
      <c r="BL234" s="59">
        <v>94</v>
      </c>
    </row>
    <row r="235" spans="1:47" ht="12.75">
      <c r="A235" s="96"/>
      <c r="B235" s="97"/>
      <c r="C235" s="97" t="s">
        <v>168</v>
      </c>
      <c r="D235" s="189" t="s">
        <v>580</v>
      </c>
      <c r="E235" s="190"/>
      <c r="F235" s="96" t="s">
        <v>73</v>
      </c>
      <c r="G235" s="96" t="s">
        <v>73</v>
      </c>
      <c r="H235" s="96" t="s">
        <v>73</v>
      </c>
      <c r="I235" s="98">
        <f>SUM(I236:I236)</f>
        <v>0</v>
      </c>
      <c r="J235" s="98">
        <f>SUM(J236:J236)</f>
        <v>0</v>
      </c>
      <c r="K235" s="98">
        <f>SUM(K236:K236)</f>
        <v>0</v>
      </c>
      <c r="L235" s="99"/>
      <c r="M235" s="98">
        <f>SUM(M236:M236)</f>
        <v>0.00125</v>
      </c>
      <c r="N235" s="95"/>
      <c r="O235" s="82"/>
      <c r="AI235" s="53"/>
      <c r="AS235" s="65">
        <f>SUM(AJ236:AJ236)</f>
        <v>0</v>
      </c>
      <c r="AT235" s="65">
        <f>SUM(AK236:AK236)</f>
        <v>0</v>
      </c>
      <c r="AU235" s="65">
        <f>SUM(AL236:AL236)</f>
        <v>0</v>
      </c>
    </row>
    <row r="236" spans="1:64" ht="12.75">
      <c r="A236" s="85" t="s">
        <v>203</v>
      </c>
      <c r="B236" s="85"/>
      <c r="C236" s="85" t="s">
        <v>353</v>
      </c>
      <c r="D236" s="185" t="s">
        <v>581</v>
      </c>
      <c r="E236" s="186"/>
      <c r="F236" s="85" t="s">
        <v>607</v>
      </c>
      <c r="G236" s="89">
        <v>31.25</v>
      </c>
      <c r="H236" s="102"/>
      <c r="I236" s="89">
        <f>G236*AO236</f>
        <v>0</v>
      </c>
      <c r="J236" s="89">
        <f>G236*AP236</f>
        <v>0</v>
      </c>
      <c r="K236" s="89">
        <f>G236*H236</f>
        <v>0</v>
      </c>
      <c r="L236" s="89">
        <v>4E-05</v>
      </c>
      <c r="M236" s="89">
        <f>G236*L236</f>
        <v>0.00125</v>
      </c>
      <c r="N236" s="80" t="s">
        <v>630</v>
      </c>
      <c r="O236" s="82"/>
      <c r="Z236" s="59">
        <f>IF(AQ236="5",BJ236,0)</f>
        <v>0</v>
      </c>
      <c r="AB236" s="59">
        <f>IF(AQ236="1",BH236,0)</f>
        <v>0</v>
      </c>
      <c r="AC236" s="59">
        <f>IF(AQ236="1",BI236,0)</f>
        <v>0</v>
      </c>
      <c r="AD236" s="59">
        <f>IF(AQ236="7",BH236,0)</f>
        <v>0</v>
      </c>
      <c r="AE236" s="59">
        <f>IF(AQ236="7",BI236,0)</f>
        <v>0</v>
      </c>
      <c r="AF236" s="59">
        <f>IF(AQ236="2",BH236,0)</f>
        <v>0</v>
      </c>
      <c r="AG236" s="59">
        <f>IF(AQ236="2",BI236,0)</f>
        <v>0</v>
      </c>
      <c r="AH236" s="59">
        <f>IF(AQ236="0",BJ236,0)</f>
        <v>0</v>
      </c>
      <c r="AI236" s="53"/>
      <c r="AJ236" s="44">
        <f>IF(AN236=0,K236,0)</f>
        <v>0</v>
      </c>
      <c r="AK236" s="44">
        <f>IF(AN236=15,K236,0)</f>
        <v>0</v>
      </c>
      <c r="AL236" s="44">
        <f>IF(AN236=21,K236,0)</f>
        <v>0</v>
      </c>
      <c r="AN236" s="59">
        <v>15</v>
      </c>
      <c r="AO236" s="59">
        <f>H236*0.0120784162153208</f>
        <v>0</v>
      </c>
      <c r="AP236" s="59">
        <f>H236*(1-0.0120784162153208)</f>
        <v>0</v>
      </c>
      <c r="AQ236" s="60" t="s">
        <v>74</v>
      </c>
      <c r="AV236" s="59">
        <f>AW236+AX236</f>
        <v>0</v>
      </c>
      <c r="AW236" s="59">
        <f>G236*AO236</f>
        <v>0</v>
      </c>
      <c r="AX236" s="59">
        <f>G236*AP236</f>
        <v>0</v>
      </c>
      <c r="AY236" s="62" t="s">
        <v>657</v>
      </c>
      <c r="AZ236" s="62" t="s">
        <v>669</v>
      </c>
      <c r="BA236" s="53" t="s">
        <v>670</v>
      </c>
      <c r="BC236" s="59">
        <f>AW236+AX236</f>
        <v>0</v>
      </c>
      <c r="BD236" s="59">
        <f>H236/(100-BE236)*100</f>
        <v>0</v>
      </c>
      <c r="BE236" s="59">
        <v>0</v>
      </c>
      <c r="BF236" s="59">
        <f>M236</f>
        <v>0.00125</v>
      </c>
      <c r="BH236" s="44">
        <f>G236*AO236</f>
        <v>0</v>
      </c>
      <c r="BI236" s="44">
        <f>G236*AP236</f>
        <v>0</v>
      </c>
      <c r="BJ236" s="44">
        <f>G236*H236</f>
        <v>0</v>
      </c>
      <c r="BK236" s="44" t="s">
        <v>675</v>
      </c>
      <c r="BL236" s="59">
        <v>95</v>
      </c>
    </row>
    <row r="237" spans="1:47" ht="12.75">
      <c r="A237" s="96"/>
      <c r="B237" s="97"/>
      <c r="C237" s="97" t="s">
        <v>169</v>
      </c>
      <c r="D237" s="189" t="s">
        <v>582</v>
      </c>
      <c r="E237" s="190"/>
      <c r="F237" s="96" t="s">
        <v>73</v>
      </c>
      <c r="G237" s="96" t="s">
        <v>73</v>
      </c>
      <c r="H237" s="96" t="s">
        <v>73</v>
      </c>
      <c r="I237" s="98">
        <f>SUM(I238:I244)</f>
        <v>0</v>
      </c>
      <c r="J237" s="98">
        <f>SUM(J238:J244)</f>
        <v>0</v>
      </c>
      <c r="K237" s="98">
        <f>SUM(K238:K244)</f>
        <v>0</v>
      </c>
      <c r="L237" s="99"/>
      <c r="M237" s="98">
        <f>SUM(M238:M244)</f>
        <v>3.6869096999999997</v>
      </c>
      <c r="N237" s="95"/>
      <c r="O237" s="82"/>
      <c r="AI237" s="53"/>
      <c r="AS237" s="65">
        <f>SUM(AJ238:AJ244)</f>
        <v>0</v>
      </c>
      <c r="AT237" s="65">
        <f>SUM(AK238:AK244)</f>
        <v>0</v>
      </c>
      <c r="AU237" s="65">
        <f>SUM(AL238:AL244)</f>
        <v>0</v>
      </c>
    </row>
    <row r="238" spans="1:64" ht="12.75">
      <c r="A238" s="85" t="s">
        <v>204</v>
      </c>
      <c r="B238" s="85"/>
      <c r="C238" s="85" t="s">
        <v>354</v>
      </c>
      <c r="D238" s="185" t="s">
        <v>583</v>
      </c>
      <c r="E238" s="186"/>
      <c r="F238" s="85" t="s">
        <v>609</v>
      </c>
      <c r="G238" s="89">
        <v>4</v>
      </c>
      <c r="H238" s="102"/>
      <c r="I238" s="89">
        <f>G238*AO238</f>
        <v>0</v>
      </c>
      <c r="J238" s="89">
        <f>G238*AP238</f>
        <v>0</v>
      </c>
      <c r="K238" s="89">
        <f>G238*H238</f>
        <v>0</v>
      </c>
      <c r="L238" s="89">
        <v>0</v>
      </c>
      <c r="M238" s="89">
        <f>G238*L238</f>
        <v>0</v>
      </c>
      <c r="N238" s="80" t="s">
        <v>630</v>
      </c>
      <c r="O238" s="82"/>
      <c r="Z238" s="59">
        <f>IF(AQ238="5",BJ238,0)</f>
        <v>0</v>
      </c>
      <c r="AB238" s="59">
        <f>IF(AQ238="1",BH238,0)</f>
        <v>0</v>
      </c>
      <c r="AC238" s="59">
        <f>IF(AQ238="1",BI238,0)</f>
        <v>0</v>
      </c>
      <c r="AD238" s="59">
        <f>IF(AQ238="7",BH238,0)</f>
        <v>0</v>
      </c>
      <c r="AE238" s="59">
        <f>IF(AQ238="7",BI238,0)</f>
        <v>0</v>
      </c>
      <c r="AF238" s="59">
        <f>IF(AQ238="2",BH238,0)</f>
        <v>0</v>
      </c>
      <c r="AG238" s="59">
        <f>IF(AQ238="2",BI238,0)</f>
        <v>0</v>
      </c>
      <c r="AH238" s="59">
        <f>IF(AQ238="0",BJ238,0)</f>
        <v>0</v>
      </c>
      <c r="AI238" s="53"/>
      <c r="AJ238" s="44">
        <f>IF(AN238=0,K238,0)</f>
        <v>0</v>
      </c>
      <c r="AK238" s="44">
        <f>IF(AN238=15,K238,0)</f>
        <v>0</v>
      </c>
      <c r="AL238" s="44">
        <f>IF(AN238=21,K238,0)</f>
        <v>0</v>
      </c>
      <c r="AN238" s="59">
        <v>15</v>
      </c>
      <c r="AO238" s="59">
        <f>H238*0</f>
        <v>0</v>
      </c>
      <c r="AP238" s="59">
        <f>H238*(1-0)</f>
        <v>0</v>
      </c>
      <c r="AQ238" s="60" t="s">
        <v>74</v>
      </c>
      <c r="AV238" s="59">
        <f>AW238+AX238</f>
        <v>0</v>
      </c>
      <c r="AW238" s="59">
        <f>G238*AO238</f>
        <v>0</v>
      </c>
      <c r="AX238" s="59">
        <f>G238*AP238</f>
        <v>0</v>
      </c>
      <c r="AY238" s="62" t="s">
        <v>658</v>
      </c>
      <c r="AZ238" s="62" t="s">
        <v>669</v>
      </c>
      <c r="BA238" s="53" t="s">
        <v>670</v>
      </c>
      <c r="BC238" s="59">
        <f>AW238+AX238</f>
        <v>0</v>
      </c>
      <c r="BD238" s="59">
        <f>H238/(100-BE238)*100</f>
        <v>0</v>
      </c>
      <c r="BE238" s="59">
        <v>0</v>
      </c>
      <c r="BF238" s="59">
        <f>M238</f>
        <v>0</v>
      </c>
      <c r="BH238" s="44">
        <f>G238*AO238</f>
        <v>0</v>
      </c>
      <c r="BI238" s="44">
        <f>G238*AP238</f>
        <v>0</v>
      </c>
      <c r="BJ238" s="44">
        <f>G238*H238</f>
        <v>0</v>
      </c>
      <c r="BK238" s="44" t="s">
        <v>675</v>
      </c>
      <c r="BL238" s="59">
        <v>96</v>
      </c>
    </row>
    <row r="239" spans="1:64" ht="12.75">
      <c r="A239" s="78" t="s">
        <v>205</v>
      </c>
      <c r="B239" s="78"/>
      <c r="C239" s="78" t="s">
        <v>355</v>
      </c>
      <c r="D239" s="187" t="s">
        <v>584</v>
      </c>
      <c r="E239" s="188"/>
      <c r="F239" s="78" t="s">
        <v>607</v>
      </c>
      <c r="G239" s="79">
        <v>3.5</v>
      </c>
      <c r="H239" s="103"/>
      <c r="I239" s="79">
        <f>G239*AO239</f>
        <v>0</v>
      </c>
      <c r="J239" s="79">
        <f>G239*AP239</f>
        <v>0</v>
      </c>
      <c r="K239" s="79">
        <f>G239*H239</f>
        <v>0</v>
      </c>
      <c r="L239" s="79">
        <v>0.09</v>
      </c>
      <c r="M239" s="79">
        <f>G239*L239</f>
        <v>0.315</v>
      </c>
      <c r="N239" s="81" t="s">
        <v>630</v>
      </c>
      <c r="O239" s="82"/>
      <c r="Z239" s="59">
        <f>IF(AQ239="5",BJ239,0)</f>
        <v>0</v>
      </c>
      <c r="AB239" s="59">
        <f>IF(AQ239="1",BH239,0)</f>
        <v>0</v>
      </c>
      <c r="AC239" s="59">
        <f>IF(AQ239="1",BI239,0)</f>
        <v>0</v>
      </c>
      <c r="AD239" s="59">
        <f>IF(AQ239="7",BH239,0)</f>
        <v>0</v>
      </c>
      <c r="AE239" s="59">
        <f>IF(AQ239="7",BI239,0)</f>
        <v>0</v>
      </c>
      <c r="AF239" s="59">
        <f>IF(AQ239="2",BH239,0)</f>
        <v>0</v>
      </c>
      <c r="AG239" s="59">
        <f>IF(AQ239="2",BI239,0)</f>
        <v>0</v>
      </c>
      <c r="AH239" s="59">
        <f>IF(AQ239="0",BJ239,0)</f>
        <v>0</v>
      </c>
      <c r="AI239" s="53"/>
      <c r="AJ239" s="44">
        <f>IF(AN239=0,K239,0)</f>
        <v>0</v>
      </c>
      <c r="AK239" s="44">
        <f>IF(AN239=15,K239,0)</f>
        <v>0</v>
      </c>
      <c r="AL239" s="44">
        <f>IF(AN239=21,K239,0)</f>
        <v>0</v>
      </c>
      <c r="AN239" s="59">
        <v>15</v>
      </c>
      <c r="AO239" s="59">
        <f>H239*0</f>
        <v>0</v>
      </c>
      <c r="AP239" s="59">
        <f>H239*(1-0)</f>
        <v>0</v>
      </c>
      <c r="AQ239" s="60" t="s">
        <v>74</v>
      </c>
      <c r="AV239" s="59">
        <f>AW239+AX239</f>
        <v>0</v>
      </c>
      <c r="AW239" s="59">
        <f>G239*AO239</f>
        <v>0</v>
      </c>
      <c r="AX239" s="59">
        <f>G239*AP239</f>
        <v>0</v>
      </c>
      <c r="AY239" s="62" t="s">
        <v>658</v>
      </c>
      <c r="AZ239" s="62" t="s">
        <v>669</v>
      </c>
      <c r="BA239" s="53" t="s">
        <v>670</v>
      </c>
      <c r="BC239" s="59">
        <f>AW239+AX239</f>
        <v>0</v>
      </c>
      <c r="BD239" s="59">
        <f>H239/(100-BE239)*100</f>
        <v>0</v>
      </c>
      <c r="BE239" s="59">
        <v>0</v>
      </c>
      <c r="BF239" s="59">
        <f>M239</f>
        <v>0.315</v>
      </c>
      <c r="BH239" s="44">
        <f>G239*AO239</f>
        <v>0</v>
      </c>
      <c r="BI239" s="44">
        <f>G239*AP239</f>
        <v>0</v>
      </c>
      <c r="BJ239" s="44">
        <f>G239*H239</f>
        <v>0</v>
      </c>
      <c r="BK239" s="44" t="s">
        <v>675</v>
      </c>
      <c r="BL239" s="59">
        <v>96</v>
      </c>
    </row>
    <row r="240" spans="1:64" ht="12.75">
      <c r="A240" s="73" t="s">
        <v>206</v>
      </c>
      <c r="B240" s="17"/>
      <c r="C240" s="17" t="s">
        <v>356</v>
      </c>
      <c r="D240" s="123" t="s">
        <v>585</v>
      </c>
      <c r="E240" s="184"/>
      <c r="F240" s="17" t="s">
        <v>607</v>
      </c>
      <c r="G240" s="59">
        <v>7.5</v>
      </c>
      <c r="H240" s="101"/>
      <c r="I240" s="59">
        <f>G240*AO240</f>
        <v>0</v>
      </c>
      <c r="J240" s="59">
        <f>G240*AP240</f>
        <v>0</v>
      </c>
      <c r="K240" s="59">
        <f>G240*H240</f>
        <v>0</v>
      </c>
      <c r="L240" s="59">
        <v>0.068</v>
      </c>
      <c r="M240" s="59">
        <f>G240*L240</f>
        <v>0.51</v>
      </c>
      <c r="N240" s="74" t="s">
        <v>630</v>
      </c>
      <c r="O240" s="18"/>
      <c r="Z240" s="59">
        <f>IF(AQ240="5",BJ240,0)</f>
        <v>0</v>
      </c>
      <c r="AB240" s="59">
        <f>IF(AQ240="1",BH240,0)</f>
        <v>0</v>
      </c>
      <c r="AC240" s="59">
        <f>IF(AQ240="1",BI240,0)</f>
        <v>0</v>
      </c>
      <c r="AD240" s="59">
        <f>IF(AQ240="7",BH240,0)</f>
        <v>0</v>
      </c>
      <c r="AE240" s="59">
        <f>IF(AQ240="7",BI240,0)</f>
        <v>0</v>
      </c>
      <c r="AF240" s="59">
        <f>IF(AQ240="2",BH240,0)</f>
        <v>0</v>
      </c>
      <c r="AG240" s="59">
        <f>IF(AQ240="2",BI240,0)</f>
        <v>0</v>
      </c>
      <c r="AH240" s="59">
        <f>IF(AQ240="0",BJ240,0)</f>
        <v>0</v>
      </c>
      <c r="AI240" s="53"/>
      <c r="AJ240" s="44">
        <f>IF(AN240=0,K240,0)</f>
        <v>0</v>
      </c>
      <c r="AK240" s="44">
        <f>IF(AN240=15,K240,0)</f>
        <v>0</v>
      </c>
      <c r="AL240" s="44">
        <f>IF(AN240=21,K240,0)</f>
        <v>0</v>
      </c>
      <c r="AN240" s="59">
        <v>15</v>
      </c>
      <c r="AO240" s="59">
        <f>H240*0</f>
        <v>0</v>
      </c>
      <c r="AP240" s="59">
        <f>H240*(1-0)</f>
        <v>0</v>
      </c>
      <c r="AQ240" s="60" t="s">
        <v>74</v>
      </c>
      <c r="AV240" s="59">
        <f>AW240+AX240</f>
        <v>0</v>
      </c>
      <c r="AW240" s="59">
        <f>G240*AO240</f>
        <v>0</v>
      </c>
      <c r="AX240" s="59">
        <f>G240*AP240</f>
        <v>0</v>
      </c>
      <c r="AY240" s="62" t="s">
        <v>658</v>
      </c>
      <c r="AZ240" s="62" t="s">
        <v>669</v>
      </c>
      <c r="BA240" s="53" t="s">
        <v>670</v>
      </c>
      <c r="BC240" s="59">
        <f>AW240+AX240</f>
        <v>0</v>
      </c>
      <c r="BD240" s="59">
        <f>H240/(100-BE240)*100</f>
        <v>0</v>
      </c>
      <c r="BE240" s="59">
        <v>0</v>
      </c>
      <c r="BF240" s="59">
        <f>M240</f>
        <v>0.51</v>
      </c>
      <c r="BH240" s="44">
        <f>G240*AO240</f>
        <v>0</v>
      </c>
      <c r="BI240" s="44">
        <f>G240*AP240</f>
        <v>0</v>
      </c>
      <c r="BJ240" s="44">
        <f>G240*H240</f>
        <v>0</v>
      </c>
      <c r="BK240" s="44" t="s">
        <v>675</v>
      </c>
      <c r="BL240" s="59">
        <v>96</v>
      </c>
    </row>
    <row r="241" spans="1:64" ht="12.75">
      <c r="A241" s="85" t="s">
        <v>207</v>
      </c>
      <c r="B241" s="85"/>
      <c r="C241" s="85" t="s">
        <v>357</v>
      </c>
      <c r="D241" s="185" t="s">
        <v>586</v>
      </c>
      <c r="E241" s="186"/>
      <c r="F241" s="85" t="s">
        <v>607</v>
      </c>
      <c r="G241" s="89">
        <v>1.82</v>
      </c>
      <c r="H241" s="102"/>
      <c r="I241" s="89">
        <f>G241*AO241</f>
        <v>0</v>
      </c>
      <c r="J241" s="89">
        <f>G241*AP241</f>
        <v>0</v>
      </c>
      <c r="K241" s="89">
        <f>G241*H241</f>
        <v>0</v>
      </c>
      <c r="L241" s="89">
        <v>0.18467</v>
      </c>
      <c r="M241" s="89">
        <f>G241*L241</f>
        <v>0.3360994</v>
      </c>
      <c r="N241" s="80" t="s">
        <v>630</v>
      </c>
      <c r="O241" s="82"/>
      <c r="Z241" s="59">
        <f>IF(AQ241="5",BJ241,0)</f>
        <v>0</v>
      </c>
      <c r="AB241" s="59">
        <f>IF(AQ241="1",BH241,0)</f>
        <v>0</v>
      </c>
      <c r="AC241" s="59">
        <f>IF(AQ241="1",BI241,0)</f>
        <v>0</v>
      </c>
      <c r="AD241" s="59">
        <f>IF(AQ241="7",BH241,0)</f>
        <v>0</v>
      </c>
      <c r="AE241" s="59">
        <f>IF(AQ241="7",BI241,0)</f>
        <v>0</v>
      </c>
      <c r="AF241" s="59">
        <f>IF(AQ241="2",BH241,0)</f>
        <v>0</v>
      </c>
      <c r="AG241" s="59">
        <f>IF(AQ241="2",BI241,0)</f>
        <v>0</v>
      </c>
      <c r="AH241" s="59">
        <f>IF(AQ241="0",BJ241,0)</f>
        <v>0</v>
      </c>
      <c r="AI241" s="53"/>
      <c r="AJ241" s="44">
        <f>IF(AN241=0,K241,0)</f>
        <v>0</v>
      </c>
      <c r="AK241" s="44">
        <f>IF(AN241=15,K241,0)</f>
        <v>0</v>
      </c>
      <c r="AL241" s="44">
        <f>IF(AN241=21,K241,0)</f>
        <v>0</v>
      </c>
      <c r="AN241" s="59">
        <v>15</v>
      </c>
      <c r="AO241" s="59">
        <f>H241*0.13598850477559</f>
        <v>0</v>
      </c>
      <c r="AP241" s="59">
        <f>H241*(1-0.13598850477559)</f>
        <v>0</v>
      </c>
      <c r="AQ241" s="60" t="s">
        <v>74</v>
      </c>
      <c r="AV241" s="59">
        <f>AW241+AX241</f>
        <v>0</v>
      </c>
      <c r="AW241" s="59">
        <f>G241*AO241</f>
        <v>0</v>
      </c>
      <c r="AX241" s="59">
        <f>G241*AP241</f>
        <v>0</v>
      </c>
      <c r="AY241" s="62" t="s">
        <v>658</v>
      </c>
      <c r="AZ241" s="62" t="s">
        <v>669</v>
      </c>
      <c r="BA241" s="53" t="s">
        <v>670</v>
      </c>
      <c r="BC241" s="59">
        <f>AW241+AX241</f>
        <v>0</v>
      </c>
      <c r="BD241" s="59">
        <f>H241/(100-BE241)*100</f>
        <v>0</v>
      </c>
      <c r="BE241" s="59">
        <v>0</v>
      </c>
      <c r="BF241" s="59">
        <f>M241</f>
        <v>0.3360994</v>
      </c>
      <c r="BH241" s="44">
        <f>G241*AO241</f>
        <v>0</v>
      </c>
      <c r="BI241" s="44">
        <f>G241*AP241</f>
        <v>0</v>
      </c>
      <c r="BJ241" s="44">
        <f>G241*H241</f>
        <v>0</v>
      </c>
      <c r="BK241" s="44" t="s">
        <v>675</v>
      </c>
      <c r="BL241" s="59">
        <v>96</v>
      </c>
    </row>
    <row r="242" spans="1:15" ht="12.75">
      <c r="A242" s="91"/>
      <c r="B242" s="92"/>
      <c r="C242" s="92"/>
      <c r="D242" s="93" t="s">
        <v>587</v>
      </c>
      <c r="E242" s="93"/>
      <c r="F242" s="92"/>
      <c r="G242" s="94">
        <v>0</v>
      </c>
      <c r="H242" s="92"/>
      <c r="I242" s="92"/>
      <c r="J242" s="92"/>
      <c r="K242" s="92"/>
      <c r="L242" s="92"/>
      <c r="M242" s="92"/>
      <c r="N242" s="83"/>
      <c r="O242" s="82"/>
    </row>
    <row r="243" spans="1:15" ht="12.75">
      <c r="A243" s="86"/>
      <c r="B243" s="87"/>
      <c r="C243" s="87"/>
      <c r="D243" s="88" t="s">
        <v>588</v>
      </c>
      <c r="E243" s="88"/>
      <c r="F243" s="87"/>
      <c r="G243" s="90">
        <v>1.82</v>
      </c>
      <c r="H243" s="87"/>
      <c r="I243" s="87"/>
      <c r="J243" s="87"/>
      <c r="K243" s="87"/>
      <c r="L243" s="87"/>
      <c r="M243" s="87"/>
      <c r="N243" s="84"/>
      <c r="O243" s="82"/>
    </row>
    <row r="244" spans="1:64" ht="12.75">
      <c r="A244" s="73" t="s">
        <v>208</v>
      </c>
      <c r="B244" s="17"/>
      <c r="C244" s="17" t="s">
        <v>358</v>
      </c>
      <c r="D244" s="123" t="s">
        <v>589</v>
      </c>
      <c r="E244" s="184"/>
      <c r="F244" s="17" t="s">
        <v>607</v>
      </c>
      <c r="G244" s="59">
        <v>25.09</v>
      </c>
      <c r="H244" s="101"/>
      <c r="I244" s="59">
        <f>G244*AO244</f>
        <v>0</v>
      </c>
      <c r="J244" s="59">
        <f>G244*AP244</f>
        <v>0</v>
      </c>
      <c r="K244" s="59">
        <f>G244*H244</f>
        <v>0</v>
      </c>
      <c r="L244" s="59">
        <v>0.10067</v>
      </c>
      <c r="M244" s="59">
        <f>G244*L244</f>
        <v>2.5258103</v>
      </c>
      <c r="N244" s="74" t="s">
        <v>630</v>
      </c>
      <c r="O244" s="18"/>
      <c r="Z244" s="59">
        <f>IF(AQ244="5",BJ244,0)</f>
        <v>0</v>
      </c>
      <c r="AB244" s="59">
        <f>IF(AQ244="1",BH244,0)</f>
        <v>0</v>
      </c>
      <c r="AC244" s="59">
        <f>IF(AQ244="1",BI244,0)</f>
        <v>0</v>
      </c>
      <c r="AD244" s="59">
        <f>IF(AQ244="7",BH244,0)</f>
        <v>0</v>
      </c>
      <c r="AE244" s="59">
        <f>IF(AQ244="7",BI244,0)</f>
        <v>0</v>
      </c>
      <c r="AF244" s="59">
        <f>IF(AQ244="2",BH244,0)</f>
        <v>0</v>
      </c>
      <c r="AG244" s="59">
        <f>IF(AQ244="2",BI244,0)</f>
        <v>0</v>
      </c>
      <c r="AH244" s="59">
        <f>IF(AQ244="0",BJ244,0)</f>
        <v>0</v>
      </c>
      <c r="AI244" s="53"/>
      <c r="AJ244" s="44">
        <f>IF(AN244=0,K244,0)</f>
        <v>0</v>
      </c>
      <c r="AK244" s="44">
        <f>IF(AN244=15,K244,0)</f>
        <v>0</v>
      </c>
      <c r="AL244" s="44">
        <f>IF(AN244=21,K244,0)</f>
        <v>0</v>
      </c>
      <c r="AN244" s="59">
        <v>15</v>
      </c>
      <c r="AO244" s="59">
        <f>H244*0.151746418357713</f>
        <v>0</v>
      </c>
      <c r="AP244" s="59">
        <f>H244*(1-0.151746418357713)</f>
        <v>0</v>
      </c>
      <c r="AQ244" s="60" t="s">
        <v>74</v>
      </c>
      <c r="AV244" s="59">
        <f>AW244+AX244</f>
        <v>0</v>
      </c>
      <c r="AW244" s="59">
        <f>G244*AO244</f>
        <v>0</v>
      </c>
      <c r="AX244" s="59">
        <f>G244*AP244</f>
        <v>0</v>
      </c>
      <c r="AY244" s="62" t="s">
        <v>658</v>
      </c>
      <c r="AZ244" s="62" t="s">
        <v>669</v>
      </c>
      <c r="BA244" s="53" t="s">
        <v>670</v>
      </c>
      <c r="BC244" s="59">
        <f>AW244+AX244</f>
        <v>0</v>
      </c>
      <c r="BD244" s="59">
        <f>H244/(100-BE244)*100</f>
        <v>0</v>
      </c>
      <c r="BE244" s="59">
        <v>0</v>
      </c>
      <c r="BF244" s="59">
        <f>M244</f>
        <v>2.5258103</v>
      </c>
      <c r="BH244" s="44">
        <f>G244*AO244</f>
        <v>0</v>
      </c>
      <c r="BI244" s="44">
        <f>G244*AP244</f>
        <v>0</v>
      </c>
      <c r="BJ244" s="44">
        <f>G244*H244</f>
        <v>0</v>
      </c>
      <c r="BK244" s="44" t="s">
        <v>675</v>
      </c>
      <c r="BL244" s="59">
        <v>96</v>
      </c>
    </row>
    <row r="245" spans="1:47" ht="12.75">
      <c r="A245" s="96"/>
      <c r="B245" s="97"/>
      <c r="C245" s="97" t="s">
        <v>359</v>
      </c>
      <c r="D245" s="189" t="s">
        <v>590</v>
      </c>
      <c r="E245" s="190"/>
      <c r="F245" s="96" t="s">
        <v>73</v>
      </c>
      <c r="G245" s="96" t="s">
        <v>73</v>
      </c>
      <c r="H245" s="96" t="s">
        <v>73</v>
      </c>
      <c r="I245" s="98">
        <f>SUM(I246:I246)</f>
        <v>0</v>
      </c>
      <c r="J245" s="98">
        <f>SUM(J246:J246)</f>
        <v>0</v>
      </c>
      <c r="K245" s="98">
        <f>SUM(K246:K246)</f>
        <v>0</v>
      </c>
      <c r="L245" s="99"/>
      <c r="M245" s="98">
        <f>SUM(M246:M246)</f>
        <v>0</v>
      </c>
      <c r="N245" s="95"/>
      <c r="O245" s="82"/>
      <c r="AI245" s="53"/>
      <c r="AS245" s="65">
        <f>SUM(AJ246:AJ246)</f>
        <v>0</v>
      </c>
      <c r="AT245" s="65">
        <f>SUM(AK246:AK246)</f>
        <v>0</v>
      </c>
      <c r="AU245" s="65">
        <f>SUM(AL246:AL246)</f>
        <v>0</v>
      </c>
    </row>
    <row r="246" spans="1:64" ht="12.75">
      <c r="A246" s="85" t="s">
        <v>209</v>
      </c>
      <c r="B246" s="85"/>
      <c r="C246" s="85" t="s">
        <v>360</v>
      </c>
      <c r="D246" s="185" t="s">
        <v>591</v>
      </c>
      <c r="E246" s="186"/>
      <c r="F246" s="85" t="s">
        <v>610</v>
      </c>
      <c r="G246" s="89">
        <v>3.52801</v>
      </c>
      <c r="H246" s="102"/>
      <c r="I246" s="89">
        <f>G246*AO246</f>
        <v>0</v>
      </c>
      <c r="J246" s="89">
        <f>G246*AP246</f>
        <v>0</v>
      </c>
      <c r="K246" s="89">
        <f>G246*H246</f>
        <v>0</v>
      </c>
      <c r="L246" s="89">
        <v>0</v>
      </c>
      <c r="M246" s="89">
        <f>G246*L246</f>
        <v>0</v>
      </c>
      <c r="N246" s="80" t="s">
        <v>630</v>
      </c>
      <c r="O246" s="82"/>
      <c r="Z246" s="59">
        <f>IF(AQ246="5",BJ246,0)</f>
        <v>0</v>
      </c>
      <c r="AB246" s="59">
        <f>IF(AQ246="1",BH246,0)</f>
        <v>0</v>
      </c>
      <c r="AC246" s="59">
        <f>IF(AQ246="1",BI246,0)</f>
        <v>0</v>
      </c>
      <c r="AD246" s="59">
        <f>IF(AQ246="7",BH246,0)</f>
        <v>0</v>
      </c>
      <c r="AE246" s="59">
        <f>IF(AQ246="7",BI246,0)</f>
        <v>0</v>
      </c>
      <c r="AF246" s="59">
        <f>IF(AQ246="2",BH246,0)</f>
        <v>0</v>
      </c>
      <c r="AG246" s="59">
        <f>IF(AQ246="2",BI246,0)</f>
        <v>0</v>
      </c>
      <c r="AH246" s="59">
        <f>IF(AQ246="0",BJ246,0)</f>
        <v>0</v>
      </c>
      <c r="AI246" s="53"/>
      <c r="AJ246" s="44">
        <f>IF(AN246=0,K246,0)</f>
        <v>0</v>
      </c>
      <c r="AK246" s="44">
        <f>IF(AN246=15,K246,0)</f>
        <v>0</v>
      </c>
      <c r="AL246" s="44">
        <f>IF(AN246=21,K246,0)</f>
        <v>0</v>
      </c>
      <c r="AN246" s="59">
        <v>15</v>
      </c>
      <c r="AO246" s="59">
        <f>H246*0</f>
        <v>0</v>
      </c>
      <c r="AP246" s="59">
        <f>H246*(1-0)</f>
        <v>0</v>
      </c>
      <c r="AQ246" s="60" t="s">
        <v>78</v>
      </c>
      <c r="AV246" s="59">
        <f>AW246+AX246</f>
        <v>0</v>
      </c>
      <c r="AW246" s="59">
        <f>G246*AO246</f>
        <v>0</v>
      </c>
      <c r="AX246" s="59">
        <f>G246*AP246</f>
        <v>0</v>
      </c>
      <c r="AY246" s="62" t="s">
        <v>659</v>
      </c>
      <c r="AZ246" s="62" t="s">
        <v>669</v>
      </c>
      <c r="BA246" s="53" t="s">
        <v>670</v>
      </c>
      <c r="BC246" s="59">
        <f>AW246+AX246</f>
        <v>0</v>
      </c>
      <c r="BD246" s="59">
        <f>H246/(100-BE246)*100</f>
        <v>0</v>
      </c>
      <c r="BE246" s="59">
        <v>0</v>
      </c>
      <c r="BF246" s="59">
        <f>M246</f>
        <v>0</v>
      </c>
      <c r="BH246" s="44">
        <f>G246*AO246</f>
        <v>0</v>
      </c>
      <c r="BI246" s="44">
        <f>G246*AP246</f>
        <v>0</v>
      </c>
      <c r="BJ246" s="44">
        <f>G246*H246</f>
        <v>0</v>
      </c>
      <c r="BK246" s="44" t="s">
        <v>675</v>
      </c>
      <c r="BL246" s="59" t="s">
        <v>359</v>
      </c>
    </row>
    <row r="247" spans="1:47" ht="12.75">
      <c r="A247" s="96"/>
      <c r="B247" s="97"/>
      <c r="C247" s="97" t="s">
        <v>361</v>
      </c>
      <c r="D247" s="189" t="s">
        <v>592</v>
      </c>
      <c r="E247" s="190"/>
      <c r="F247" s="96" t="s">
        <v>73</v>
      </c>
      <c r="G247" s="96" t="s">
        <v>73</v>
      </c>
      <c r="H247" s="96" t="s">
        <v>73</v>
      </c>
      <c r="I247" s="98">
        <f>SUM(I248:I250)</f>
        <v>0</v>
      </c>
      <c r="J247" s="98">
        <f>SUM(J248:J250)</f>
        <v>0</v>
      </c>
      <c r="K247" s="98">
        <f>SUM(K248:K250)</f>
        <v>0</v>
      </c>
      <c r="L247" s="99"/>
      <c r="M247" s="98">
        <f>SUM(M248:M250)</f>
        <v>0</v>
      </c>
      <c r="N247" s="95"/>
      <c r="O247" s="82"/>
      <c r="AI247" s="53"/>
      <c r="AS247" s="65">
        <f>SUM(AJ248:AJ250)</f>
        <v>0</v>
      </c>
      <c r="AT247" s="65">
        <f>SUM(AK248:AK250)</f>
        <v>0</v>
      </c>
      <c r="AU247" s="65">
        <f>SUM(AL248:AL250)</f>
        <v>0</v>
      </c>
    </row>
    <row r="248" spans="1:64" ht="12.75">
      <c r="A248" s="85" t="s">
        <v>210</v>
      </c>
      <c r="B248" s="85"/>
      <c r="C248" s="85" t="s">
        <v>238</v>
      </c>
      <c r="D248" s="185" t="s">
        <v>593</v>
      </c>
      <c r="E248" s="186"/>
      <c r="F248" s="85" t="s">
        <v>613</v>
      </c>
      <c r="G248" s="89">
        <v>1</v>
      </c>
      <c r="H248" s="102"/>
      <c r="I248" s="89">
        <f>G248*AO248</f>
        <v>0</v>
      </c>
      <c r="J248" s="89">
        <f>G248*AP248</f>
        <v>0</v>
      </c>
      <c r="K248" s="89">
        <f>G248*H248</f>
        <v>0</v>
      </c>
      <c r="L248" s="89">
        <v>0</v>
      </c>
      <c r="M248" s="89">
        <f>G248*L248</f>
        <v>0</v>
      </c>
      <c r="N248" s="80" t="s">
        <v>238</v>
      </c>
      <c r="O248" s="82"/>
      <c r="Z248" s="59">
        <f>IF(AQ248="5",BJ248,0)</f>
        <v>0</v>
      </c>
      <c r="AB248" s="59">
        <f>IF(AQ248="1",BH248,0)</f>
        <v>0</v>
      </c>
      <c r="AC248" s="59">
        <f>IF(AQ248="1",BI248,0)</f>
        <v>0</v>
      </c>
      <c r="AD248" s="59">
        <f>IF(AQ248="7",BH248,0)</f>
        <v>0</v>
      </c>
      <c r="AE248" s="59">
        <f>IF(AQ248="7",BI248,0)</f>
        <v>0</v>
      </c>
      <c r="AF248" s="59">
        <f>IF(AQ248="2",BH248,0)</f>
        <v>0</v>
      </c>
      <c r="AG248" s="59">
        <f>IF(AQ248="2",BI248,0)</f>
        <v>0</v>
      </c>
      <c r="AH248" s="59">
        <f>IF(AQ248="0",BJ248,0)</f>
        <v>0</v>
      </c>
      <c r="AI248" s="53"/>
      <c r="AJ248" s="44">
        <f>IF(AN248=0,K248,0)</f>
        <v>0</v>
      </c>
      <c r="AK248" s="44">
        <f>IF(AN248=15,K248,0)</f>
        <v>0</v>
      </c>
      <c r="AL248" s="44">
        <f>IF(AN248=21,K248,0)</f>
        <v>0</v>
      </c>
      <c r="AN248" s="59">
        <v>15</v>
      </c>
      <c r="AO248" s="59">
        <f>H248*0</f>
        <v>0</v>
      </c>
      <c r="AP248" s="59">
        <f>H248*(1-0)</f>
        <v>0</v>
      </c>
      <c r="AQ248" s="60" t="s">
        <v>78</v>
      </c>
      <c r="AV248" s="59">
        <f>AW248+AX248</f>
        <v>0</v>
      </c>
      <c r="AW248" s="59">
        <f>G248*AO248</f>
        <v>0</v>
      </c>
      <c r="AX248" s="59">
        <f>G248*AP248</f>
        <v>0</v>
      </c>
      <c r="AY248" s="62" t="s">
        <v>660</v>
      </c>
      <c r="AZ248" s="62" t="s">
        <v>669</v>
      </c>
      <c r="BA248" s="53" t="s">
        <v>670</v>
      </c>
      <c r="BC248" s="59">
        <f>AW248+AX248</f>
        <v>0</v>
      </c>
      <c r="BD248" s="59">
        <f>H248/(100-BE248)*100</f>
        <v>0</v>
      </c>
      <c r="BE248" s="59">
        <v>0</v>
      </c>
      <c r="BF248" s="59">
        <f>M248</f>
        <v>0</v>
      </c>
      <c r="BH248" s="44">
        <f>G248*AO248</f>
        <v>0</v>
      </c>
      <c r="BI248" s="44">
        <f>G248*AP248</f>
        <v>0</v>
      </c>
      <c r="BJ248" s="44">
        <f>G248*H248</f>
        <v>0</v>
      </c>
      <c r="BK248" s="44" t="s">
        <v>675</v>
      </c>
      <c r="BL248" s="59" t="s">
        <v>361</v>
      </c>
    </row>
    <row r="249" spans="1:64" ht="12.75">
      <c r="A249" s="85" t="s">
        <v>211</v>
      </c>
      <c r="B249" s="85"/>
      <c r="C249" s="85" t="s">
        <v>238</v>
      </c>
      <c r="D249" s="185" t="s">
        <v>594</v>
      </c>
      <c r="E249" s="186"/>
      <c r="F249" s="85" t="s">
        <v>613</v>
      </c>
      <c r="G249" s="89">
        <v>1</v>
      </c>
      <c r="H249" s="102"/>
      <c r="I249" s="89">
        <f>G249*AO249</f>
        <v>0</v>
      </c>
      <c r="J249" s="89">
        <f>G249*AP249</f>
        <v>0</v>
      </c>
      <c r="K249" s="89">
        <f>G249*H249</f>
        <v>0</v>
      </c>
      <c r="L249" s="89">
        <v>0</v>
      </c>
      <c r="M249" s="89">
        <f>G249*L249</f>
        <v>0</v>
      </c>
      <c r="N249" s="80" t="s">
        <v>238</v>
      </c>
      <c r="O249" s="82"/>
      <c r="Z249" s="59">
        <f>IF(AQ249="5",BJ249,0)</f>
        <v>0</v>
      </c>
      <c r="AB249" s="59">
        <f>IF(AQ249="1",BH249,0)</f>
        <v>0</v>
      </c>
      <c r="AC249" s="59">
        <f>IF(AQ249="1",BI249,0)</f>
        <v>0</v>
      </c>
      <c r="AD249" s="59">
        <f>IF(AQ249="7",BH249,0)</f>
        <v>0</v>
      </c>
      <c r="AE249" s="59">
        <f>IF(AQ249="7",BI249,0)</f>
        <v>0</v>
      </c>
      <c r="AF249" s="59">
        <f>IF(AQ249="2",BH249,0)</f>
        <v>0</v>
      </c>
      <c r="AG249" s="59">
        <f>IF(AQ249="2",BI249,0)</f>
        <v>0</v>
      </c>
      <c r="AH249" s="59">
        <f>IF(AQ249="0",BJ249,0)</f>
        <v>0</v>
      </c>
      <c r="AI249" s="53"/>
      <c r="AJ249" s="44">
        <f>IF(AN249=0,K249,0)</f>
        <v>0</v>
      </c>
      <c r="AK249" s="44">
        <f>IF(AN249=15,K249,0)</f>
        <v>0</v>
      </c>
      <c r="AL249" s="44">
        <f>IF(AN249=21,K249,0)</f>
        <v>0</v>
      </c>
      <c r="AN249" s="59">
        <v>15</v>
      </c>
      <c r="AO249" s="59">
        <f>H249*0</f>
        <v>0</v>
      </c>
      <c r="AP249" s="59">
        <f>H249*(1-0)</f>
        <v>0</v>
      </c>
      <c r="AQ249" s="60" t="s">
        <v>78</v>
      </c>
      <c r="AV249" s="59">
        <f>AW249+AX249</f>
        <v>0</v>
      </c>
      <c r="AW249" s="59">
        <f>G249*AO249</f>
        <v>0</v>
      </c>
      <c r="AX249" s="59">
        <f>G249*AP249</f>
        <v>0</v>
      </c>
      <c r="AY249" s="62" t="s">
        <v>660</v>
      </c>
      <c r="AZ249" s="62" t="s">
        <v>669</v>
      </c>
      <c r="BA249" s="53" t="s">
        <v>670</v>
      </c>
      <c r="BC249" s="59">
        <f>AW249+AX249</f>
        <v>0</v>
      </c>
      <c r="BD249" s="59">
        <f>H249/(100-BE249)*100</f>
        <v>0</v>
      </c>
      <c r="BE249" s="59">
        <v>0</v>
      </c>
      <c r="BF249" s="59">
        <f>M249</f>
        <v>0</v>
      </c>
      <c r="BH249" s="44">
        <f>G249*AO249</f>
        <v>0</v>
      </c>
      <c r="BI249" s="44">
        <f>G249*AP249</f>
        <v>0</v>
      </c>
      <c r="BJ249" s="44">
        <f>G249*H249</f>
        <v>0</v>
      </c>
      <c r="BK249" s="44" t="s">
        <v>675</v>
      </c>
      <c r="BL249" s="59" t="s">
        <v>361</v>
      </c>
    </row>
    <row r="250" spans="1:64" ht="12.75">
      <c r="A250" s="105" t="s">
        <v>212</v>
      </c>
      <c r="B250" s="105"/>
      <c r="C250" s="105" t="s">
        <v>238</v>
      </c>
      <c r="D250" s="196" t="s">
        <v>595</v>
      </c>
      <c r="E250" s="197"/>
      <c r="F250" s="105" t="s">
        <v>678</v>
      </c>
      <c r="G250" s="106">
        <v>1</v>
      </c>
      <c r="H250" s="102"/>
      <c r="I250" s="106">
        <f>G250*AO250</f>
        <v>0</v>
      </c>
      <c r="J250" s="106">
        <f>G250*AP250</f>
        <v>0</v>
      </c>
      <c r="K250" s="106">
        <f>G250*H250</f>
        <v>0</v>
      </c>
      <c r="L250" s="106">
        <v>0</v>
      </c>
      <c r="M250" s="106">
        <f>G250*L250</f>
        <v>0</v>
      </c>
      <c r="N250" s="107" t="s">
        <v>238</v>
      </c>
      <c r="O250" s="82"/>
      <c r="Z250" s="59">
        <f>IF(AQ250="5",BJ250,0)</f>
        <v>0</v>
      </c>
      <c r="AB250" s="59">
        <f>IF(AQ250="1",BH250,0)</f>
        <v>0</v>
      </c>
      <c r="AC250" s="59">
        <f>IF(AQ250="1",BI250,0)</f>
        <v>0</v>
      </c>
      <c r="AD250" s="59">
        <f>IF(AQ250="7",BH250,0)</f>
        <v>0</v>
      </c>
      <c r="AE250" s="59">
        <f>IF(AQ250="7",BI250,0)</f>
        <v>0</v>
      </c>
      <c r="AF250" s="59">
        <f>IF(AQ250="2",BH250,0)</f>
        <v>0</v>
      </c>
      <c r="AG250" s="59">
        <f>IF(AQ250="2",BI250,0)</f>
        <v>0</v>
      </c>
      <c r="AH250" s="59">
        <f>IF(AQ250="0",BJ250,0)</f>
        <v>0</v>
      </c>
      <c r="AI250" s="53"/>
      <c r="AJ250" s="44">
        <f>IF(AN250=0,K250,0)</f>
        <v>0</v>
      </c>
      <c r="AK250" s="44">
        <f>IF(AN250=15,K250,0)</f>
        <v>0</v>
      </c>
      <c r="AL250" s="44">
        <f>IF(AN250=21,K250,0)</f>
        <v>0</v>
      </c>
      <c r="AN250" s="59">
        <v>15</v>
      </c>
      <c r="AO250" s="59">
        <f>H250*0</f>
        <v>0</v>
      </c>
      <c r="AP250" s="59">
        <f>H250*(1-0)</f>
        <v>0</v>
      </c>
      <c r="AQ250" s="60" t="s">
        <v>78</v>
      </c>
      <c r="AV250" s="59">
        <f>AW250+AX250</f>
        <v>0</v>
      </c>
      <c r="AW250" s="59">
        <f>G250*AO250</f>
        <v>0</v>
      </c>
      <c r="AX250" s="59">
        <f>G250*AP250</f>
        <v>0</v>
      </c>
      <c r="AY250" s="62" t="s">
        <v>660</v>
      </c>
      <c r="AZ250" s="62" t="s">
        <v>669</v>
      </c>
      <c r="BA250" s="53" t="s">
        <v>670</v>
      </c>
      <c r="BC250" s="59">
        <f>AW250+AX250</f>
        <v>0</v>
      </c>
      <c r="BD250" s="59">
        <f>H250/(100-BE250)*100</f>
        <v>0</v>
      </c>
      <c r="BE250" s="59">
        <v>0</v>
      </c>
      <c r="BF250" s="59">
        <f>M250</f>
        <v>0</v>
      </c>
      <c r="BH250" s="44">
        <f>G250*AO250</f>
        <v>0</v>
      </c>
      <c r="BI250" s="44">
        <f>G250*AP250</f>
        <v>0</v>
      </c>
      <c r="BJ250" s="44">
        <f>G250*H250</f>
        <v>0</v>
      </c>
      <c r="BK250" s="44" t="s">
        <v>675</v>
      </c>
      <c r="BL250" s="59" t="s">
        <v>361</v>
      </c>
    </row>
    <row r="251" spans="1:47" ht="12.75">
      <c r="A251" s="96"/>
      <c r="B251" s="97"/>
      <c r="C251" s="97" t="s">
        <v>362</v>
      </c>
      <c r="D251" s="189" t="s">
        <v>596</v>
      </c>
      <c r="E251" s="190"/>
      <c r="F251" s="96" t="s">
        <v>73</v>
      </c>
      <c r="G251" s="96" t="s">
        <v>73</v>
      </c>
      <c r="H251" s="96" t="s">
        <v>73</v>
      </c>
      <c r="I251" s="98">
        <f>SUM(I252:I257)</f>
        <v>0</v>
      </c>
      <c r="J251" s="98">
        <f>SUM(J252:J257)</f>
        <v>0</v>
      </c>
      <c r="K251" s="98">
        <f>SUM(K252:K257)</f>
        <v>0</v>
      </c>
      <c r="L251" s="99"/>
      <c r="M251" s="98">
        <f>SUM(M252:M257)</f>
        <v>0</v>
      </c>
      <c r="N251" s="95"/>
      <c r="O251" s="82"/>
      <c r="AI251" s="53"/>
      <c r="AS251" s="65">
        <f>SUM(AJ252:AJ257)</f>
        <v>0</v>
      </c>
      <c r="AT251" s="65">
        <f>SUM(AK252:AK257)</f>
        <v>0</v>
      </c>
      <c r="AU251" s="65">
        <f>SUM(AL252:AL257)</f>
        <v>0</v>
      </c>
    </row>
    <row r="252" spans="1:64" ht="12.75">
      <c r="A252" s="85" t="s">
        <v>213</v>
      </c>
      <c r="B252" s="85"/>
      <c r="C252" s="85" t="s">
        <v>363</v>
      </c>
      <c r="D252" s="185" t="s">
        <v>597</v>
      </c>
      <c r="E252" s="186"/>
      <c r="F252" s="85" t="s">
        <v>610</v>
      </c>
      <c r="G252" s="89">
        <v>3.94907</v>
      </c>
      <c r="H252" s="102"/>
      <c r="I252" s="89">
        <f>G252*AO252</f>
        <v>0</v>
      </c>
      <c r="J252" s="89">
        <f>G252*AP252</f>
        <v>0</v>
      </c>
      <c r="K252" s="89">
        <f>G252*H252</f>
        <v>0</v>
      </c>
      <c r="L252" s="89">
        <v>0</v>
      </c>
      <c r="M252" s="89">
        <f>G252*L252</f>
        <v>0</v>
      </c>
      <c r="N252" s="80" t="s">
        <v>630</v>
      </c>
      <c r="O252" s="82"/>
      <c r="Z252" s="59">
        <f>IF(AQ252="5",BJ252,0)</f>
        <v>0</v>
      </c>
      <c r="AB252" s="59">
        <f>IF(AQ252="1",BH252,0)</f>
        <v>0</v>
      </c>
      <c r="AC252" s="59">
        <f>IF(AQ252="1",BI252,0)</f>
        <v>0</v>
      </c>
      <c r="AD252" s="59">
        <f>IF(AQ252="7",BH252,0)</f>
        <v>0</v>
      </c>
      <c r="AE252" s="59">
        <f>IF(AQ252="7",BI252,0)</f>
        <v>0</v>
      </c>
      <c r="AF252" s="59">
        <f>IF(AQ252="2",BH252,0)</f>
        <v>0</v>
      </c>
      <c r="AG252" s="59">
        <f>IF(AQ252="2",BI252,0)</f>
        <v>0</v>
      </c>
      <c r="AH252" s="59">
        <f>IF(AQ252="0",BJ252,0)</f>
        <v>0</v>
      </c>
      <c r="AI252" s="53"/>
      <c r="AJ252" s="44">
        <f>IF(AN252=0,K252,0)</f>
        <v>0</v>
      </c>
      <c r="AK252" s="44">
        <f>IF(AN252=15,K252,0)</f>
        <v>0</v>
      </c>
      <c r="AL252" s="44">
        <f>IF(AN252=21,K252,0)</f>
        <v>0</v>
      </c>
      <c r="AN252" s="59">
        <v>15</v>
      </c>
      <c r="AO252" s="59">
        <f>H252*0</f>
        <v>0</v>
      </c>
      <c r="AP252" s="59">
        <f>H252*(1-0)</f>
        <v>0</v>
      </c>
      <c r="AQ252" s="60" t="s">
        <v>78</v>
      </c>
      <c r="AV252" s="59">
        <f>AW252+AX252</f>
        <v>0</v>
      </c>
      <c r="AW252" s="59">
        <f>G252*AO252</f>
        <v>0</v>
      </c>
      <c r="AX252" s="59">
        <f>G252*AP252</f>
        <v>0</v>
      </c>
      <c r="AY252" s="62" t="s">
        <v>661</v>
      </c>
      <c r="AZ252" s="62" t="s">
        <v>669</v>
      </c>
      <c r="BA252" s="53" t="s">
        <v>670</v>
      </c>
      <c r="BC252" s="59">
        <f>AW252+AX252</f>
        <v>0</v>
      </c>
      <c r="BD252" s="59">
        <f>H252/(100-BE252)*100</f>
        <v>0</v>
      </c>
      <c r="BE252" s="59">
        <v>0</v>
      </c>
      <c r="BF252" s="59">
        <f>M252</f>
        <v>0</v>
      </c>
      <c r="BH252" s="44">
        <f>G252*AO252</f>
        <v>0</v>
      </c>
      <c r="BI252" s="44">
        <f>G252*AP252</f>
        <v>0</v>
      </c>
      <c r="BJ252" s="44">
        <f>G252*H252</f>
        <v>0</v>
      </c>
      <c r="BK252" s="44" t="s">
        <v>675</v>
      </c>
      <c r="BL252" s="59" t="s">
        <v>362</v>
      </c>
    </row>
    <row r="253" spans="1:64" ht="12.75">
      <c r="A253" s="85" t="s">
        <v>214</v>
      </c>
      <c r="B253" s="85"/>
      <c r="C253" s="85" t="s">
        <v>364</v>
      </c>
      <c r="D253" s="185" t="s">
        <v>598</v>
      </c>
      <c r="E253" s="186"/>
      <c r="F253" s="85" t="s">
        <v>610</v>
      </c>
      <c r="G253" s="89">
        <v>59.25</v>
      </c>
      <c r="H253" s="102"/>
      <c r="I253" s="89">
        <f>G253*AO253</f>
        <v>0</v>
      </c>
      <c r="J253" s="89">
        <f>G253*AP253</f>
        <v>0</v>
      </c>
      <c r="K253" s="89">
        <f>G253*H253</f>
        <v>0</v>
      </c>
      <c r="L253" s="89">
        <v>0</v>
      </c>
      <c r="M253" s="89">
        <f>G253*L253</f>
        <v>0</v>
      </c>
      <c r="N253" s="80" t="s">
        <v>630</v>
      </c>
      <c r="O253" s="82"/>
      <c r="Z253" s="59">
        <f>IF(AQ253="5",BJ253,0)</f>
        <v>0</v>
      </c>
      <c r="AB253" s="59">
        <f>IF(AQ253="1",BH253,0)</f>
        <v>0</v>
      </c>
      <c r="AC253" s="59">
        <f>IF(AQ253="1",BI253,0)</f>
        <v>0</v>
      </c>
      <c r="AD253" s="59">
        <f>IF(AQ253="7",BH253,0)</f>
        <v>0</v>
      </c>
      <c r="AE253" s="59">
        <f>IF(AQ253="7",BI253,0)</f>
        <v>0</v>
      </c>
      <c r="AF253" s="59">
        <f>IF(AQ253="2",BH253,0)</f>
        <v>0</v>
      </c>
      <c r="AG253" s="59">
        <f>IF(AQ253="2",BI253,0)</f>
        <v>0</v>
      </c>
      <c r="AH253" s="59">
        <f>IF(AQ253="0",BJ253,0)</f>
        <v>0</v>
      </c>
      <c r="AI253" s="53"/>
      <c r="AJ253" s="44">
        <f>IF(AN253=0,K253,0)</f>
        <v>0</v>
      </c>
      <c r="AK253" s="44">
        <f>IF(AN253=15,K253,0)</f>
        <v>0</v>
      </c>
      <c r="AL253" s="44">
        <f>IF(AN253=21,K253,0)</f>
        <v>0</v>
      </c>
      <c r="AN253" s="59">
        <v>15</v>
      </c>
      <c r="AO253" s="59">
        <f>H253*0</f>
        <v>0</v>
      </c>
      <c r="AP253" s="59">
        <f>H253*(1-0)</f>
        <v>0</v>
      </c>
      <c r="AQ253" s="60" t="s">
        <v>78</v>
      </c>
      <c r="AV253" s="59">
        <f>AW253+AX253</f>
        <v>0</v>
      </c>
      <c r="AW253" s="59">
        <f>G253*AO253</f>
        <v>0</v>
      </c>
      <c r="AX253" s="59">
        <f>G253*AP253</f>
        <v>0</v>
      </c>
      <c r="AY253" s="62" t="s">
        <v>661</v>
      </c>
      <c r="AZ253" s="62" t="s">
        <v>669</v>
      </c>
      <c r="BA253" s="53" t="s">
        <v>670</v>
      </c>
      <c r="BC253" s="59">
        <f>AW253+AX253</f>
        <v>0</v>
      </c>
      <c r="BD253" s="59">
        <f>H253/(100-BE253)*100</f>
        <v>0</v>
      </c>
      <c r="BE253" s="59">
        <v>0</v>
      </c>
      <c r="BF253" s="59">
        <f>M253</f>
        <v>0</v>
      </c>
      <c r="BH253" s="44">
        <f>G253*AO253</f>
        <v>0</v>
      </c>
      <c r="BI253" s="44">
        <f>G253*AP253</f>
        <v>0</v>
      </c>
      <c r="BJ253" s="44">
        <f>G253*H253</f>
        <v>0</v>
      </c>
      <c r="BK253" s="44" t="s">
        <v>675</v>
      </c>
      <c r="BL253" s="59" t="s">
        <v>362</v>
      </c>
    </row>
    <row r="254" spans="1:15" ht="12.75">
      <c r="A254" s="91"/>
      <c r="B254" s="92"/>
      <c r="C254" s="92"/>
      <c r="D254" s="93" t="s">
        <v>599</v>
      </c>
      <c r="E254" s="93"/>
      <c r="F254" s="92"/>
      <c r="G254" s="94">
        <v>59.25</v>
      </c>
      <c r="H254" s="92"/>
      <c r="I254" s="92"/>
      <c r="J254" s="92"/>
      <c r="K254" s="92"/>
      <c r="L254" s="92"/>
      <c r="M254" s="92"/>
      <c r="N254" s="83"/>
      <c r="O254" s="82"/>
    </row>
    <row r="255" spans="1:64" ht="12.75">
      <c r="A255" s="85" t="s">
        <v>215</v>
      </c>
      <c r="B255" s="85"/>
      <c r="C255" s="85" t="s">
        <v>365</v>
      </c>
      <c r="D255" s="185" t="s">
        <v>600</v>
      </c>
      <c r="E255" s="186"/>
      <c r="F255" s="85" t="s">
        <v>610</v>
      </c>
      <c r="G255" s="89">
        <v>4.05</v>
      </c>
      <c r="H255" s="102"/>
      <c r="I255" s="89">
        <f>G255*AO255</f>
        <v>0</v>
      </c>
      <c r="J255" s="89">
        <f>G255*AP255</f>
        <v>0</v>
      </c>
      <c r="K255" s="89">
        <f>G255*H255</f>
        <v>0</v>
      </c>
      <c r="L255" s="89">
        <v>0</v>
      </c>
      <c r="M255" s="89">
        <f>G255*L255</f>
        <v>0</v>
      </c>
      <c r="N255" s="80" t="s">
        <v>630</v>
      </c>
      <c r="O255" s="82"/>
      <c r="Z255" s="59">
        <f>IF(AQ255="5",BJ255,0)</f>
        <v>0</v>
      </c>
      <c r="AB255" s="59">
        <f>IF(AQ255="1",BH255,0)</f>
        <v>0</v>
      </c>
      <c r="AC255" s="59">
        <f>IF(AQ255="1",BI255,0)</f>
        <v>0</v>
      </c>
      <c r="AD255" s="59">
        <f>IF(AQ255="7",BH255,0)</f>
        <v>0</v>
      </c>
      <c r="AE255" s="59">
        <f>IF(AQ255="7",BI255,0)</f>
        <v>0</v>
      </c>
      <c r="AF255" s="59">
        <f>IF(AQ255="2",BH255,0)</f>
        <v>0</v>
      </c>
      <c r="AG255" s="59">
        <f>IF(AQ255="2",BI255,0)</f>
        <v>0</v>
      </c>
      <c r="AH255" s="59">
        <f>IF(AQ255="0",BJ255,0)</f>
        <v>0</v>
      </c>
      <c r="AI255" s="53"/>
      <c r="AJ255" s="44">
        <f>IF(AN255=0,K255,0)</f>
        <v>0</v>
      </c>
      <c r="AK255" s="44">
        <f>IF(AN255=15,K255,0)</f>
        <v>0</v>
      </c>
      <c r="AL255" s="44">
        <f>IF(AN255=21,K255,0)</f>
        <v>0</v>
      </c>
      <c r="AN255" s="59">
        <v>15</v>
      </c>
      <c r="AO255" s="59">
        <f>H255*0</f>
        <v>0</v>
      </c>
      <c r="AP255" s="59">
        <f>H255*(1-0)</f>
        <v>0</v>
      </c>
      <c r="AQ255" s="60" t="s">
        <v>78</v>
      </c>
      <c r="AV255" s="59">
        <f>AW255+AX255</f>
        <v>0</v>
      </c>
      <c r="AW255" s="59">
        <f>G255*AO255</f>
        <v>0</v>
      </c>
      <c r="AX255" s="59">
        <f>G255*AP255</f>
        <v>0</v>
      </c>
      <c r="AY255" s="62" t="s">
        <v>661</v>
      </c>
      <c r="AZ255" s="62" t="s">
        <v>669</v>
      </c>
      <c r="BA255" s="53" t="s">
        <v>670</v>
      </c>
      <c r="BC255" s="59">
        <f>AW255+AX255</f>
        <v>0</v>
      </c>
      <c r="BD255" s="59">
        <f>H255/(100-BE255)*100</f>
        <v>0</v>
      </c>
      <c r="BE255" s="59">
        <v>0</v>
      </c>
      <c r="BF255" s="59">
        <f>M255</f>
        <v>0</v>
      </c>
      <c r="BH255" s="44">
        <f>G255*AO255</f>
        <v>0</v>
      </c>
      <c r="BI255" s="44">
        <f>G255*AP255</f>
        <v>0</v>
      </c>
      <c r="BJ255" s="44">
        <f>G255*H255</f>
        <v>0</v>
      </c>
      <c r="BK255" s="44" t="s">
        <v>675</v>
      </c>
      <c r="BL255" s="59" t="s">
        <v>362</v>
      </c>
    </row>
    <row r="256" spans="1:64" ht="12.75">
      <c r="A256" s="78" t="s">
        <v>216</v>
      </c>
      <c r="B256" s="78"/>
      <c r="C256" s="78" t="s">
        <v>366</v>
      </c>
      <c r="D256" s="187" t="s">
        <v>601</v>
      </c>
      <c r="E256" s="188"/>
      <c r="F256" s="78" t="s">
        <v>610</v>
      </c>
      <c r="G256" s="79">
        <v>0.05806</v>
      </c>
      <c r="H256" s="103"/>
      <c r="I256" s="79">
        <f>G256*AO256</f>
        <v>0</v>
      </c>
      <c r="J256" s="79">
        <f>G256*AP256</f>
        <v>0</v>
      </c>
      <c r="K256" s="79">
        <f>G256*H256</f>
        <v>0</v>
      </c>
      <c r="L256" s="79">
        <v>0</v>
      </c>
      <c r="M256" s="79">
        <f>G256*L256</f>
        <v>0</v>
      </c>
      <c r="N256" s="81" t="s">
        <v>630</v>
      </c>
      <c r="O256" s="82"/>
      <c r="Z256" s="59">
        <f>IF(AQ256="5",BJ256,0)</f>
        <v>0</v>
      </c>
      <c r="AB256" s="59">
        <f>IF(AQ256="1",BH256,0)</f>
        <v>0</v>
      </c>
      <c r="AC256" s="59">
        <f>IF(AQ256="1",BI256,0)</f>
        <v>0</v>
      </c>
      <c r="AD256" s="59">
        <f>IF(AQ256="7",BH256,0)</f>
        <v>0</v>
      </c>
      <c r="AE256" s="59">
        <f>IF(AQ256="7",BI256,0)</f>
        <v>0</v>
      </c>
      <c r="AF256" s="59">
        <f>IF(AQ256="2",BH256,0)</f>
        <v>0</v>
      </c>
      <c r="AG256" s="59">
        <f>IF(AQ256="2",BI256,0)</f>
        <v>0</v>
      </c>
      <c r="AH256" s="59">
        <f>IF(AQ256="0",BJ256,0)</f>
        <v>0</v>
      </c>
      <c r="AI256" s="53"/>
      <c r="AJ256" s="44">
        <f>IF(AN256=0,K256,0)</f>
        <v>0</v>
      </c>
      <c r="AK256" s="44">
        <f>IF(AN256=15,K256,0)</f>
        <v>0</v>
      </c>
      <c r="AL256" s="44">
        <f>IF(AN256=21,K256,0)</f>
        <v>0</v>
      </c>
      <c r="AN256" s="59">
        <v>15</v>
      </c>
      <c r="AO256" s="59">
        <f>H256*0</f>
        <v>0</v>
      </c>
      <c r="AP256" s="59">
        <f>H256*(1-0)</f>
        <v>0</v>
      </c>
      <c r="AQ256" s="60" t="s">
        <v>78</v>
      </c>
      <c r="AV256" s="59">
        <f>AW256+AX256</f>
        <v>0</v>
      </c>
      <c r="AW256" s="59">
        <f>G256*AO256</f>
        <v>0</v>
      </c>
      <c r="AX256" s="59">
        <f>G256*AP256</f>
        <v>0</v>
      </c>
      <c r="AY256" s="62" t="s">
        <v>661</v>
      </c>
      <c r="AZ256" s="62" t="s">
        <v>669</v>
      </c>
      <c r="BA256" s="53" t="s">
        <v>670</v>
      </c>
      <c r="BC256" s="59">
        <f>AW256+AX256</f>
        <v>0</v>
      </c>
      <c r="BD256" s="59">
        <f>H256/(100-BE256)*100</f>
        <v>0</v>
      </c>
      <c r="BE256" s="59">
        <v>0</v>
      </c>
      <c r="BF256" s="59">
        <f>M256</f>
        <v>0</v>
      </c>
      <c r="BH256" s="44">
        <f>G256*AO256</f>
        <v>0</v>
      </c>
      <c r="BI256" s="44">
        <f>G256*AP256</f>
        <v>0</v>
      </c>
      <c r="BJ256" s="44">
        <f>G256*H256</f>
        <v>0</v>
      </c>
      <c r="BK256" s="44" t="s">
        <v>675</v>
      </c>
      <c r="BL256" s="59" t="s">
        <v>362</v>
      </c>
    </row>
    <row r="257" spans="1:64" ht="12.75">
      <c r="A257" s="34" t="s">
        <v>58</v>
      </c>
      <c r="B257" s="39"/>
      <c r="C257" s="39" t="s">
        <v>367</v>
      </c>
      <c r="D257" s="194" t="s">
        <v>602</v>
      </c>
      <c r="E257" s="184"/>
      <c r="F257" s="39" t="s">
        <v>610</v>
      </c>
      <c r="G257" s="44">
        <v>3.89194</v>
      </c>
      <c r="H257" s="104"/>
      <c r="I257" s="44">
        <f>G257*AO257</f>
        <v>0</v>
      </c>
      <c r="J257" s="44">
        <f>G257*AP257</f>
        <v>0</v>
      </c>
      <c r="K257" s="44">
        <f>G257*H257</f>
        <v>0</v>
      </c>
      <c r="L257" s="44">
        <v>0</v>
      </c>
      <c r="M257" s="44">
        <f>G257*L257</f>
        <v>0</v>
      </c>
      <c r="N257" s="57" t="s">
        <v>630</v>
      </c>
      <c r="O257" s="18"/>
      <c r="Z257" s="59">
        <f>IF(AQ257="5",BJ257,0)</f>
        <v>0</v>
      </c>
      <c r="AB257" s="59">
        <f>IF(AQ257="1",BH257,0)</f>
        <v>0</v>
      </c>
      <c r="AC257" s="59">
        <f>IF(AQ257="1",BI257,0)</f>
        <v>0</v>
      </c>
      <c r="AD257" s="59">
        <f>IF(AQ257="7",BH257,0)</f>
        <v>0</v>
      </c>
      <c r="AE257" s="59">
        <f>IF(AQ257="7",BI257,0)</f>
        <v>0</v>
      </c>
      <c r="AF257" s="59">
        <f>IF(AQ257="2",BH257,0)</f>
        <v>0</v>
      </c>
      <c r="AG257" s="59">
        <f>IF(AQ257="2",BI257,0)</f>
        <v>0</v>
      </c>
      <c r="AH257" s="59">
        <f>IF(AQ257="0",BJ257,0)</f>
        <v>0</v>
      </c>
      <c r="AI257" s="53"/>
      <c r="AJ257" s="44">
        <f>IF(AN257=0,K257,0)</f>
        <v>0</v>
      </c>
      <c r="AK257" s="44">
        <f>IF(AN257=15,K257,0)</f>
        <v>0</v>
      </c>
      <c r="AL257" s="44">
        <f>IF(AN257=21,K257,0)</f>
        <v>0</v>
      </c>
      <c r="AN257" s="59">
        <v>15</v>
      </c>
      <c r="AO257" s="59">
        <f>H257*0</f>
        <v>0</v>
      </c>
      <c r="AP257" s="59">
        <f>H257*(1-0)</f>
        <v>0</v>
      </c>
      <c r="AQ257" s="60" t="s">
        <v>78</v>
      </c>
      <c r="AV257" s="59">
        <f>AW257+AX257</f>
        <v>0</v>
      </c>
      <c r="AW257" s="59">
        <f>G257*AO257</f>
        <v>0</v>
      </c>
      <c r="AX257" s="59">
        <f>G257*AP257</f>
        <v>0</v>
      </c>
      <c r="AY257" s="62" t="s">
        <v>661</v>
      </c>
      <c r="AZ257" s="62" t="s">
        <v>669</v>
      </c>
      <c r="BA257" s="53" t="s">
        <v>670</v>
      </c>
      <c r="BC257" s="59">
        <f>AW257+AX257</f>
        <v>0</v>
      </c>
      <c r="BD257" s="59">
        <f>H257/(100-BE257)*100</f>
        <v>0</v>
      </c>
      <c r="BE257" s="59">
        <v>0</v>
      </c>
      <c r="BF257" s="59">
        <f>M257</f>
        <v>0</v>
      </c>
      <c r="BH257" s="44">
        <f>G257*AO257</f>
        <v>0</v>
      </c>
      <c r="BI257" s="44">
        <f>G257*AP257</f>
        <v>0</v>
      </c>
      <c r="BJ257" s="44">
        <f>G257*H257</f>
        <v>0</v>
      </c>
      <c r="BK257" s="44" t="s">
        <v>675</v>
      </c>
      <c r="BL257" s="59" t="s">
        <v>362</v>
      </c>
    </row>
    <row r="258" spans="1:15" ht="12.75">
      <c r="A258" s="11"/>
      <c r="B258" s="1"/>
      <c r="C258" s="1"/>
      <c r="D258" s="40" t="s">
        <v>603</v>
      </c>
      <c r="E258" s="41"/>
      <c r="F258" s="1"/>
      <c r="G258" s="46">
        <v>3.89194</v>
      </c>
      <c r="H258" s="1"/>
      <c r="I258" s="1"/>
      <c r="J258" s="1"/>
      <c r="K258" s="1"/>
      <c r="L258" s="1"/>
      <c r="M258" s="1"/>
      <c r="N258" s="58"/>
      <c r="O258" s="18"/>
    </row>
    <row r="259" spans="1:14" ht="12.75">
      <c r="A259" s="5"/>
      <c r="B259" s="5"/>
      <c r="C259" s="5"/>
      <c r="D259" s="5"/>
      <c r="E259" s="5"/>
      <c r="F259" s="5"/>
      <c r="G259" s="5"/>
      <c r="H259" s="5"/>
      <c r="I259" s="195" t="s">
        <v>621</v>
      </c>
      <c r="J259" s="115"/>
      <c r="K259" s="66">
        <f>K13+K24+K60+K62+K67+K79+K91+K103+K134+K137+K154+K167+K200+K218+K225+K231+K233+K235+K237+K245+K247+K251</f>
        <v>0</v>
      </c>
      <c r="L259" s="5"/>
      <c r="M259" s="5"/>
      <c r="N259" s="5"/>
    </row>
    <row r="260" ht="11.25" customHeight="1">
      <c r="A260" s="35" t="s">
        <v>18</v>
      </c>
    </row>
    <row r="261" spans="1:14" ht="12.75">
      <c r="A261" s="121"/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</row>
  </sheetData>
  <sheetProtection/>
  <mergeCells count="198">
    <mergeCell ref="D255:E255"/>
    <mergeCell ref="D256:E256"/>
    <mergeCell ref="D257:E257"/>
    <mergeCell ref="I259:J259"/>
    <mergeCell ref="A261:N261"/>
    <mergeCell ref="D248:E248"/>
    <mergeCell ref="D249:E249"/>
    <mergeCell ref="D250:E250"/>
    <mergeCell ref="D251:E251"/>
    <mergeCell ref="D252:E252"/>
    <mergeCell ref="D253:E253"/>
    <mergeCell ref="D240:E240"/>
    <mergeCell ref="D241:E241"/>
    <mergeCell ref="D244:E244"/>
    <mergeCell ref="D245:E245"/>
    <mergeCell ref="D246:E246"/>
    <mergeCell ref="D247:E247"/>
    <mergeCell ref="D234:E234"/>
    <mergeCell ref="D235:E235"/>
    <mergeCell ref="D236:E236"/>
    <mergeCell ref="D237:E237"/>
    <mergeCell ref="D238:E238"/>
    <mergeCell ref="D239:E239"/>
    <mergeCell ref="D227:E227"/>
    <mergeCell ref="D229:E229"/>
    <mergeCell ref="D230:E230"/>
    <mergeCell ref="D231:E231"/>
    <mergeCell ref="D232:E232"/>
    <mergeCell ref="D233:E233"/>
    <mergeCell ref="D219:E219"/>
    <mergeCell ref="D221:E221"/>
    <mergeCell ref="D222:E222"/>
    <mergeCell ref="D224:E224"/>
    <mergeCell ref="D225:E225"/>
    <mergeCell ref="D226:E226"/>
    <mergeCell ref="D210:E210"/>
    <mergeCell ref="D211:E211"/>
    <mergeCell ref="D212:E212"/>
    <mergeCell ref="D215:E215"/>
    <mergeCell ref="D217:E217"/>
    <mergeCell ref="D218:E218"/>
    <mergeCell ref="D199:E199"/>
    <mergeCell ref="D200:E200"/>
    <mergeCell ref="D201:E201"/>
    <mergeCell ref="D206:E206"/>
    <mergeCell ref="D207:E207"/>
    <mergeCell ref="D208:E208"/>
    <mergeCell ref="D185:E185"/>
    <mergeCell ref="D186:E186"/>
    <mergeCell ref="D193:E193"/>
    <mergeCell ref="D194:E194"/>
    <mergeCell ref="D196:E196"/>
    <mergeCell ref="D198:E198"/>
    <mergeCell ref="D164:E164"/>
    <mergeCell ref="D166:E166"/>
    <mergeCell ref="D167:E167"/>
    <mergeCell ref="D168:E168"/>
    <mergeCell ref="D175:E175"/>
    <mergeCell ref="D184:E184"/>
    <mergeCell ref="D155:E155"/>
    <mergeCell ref="D158:E158"/>
    <mergeCell ref="D159:E159"/>
    <mergeCell ref="D160:E160"/>
    <mergeCell ref="D161:E161"/>
    <mergeCell ref="D163:E163"/>
    <mergeCell ref="D147:E147"/>
    <mergeCell ref="D148:E148"/>
    <mergeCell ref="D149:E149"/>
    <mergeCell ref="D150:E150"/>
    <mergeCell ref="D153:E153"/>
    <mergeCell ref="D154:E154"/>
    <mergeCell ref="D141:E141"/>
    <mergeCell ref="D142:E142"/>
    <mergeCell ref="D143:E143"/>
    <mergeCell ref="D144:E144"/>
    <mergeCell ref="D145:E145"/>
    <mergeCell ref="D146:E146"/>
    <mergeCell ref="D135:E135"/>
    <mergeCell ref="D136:E136"/>
    <mergeCell ref="D137:E137"/>
    <mergeCell ref="D138:E138"/>
    <mergeCell ref="D139:E139"/>
    <mergeCell ref="D140:E140"/>
    <mergeCell ref="D129:E129"/>
    <mergeCell ref="D130:E130"/>
    <mergeCell ref="D131:E131"/>
    <mergeCell ref="D132:E132"/>
    <mergeCell ref="D133:E133"/>
    <mergeCell ref="D134:E134"/>
    <mergeCell ref="D123:E123"/>
    <mergeCell ref="D124:E124"/>
    <mergeCell ref="D125:E125"/>
    <mergeCell ref="D126:E126"/>
    <mergeCell ref="D127:E127"/>
    <mergeCell ref="D128:E128"/>
    <mergeCell ref="D117:E117"/>
    <mergeCell ref="D118:E118"/>
    <mergeCell ref="D119:E119"/>
    <mergeCell ref="D120:E120"/>
    <mergeCell ref="D121:E121"/>
    <mergeCell ref="D122:E122"/>
    <mergeCell ref="D109:E109"/>
    <mergeCell ref="D110:E110"/>
    <mergeCell ref="D111:E111"/>
    <mergeCell ref="D114:E114"/>
    <mergeCell ref="D115:E115"/>
    <mergeCell ref="D116:E116"/>
    <mergeCell ref="D103:E103"/>
    <mergeCell ref="D104:E104"/>
    <mergeCell ref="D105:E105"/>
    <mergeCell ref="D106:E106"/>
    <mergeCell ref="D107:E107"/>
    <mergeCell ref="D108:E108"/>
    <mergeCell ref="D97:E97"/>
    <mergeCell ref="D98:E98"/>
    <mergeCell ref="D99:E99"/>
    <mergeCell ref="D100:E100"/>
    <mergeCell ref="D101:E101"/>
    <mergeCell ref="D102:E102"/>
    <mergeCell ref="D91:E91"/>
    <mergeCell ref="D92:E92"/>
    <mergeCell ref="D93:E93"/>
    <mergeCell ref="D94:E94"/>
    <mergeCell ref="D95:E95"/>
    <mergeCell ref="D96:E96"/>
    <mergeCell ref="D85:E85"/>
    <mergeCell ref="D86:E86"/>
    <mergeCell ref="D87:E87"/>
    <mergeCell ref="D88:E88"/>
    <mergeCell ref="D89:E89"/>
    <mergeCell ref="D90:E90"/>
    <mergeCell ref="D79:E79"/>
    <mergeCell ref="D80:E80"/>
    <mergeCell ref="D81:E81"/>
    <mergeCell ref="D82:E82"/>
    <mergeCell ref="D83:E83"/>
    <mergeCell ref="D84:E84"/>
    <mergeCell ref="D66:E66"/>
    <mergeCell ref="D67:E67"/>
    <mergeCell ref="D68:E68"/>
    <mergeCell ref="D74:E74"/>
    <mergeCell ref="D76:E76"/>
    <mergeCell ref="D78:E78"/>
    <mergeCell ref="D60:E60"/>
    <mergeCell ref="D61:E61"/>
    <mergeCell ref="D62:E62"/>
    <mergeCell ref="D63:E63"/>
    <mergeCell ref="D64:E64"/>
    <mergeCell ref="D65:E65"/>
    <mergeCell ref="D37:E37"/>
    <mergeCell ref="D39:E39"/>
    <mergeCell ref="D44:E44"/>
    <mergeCell ref="D56:E56"/>
    <mergeCell ref="D57:E57"/>
    <mergeCell ref="D59:E59"/>
    <mergeCell ref="D26:E26"/>
    <mergeCell ref="D27:E27"/>
    <mergeCell ref="D28:E28"/>
    <mergeCell ref="D29:E29"/>
    <mergeCell ref="D31:E31"/>
    <mergeCell ref="D33:E33"/>
    <mergeCell ref="D14:E14"/>
    <mergeCell ref="D16:E16"/>
    <mergeCell ref="D18:E18"/>
    <mergeCell ref="D22:E22"/>
    <mergeCell ref="D24:E24"/>
    <mergeCell ref="D25:E25"/>
    <mergeCell ref="D10:E10"/>
    <mergeCell ref="I10:K10"/>
    <mergeCell ref="L10:M10"/>
    <mergeCell ref="D11:E11"/>
    <mergeCell ref="D12:E12"/>
    <mergeCell ref="D13:E13"/>
    <mergeCell ref="A8:C9"/>
    <mergeCell ref="D8:E9"/>
    <mergeCell ref="F8:G9"/>
    <mergeCell ref="H8:H9"/>
    <mergeCell ref="I8:I9"/>
    <mergeCell ref="J8:N9"/>
    <mergeCell ref="A6:C7"/>
    <mergeCell ref="D6:E7"/>
    <mergeCell ref="F6:G7"/>
    <mergeCell ref="H6:H7"/>
    <mergeCell ref="I6:I7"/>
    <mergeCell ref="J6:N7"/>
    <mergeCell ref="A4:C5"/>
    <mergeCell ref="D4:E5"/>
    <mergeCell ref="F4:G5"/>
    <mergeCell ref="H4:H5"/>
    <mergeCell ref="I4:I5"/>
    <mergeCell ref="J4:N5"/>
    <mergeCell ref="A1:N1"/>
    <mergeCell ref="A2:C3"/>
    <mergeCell ref="D2:E3"/>
    <mergeCell ref="F2:G3"/>
    <mergeCell ref="H2:H3"/>
    <mergeCell ref="I2:I3"/>
    <mergeCell ref="J2:N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Milan Ing.</cp:lastModifiedBy>
  <dcterms:modified xsi:type="dcterms:W3CDTF">2022-09-19T13:07:43Z</dcterms:modified>
  <cp:category/>
  <cp:version/>
  <cp:contentType/>
  <cp:contentStatus/>
</cp:coreProperties>
</file>