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<sst xmlns="http://schemas.openxmlformats.org/spreadsheetml/2006/main" count="1803" uniqueCount="666">
  <si>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</si>
  <si>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</si>
  <si>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</si>
  <si>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</si>
  <si>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</si>
  <si>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</si>
  <si>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</si>
  <si>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</si>
  <si>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</si>
  <si>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</si>
  <si>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</si>
  <si>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</si>
  <si>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</si>
  <si>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</si>
  <si>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</si>
  <si>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</si>
  <si>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</si>
  <si>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</si>
  <si>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</si>
  <si>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</si>
  <si>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</si>
  <si>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</si>
  <si>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</si>
  <si>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</si>
  <si>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</si>
  <si>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</si>
  <si>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</si>
  <si>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</si>
  <si>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</si>
  <si>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</si>
  <si>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</si>
  <si>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</si>
  <si>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</si>
  <si>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</si>
  <si>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</si>
  <si>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</si>
  <si>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</si>
  <si>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</si>
  <si>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</si>
  <si>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</si>
  <si>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</si>
  <si>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</si>
  <si>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</si>
  <si>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</si>
  <si>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</si>
  <si>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</si>
  <si>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</si>
  <si>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</si>
  <si>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</si>
  <si>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</si>
  <si>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</si>
  <si>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</si>
  <si>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</si>
  <si>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</si>
  <si>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</si>
  <si>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</si>
  <si>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00295841/CZ00295841</t>
  </si>
  <si>
    <t>45646597/</t>
  </si>
  <si>
    <t>140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</si>
  <si>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</si>
  <si>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</si>
  <si>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</si>
  <si>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</si>
  <si>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</si>
  <si>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</si>
  <si>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</si>
  <si>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</si>
  <si>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</si>
  <si>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</si>
  <si>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</si>
  <si>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</si>
  <si>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</si>
  <si>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</si>
  <si>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</si>
  <si>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</si>
  <si>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</si>
  <si>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</si>
  <si>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</si>
  <si>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</si>
  <si>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</si>
  <si>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</si>
  <si>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</si>
  <si>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</si>
  <si>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</si>
  <si>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</si>
  <si>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</si>
  <si>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</si>
  <si>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</si>
  <si>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</si>
  <si>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</si>
  <si>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</si>
  <si>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</si>
  <si>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</si>
  <si>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</si>
  <si>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</si>
  <si>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</si>
  <si>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</si>
  <si>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</si>
  <si>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</si>
  <si>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</si>
  <si>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</si>
  <si>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</si>
  <si>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</si>
  <si>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</si>
  <si>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</si>
  <si>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</si>
  <si>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</si>
  <si>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</si>
  <si>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</si>
  <si>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</si>
  <si>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</si>
  <si>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</si>
  <si>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</si>
  <si>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</si>
  <si>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</si>
  <si>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</si>
  <si>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</si>
  <si>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</si>
  <si>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</si>
  <si>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</si>
  <si>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</si>
  <si>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</si>
  <si>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</si>
  <si>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</si>
  <si>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</si>
  <si>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</si>
  <si>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</si>
  <si>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</si>
  <si>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</si>
  <si>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</si>
  <si>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</si>
  <si>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</si>
  <si>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</si>
  <si>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</si>
  <si>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</si>
  <si>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</si>
  <si>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</si>
  <si>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</si>
  <si>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</si>
  <si>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</si>
  <si>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</si>
  <si>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</si>
  <si>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</si>
  <si>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</si>
  <si>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</si>
  <si>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</si>
  <si>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</si>
  <si>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</si>
  <si>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</si>
  <si>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</si>
  <si>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</si>
  <si>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</si>
  <si>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</si>
  <si>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</si>
  <si>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</si>
  <si>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</si>
  <si>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</si>
  <si>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</si>
  <si>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</si>
  <si>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</si>
  <si>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</si>
  <si>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</si>
  <si>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</si>
  <si>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</si>
  <si>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</si>
  <si>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</si>
  <si>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</si>
  <si>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</si>
  <si>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</si>
  <si>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</si>
  <si>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</si>
  <si>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</si>
  <si>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</si>
  <si>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</si>
  <si>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</si>
  <si>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</si>
  <si>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</si>
  <si>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</si>
  <si>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</si>
  <si>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</si>
  <si>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</si>
  <si>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</si>
  <si>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</si>
  <si>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</si>
  <si>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</si>
  <si>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</si>
  <si>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</si>
  <si>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</si>
  <si>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</si>
  <si>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</si>
  <si>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</si>
  <si>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</si>
  <si>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</si>
  <si>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</si>
  <si>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</si>
  <si>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</si>
  <si>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</si>
  <si>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</si>
  <si>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</si>
  <si>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</si>
  <si>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</si>
  <si>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</si>
  <si>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</si>
  <si>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</si>
  <si>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</si>
  <si>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</si>
  <si>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</si>
  <si>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</si>
  <si>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</si>
  <si>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</si>
  <si>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</si>
  <si>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</si>
  <si>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</si>
  <si>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Objekt</t>
  </si>
  <si>
    <t>Kód</t>
  </si>
  <si>
    <t>342270040RA0</t>
  </si>
  <si>
    <t>342270041RA0</t>
  </si>
  <si>
    <t>342270042RA0</t>
  </si>
  <si>
    <t>342668111R00</t>
  </si>
  <si>
    <t>611401111R00</t>
  </si>
  <si>
    <t>611403399R00IM</t>
  </si>
  <si>
    <t>601011193R00</t>
  </si>
  <si>
    <t>601011141RT3</t>
  </si>
  <si>
    <t>602011193R00</t>
  </si>
  <si>
    <t>612421615R00</t>
  </si>
  <si>
    <t>612421637R00</t>
  </si>
  <si>
    <t>602011141RT1</t>
  </si>
  <si>
    <t>612403399R00</t>
  </si>
  <si>
    <t>620991111R00</t>
  </si>
  <si>
    <t>632451441R00</t>
  </si>
  <si>
    <t>632411105RT3</t>
  </si>
  <si>
    <t>641951111R00</t>
  </si>
  <si>
    <t>VLASTNÍ</t>
  </si>
  <si>
    <t>642942111RT4</t>
  </si>
  <si>
    <t>711</t>
  </si>
  <si>
    <t>711212012R00</t>
  </si>
  <si>
    <t>711212601RW1</t>
  </si>
  <si>
    <t>711212611RU1</t>
  </si>
  <si>
    <t>998711102R00</t>
  </si>
  <si>
    <t>721</t>
  </si>
  <si>
    <t>721140935R00</t>
  </si>
  <si>
    <t>721171803R00</t>
  </si>
  <si>
    <t>721176103R00</t>
  </si>
  <si>
    <t>721176105R00</t>
  </si>
  <si>
    <t>721176115R00</t>
  </si>
  <si>
    <t>721194105R00</t>
  </si>
  <si>
    <t>721194109R00</t>
  </si>
  <si>
    <t>230120046R00</t>
  </si>
  <si>
    <t>721290111R00</t>
  </si>
  <si>
    <t>721176212R00</t>
  </si>
  <si>
    <t>998721102R00</t>
  </si>
  <si>
    <t>722</t>
  </si>
  <si>
    <t>722130801R00IM</t>
  </si>
  <si>
    <t>722130913R00</t>
  </si>
  <si>
    <t>722260921R00</t>
  </si>
  <si>
    <t>722172631R00</t>
  </si>
  <si>
    <t>722220111R00</t>
  </si>
  <si>
    <t>722220121R00</t>
  </si>
  <si>
    <t>722181214RT8</t>
  </si>
  <si>
    <t>722190401R00</t>
  </si>
  <si>
    <t>722290234R00</t>
  </si>
  <si>
    <t>722280106R00</t>
  </si>
  <si>
    <t>998722102R00</t>
  </si>
  <si>
    <t>725</t>
  </si>
  <si>
    <t>725110811R00</t>
  </si>
  <si>
    <t>725210821R00</t>
  </si>
  <si>
    <t>725840850R00</t>
  </si>
  <si>
    <t>725820802R00</t>
  </si>
  <si>
    <t>725860811R00</t>
  </si>
  <si>
    <t>725220851R00</t>
  </si>
  <si>
    <t>725991811R00</t>
  </si>
  <si>
    <t>725219401R00</t>
  </si>
  <si>
    <t>725017153R00</t>
  </si>
  <si>
    <t>725860213R00</t>
  </si>
  <si>
    <t>725860107R00</t>
  </si>
  <si>
    <t>725829301R00</t>
  </si>
  <si>
    <t>725849201R00</t>
  </si>
  <si>
    <t>725860181RT1</t>
  </si>
  <si>
    <t>725860222R00</t>
  </si>
  <si>
    <t>725810402R00</t>
  </si>
  <si>
    <t>725823114RT1</t>
  </si>
  <si>
    <t>725845111R00</t>
  </si>
  <si>
    <t>725814125R00</t>
  </si>
  <si>
    <t>725119305R00</t>
  </si>
  <si>
    <t>725013128R00</t>
  </si>
  <si>
    <t>725291136R00</t>
  </si>
  <si>
    <t>725291113R00</t>
  </si>
  <si>
    <t>725291114R00</t>
  </si>
  <si>
    <t>55430012</t>
  </si>
  <si>
    <t>725590812R00</t>
  </si>
  <si>
    <t>728</t>
  </si>
  <si>
    <t>728415111R00</t>
  </si>
  <si>
    <t>429727810</t>
  </si>
  <si>
    <t>998728102R00</t>
  </si>
  <si>
    <t>766</t>
  </si>
  <si>
    <t>766662811R00</t>
  </si>
  <si>
    <t>766812840R00</t>
  </si>
  <si>
    <t>766825821R00</t>
  </si>
  <si>
    <t>766661112R00</t>
  </si>
  <si>
    <t>61160706</t>
  </si>
  <si>
    <t>766665921R00</t>
  </si>
  <si>
    <t>54914591</t>
  </si>
  <si>
    <t>54926043</t>
  </si>
  <si>
    <t>766664915R00</t>
  </si>
  <si>
    <t>766812114R00</t>
  </si>
  <si>
    <t>998766102R00</t>
  </si>
  <si>
    <t>771</t>
  </si>
  <si>
    <t>771575107R00</t>
  </si>
  <si>
    <t>771579791R00</t>
  </si>
  <si>
    <t>771579792R00</t>
  </si>
  <si>
    <t>771101116R00</t>
  </si>
  <si>
    <t>771101210R00</t>
  </si>
  <si>
    <t>59764231</t>
  </si>
  <si>
    <t>998771103R00</t>
  </si>
  <si>
    <t>776</t>
  </si>
  <si>
    <t>776401800R00</t>
  </si>
  <si>
    <t>776511810R00</t>
  </si>
  <si>
    <t>776421100RU1</t>
  </si>
  <si>
    <t>776541100RT1</t>
  </si>
  <si>
    <t>28412231</t>
  </si>
  <si>
    <t>776981101R00</t>
  </si>
  <si>
    <t>776981113RU1</t>
  </si>
  <si>
    <t>998776102R00</t>
  </si>
  <si>
    <t>781</t>
  </si>
  <si>
    <t>781415016RT5</t>
  </si>
  <si>
    <t>781419711R00</t>
  </si>
  <si>
    <t>781419701R00</t>
  </si>
  <si>
    <t>597813605</t>
  </si>
  <si>
    <t>781111111R00</t>
  </si>
  <si>
    <t>781111116R00</t>
  </si>
  <si>
    <t>781491001R00</t>
  </si>
  <si>
    <t>59760147.A</t>
  </si>
  <si>
    <t>998781102R00</t>
  </si>
  <si>
    <t>783</t>
  </si>
  <si>
    <t>783225100R00</t>
  </si>
  <si>
    <t>783601813R00</t>
  </si>
  <si>
    <t>783394140R00</t>
  </si>
  <si>
    <t>784</t>
  </si>
  <si>
    <t>784402801R00</t>
  </si>
  <si>
    <t>784161901R00</t>
  </si>
  <si>
    <t>784195112R00</t>
  </si>
  <si>
    <t>900      R01</t>
  </si>
  <si>
    <t>941955002R00</t>
  </si>
  <si>
    <t>952901111R00</t>
  </si>
  <si>
    <t>968061125R00</t>
  </si>
  <si>
    <t>965044121R00</t>
  </si>
  <si>
    <t>962084121R00</t>
  </si>
  <si>
    <t>H99</t>
  </si>
  <si>
    <t>999281108R00</t>
  </si>
  <si>
    <t>M21</t>
  </si>
  <si>
    <t>S</t>
  </si>
  <si>
    <t>979081111R00</t>
  </si>
  <si>
    <t>979081121R00</t>
  </si>
  <si>
    <t>979082111R00</t>
  </si>
  <si>
    <t>979011111R00</t>
  </si>
  <si>
    <t>979990181R00</t>
  </si>
  <si>
    <t>979990107R00</t>
  </si>
  <si>
    <t>Oprava bytu Libušínská 11,13-velikost 1+1-bezbariérový</t>
  </si>
  <si>
    <t>Zkrácený popis</t>
  </si>
  <si>
    <t>Rozměry</t>
  </si>
  <si>
    <t>Nezařazeno</t>
  </si>
  <si>
    <t>Stěny a příčky</t>
  </si>
  <si>
    <t>Příčka z desek pórobetonových hladkých, tloušťka 5 cm</t>
  </si>
  <si>
    <t>koupelna obezdění šachty</t>
  </si>
  <si>
    <t>(0,55+0,35+0,1)*2,6-0,3*0,3</t>
  </si>
  <si>
    <t>Příčka z desek pórobetonových hladkých, tloušťka 7,5 cm</t>
  </si>
  <si>
    <t>2,7</t>
  </si>
  <si>
    <t>0,2*2,6</t>
  </si>
  <si>
    <t>Příčka z desek pórobetonových hladkých, tloušťka 10 cm</t>
  </si>
  <si>
    <t>(3,46+2,85)*2,6-0,8*2*2</t>
  </si>
  <si>
    <t>(2,85-0,45)*1,1</t>
  </si>
  <si>
    <t>Ukotvení příček k cihelným konstrukcím plochými kotvami</t>
  </si>
  <si>
    <t>2,6*4+1,1</t>
  </si>
  <si>
    <t>Úprava povrchů vnitřní</t>
  </si>
  <si>
    <t>Oprava omítky na stropech o ploše do 0,09 m2</t>
  </si>
  <si>
    <t>Hrubá výplň rýh maltou ve stropech</t>
  </si>
  <si>
    <t>Kontaktní nátěr pod omítky  bílý</t>
  </si>
  <si>
    <t>Štuk na stropech  ručně</t>
  </si>
  <si>
    <t>předsíň</t>
  </si>
  <si>
    <t>1,4*2,85</t>
  </si>
  <si>
    <t>koupelna</t>
  </si>
  <si>
    <t>1,885*2,85</t>
  </si>
  <si>
    <t>kuchyně</t>
  </si>
  <si>
    <t>3,46*3,015</t>
  </si>
  <si>
    <t>pokoj</t>
  </si>
  <si>
    <t>3,46*5,965</t>
  </si>
  <si>
    <t>Kontaktní nátěr pod omítky bílý</t>
  </si>
  <si>
    <t>22,336+79,094</t>
  </si>
  <si>
    <t>Omítka vnitřní zdiva, MVC, hrubá zatřená</t>
  </si>
  <si>
    <t>pod obklady-koupelna</t>
  </si>
  <si>
    <t>(1,885+2,85)*2*2,1+0,5*2,1-0,8*2,1</t>
  </si>
  <si>
    <t>(0,075*2+0,2)*2,6</t>
  </si>
  <si>
    <t>(3,015+0,6)*0,6</t>
  </si>
  <si>
    <t>Omítka vnitřní zdiva, MVC, štuková</t>
  </si>
  <si>
    <t>nové příčky</t>
  </si>
  <si>
    <t>(1,885+2,85)*2*0,5+0,5*0,5+(2,85-0,45)*1,1</t>
  </si>
  <si>
    <t>2,85*2,6-0,8*2+1,4*2,6-0,8*2</t>
  </si>
  <si>
    <t>3,46*2,6-0,8*2-0,6*0,6</t>
  </si>
  <si>
    <t>Štuk na stěnách vnitřní , ručně</t>
  </si>
  <si>
    <t>stávající příčky</t>
  </si>
  <si>
    <t>(1,4+2,85)*2,6-0,8*2*2</t>
  </si>
  <si>
    <t>(3,015+3,46+3,015)*2,6</t>
  </si>
  <si>
    <t>-2*1,65-(3,015+0,6)*0,6</t>
  </si>
  <si>
    <t>špalety oken</t>
  </si>
  <si>
    <t>0,2+(1,65*2+2)</t>
  </si>
  <si>
    <t>(3,46+5,965)*2*2,6-(0,8*0,8*2,4+1,65*1,3)</t>
  </si>
  <si>
    <t>0,2*(1,65+2+2,4)</t>
  </si>
  <si>
    <t>Hrubá výplň rýh ve stěnách maltou</t>
  </si>
  <si>
    <t>Úprava povrchů vnější</t>
  </si>
  <si>
    <t>Zakrývání spár panelů páskou</t>
  </si>
  <si>
    <t>Podlahy a podlahové konstrukce</t>
  </si>
  <si>
    <t>Doplnění potěru v ploše do 1 m2, tl.30-40 mm</t>
  </si>
  <si>
    <t>původní koupelna</t>
  </si>
  <si>
    <t>1,69*2,2</t>
  </si>
  <si>
    <t>Samonivelační stěrka  ruč.zpracování tl.5 mm</t>
  </si>
  <si>
    <t>Výplně otvorů</t>
  </si>
  <si>
    <t>Osazení rámů slepých, ocel, dřevo, plocha do 1 m2</t>
  </si>
  <si>
    <t>Dvířka  vodoměry</t>
  </si>
  <si>
    <t>Osazení zárubní dveřních ocelových, pl. do 2,5 m2 včetně dodávky zárubně  80 x 197 x 11 cm</t>
  </si>
  <si>
    <t>Izolace proti vodě</t>
  </si>
  <si>
    <t>Hydroizolační povlak vyztužený tkaninou</t>
  </si>
  <si>
    <t>podlaha</t>
  </si>
  <si>
    <t>stěny</t>
  </si>
  <si>
    <t>1,2*2*2,1</t>
  </si>
  <si>
    <t>Těsnicí pás do spoje podlaha - stěna</t>
  </si>
  <si>
    <t>(1,885+2,85)*2+0,5-0,8</t>
  </si>
  <si>
    <t>Těsnicí pás do svislých koutů</t>
  </si>
  <si>
    <t>Přesun hmot pro izolace proti vodě, výšky do 12 m</t>
  </si>
  <si>
    <t>Vnitřní kanalizace</t>
  </si>
  <si>
    <t>Oprava - přechod z plastových trub na litinu DN100</t>
  </si>
  <si>
    <t>Demontáž potrubí z PVC do D 75 mm</t>
  </si>
  <si>
    <t>Potrubí HT připojovací D 50 x 1,8 mm</t>
  </si>
  <si>
    <t>Potrubí HT připojovací D 110 x 2,7 mm</t>
  </si>
  <si>
    <t>Potrubí HT odpadní svislé D 110 x 2,7 mm</t>
  </si>
  <si>
    <t>Vyvedení odpadních výpustek D 50 x 1,8</t>
  </si>
  <si>
    <t>Vyvedení odpadních výpustek D 110 x 2,3</t>
  </si>
  <si>
    <t>Čištění potrubí profukováním nebo proplach. DN 100</t>
  </si>
  <si>
    <t>Zkouška těsnosti kanalizace vodou DN 125</t>
  </si>
  <si>
    <t>Potrubí KG odpadní svislé D 110 x 3,2 mm</t>
  </si>
  <si>
    <t>Přesun hmot pro vnitřní kanalizaci, výšky do 12 m</t>
  </si>
  <si>
    <t>Vnitřní vodovod</t>
  </si>
  <si>
    <t>Demontáž potrubí ocelových závitových DN 25</t>
  </si>
  <si>
    <t>Oprava-přeřezání ocelové trubky DN 25</t>
  </si>
  <si>
    <t>Zpětná montáž vodoměrů závitových G 1/2</t>
  </si>
  <si>
    <t>Potrubí z PPR Instaplast, teplá, D 20x3,4 mm</t>
  </si>
  <si>
    <t>Nástěnka K 247, pro výtokový ventil G 1/2</t>
  </si>
  <si>
    <t>Nástěnka K 247, pro baterii G 1/2</t>
  </si>
  <si>
    <t>Izolace návleková tl. stěny 20 mm</t>
  </si>
  <si>
    <t>Vyvedení a upevnění výpustek DN 15</t>
  </si>
  <si>
    <t>Proplach a dezinfekce vodovod.potrubí DN 80</t>
  </si>
  <si>
    <t>Tlaková zkouška vodovodního potrubí DN 32</t>
  </si>
  <si>
    <t>Přesun hmot pro vnitřní vodovod, výšky do 12 m</t>
  </si>
  <si>
    <t>Zařizovací předměty</t>
  </si>
  <si>
    <t>Demontáž klozetů splachovacích</t>
  </si>
  <si>
    <t>Demontáž umyvadel bez výtokových armatur</t>
  </si>
  <si>
    <t>Demontáž baterie sprch.diferenciální G 3/4x1</t>
  </si>
  <si>
    <t>Demontáž baterie stojánkové do 1otvoru</t>
  </si>
  <si>
    <t>Demontáž uzávěrek zápachových jednoduchých</t>
  </si>
  <si>
    <t>Demontáž van včetně vybourání obezdezdívky</t>
  </si>
  <si>
    <t>Demontáž konzol jednoduchých</t>
  </si>
  <si>
    <t>konzola na závěs do sprchy</t>
  </si>
  <si>
    <t>boční pevná zástěna sprchy</t>
  </si>
  <si>
    <t>Montáž umyvadel na šrouby do zdiva</t>
  </si>
  <si>
    <t>Umyvadlo invalidní  64 x 55 cm, bílé</t>
  </si>
  <si>
    <t>Sifon umyvadlový HL132, D 32, 40 mm</t>
  </si>
  <si>
    <t>Uzávěrka zápachová umyvadlová T 1015,D 40</t>
  </si>
  <si>
    <t>Montáž baterie umyv.a dřezové stojánkové</t>
  </si>
  <si>
    <t>Montáž baterií sprchových, pevná výška</t>
  </si>
  <si>
    <t>Sifon pračkový , D 40/50 mm nerezový</t>
  </si>
  <si>
    <t>Sifon sprchový PP , D 40/50 mm</t>
  </si>
  <si>
    <t>Ventil rohový bez přípoj. trubičky TE 66 G 1/2</t>
  </si>
  <si>
    <t>Baterie dřezová stojánková ruční, bez otvír.odpadu</t>
  </si>
  <si>
    <t>Baterie sprchová nástěnná ruční</t>
  </si>
  <si>
    <t>Ventil pračkový  DN 20</t>
  </si>
  <si>
    <t>Montáž klozetových mís kombinovaných</t>
  </si>
  <si>
    <t>Kloz.kombi  ZTP,nádrž s arm.odpad svislý,bílý</t>
  </si>
  <si>
    <t>Madlo dvojité sklopné bílé  dl. 830 mm</t>
  </si>
  <si>
    <t>Madlo rovné bílé  dl. 500 mm</t>
  </si>
  <si>
    <t>Madlo rovné bílé  dl. 600 mm</t>
  </si>
  <si>
    <t>Sedátko sklápěcí s opěrnou nohou 44x45 cm</t>
  </si>
  <si>
    <t>Zrcadlo nerez výklopné  nerozbitné 600 x 400 mm</t>
  </si>
  <si>
    <t>Sprchový odtokový žlábek nerez dl. 500mm</t>
  </si>
  <si>
    <t>Přesun vybour.hmot, zařizovací předměty H 12 m</t>
  </si>
  <si>
    <t>Vzduchotechnika</t>
  </si>
  <si>
    <t>Montáž mřížky větrací nebo ventilační do 0,04 m2</t>
  </si>
  <si>
    <t>Mřížka kruhová PVC pr. 100 mm</t>
  </si>
  <si>
    <t>Vzduchotechnika- odtah od odsavače</t>
  </si>
  <si>
    <t>Přesun hmot pro vzduchotechniku, výšky do 12 m</t>
  </si>
  <si>
    <t>Konstrukce truhlářské</t>
  </si>
  <si>
    <t>Demontáž prahů dveří 1křídlových</t>
  </si>
  <si>
    <t>Demontáž kuchyňských linek do 2,1 m</t>
  </si>
  <si>
    <t>Demontáž vestavěných skříní 2křídlových</t>
  </si>
  <si>
    <t>Montáž dveří do zárubně,otevíravých 1kř.do 0,8 m</t>
  </si>
  <si>
    <t>Dveře vnitřní hladké 1kříd. 2/3sklo 80x197 lak A</t>
  </si>
  <si>
    <t>Dveře posuvné 800*2000mm dle PD vč. kování</t>
  </si>
  <si>
    <t>Zakování dveří 1křídlých kompletizovaných</t>
  </si>
  <si>
    <t>Kliky se štítem dveř.  804  klíč/90 Cr</t>
  </si>
  <si>
    <t>Zámek stavební vložkový typ 24026 (80 mm)  L</t>
  </si>
  <si>
    <t>Seříznutí dveřních křídel  kompletizovaných</t>
  </si>
  <si>
    <t>Montáž kuchyňských linek dřevěných linek š.do 2,1m</t>
  </si>
  <si>
    <t>Kuchyňská linka dle výpisu výrobků</t>
  </si>
  <si>
    <t>Přesun hmot pro truhlářské konstr., výšky do 12 m</t>
  </si>
  <si>
    <t>Podlahy z dlaždic</t>
  </si>
  <si>
    <t>Montáž podlah keram.,režné hladké, tmel, 20x20 cm</t>
  </si>
  <si>
    <t>m.č.2</t>
  </si>
  <si>
    <t>Příplatek za plochu podlah keram. do 5 m2 jednotl.</t>
  </si>
  <si>
    <t>Příplatek za podlahy keram.v omezeném prostoru</t>
  </si>
  <si>
    <t>Vyrovnání podkladů samonivel. hmotou tl. do 30 mm</t>
  </si>
  <si>
    <t>Penetrace podkladu pod dlažby</t>
  </si>
  <si>
    <t>Dlažba  reliéfní 300x300x9 mm</t>
  </si>
  <si>
    <t>1,1*5,37225</t>
  </si>
  <si>
    <t>Přesun hmot pro podlahy z dlaždic, výšky do 24 m</t>
  </si>
  <si>
    <t>Podlahy povlakové</t>
  </si>
  <si>
    <t>Demontáž soklíků nebo lišt, pryžových nebo z PVC</t>
  </si>
  <si>
    <t>3,46+1,2+2,2+2,45+1,3+3,65-0,6-0,7-0,8*2</t>
  </si>
  <si>
    <t>kuchyně+jídelna</t>
  </si>
  <si>
    <t>2,295+3,46+2,295+0,76+2,2+0,76+1,3-0,7</t>
  </si>
  <si>
    <t>(3,46+5,965)*2-0,8+0,2*2</t>
  </si>
  <si>
    <t>Úprava podkladu nášlapných ploch odbroušení lepidla, likvidace</t>
  </si>
  <si>
    <t>Odstranění PVC a koberců lepených bez podložky</t>
  </si>
  <si>
    <t>1,2*3,46+1,3*2,45</t>
  </si>
  <si>
    <t>3,46*2,295+2,2*0,76</t>
  </si>
  <si>
    <t>3,46*5,965+2,1*0,2</t>
  </si>
  <si>
    <t>Lepení podlahových soklíků z PVC a vinylu</t>
  </si>
  <si>
    <t>(1,4+2,85)*2-0,8*4</t>
  </si>
  <si>
    <t>(3,015+3,46)*2-0,8</t>
  </si>
  <si>
    <t>(3,46+5,965)*2+0,2*2</t>
  </si>
  <si>
    <t>Lepení podlah z izolačních plastů pouze položení - PVC ve specifikaci</t>
  </si>
  <si>
    <t>mč1-předsíň</t>
  </si>
  <si>
    <t>3,015*3,46</t>
  </si>
  <si>
    <t>5,995*3,46+2,1*0,2</t>
  </si>
  <si>
    <t>Podlahovina PVC tl. 1,7mm</t>
  </si>
  <si>
    <t>35,58*1,1</t>
  </si>
  <si>
    <t>Montáž přechodové, podlahové lišty samolepicí</t>
  </si>
  <si>
    <t>Lišta hliníková přechodová,různá výška povl.podlah</t>
  </si>
  <si>
    <t>Přesun hmot pro podlahy povlakové, výšky do 12 m</t>
  </si>
  <si>
    <t>Obklady (keramické)</t>
  </si>
  <si>
    <t>Montáž obkladů stěn, porovin.,tmel, nad 20x25 cm</t>
  </si>
  <si>
    <t>2,1*(1,885+2,85)*2+0,1*2*2-0,8*2+2,1*0,5</t>
  </si>
  <si>
    <t>(0,075*2+0,2)*1</t>
  </si>
  <si>
    <t>0,6*(3,015+0,8)+1,5*1,8</t>
  </si>
  <si>
    <t>Příplatek k obkladu stěn za plochu do 10 m2 jedntl</t>
  </si>
  <si>
    <t>Příplatek za práci v omez.prostoru,obkl.pórovinové</t>
  </si>
  <si>
    <t>Obkládačka 20x20 světle béžová lesk</t>
  </si>
  <si>
    <t>1,1*25,076</t>
  </si>
  <si>
    <t>Řezání obkladaček diamantovým kotoučem</t>
  </si>
  <si>
    <t>Otvor v obkladačce diamant.korunkou prům.do 90 mm</t>
  </si>
  <si>
    <t>Montáž lišt k obkladům</t>
  </si>
  <si>
    <t>2,1*11</t>
  </si>
  <si>
    <t>Lišta  plast do malt lože</t>
  </si>
  <si>
    <t>1,1*32,27</t>
  </si>
  <si>
    <t>Přesun hmot pro obklady keramické, výšky do 12 m</t>
  </si>
  <si>
    <t>Nátěry</t>
  </si>
  <si>
    <t>Nátěr syntetický kovových konstrukcí 2x + 1x email</t>
  </si>
  <si>
    <t>0,8*2*3</t>
  </si>
  <si>
    <t>Odstranění nátěrů truhlářských, dveří oškrábáním</t>
  </si>
  <si>
    <t>Nátěr disperzní litin. radiátorů Z + 1x + 1x email</t>
  </si>
  <si>
    <t>Očištění radiátoru před nátěrem</t>
  </si>
  <si>
    <t>Malby</t>
  </si>
  <si>
    <t>Odstranění malby oškrábáním v místnosti H do 3,8 m</t>
  </si>
  <si>
    <t>Penetrace podkladu   1 x</t>
  </si>
  <si>
    <t>Malba  bílá, bez penetrace, 2 x</t>
  </si>
  <si>
    <t>stropy</t>
  </si>
  <si>
    <t>1,4*2,85+1,885*2,85+3,46*3,015+5,965*3,46</t>
  </si>
  <si>
    <t>18,814+87,705+3,5</t>
  </si>
  <si>
    <t>Hodinové zúčtovací sazby (HZS)</t>
  </si>
  <si>
    <t>HZS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</si>
  <si>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</si>
  <si>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</si>
  <si>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</si>
  <si>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do 4 m</t>
  </si>
  <si>
    <t>Bourání konstrukcí</t>
  </si>
  <si>
    <t>Vyvěšení dřevěných dveřních křídel pl. do 2 m2</t>
  </si>
  <si>
    <t>Bourání podkladů bet., tl. 4 cm, s rabic.pletivem</t>
  </si>
  <si>
    <t>Bourání příček deskových,sádrokartonových tl. 5 cm</t>
  </si>
  <si>
    <t>Ostatní přesuny hmot</t>
  </si>
  <si>
    <t>Přesun hmot pro opravy a údržbu do výšky 12 m</t>
  </si>
  <si>
    <t>Elektromontáže</t>
  </si>
  <si>
    <t>Montáž sporáku</t>
  </si>
  <si>
    <t>Sporák elektrický</t>
  </si>
  <si>
    <t>D+M elektroinstalace dle PD</t>
  </si>
  <si>
    <t>Přesuny sutí</t>
  </si>
  <si>
    <t>Odvoz suti a vybour. hmot na skládku do 1 km</t>
  </si>
  <si>
    <t>Příplatek k odvozu za každý další 1 km</t>
  </si>
  <si>
    <t>10*3,44</t>
  </si>
  <si>
    <t>Vnitrostaveništní doprava suti do 10 m</t>
  </si>
  <si>
    <t>Svislá doprava suti a vybour. hmot za 2.NP a 1.PP</t>
  </si>
  <si>
    <t>Poplatek za uložení suti - PVC podlahová krytina, skupina odpadu 200307</t>
  </si>
  <si>
    <t>Poplatek za uložení suti - směs betonu, cihel, dřeva, skupina odpadu 170904</t>
  </si>
  <si>
    <t>3,43786-0,01885</t>
  </si>
  <si>
    <t>Doba výstavby:</t>
  </si>
  <si>
    <t>Zpracováno dne:</t>
  </si>
  <si>
    <t>MJ</t>
  </si>
  <si>
    <t>m2</t>
  </si>
  <si>
    <t>m</t>
  </si>
  <si>
    <t>kus</t>
  </si>
  <si>
    <t>t</t>
  </si>
  <si>
    <t>pár</t>
  </si>
  <si>
    <t>soubor</t>
  </si>
  <si>
    <t>ks</t>
  </si>
  <si>
    <t>h</t>
  </si>
  <si>
    <t>Množství</t>
  </si>
  <si>
    <t>22.03.2022</t>
  </si>
  <si>
    <t>Cena/MJ</t>
  </si>
  <si>
    <t>(Kč)</t>
  </si>
  <si>
    <t>Náklady (Kč)</t>
  </si>
  <si>
    <t>Dodávka</t>
  </si>
  <si>
    <t>Celkem:</t>
  </si>
  <si>
    <t>Město Žďár nad Sázavou</t>
  </si>
  <si>
    <t>ing. Zbyněk Semerád</t>
  </si>
  <si>
    <t> </t>
  </si>
  <si>
    <t>Celkem</t>
  </si>
  <si>
    <t>Hmotnost (t)</t>
  </si>
  <si>
    <t>Jednot.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</si>
  <si>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</si>
  <si>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</si>
  <si>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</si>
  <si>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</si>
  <si>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</si>
  <si>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</si>
  <si>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</si>
  <si>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</si>
  <si>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</si>
  <si>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</si>
  <si>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</si>
  <si>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</si>
  <si>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</si>
  <si>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</si>
  <si>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62_</t>
  </si>
  <si>
    <t>63_</t>
  </si>
  <si>
    <t>64_</t>
  </si>
  <si>
    <t>711_</t>
  </si>
  <si>
    <t>721_</t>
  </si>
  <si>
    <t>722_</t>
  </si>
  <si>
    <t>725_</t>
  </si>
  <si>
    <t>728_</t>
  </si>
  <si>
    <t>766_</t>
  </si>
  <si>
    <t>771_</t>
  </si>
  <si>
    <t>776_</t>
  </si>
  <si>
    <t>781_</t>
  </si>
  <si>
    <t>783_</t>
  </si>
  <si>
    <t>784_</t>
  </si>
  <si>
    <t>90_</t>
  </si>
  <si>
    <t>94_</t>
  </si>
  <si>
    <t>95_</t>
  </si>
  <si>
    <t>96_</t>
  </si>
  <si>
    <t>H99_</t>
  </si>
  <si>
    <t>M21_</t>
  </si>
  <si>
    <t>S_</t>
  </si>
  <si>
    <t>_3_</t>
  </si>
  <si>
    <t>_6_</t>
  </si>
  <si>
    <t>_71_</t>
  </si>
  <si>
    <t>_72_</t>
  </si>
  <si>
    <t>_76_</t>
  </si>
  <si>
    <t>_77_</t>
  </si>
  <si>
    <t>_78_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</si>
  <si>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</si>
  <si>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</si>
  <si>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</si>
  <si>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</si>
  <si>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</si>
  <si>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</si>
  <si>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</si>
  <si>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</si>
  <si>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</si>
  <si>
    <t>kompl.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</si>
</sst>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</numFmts>
  <fonts count="6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0"/>
      <color indexed="25"/>
      <name val="Arial"/>
      <family val="0"/>
    </font>
    <font>
      <b/>
      <sz val="10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8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11" fillId="35" borderId="22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4" fillId="34" borderId="20" xfId="0" applyNumberFormat="1" applyFont="1" applyFill="1" applyBorder="1" applyAlignment="1" applyProtection="1">
      <alignment horizontal="right" vertical="center"/>
      <protection/>
    </xf>
    <xf numFmtId="49" fontId="15" fillId="35" borderId="21" xfId="0" applyNumberFormat="1" applyFont="1" applyFill="1" applyBorder="1" applyAlignment="1" applyProtection="1">
      <alignment horizontal="right" vertical="center"/>
      <protection/>
    </xf>
    <xf numFmtId="49" fontId="12" fillId="0" borderId="21" xfId="0" applyNumberFormat="1" applyFont="1" applyFill="1" applyBorder="1" applyAlignment="1" applyProtection="1">
      <alignment horizontal="right" vertical="center"/>
      <protection/>
    </xf>
    <xf numFmtId="49" fontId="1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2" fillId="36" borderId="41" xfId="0" applyNumberFormat="1" applyFont="1" applyFill="1" applyBorder="1" applyAlignment="1" applyProtection="1">
      <alignment horizontal="left" vertical="center"/>
      <protection/>
    </xf>
    <xf numFmtId="4" fontId="12" fillId="36" borderId="41" xfId="0" applyNumberFormat="1" applyFont="1" applyFill="1" applyBorder="1" applyAlignment="1" applyProtection="1">
      <alignment horizontal="right" vertical="center"/>
      <protection/>
    </xf>
    <xf numFmtId="49" fontId="12" fillId="36" borderId="42" xfId="0" applyNumberFormat="1" applyFont="1" applyFill="1" applyBorder="1" applyAlignment="1" applyProtection="1">
      <alignment horizontal="right" vertical="center"/>
      <protection/>
    </xf>
    <xf numFmtId="49" fontId="12" fillId="36" borderId="4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6" borderId="42" xfId="0" applyNumberFormat="1" applyFont="1" applyFill="1" applyBorder="1" applyAlignment="1" applyProtection="1">
      <alignment vertical="center"/>
      <protection/>
    </xf>
    <xf numFmtId="0" fontId="1" fillId="36" borderId="43" xfId="0" applyNumberFormat="1" applyFont="1" applyFill="1" applyBorder="1" applyAlignment="1" applyProtection="1">
      <alignment vertical="center"/>
      <protection/>
    </xf>
    <xf numFmtId="49" fontId="12" fillId="36" borderId="44" xfId="0" applyNumberFormat="1" applyFont="1" applyFill="1" applyBorder="1" applyAlignment="1" applyProtection="1">
      <alignment horizontal="left" vertical="center"/>
      <protection/>
    </xf>
    <xf numFmtId="0" fontId="1" fillId="36" borderId="41" xfId="0" applyNumberFormat="1" applyFont="1" applyFill="1" applyBorder="1" applyAlignment="1" applyProtection="1">
      <alignment vertical="center"/>
      <protection/>
    </xf>
    <xf numFmtId="0" fontId="0" fillId="36" borderId="41" xfId="1" applyNumberFormat="1" applyFill="1" applyBorder="1" applyAlignment="1" applyProtection="1">
      <alignment/>
      <protection/>
    </xf>
    <xf numFmtId="49" fontId="16" fillId="36" borderId="41" xfId="0" applyNumberFormat="1" applyFont="1" applyFill="1" applyBorder="1" applyAlignment="1" applyProtection="1">
      <alignment horizontal="left" vertical="center"/>
      <protection/>
    </xf>
    <xf numFmtId="49" fontId="17" fillId="36" borderId="41" xfId="0" applyNumberFormat="1" applyFont="1" applyFill="1" applyBorder="1" applyAlignment="1" applyProtection="1">
      <alignment horizontal="left" vertical="center"/>
      <protection/>
    </xf>
    <xf numFmtId="4" fontId="12" fillId="36" borderId="44" xfId="0" applyNumberFormat="1" applyFont="1" applyFill="1" applyBorder="1" applyAlignment="1" applyProtection="1">
      <alignment horizontal="right" vertical="center"/>
      <protection/>
    </xf>
    <xf numFmtId="4" fontId="16" fillId="36" borderId="41" xfId="0" applyNumberFormat="1" applyFont="1" applyFill="1" applyBorder="1" applyAlignment="1" applyProtection="1">
      <alignment horizontal="right" vertical="center"/>
      <protection/>
    </xf>
    <xf numFmtId="0" fontId="1" fillId="36" borderId="44" xfId="0" applyNumberFormat="1" applyFont="1" applyFill="1" applyBorder="1" applyAlignment="1" applyProtection="1">
      <alignment vertical="center"/>
      <protection/>
    </xf>
    <xf numFmtId="0" fontId="0" fillId="36" borderId="44" xfId="1" applyNumberFormat="1" applyFill="1" applyBorder="1" applyAlignment="1" applyProtection="1">
      <alignment/>
      <protection/>
    </xf>
    <xf numFmtId="49" fontId="16" fillId="36" borderId="44" xfId="0" applyNumberFormat="1" applyFont="1" applyFill="1" applyBorder="1" applyAlignment="1" applyProtection="1">
      <alignment horizontal="left" vertical="center"/>
      <protection/>
    </xf>
    <xf numFmtId="49" fontId="17" fillId="36" borderId="44" xfId="0" applyNumberFormat="1" applyFont="1" applyFill="1" applyBorder="1" applyAlignment="1" applyProtection="1">
      <alignment horizontal="left" vertical="center"/>
      <protection/>
    </xf>
    <xf numFmtId="4" fontId="16" fillId="36" borderId="44" xfId="0" applyNumberFormat="1" applyFont="1" applyFill="1" applyBorder="1" applyAlignment="1" applyProtection="1">
      <alignment horizontal="right" vertical="center"/>
      <protection/>
    </xf>
    <xf numFmtId="49" fontId="15" fillId="37" borderId="42" xfId="0" applyNumberFormat="1" applyFont="1" applyFill="1" applyBorder="1" applyAlignment="1" applyProtection="1">
      <alignment horizontal="right" vertical="center"/>
      <protection/>
    </xf>
    <xf numFmtId="49" fontId="11" fillId="37" borderId="44" xfId="0" applyNumberFormat="1" applyFont="1" applyFill="1" applyBorder="1" applyAlignment="1" applyProtection="1">
      <alignment horizontal="left" vertical="center"/>
      <protection/>
    </xf>
    <xf numFmtId="49" fontId="15" fillId="37" borderId="44" xfId="0" applyNumberFormat="1" applyFont="1" applyFill="1" applyBorder="1" applyAlignment="1" applyProtection="1">
      <alignment horizontal="left" vertical="center"/>
      <protection/>
    </xf>
    <xf numFmtId="4" fontId="15" fillId="37" borderId="44" xfId="0" applyNumberFormat="1" applyFont="1" applyFill="1" applyBorder="1" applyAlignment="1" applyProtection="1">
      <alignment horizontal="right" vertical="center"/>
      <protection/>
    </xf>
    <xf numFmtId="49" fontId="15" fillId="37" borderId="44" xfId="0" applyNumberFormat="1" applyFont="1" applyFill="1" applyBorder="1" applyAlignment="1" applyProtection="1">
      <alignment horizontal="right" vertical="center"/>
      <protection/>
    </xf>
    <xf numFmtId="49" fontId="13" fillId="36" borderId="42" xfId="0" applyNumberFormat="1" applyFont="1" applyFill="1" applyBorder="1" applyAlignment="1" applyProtection="1">
      <alignment horizontal="right" vertical="center"/>
      <protection/>
    </xf>
    <xf numFmtId="49" fontId="13" fillId="36" borderId="44" xfId="0" applyNumberFormat="1" applyFont="1" applyFill="1" applyBorder="1" applyAlignment="1" applyProtection="1">
      <alignment horizontal="left" vertical="center"/>
      <protection/>
    </xf>
    <xf numFmtId="4" fontId="13" fillId="36" borderId="44" xfId="0" applyNumberFormat="1" applyFont="1" applyFill="1" applyBorder="1" applyAlignment="1" applyProtection="1">
      <alignment horizontal="right" vertical="center"/>
      <protection/>
    </xf>
    <xf numFmtId="49" fontId="19" fillId="37" borderId="42" xfId="0" applyNumberFormat="1" applyFont="1" applyFill="1" applyBorder="1" applyAlignment="1" applyProtection="1">
      <alignment horizontal="right" vertical="center"/>
      <protection/>
    </xf>
    <xf numFmtId="49" fontId="18" fillId="37" borderId="44" xfId="0" applyNumberFormat="1" applyFont="1" applyFill="1" applyBorder="1" applyAlignment="1" applyProtection="1">
      <alignment horizontal="left" vertical="center"/>
      <protection/>
    </xf>
    <xf numFmtId="49" fontId="19" fillId="37" borderId="44" xfId="0" applyNumberFormat="1" applyFont="1" applyFill="1" applyBorder="1" applyAlignment="1" applyProtection="1">
      <alignment horizontal="left" vertical="center"/>
      <protection/>
    </xf>
    <xf numFmtId="4" fontId="19" fillId="37" borderId="44" xfId="0" applyNumberFormat="1" applyFont="1" applyFill="1" applyBorder="1" applyAlignment="1" applyProtection="1">
      <alignment horizontal="right" vertical="center"/>
      <protection/>
    </xf>
    <xf numFmtId="49" fontId="19" fillId="37" borderId="44" xfId="0" applyNumberFormat="1" applyFont="1" applyFill="1" applyBorder="1" applyAlignment="1" applyProtection="1">
      <alignment horizontal="right" vertical="center"/>
      <protection/>
    </xf>
    <xf numFmtId="49" fontId="21" fillId="37" borderId="42" xfId="0" applyNumberFormat="1" applyFont="1" applyFill="1" applyBorder="1" applyAlignment="1" applyProtection="1">
      <alignment horizontal="right" vertical="center"/>
      <protection/>
    </xf>
    <xf numFmtId="49" fontId="20" fillId="37" borderId="44" xfId="0" applyNumberFormat="1" applyFont="1" applyFill="1" applyBorder="1" applyAlignment="1" applyProtection="1">
      <alignment horizontal="left" vertical="center"/>
      <protection/>
    </xf>
    <xf numFmtId="49" fontId="21" fillId="37" borderId="44" xfId="0" applyNumberFormat="1" applyFont="1" applyFill="1" applyBorder="1" applyAlignment="1" applyProtection="1">
      <alignment horizontal="left" vertical="center"/>
      <protection/>
    </xf>
    <xf numFmtId="4" fontId="21" fillId="37" borderId="44" xfId="0" applyNumberFormat="1" applyFont="1" applyFill="1" applyBorder="1" applyAlignment="1" applyProtection="1">
      <alignment horizontal="right" vertical="center"/>
      <protection/>
    </xf>
    <xf numFmtId="49" fontId="21" fillId="37" borderId="44" xfId="0" applyNumberFormat="1" applyFont="1" applyFill="1" applyBorder="1" applyAlignment="1" applyProtection="1">
      <alignment horizontal="right" vertical="center"/>
      <protection/>
    </xf>
    <xf numFmtId="49" fontId="23" fillId="37" borderId="42" xfId="0" applyNumberFormat="1" applyFont="1" applyFill="1" applyBorder="1" applyAlignment="1" applyProtection="1">
      <alignment horizontal="right" vertical="center"/>
      <protection/>
    </xf>
    <xf numFmtId="49" fontId="22" fillId="37" borderId="44" xfId="0" applyNumberFormat="1" applyFont="1" applyFill="1" applyBorder="1" applyAlignment="1" applyProtection="1">
      <alignment horizontal="left" vertical="center"/>
      <protection/>
    </xf>
    <xf numFmtId="49" fontId="23" fillId="37" borderId="44" xfId="0" applyNumberFormat="1" applyFont="1" applyFill="1" applyBorder="1" applyAlignment="1" applyProtection="1">
      <alignment horizontal="left" vertical="center"/>
      <protection/>
    </xf>
    <xf numFmtId="4" fontId="23" fillId="37" borderId="44" xfId="0" applyNumberFormat="1" applyFont="1" applyFill="1" applyBorder="1" applyAlignment="1" applyProtection="1">
      <alignment horizontal="right" vertical="center"/>
      <protection/>
    </xf>
    <xf numFmtId="49" fontId="23" fillId="37" borderId="44" xfId="0" applyNumberFormat="1" applyFont="1" applyFill="1" applyBorder="1" applyAlignment="1" applyProtection="1">
      <alignment horizontal="right" vertical="center"/>
      <protection/>
    </xf>
    <xf numFmtId="49" fontId="24" fillId="36" borderId="42" xfId="0" applyNumberFormat="1" applyFont="1" applyFill="1" applyBorder="1" applyAlignment="1" applyProtection="1">
      <alignment horizontal="right" vertical="center"/>
      <protection/>
    </xf>
    <xf numFmtId="49" fontId="24" fillId="36" borderId="44" xfId="0" applyNumberFormat="1" applyFont="1" applyFill="1" applyBorder="1" applyAlignment="1" applyProtection="1">
      <alignment horizontal="left" vertical="center"/>
      <protection/>
    </xf>
    <xf numFmtId="4" fontId="24" fillId="36" borderId="44" xfId="0" applyNumberFormat="1" applyFont="1" applyFill="1" applyBorder="1" applyAlignment="1" applyProtection="1">
      <alignment horizontal="right" vertical="center"/>
      <protection/>
    </xf>
    <xf numFmtId="49" fontId="26" fillId="37" borderId="42" xfId="0" applyNumberFormat="1" applyFont="1" applyFill="1" applyBorder="1" applyAlignment="1" applyProtection="1">
      <alignment horizontal="right" vertical="center"/>
      <protection/>
    </xf>
    <xf numFmtId="49" fontId="25" fillId="37" borderId="44" xfId="0" applyNumberFormat="1" applyFont="1" applyFill="1" applyBorder="1" applyAlignment="1" applyProtection="1">
      <alignment horizontal="left" vertical="center"/>
      <protection/>
    </xf>
    <xf numFmtId="49" fontId="26" fillId="37" borderId="44" xfId="0" applyNumberFormat="1" applyFont="1" applyFill="1" applyBorder="1" applyAlignment="1" applyProtection="1">
      <alignment horizontal="left" vertical="center"/>
      <protection/>
    </xf>
    <xf numFmtId="4" fontId="26" fillId="37" borderId="44" xfId="0" applyNumberFormat="1" applyFont="1" applyFill="1" applyBorder="1" applyAlignment="1" applyProtection="1">
      <alignment horizontal="right" vertical="center"/>
      <protection/>
    </xf>
    <xf numFmtId="49" fontId="26" fillId="37" borderId="44" xfId="0" applyNumberFormat="1" applyFont="1" applyFill="1" applyBorder="1" applyAlignment="1" applyProtection="1">
      <alignment horizontal="right" vertical="center"/>
      <protection/>
    </xf>
    <xf numFmtId="49" fontId="28" fillId="37" borderId="42" xfId="0" applyNumberFormat="1" applyFont="1" applyFill="1" applyBorder="1" applyAlignment="1" applyProtection="1">
      <alignment horizontal="right" vertical="center"/>
      <protection/>
    </xf>
    <xf numFmtId="49" fontId="27" fillId="37" borderId="44" xfId="0" applyNumberFormat="1" applyFont="1" applyFill="1" applyBorder="1" applyAlignment="1" applyProtection="1">
      <alignment horizontal="left" vertical="center"/>
      <protection/>
    </xf>
    <xf numFmtId="49" fontId="28" fillId="37" borderId="44" xfId="0" applyNumberFormat="1" applyFont="1" applyFill="1" applyBorder="1" applyAlignment="1" applyProtection="1">
      <alignment horizontal="left" vertical="center"/>
      <protection/>
    </xf>
    <xf numFmtId="4" fontId="28" fillId="37" borderId="44" xfId="0" applyNumberFormat="1" applyFont="1" applyFill="1" applyBorder="1" applyAlignment="1" applyProtection="1">
      <alignment horizontal="right" vertical="center"/>
      <protection/>
    </xf>
    <xf numFmtId="49" fontId="28" fillId="37" borderId="44" xfId="0" applyNumberFormat="1" applyFont="1" applyFill="1" applyBorder="1" applyAlignment="1" applyProtection="1">
      <alignment horizontal="right" vertical="center"/>
      <protection/>
    </xf>
    <xf numFmtId="49" fontId="1" fillId="36" borderId="42" xfId="0" applyNumberFormat="1" applyFont="1" applyFill="1" applyBorder="1" applyAlignment="1" applyProtection="1">
      <alignment horizontal="right" vertical="center"/>
      <protection/>
    </xf>
    <xf numFmtId="49" fontId="1" fillId="36" borderId="44" xfId="0" applyNumberFormat="1" applyFont="1" applyFill="1" applyBorder="1" applyAlignment="1" applyProtection="1">
      <alignment horizontal="left" vertical="center"/>
      <protection/>
    </xf>
    <xf numFmtId="4" fontId="1" fillId="36" borderId="44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" fontId="12" fillId="38" borderId="0" xfId="0" applyNumberFormat="1" applyFont="1" applyFill="1" applyBorder="1" applyAlignment="1" applyProtection="1">
      <alignment horizontal="right" vertical="center"/>
      <protection/>
    </xf>
    <xf numFmtId="4" fontId="12" fillId="38" borderId="44" xfId="0" applyNumberFormat="1" applyFont="1" applyFill="1" applyBorder="1" applyAlignment="1" applyProtection="1">
      <alignment horizontal="right" vertical="center"/>
      <protection/>
    </xf>
    <xf numFmtId="4" fontId="13" fillId="38" borderId="44" xfId="0" applyNumberFormat="1" applyFont="1" applyFill="1" applyBorder="1" applyAlignment="1" applyProtection="1">
      <alignment horizontal="right" vertical="center"/>
      <protection/>
    </xf>
    <xf numFmtId="4" fontId="24" fillId="38" borderId="44" xfId="0" applyNumberFormat="1" applyFont="1" applyFill="1" applyBorder="1" applyAlignment="1" applyProtection="1">
      <alignment horizontal="right" vertical="center"/>
      <protection/>
    </xf>
    <xf numFmtId="4" fontId="12" fillId="38" borderId="41" xfId="0" applyNumberFormat="1" applyFont="1" applyFill="1" applyBorder="1" applyAlignment="1" applyProtection="1">
      <alignment horizontal="right" vertical="center"/>
      <protection/>
    </xf>
    <xf numFmtId="4" fontId="13" fillId="38" borderId="0" xfId="0" applyNumberFormat="1" applyFont="1" applyFill="1" applyBorder="1" applyAlignment="1" applyProtection="1">
      <alignment horizontal="right" vertical="center"/>
      <protection/>
    </xf>
    <xf numFmtId="4" fontId="1" fillId="38" borderId="44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47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4" fillId="33" borderId="47" xfId="0" applyNumberFormat="1" applyFont="1" applyFill="1" applyBorder="1" applyAlignment="1" applyProtection="1">
      <alignment horizontal="left" vertical="center"/>
      <protection/>
    </xf>
    <xf numFmtId="0" fontId="4" fillId="33" borderId="46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52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4" fillId="0" borderId="58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9" xfId="0" applyNumberFormat="1" applyFont="1" applyFill="1" applyBorder="1" applyAlignment="1" applyProtection="1">
      <alignment horizontal="left" vertical="center"/>
      <protection/>
    </xf>
    <xf numFmtId="4" fontId="4" fillId="0" borderId="58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9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36" borderId="44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49" fontId="15" fillId="37" borderId="44" xfId="0" applyNumberFormat="1" applyFont="1" applyFill="1" applyBorder="1" applyAlignment="1" applyProtection="1">
      <alignment horizontal="left" vertical="center"/>
      <protection/>
    </xf>
    <xf numFmtId="0" fontId="15" fillId="35" borderId="44" xfId="0" applyNumberFormat="1" applyFont="1" applyFill="1" applyBorder="1" applyAlignment="1" applyProtection="1">
      <alignment horizontal="left" vertical="center"/>
      <protection/>
    </xf>
    <xf numFmtId="49" fontId="13" fillId="36" borderId="44" xfId="0" applyNumberFormat="1" applyFont="1" applyFill="1" applyBorder="1" applyAlignment="1" applyProtection="1">
      <alignment horizontal="left" vertical="center"/>
      <protection/>
    </xf>
    <xf numFmtId="0" fontId="13" fillId="0" borderId="44" xfId="0" applyNumberFormat="1" applyFont="1" applyFill="1" applyBorder="1" applyAlignment="1" applyProtection="1">
      <alignment horizontal="left" vertical="center"/>
      <protection/>
    </xf>
    <xf numFmtId="49" fontId="19" fillId="37" borderId="44" xfId="0" applyNumberFormat="1" applyFont="1" applyFill="1" applyBorder="1" applyAlignment="1" applyProtection="1">
      <alignment horizontal="left" vertical="center"/>
      <protection/>
    </xf>
    <xf numFmtId="49" fontId="21" fillId="37" borderId="44" xfId="0" applyNumberFormat="1" applyFont="1" applyFill="1" applyBorder="1" applyAlignment="1" applyProtection="1">
      <alignment horizontal="left" vertical="center"/>
      <protection/>
    </xf>
    <xf numFmtId="49" fontId="23" fillId="37" borderId="44" xfId="0" applyNumberFormat="1" applyFont="1" applyFill="1" applyBorder="1" applyAlignment="1" applyProtection="1">
      <alignment horizontal="left" vertical="center"/>
      <protection/>
    </xf>
    <xf numFmtId="49" fontId="24" fillId="36" borderId="44" xfId="0" applyNumberFormat="1" applyFont="1" applyFill="1" applyBorder="1" applyAlignment="1" applyProtection="1">
      <alignment horizontal="left" vertical="center"/>
      <protection/>
    </xf>
    <xf numFmtId="49" fontId="12" fillId="36" borderId="41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26" fillId="37" borderId="44" xfId="0" applyNumberFormat="1" applyFont="1" applyFill="1" applyBorder="1" applyAlignment="1" applyProtection="1">
      <alignment horizontal="left" vertical="center"/>
      <protection/>
    </xf>
    <xf numFmtId="49" fontId="28" fillId="37" borderId="44" xfId="0" applyNumberFormat="1" applyFont="1" applyFill="1" applyBorder="1" applyAlignment="1" applyProtection="1">
      <alignment horizontal="left" vertical="center"/>
      <protection/>
    </xf>
    <xf numFmtId="49" fontId="1" fillId="36" borderId="44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3.25">
      <c r="A1" s="134"/>
      <c r="B1" s="1"/>
      <c r="C1" s="142" t="s">
        <v>22</v>
      </c>
      <c r="D1" s="143"/>
      <c r="E1" s="143"/>
      <c r="F1" s="143"/>
      <c r="G1" s="143"/>
      <c r="H1" s="143"/>
      <c r="I1" s="143"/>
    </row>
    <row r="2" spans="1:10" ht="12.75">
      <c r="A2" s="144" t="s">
        <v>0</v>
      </c>
      <c r="B2" s="145"/>
      <c r="C2" s="148" t="str">
        <f>'Stavební rozpočet'!D2</f>
        <v>Oprava bytu Libušínská 11,13-velikost 1+1-bezbariérový</v>
      </c>
      <c r="D2" s="149"/>
      <c r="E2" s="151" t="s">
        <v>32</v>
      </c>
      <c r="F2" s="151" t="str">
        <f>'Stavební rozpočet'!J2</f>
        <v>Město Žďár nad Sázavou</v>
      </c>
      <c r="G2" s="145"/>
      <c r="H2" s="151" t="s">
        <v>52</v>
      </c>
      <c r="I2" s="152" t="s">
        <v>56</v>
      </c>
      <c r="J2" s="17"/>
    </row>
    <row r="3" spans="1:10" ht="12.75">
      <c r="A3" s="146"/>
      <c r="B3" s="147"/>
      <c r="C3" s="150"/>
      <c r="D3" s="150"/>
      <c r="E3" s="147"/>
      <c r="F3" s="147"/>
      <c r="G3" s="147"/>
      <c r="H3" s="147"/>
      <c r="I3" s="153"/>
      <c r="J3" s="17"/>
    </row>
    <row r="4" spans="1:10" ht="12.75">
      <c r="A4" s="154" t="s">
        <v>1</v>
      </c>
      <c r="B4" s="147"/>
      <c r="C4" s="155">
        <f>'Stavební rozpočet'!D4</f>
        <v>0</v>
      </c>
      <c r="D4" s="147"/>
      <c r="E4" s="155" t="s">
        <v>33</v>
      </c>
      <c r="F4" s="155" t="str">
        <f>'Stavební rozpočet'!J4</f>
        <v>ing. Zbyněk Semerád</v>
      </c>
      <c r="G4" s="147"/>
      <c r="H4" s="155" t="s">
        <v>52</v>
      </c>
      <c r="I4" s="156" t="s">
        <v>57</v>
      </c>
      <c r="J4" s="17"/>
    </row>
    <row r="5" spans="1:10" ht="12.75">
      <c r="A5" s="146"/>
      <c r="B5" s="147"/>
      <c r="C5" s="147"/>
      <c r="D5" s="147"/>
      <c r="E5" s="147"/>
      <c r="F5" s="147"/>
      <c r="G5" s="147"/>
      <c r="H5" s="147"/>
      <c r="I5" s="153"/>
      <c r="J5" s="17"/>
    </row>
    <row r="6" spans="1:10" ht="12.75">
      <c r="A6" s="154" t="s">
        <v>2</v>
      </c>
      <c r="B6" s="147"/>
      <c r="C6" s="155" t="str">
        <f>'Stavební rozpočet'!D6</f>
        <v> </v>
      </c>
      <c r="D6" s="147"/>
      <c r="E6" s="155" t="s">
        <v>34</v>
      </c>
      <c r="F6" s="155" t="str">
        <f>'Stavební rozpočet'!J6</f>
        <v> </v>
      </c>
      <c r="G6" s="147"/>
      <c r="H6" s="155" t="s">
        <v>52</v>
      </c>
      <c r="I6" s="156"/>
      <c r="J6" s="17"/>
    </row>
    <row r="7" spans="1:10" ht="12.75">
      <c r="A7" s="146"/>
      <c r="B7" s="147"/>
      <c r="C7" s="147"/>
      <c r="D7" s="147"/>
      <c r="E7" s="147"/>
      <c r="F7" s="147"/>
      <c r="G7" s="147"/>
      <c r="H7" s="147"/>
      <c r="I7" s="153"/>
      <c r="J7" s="17"/>
    </row>
    <row r="8" spans="1:10" ht="12.75">
      <c r="A8" s="154" t="s">
        <v>3</v>
      </c>
      <c r="B8" s="147"/>
      <c r="C8" s="155" t="str">
        <f>'Stavební rozpočet'!H4</f>
        <v> </v>
      </c>
      <c r="D8" s="147"/>
      <c r="E8" s="155" t="s">
        <v>35</v>
      </c>
      <c r="F8" s="155" t="str">
        <f>'Stavební rozpočet'!H6</f>
        <v> </v>
      </c>
      <c r="G8" s="147"/>
      <c r="H8" s="157" t="s">
        <v>53</v>
      </c>
      <c r="I8" s="156" t="s">
        <v>58</v>
      </c>
      <c r="J8" s="17"/>
    </row>
    <row r="9" spans="1:10" ht="12.75">
      <c r="A9" s="146"/>
      <c r="B9" s="147"/>
      <c r="C9" s="147"/>
      <c r="D9" s="147"/>
      <c r="E9" s="147"/>
      <c r="F9" s="147"/>
      <c r="G9" s="147"/>
      <c r="H9" s="147"/>
      <c r="I9" s="153"/>
      <c r="J9" s="17"/>
    </row>
    <row r="10" spans="1:10" ht="12.75">
      <c r="A10" s="154" t="s">
        <v>4</v>
      </c>
      <c r="B10" s="147"/>
      <c r="C10" s="155" t="str">
        <f>'Stavební rozpočet'!D8</f>
        <v> </v>
      </c>
      <c r="D10" s="147"/>
      <c r="E10" s="155" t="s">
        <v>36</v>
      </c>
      <c r="F10" s="155" t="str">
        <f>'Stavební rozpočet'!J8</f>
        <v> </v>
      </c>
      <c r="G10" s="147"/>
      <c r="H10" s="157" t="s">
        <v>54</v>
      </c>
      <c r="I10" s="160" t="str">
        <f>'Stavební rozpočet'!H8</f>
        <v>22.03.2022</v>
      </c>
      <c r="J10" s="17"/>
    </row>
    <row r="11" spans="1:10" ht="12.75">
      <c r="A11" s="158"/>
      <c r="B11" s="159"/>
      <c r="C11" s="159"/>
      <c r="D11" s="159"/>
      <c r="E11" s="159"/>
      <c r="F11" s="159"/>
      <c r="G11" s="159"/>
      <c r="H11" s="159"/>
      <c r="I11" s="161"/>
      <c r="J11" s="17"/>
    </row>
    <row r="12" spans="1:9" ht="23.25" customHeight="1">
      <c r="A12" s="162" t="s">
        <v>5</v>
      </c>
      <c r="B12" s="163"/>
      <c r="C12" s="163"/>
      <c r="D12" s="163"/>
      <c r="E12" s="163"/>
      <c r="F12" s="163"/>
      <c r="G12" s="163"/>
      <c r="H12" s="163"/>
      <c r="I12" s="163"/>
    </row>
    <row r="13" spans="1:10" ht="26.25" customHeight="1">
      <c r="A13" s="2" t="s">
        <v>6</v>
      </c>
      <c r="B13" s="164" t="s">
        <v>19</v>
      </c>
      <c r="C13" s="165"/>
      <c r="D13" s="2" t="s">
        <v>23</v>
      </c>
      <c r="E13" s="164" t="s">
        <v>37</v>
      </c>
      <c r="F13" s="165"/>
      <c r="G13" s="2" t="s">
        <v>38</v>
      </c>
      <c r="H13" s="164" t="s">
        <v>55</v>
      </c>
      <c r="I13" s="165"/>
      <c r="J13" s="17"/>
    </row>
    <row r="14" spans="1:10" ht="15" customHeight="1">
      <c r="A14" s="3" t="s">
        <v>7</v>
      </c>
      <c r="B14" s="8" t="s">
        <v>20</v>
      </c>
      <c r="C14" s="12">
        <f>SUM('Stavební rozpočet'!AB12:AB269)</f>
        <v>0</v>
      </c>
      <c r="D14" s="166" t="s">
        <v>24</v>
      </c>
      <c r="E14" s="167"/>
      <c r="F14" s="12">
        <f>VORN!I15</f>
        <v>0</v>
      </c>
      <c r="G14" s="166" t="s">
        <v>39</v>
      </c>
      <c r="H14" s="167"/>
      <c r="I14" s="12">
        <f>VORN!I21</f>
        <v>0</v>
      </c>
      <c r="J14" s="17"/>
    </row>
    <row r="15" spans="1:10" ht="15" customHeight="1">
      <c r="A15" s="4"/>
      <c r="B15" s="8" t="s">
        <v>21</v>
      </c>
      <c r="C15" s="12">
        <f>SUM('Stavební rozpočet'!AC12:AC269)</f>
        <v>0</v>
      </c>
      <c r="D15" s="166" t="s">
        <v>25</v>
      </c>
      <c r="E15" s="167"/>
      <c r="F15" s="12">
        <f>VORN!I16</f>
        <v>0</v>
      </c>
      <c r="G15" s="166" t="s">
        <v>40</v>
      </c>
      <c r="H15" s="167"/>
      <c r="I15" s="12">
        <f>VORN!I22</f>
        <v>0</v>
      </c>
      <c r="J15" s="17"/>
    </row>
    <row r="16" spans="1:10" ht="15" customHeight="1">
      <c r="A16" s="3" t="s">
        <v>8</v>
      </c>
      <c r="B16" s="8" t="s">
        <v>20</v>
      </c>
      <c r="C16" s="12">
        <f>SUM('Stavební rozpočet'!AD12:AD269)</f>
        <v>0</v>
      </c>
      <c r="D16" s="166" t="s">
        <v>26</v>
      </c>
      <c r="E16" s="167"/>
      <c r="F16" s="12">
        <f>VORN!I17</f>
        <v>0</v>
      </c>
      <c r="G16" s="166" t="s">
        <v>41</v>
      </c>
      <c r="H16" s="167"/>
      <c r="I16" s="12">
        <f>VORN!I23</f>
        <v>0</v>
      </c>
      <c r="J16" s="17"/>
    </row>
    <row r="17" spans="1:10" ht="15" customHeight="1">
      <c r="A17" s="4"/>
      <c r="B17" s="8" t="s">
        <v>21</v>
      </c>
      <c r="C17" s="12">
        <f>SUM('Stavební rozpočet'!AE12:AE269)</f>
        <v>0</v>
      </c>
      <c r="D17" s="166"/>
      <c r="E17" s="167"/>
      <c r="F17" s="13"/>
      <c r="G17" s="166" t="s">
        <v>42</v>
      </c>
      <c r="H17" s="167"/>
      <c r="I17" s="12">
        <f>VORN!I24</f>
        <v>0</v>
      </c>
      <c r="J17" s="17"/>
    </row>
    <row r="18" spans="1:10" ht="15" customHeight="1">
      <c r="A18" s="3" t="s">
        <v>9</v>
      </c>
      <c r="B18" s="8" t="s">
        <v>20</v>
      </c>
      <c r="C18" s="12">
        <f>SUM('Stavební rozpočet'!AF12:AF269)</f>
        <v>0</v>
      </c>
      <c r="D18" s="166"/>
      <c r="E18" s="167"/>
      <c r="F18" s="13"/>
      <c r="G18" s="166" t="s">
        <v>43</v>
      </c>
      <c r="H18" s="167"/>
      <c r="I18" s="12">
        <f>VORN!I25</f>
        <v>0</v>
      </c>
      <c r="J18" s="17"/>
    </row>
    <row r="19" spans="1:10" ht="15" customHeight="1">
      <c r="A19" s="4"/>
      <c r="B19" s="8" t="s">
        <v>21</v>
      </c>
      <c r="C19" s="12">
        <f>SUM('Stavební rozpočet'!AG12:AG269)</f>
        <v>0</v>
      </c>
      <c r="D19" s="166"/>
      <c r="E19" s="167"/>
      <c r="F19" s="13"/>
      <c r="G19" s="166" t="s">
        <v>44</v>
      </c>
      <c r="H19" s="167"/>
      <c r="I19" s="12">
        <f>VORN!I26</f>
        <v>0</v>
      </c>
      <c r="J19" s="17"/>
    </row>
    <row r="20" spans="1:10" ht="15" customHeight="1">
      <c r="A20" s="168" t="s">
        <v>10</v>
      </c>
      <c r="B20" s="169"/>
      <c r="C20" s="12">
        <f>SUM('Stavební rozpočet'!AH12:AH269)</f>
        <v>0</v>
      </c>
      <c r="D20" s="166"/>
      <c r="E20" s="167"/>
      <c r="F20" s="13"/>
      <c r="G20" s="166"/>
      <c r="H20" s="167"/>
      <c r="I20" s="13"/>
      <c r="J20" s="17"/>
    </row>
    <row r="21" spans="1:10" ht="15" customHeight="1">
      <c r="A21" s="168" t="s">
        <v>11</v>
      </c>
      <c r="B21" s="169"/>
      <c r="C21" s="12">
        <f>SUM('Stavební rozpočet'!Z12:Z269)</f>
        <v>0</v>
      </c>
      <c r="D21" s="166"/>
      <c r="E21" s="167"/>
      <c r="F21" s="13"/>
      <c r="G21" s="166"/>
      <c r="H21" s="167"/>
      <c r="I21" s="13"/>
      <c r="J21" s="17"/>
    </row>
    <row r="22" spans="1:10" ht="16.5" customHeight="1">
      <c r="A22" s="168" t="s">
        <v>12</v>
      </c>
      <c r="B22" s="169"/>
      <c r="C22" s="12">
        <f>SUM(C14:C21)</f>
        <v>0</v>
      </c>
      <c r="D22" s="168" t="s">
        <v>27</v>
      </c>
      <c r="E22" s="169"/>
      <c r="F22" s="12">
        <f>SUM(F14:F21)</f>
        <v>0</v>
      </c>
      <c r="G22" s="168" t="s">
        <v>45</v>
      </c>
      <c r="H22" s="169"/>
      <c r="I22" s="12">
        <f>SUM(I14:I21)</f>
        <v>0</v>
      </c>
      <c r="J22" s="17"/>
    </row>
    <row r="23" spans="1:10" ht="15" customHeight="1">
      <c r="A23" s="5"/>
      <c r="B23" s="5"/>
      <c r="C23" s="10"/>
      <c r="D23" s="168" t="s">
        <v>28</v>
      </c>
      <c r="E23" s="169"/>
      <c r="F23" s="14">
        <v>0</v>
      </c>
      <c r="G23" s="168" t="s">
        <v>46</v>
      </c>
      <c r="H23" s="169"/>
      <c r="I23" s="12">
        <v>0</v>
      </c>
      <c r="J23" s="17"/>
    </row>
    <row r="24" spans="4:10" ht="15" customHeight="1">
      <c r="D24" s="5"/>
      <c r="E24" s="5"/>
      <c r="F24" s="15"/>
      <c r="G24" s="168" t="s">
        <v>47</v>
      </c>
      <c r="H24" s="169"/>
      <c r="I24" s="12">
        <f>vorn_sum</f>
        <v>0</v>
      </c>
      <c r="J24" s="17"/>
    </row>
    <row r="25" spans="6:10" ht="15" customHeight="1">
      <c r="F25" s="16"/>
      <c r="G25" s="168" t="s">
        <v>48</v>
      </c>
      <c r="H25" s="169"/>
      <c r="I25" s="12">
        <v>0</v>
      </c>
      <c r="J25" s="17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70" t="s">
        <v>13</v>
      </c>
      <c r="B27" s="171"/>
      <c r="C27" s="19">
        <f>SUM('Stavební rozpočet'!AJ12:AJ269)</f>
        <v>0</v>
      </c>
      <c r="D27" s="11"/>
      <c r="E27" s="1"/>
      <c r="F27" s="1"/>
      <c r="G27" s="1"/>
      <c r="H27" s="1"/>
      <c r="I27" s="1"/>
    </row>
    <row r="28" spans="1:10" ht="15" customHeight="1">
      <c r="A28" s="170" t="s">
        <v>14</v>
      </c>
      <c r="B28" s="171"/>
      <c r="C28" s="19">
        <f>SUM('Stavební rozpočet'!AK12:AK269)+(F22+I22+F23+I23+I24+I25)</f>
        <v>0</v>
      </c>
      <c r="D28" s="170" t="s">
        <v>29</v>
      </c>
      <c r="E28" s="171"/>
      <c r="F28" s="19">
        <f>ROUND(C28*(15/100),2)</f>
        <v>0</v>
      </c>
      <c r="G28" s="170" t="s">
        <v>49</v>
      </c>
      <c r="H28" s="171"/>
      <c r="I28" s="19">
        <f>SUM(C27:C29)</f>
        <v>0</v>
      </c>
      <c r="J28" s="17"/>
    </row>
    <row r="29" spans="1:10" ht="15" customHeight="1">
      <c r="A29" s="170" t="s">
        <v>15</v>
      </c>
      <c r="B29" s="171"/>
      <c r="C29" s="19">
        <f>SUM('Stavební rozpočet'!AL12:AL269)</f>
        <v>0</v>
      </c>
      <c r="D29" s="170" t="s">
        <v>30</v>
      </c>
      <c r="E29" s="171"/>
      <c r="F29" s="19">
        <f>ROUND(C29*(21/100),2)</f>
        <v>0</v>
      </c>
      <c r="G29" s="170" t="s">
        <v>50</v>
      </c>
      <c r="H29" s="171"/>
      <c r="I29" s="19">
        <f>SUM(F28:F29)+I28</f>
        <v>0</v>
      </c>
      <c r="J29" s="17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72" t="s">
        <v>16</v>
      </c>
      <c r="B31" s="173"/>
      <c r="C31" s="174"/>
      <c r="D31" s="172" t="s">
        <v>31</v>
      </c>
      <c r="E31" s="173"/>
      <c r="F31" s="174"/>
      <c r="G31" s="172" t="s">
        <v>51</v>
      </c>
      <c r="H31" s="173"/>
      <c r="I31" s="174"/>
      <c r="J31" s="18"/>
    </row>
    <row r="32" spans="1:10" ht="14.25" customHeight="1">
      <c r="A32" s="175"/>
      <c r="B32" s="176"/>
      <c r="C32" s="177"/>
      <c r="D32" s="175"/>
      <c r="E32" s="176"/>
      <c r="F32" s="177"/>
      <c r="G32" s="175"/>
      <c r="H32" s="176"/>
      <c r="I32" s="177"/>
      <c r="J32" s="18"/>
    </row>
    <row r="33" spans="1:10" ht="14.25" customHeight="1">
      <c r="A33" s="175"/>
      <c r="B33" s="176"/>
      <c r="C33" s="177"/>
      <c r="D33" s="175"/>
      <c r="E33" s="176"/>
      <c r="F33" s="177"/>
      <c r="G33" s="175"/>
      <c r="H33" s="176"/>
      <c r="I33" s="177"/>
      <c r="J33" s="18"/>
    </row>
    <row r="34" spans="1:10" ht="14.25" customHeight="1">
      <c r="A34" s="175"/>
      <c r="B34" s="176"/>
      <c r="C34" s="177"/>
      <c r="D34" s="175"/>
      <c r="E34" s="176"/>
      <c r="F34" s="177"/>
      <c r="G34" s="175"/>
      <c r="H34" s="176"/>
      <c r="I34" s="177"/>
      <c r="J34" s="18"/>
    </row>
    <row r="35" spans="1:10" ht="14.25" customHeight="1">
      <c r="A35" s="178" t="s">
        <v>17</v>
      </c>
      <c r="B35" s="179"/>
      <c r="C35" s="180"/>
      <c r="D35" s="178" t="s">
        <v>17</v>
      </c>
      <c r="E35" s="179"/>
      <c r="F35" s="180"/>
      <c r="G35" s="178" t="s">
        <v>17</v>
      </c>
      <c r="H35" s="179"/>
      <c r="I35" s="180"/>
      <c r="J35" s="18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155"/>
      <c r="B37" s="147"/>
      <c r="C37" s="147"/>
      <c r="D37" s="147"/>
      <c r="E37" s="147"/>
      <c r="F37" s="147"/>
      <c r="G37" s="147"/>
      <c r="H37" s="147"/>
      <c r="I37" s="14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134"/>
      <c r="B1" s="1"/>
      <c r="C1" s="142" t="s">
        <v>67</v>
      </c>
      <c r="D1" s="143"/>
      <c r="E1" s="143"/>
      <c r="F1" s="143"/>
      <c r="G1" s="143"/>
      <c r="H1" s="143"/>
      <c r="I1" s="143"/>
    </row>
    <row r="2" spans="1:10" ht="12.75">
      <c r="A2" s="144" t="s">
        <v>0</v>
      </c>
      <c r="B2" s="145"/>
      <c r="C2" s="148" t="str">
        <f>'Stavební rozpočet'!D2</f>
        <v>Oprava bytu Libušínská 11,13-velikost 1+1-bezbariérový</v>
      </c>
      <c r="D2" s="149"/>
      <c r="E2" s="151" t="s">
        <v>32</v>
      </c>
      <c r="F2" s="151" t="str">
        <f>'Stavební rozpočet'!J2</f>
        <v>Město Žďár nad Sázavou</v>
      </c>
      <c r="G2" s="145"/>
      <c r="H2" s="151" t="s">
        <v>52</v>
      </c>
      <c r="I2" s="152" t="s">
        <v>56</v>
      </c>
      <c r="J2" s="17"/>
    </row>
    <row r="3" spans="1:10" ht="12.75">
      <c r="A3" s="146"/>
      <c r="B3" s="147"/>
      <c r="C3" s="150"/>
      <c r="D3" s="150"/>
      <c r="E3" s="147"/>
      <c r="F3" s="147"/>
      <c r="G3" s="147"/>
      <c r="H3" s="147"/>
      <c r="I3" s="153"/>
      <c r="J3" s="17"/>
    </row>
    <row r="4" spans="1:10" ht="12.75">
      <c r="A4" s="154" t="s">
        <v>1</v>
      </c>
      <c r="B4" s="147"/>
      <c r="C4" s="155">
        <f>'Stavební rozpočet'!D4</f>
        <v>0</v>
      </c>
      <c r="D4" s="147"/>
      <c r="E4" s="155" t="s">
        <v>33</v>
      </c>
      <c r="F4" s="155" t="str">
        <f>'Stavební rozpočet'!J4</f>
        <v>ing. Zbyněk Semerád</v>
      </c>
      <c r="G4" s="147"/>
      <c r="H4" s="155" t="s">
        <v>52</v>
      </c>
      <c r="I4" s="156" t="s">
        <v>57</v>
      </c>
      <c r="J4" s="17"/>
    </row>
    <row r="5" spans="1:10" ht="12.75">
      <c r="A5" s="146"/>
      <c r="B5" s="147"/>
      <c r="C5" s="147"/>
      <c r="D5" s="147"/>
      <c r="E5" s="147"/>
      <c r="F5" s="147"/>
      <c r="G5" s="147"/>
      <c r="H5" s="147"/>
      <c r="I5" s="153"/>
      <c r="J5" s="17"/>
    </row>
    <row r="6" spans="1:10" ht="12.75">
      <c r="A6" s="154" t="s">
        <v>2</v>
      </c>
      <c r="B6" s="147"/>
      <c r="C6" s="155" t="str">
        <f>'Stavební rozpočet'!D6</f>
        <v> </v>
      </c>
      <c r="D6" s="147"/>
      <c r="E6" s="155" t="s">
        <v>34</v>
      </c>
      <c r="F6" s="155" t="str">
        <f>'Stavební rozpočet'!J6</f>
        <v> </v>
      </c>
      <c r="G6" s="147"/>
      <c r="H6" s="155" t="s">
        <v>52</v>
      </c>
      <c r="I6" s="156"/>
      <c r="J6" s="17"/>
    </row>
    <row r="7" spans="1:10" ht="12.75">
      <c r="A7" s="146"/>
      <c r="B7" s="147"/>
      <c r="C7" s="147"/>
      <c r="D7" s="147"/>
      <c r="E7" s="147"/>
      <c r="F7" s="147"/>
      <c r="G7" s="147"/>
      <c r="H7" s="147"/>
      <c r="I7" s="153"/>
      <c r="J7" s="17"/>
    </row>
    <row r="8" spans="1:10" ht="12.75">
      <c r="A8" s="154" t="s">
        <v>3</v>
      </c>
      <c r="B8" s="147"/>
      <c r="C8" s="155" t="str">
        <f>'Stavební rozpočet'!H4</f>
        <v> </v>
      </c>
      <c r="D8" s="147"/>
      <c r="E8" s="155" t="s">
        <v>35</v>
      </c>
      <c r="F8" s="155" t="str">
        <f>'Stavební rozpočet'!H6</f>
        <v> </v>
      </c>
      <c r="G8" s="147"/>
      <c r="H8" s="157" t="s">
        <v>53</v>
      </c>
      <c r="I8" s="156" t="s">
        <v>58</v>
      </c>
      <c r="J8" s="17"/>
    </row>
    <row r="9" spans="1:10" ht="12.75">
      <c r="A9" s="146"/>
      <c r="B9" s="147"/>
      <c r="C9" s="147"/>
      <c r="D9" s="147"/>
      <c r="E9" s="147"/>
      <c r="F9" s="147"/>
      <c r="G9" s="147"/>
      <c r="H9" s="147"/>
      <c r="I9" s="153"/>
      <c r="J9" s="17"/>
    </row>
    <row r="10" spans="1:10" ht="12.75">
      <c r="A10" s="154" t="s">
        <v>4</v>
      </c>
      <c r="B10" s="147"/>
      <c r="C10" s="155" t="str">
        <f>'Stavební rozpočet'!D8</f>
        <v> </v>
      </c>
      <c r="D10" s="147"/>
      <c r="E10" s="155" t="s">
        <v>36</v>
      </c>
      <c r="F10" s="155" t="str">
        <f>'Stavební rozpočet'!J8</f>
        <v> </v>
      </c>
      <c r="G10" s="147"/>
      <c r="H10" s="157" t="s">
        <v>54</v>
      </c>
      <c r="I10" s="160" t="str">
        <f>'Stavební rozpočet'!H8</f>
        <v>22.03.2022</v>
      </c>
      <c r="J10" s="17"/>
    </row>
    <row r="11" spans="1:10" ht="12.75">
      <c r="A11" s="158"/>
      <c r="B11" s="159"/>
      <c r="C11" s="159"/>
      <c r="D11" s="159"/>
      <c r="E11" s="159"/>
      <c r="F11" s="159"/>
      <c r="G11" s="159"/>
      <c r="H11" s="159"/>
      <c r="I11" s="161"/>
      <c r="J11" s="17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81" t="s">
        <v>59</v>
      </c>
      <c r="B13" s="182"/>
      <c r="C13" s="182"/>
      <c r="D13" s="182"/>
      <c r="E13" s="182"/>
      <c r="F13" s="21"/>
      <c r="G13" s="21"/>
      <c r="H13" s="21"/>
      <c r="I13" s="21"/>
    </row>
    <row r="14" spans="1:10" ht="12.75">
      <c r="A14" s="183" t="s">
        <v>60</v>
      </c>
      <c r="B14" s="184"/>
      <c r="C14" s="184"/>
      <c r="D14" s="184"/>
      <c r="E14" s="185"/>
      <c r="F14" s="22" t="s">
        <v>68</v>
      </c>
      <c r="G14" s="22" t="s">
        <v>69</v>
      </c>
      <c r="H14" s="22" t="s">
        <v>70</v>
      </c>
      <c r="I14" s="22" t="s">
        <v>68</v>
      </c>
      <c r="J14" s="18"/>
    </row>
    <row r="15" spans="1:10" ht="12.75">
      <c r="A15" s="186" t="s">
        <v>24</v>
      </c>
      <c r="B15" s="187"/>
      <c r="C15" s="187"/>
      <c r="D15" s="187"/>
      <c r="E15" s="188"/>
      <c r="F15" s="23">
        <v>0</v>
      </c>
      <c r="G15" s="26"/>
      <c r="H15" s="26"/>
      <c r="I15" s="23">
        <f>F15</f>
        <v>0</v>
      </c>
      <c r="J15" s="17"/>
    </row>
    <row r="16" spans="1:10" ht="12.75">
      <c r="A16" s="186" t="s">
        <v>25</v>
      </c>
      <c r="B16" s="187"/>
      <c r="C16" s="187"/>
      <c r="D16" s="187"/>
      <c r="E16" s="188"/>
      <c r="F16" s="23">
        <v>0</v>
      </c>
      <c r="G16" s="26"/>
      <c r="H16" s="26"/>
      <c r="I16" s="23">
        <f>F16</f>
        <v>0</v>
      </c>
      <c r="J16" s="17"/>
    </row>
    <row r="17" spans="1:10" ht="12.75">
      <c r="A17" s="189" t="s">
        <v>26</v>
      </c>
      <c r="B17" s="190"/>
      <c r="C17" s="190"/>
      <c r="D17" s="190"/>
      <c r="E17" s="191"/>
      <c r="F17" s="24">
        <v>0</v>
      </c>
      <c r="G17" s="27"/>
      <c r="H17" s="27"/>
      <c r="I17" s="24">
        <f>F17</f>
        <v>0</v>
      </c>
      <c r="J17" s="17"/>
    </row>
    <row r="18" spans="1:10" ht="12.75">
      <c r="A18" s="192" t="s">
        <v>61</v>
      </c>
      <c r="B18" s="193"/>
      <c r="C18" s="193"/>
      <c r="D18" s="193"/>
      <c r="E18" s="194"/>
      <c r="F18" s="25"/>
      <c r="G18" s="28"/>
      <c r="H18" s="28"/>
      <c r="I18" s="29">
        <f>SUM(I15:I17)</f>
        <v>0</v>
      </c>
      <c r="J18" s="18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10" ht="12.75">
      <c r="A20" s="183" t="s">
        <v>55</v>
      </c>
      <c r="B20" s="184"/>
      <c r="C20" s="184"/>
      <c r="D20" s="184"/>
      <c r="E20" s="185"/>
      <c r="F20" s="22" t="s">
        <v>68</v>
      </c>
      <c r="G20" s="22" t="s">
        <v>69</v>
      </c>
      <c r="H20" s="22" t="s">
        <v>70</v>
      </c>
      <c r="I20" s="22" t="s">
        <v>68</v>
      </c>
      <c r="J20" s="18"/>
    </row>
    <row r="21" spans="1:10" ht="12.75">
      <c r="A21" s="186" t="s">
        <v>39</v>
      </c>
      <c r="B21" s="187"/>
      <c r="C21" s="187"/>
      <c r="D21" s="187"/>
      <c r="E21" s="188"/>
      <c r="F21" s="26"/>
      <c r="G21" s="23">
        <v>2.6</v>
      </c>
      <c r="H21" s="23">
        <f>'Krycí list rozpočtu'!C22</f>
        <v>0</v>
      </c>
      <c r="I21" s="23">
        <f>ROUND((G21/100)*H21,2)</f>
        <v>0</v>
      </c>
      <c r="J21" s="17"/>
    </row>
    <row r="22" spans="1:10" ht="12.75">
      <c r="A22" s="186" t="s">
        <v>40</v>
      </c>
      <c r="B22" s="187"/>
      <c r="C22" s="187"/>
      <c r="D22" s="187"/>
      <c r="E22" s="188"/>
      <c r="F22" s="23">
        <v>0</v>
      </c>
      <c r="G22" s="26"/>
      <c r="H22" s="26"/>
      <c r="I22" s="23">
        <f>F22</f>
        <v>0</v>
      </c>
      <c r="J22" s="17"/>
    </row>
    <row r="23" spans="1:10" ht="12.75">
      <c r="A23" s="186" t="s">
        <v>41</v>
      </c>
      <c r="B23" s="187"/>
      <c r="C23" s="187"/>
      <c r="D23" s="187"/>
      <c r="E23" s="188"/>
      <c r="F23" s="23">
        <v>0</v>
      </c>
      <c r="G23" s="26"/>
      <c r="H23" s="26"/>
      <c r="I23" s="23">
        <f>F23</f>
        <v>0</v>
      </c>
      <c r="J23" s="17"/>
    </row>
    <row r="24" spans="1:10" ht="12.75">
      <c r="A24" s="186" t="s">
        <v>42</v>
      </c>
      <c r="B24" s="187"/>
      <c r="C24" s="187"/>
      <c r="D24" s="187"/>
      <c r="E24" s="188"/>
      <c r="F24" s="23">
        <v>0</v>
      </c>
      <c r="G24" s="26"/>
      <c r="H24" s="26"/>
      <c r="I24" s="23">
        <f>F24</f>
        <v>0</v>
      </c>
      <c r="J24" s="17"/>
    </row>
    <row r="25" spans="1:10" ht="12.75">
      <c r="A25" s="186" t="s">
        <v>43</v>
      </c>
      <c r="B25" s="187"/>
      <c r="C25" s="187"/>
      <c r="D25" s="187"/>
      <c r="E25" s="188"/>
      <c r="F25" s="23">
        <v>0</v>
      </c>
      <c r="G25" s="26"/>
      <c r="H25" s="26"/>
      <c r="I25" s="23">
        <f>F25</f>
        <v>0</v>
      </c>
      <c r="J25" s="17"/>
    </row>
    <row r="26" spans="1:10" ht="12.75">
      <c r="A26" s="189" t="s">
        <v>44</v>
      </c>
      <c r="B26" s="190"/>
      <c r="C26" s="190"/>
      <c r="D26" s="190"/>
      <c r="E26" s="191"/>
      <c r="F26" s="24">
        <v>0</v>
      </c>
      <c r="G26" s="27"/>
      <c r="H26" s="27"/>
      <c r="I26" s="24">
        <f>F26</f>
        <v>0</v>
      </c>
      <c r="J26" s="17"/>
    </row>
    <row r="27" spans="1:10" ht="12.75">
      <c r="A27" s="192" t="s">
        <v>62</v>
      </c>
      <c r="B27" s="193"/>
      <c r="C27" s="193"/>
      <c r="D27" s="193"/>
      <c r="E27" s="194"/>
      <c r="F27" s="25"/>
      <c r="G27" s="28"/>
      <c r="H27" s="28"/>
      <c r="I27" s="29">
        <f>SUM(I21:I26)</f>
        <v>0</v>
      </c>
      <c r="J27" s="18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10" ht="15" customHeight="1">
      <c r="A29" s="195" t="s">
        <v>63</v>
      </c>
      <c r="B29" s="196"/>
      <c r="C29" s="196"/>
      <c r="D29" s="196"/>
      <c r="E29" s="197"/>
      <c r="F29" s="198">
        <f>I18+I27</f>
        <v>0</v>
      </c>
      <c r="G29" s="199"/>
      <c r="H29" s="199"/>
      <c r="I29" s="200"/>
      <c r="J29" s="18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81" t="s">
        <v>64</v>
      </c>
      <c r="B33" s="182"/>
      <c r="C33" s="182"/>
      <c r="D33" s="182"/>
      <c r="E33" s="182"/>
      <c r="F33" s="21"/>
      <c r="G33" s="21"/>
      <c r="H33" s="21"/>
      <c r="I33" s="21"/>
    </row>
    <row r="34" spans="1:10" ht="12.75">
      <c r="A34" s="183" t="s">
        <v>65</v>
      </c>
      <c r="B34" s="184"/>
      <c r="C34" s="184"/>
      <c r="D34" s="184"/>
      <c r="E34" s="185"/>
      <c r="F34" s="22" t="s">
        <v>68</v>
      </c>
      <c r="G34" s="22" t="s">
        <v>69</v>
      </c>
      <c r="H34" s="22" t="s">
        <v>70</v>
      </c>
      <c r="I34" s="22" t="s">
        <v>68</v>
      </c>
      <c r="J34" s="18"/>
    </row>
    <row r="35" spans="1:10" ht="12.75">
      <c r="A35" s="189"/>
      <c r="B35" s="190"/>
      <c r="C35" s="190"/>
      <c r="D35" s="190"/>
      <c r="E35" s="191"/>
      <c r="F35" s="24">
        <v>0</v>
      </c>
      <c r="G35" s="27"/>
      <c r="H35" s="27"/>
      <c r="I35" s="24">
        <f>F35</f>
        <v>0</v>
      </c>
      <c r="J35" s="17"/>
    </row>
    <row r="36" spans="1:10" ht="12.75">
      <c r="A36" s="192" t="s">
        <v>66</v>
      </c>
      <c r="B36" s="193"/>
      <c r="C36" s="193"/>
      <c r="D36" s="193"/>
      <c r="E36" s="194"/>
      <c r="F36" s="25"/>
      <c r="G36" s="28"/>
      <c r="H36" s="28"/>
      <c r="I36" s="29">
        <f>SUM(I35:I35)</f>
        <v>0</v>
      </c>
      <c r="J36" s="18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72"/>
  <sheetViews>
    <sheetView tabSelected="1" zoomScalePageLayoutView="0" workbookViewId="0" topLeftCell="A1">
      <pane ySplit="11" topLeftCell="A237" activePane="bottomLeft" state="frozen"/>
      <selection pane="topLeft" activeCell="A1" sqref="A1"/>
      <selection pane="bottomLeft" activeCell="F257" sqref="F257:F259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38.28125" style="0" customWidth="1"/>
    <col min="5" max="5" width="39.851562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23.25">
      <c r="A1" s="201" t="s">
        <v>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5" ht="12.75">
      <c r="A2" s="144" t="s">
        <v>0</v>
      </c>
      <c r="B2" s="145"/>
      <c r="C2" s="145"/>
      <c r="D2" s="148" t="s">
        <v>357</v>
      </c>
      <c r="E2" s="149"/>
      <c r="F2" s="202" t="s">
        <v>590</v>
      </c>
      <c r="G2" s="145"/>
      <c r="H2" s="202" t="s">
        <v>73</v>
      </c>
      <c r="I2" s="151" t="s">
        <v>32</v>
      </c>
      <c r="J2" s="151" t="s">
        <v>608</v>
      </c>
      <c r="K2" s="145"/>
      <c r="L2" s="145"/>
      <c r="M2" s="145"/>
      <c r="N2" s="203"/>
      <c r="O2" s="17"/>
    </row>
    <row r="3" spans="1:15" ht="12.75">
      <c r="A3" s="146"/>
      <c r="B3" s="147"/>
      <c r="C3" s="147"/>
      <c r="D3" s="150"/>
      <c r="E3" s="150"/>
      <c r="F3" s="147"/>
      <c r="G3" s="147"/>
      <c r="H3" s="147"/>
      <c r="I3" s="147"/>
      <c r="J3" s="147"/>
      <c r="K3" s="147"/>
      <c r="L3" s="147"/>
      <c r="M3" s="147"/>
      <c r="N3" s="153"/>
      <c r="O3" s="17"/>
    </row>
    <row r="4" spans="1:15" ht="12.75">
      <c r="A4" s="154" t="s">
        <v>1</v>
      </c>
      <c r="B4" s="147"/>
      <c r="C4" s="147"/>
      <c r="D4" s="155"/>
      <c r="E4" s="147"/>
      <c r="F4" s="157" t="s">
        <v>3</v>
      </c>
      <c r="G4" s="147"/>
      <c r="H4" s="157" t="s">
        <v>73</v>
      </c>
      <c r="I4" s="155" t="s">
        <v>33</v>
      </c>
      <c r="J4" s="155" t="s">
        <v>609</v>
      </c>
      <c r="K4" s="147"/>
      <c r="L4" s="147"/>
      <c r="M4" s="147"/>
      <c r="N4" s="153"/>
      <c r="O4" s="17"/>
    </row>
    <row r="5" spans="1:15" ht="12.75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53"/>
      <c r="O5" s="17"/>
    </row>
    <row r="6" spans="1:15" ht="12.75">
      <c r="A6" s="154" t="s">
        <v>2</v>
      </c>
      <c r="B6" s="147"/>
      <c r="C6" s="147"/>
      <c r="D6" s="155" t="s">
        <v>73</v>
      </c>
      <c r="E6" s="147"/>
      <c r="F6" s="157" t="s">
        <v>35</v>
      </c>
      <c r="G6" s="147"/>
      <c r="H6" s="157" t="s">
        <v>73</v>
      </c>
      <c r="I6" s="155" t="s">
        <v>34</v>
      </c>
      <c r="J6" s="157" t="s">
        <v>610</v>
      </c>
      <c r="K6" s="147"/>
      <c r="L6" s="147"/>
      <c r="M6" s="147"/>
      <c r="N6" s="153"/>
      <c r="O6" s="17"/>
    </row>
    <row r="7" spans="1:15" ht="12.75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53"/>
      <c r="O7" s="17"/>
    </row>
    <row r="8" spans="1:15" ht="12.75">
      <c r="A8" s="154" t="s">
        <v>4</v>
      </c>
      <c r="B8" s="147"/>
      <c r="C8" s="147"/>
      <c r="D8" s="155" t="s">
        <v>73</v>
      </c>
      <c r="E8" s="147"/>
      <c r="F8" s="157" t="s">
        <v>591</v>
      </c>
      <c r="G8" s="147"/>
      <c r="H8" s="157" t="s">
        <v>602</v>
      </c>
      <c r="I8" s="155" t="s">
        <v>36</v>
      </c>
      <c r="J8" s="157" t="s">
        <v>610</v>
      </c>
      <c r="K8" s="147"/>
      <c r="L8" s="147"/>
      <c r="M8" s="147"/>
      <c r="N8" s="153"/>
      <c r="O8" s="17"/>
    </row>
    <row r="9" spans="1:15" ht="12.75">
      <c r="A9" s="204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6"/>
      <c r="O9" s="17"/>
    </row>
    <row r="10" spans="1:64" ht="12.75">
      <c r="A10" s="30" t="s">
        <v>72</v>
      </c>
      <c r="B10" s="37" t="s">
        <v>213</v>
      </c>
      <c r="C10" s="37" t="s">
        <v>214</v>
      </c>
      <c r="D10" s="207" t="s">
        <v>358</v>
      </c>
      <c r="E10" s="208"/>
      <c r="F10" s="37" t="s">
        <v>592</v>
      </c>
      <c r="G10" s="49" t="s">
        <v>601</v>
      </c>
      <c r="H10" s="54" t="s">
        <v>603</v>
      </c>
      <c r="I10" s="209" t="s">
        <v>605</v>
      </c>
      <c r="J10" s="210"/>
      <c r="K10" s="211"/>
      <c r="L10" s="209" t="s">
        <v>612</v>
      </c>
      <c r="M10" s="211"/>
      <c r="N10" s="61" t="s">
        <v>614</v>
      </c>
      <c r="O10" s="18"/>
      <c r="BK10" s="60" t="s">
        <v>661</v>
      </c>
      <c r="BL10" s="72" t="s">
        <v>664</v>
      </c>
    </row>
    <row r="11" spans="1:62" ht="12.75">
      <c r="A11" s="31" t="s">
        <v>73</v>
      </c>
      <c r="B11" s="38" t="s">
        <v>73</v>
      </c>
      <c r="C11" s="38" t="s">
        <v>73</v>
      </c>
      <c r="D11" s="212" t="s">
        <v>359</v>
      </c>
      <c r="E11" s="213"/>
      <c r="F11" s="38" t="s">
        <v>73</v>
      </c>
      <c r="G11" s="38" t="s">
        <v>73</v>
      </c>
      <c r="H11" s="55" t="s">
        <v>604</v>
      </c>
      <c r="I11" s="56" t="s">
        <v>606</v>
      </c>
      <c r="J11" s="57" t="s">
        <v>21</v>
      </c>
      <c r="K11" s="58" t="s">
        <v>611</v>
      </c>
      <c r="L11" s="56" t="s">
        <v>613</v>
      </c>
      <c r="M11" s="58" t="s">
        <v>611</v>
      </c>
      <c r="N11" s="62" t="s">
        <v>615</v>
      </c>
      <c r="O11" s="18"/>
      <c r="Z11" s="60" t="s">
        <v>617</v>
      </c>
      <c r="AA11" s="60" t="s">
        <v>618</v>
      </c>
      <c r="AB11" s="60" t="s">
        <v>619</v>
      </c>
      <c r="AC11" s="60" t="s">
        <v>620</v>
      </c>
      <c r="AD11" s="60" t="s">
        <v>621</v>
      </c>
      <c r="AE11" s="60" t="s">
        <v>622</v>
      </c>
      <c r="AF11" s="60" t="s">
        <v>623</v>
      </c>
      <c r="AG11" s="60" t="s">
        <v>624</v>
      </c>
      <c r="AH11" s="60" t="s">
        <v>625</v>
      </c>
      <c r="BH11" s="60" t="s">
        <v>658</v>
      </c>
      <c r="BI11" s="60" t="s">
        <v>659</v>
      </c>
      <c r="BJ11" s="60" t="s">
        <v>660</v>
      </c>
    </row>
    <row r="12" spans="1:15" ht="12.75">
      <c r="A12" s="32"/>
      <c r="B12" s="39"/>
      <c r="C12" s="39"/>
      <c r="D12" s="214" t="s">
        <v>360</v>
      </c>
      <c r="E12" s="215"/>
      <c r="F12" s="47" t="s">
        <v>73</v>
      </c>
      <c r="G12" s="47" t="s">
        <v>73</v>
      </c>
      <c r="H12" s="47" t="s">
        <v>73</v>
      </c>
      <c r="I12" s="73">
        <f>I13+I25+I67+I69+I74+I78+I89+I101+I113+I146+I151+I165+I176+I211+I230+I236+I244+I246+I248+I250+I254+I256+I260</f>
        <v>0</v>
      </c>
      <c r="J12" s="73">
        <f>J13+J25+J67+J69+J74+J78+J89+J101+J113+J146+J151+J165+J176+J211+J230+J236+J244+J246+J248+J250+J254+J256+J260</f>
        <v>0</v>
      </c>
      <c r="K12" s="73">
        <f>K13+K25+K67+K69+K74+K78+K89+K101+K113+K146+K151+K165+K176+K211+K230+K236+K244+K246+K248+K250+K254+K256+K260</f>
        <v>0</v>
      </c>
      <c r="L12" s="59"/>
      <c r="M12" s="73">
        <f>M13+M25+M67+M69+M74+M78+M89+M101+M113+M146+M151+M165+M176+M211+M230+M236+M244+M246+M248+M250+M254+M256+M260</f>
        <v>10.1069005135</v>
      </c>
      <c r="N12" s="63"/>
      <c r="O12" s="17"/>
    </row>
    <row r="13" spans="1:47" ht="12.75">
      <c r="A13" s="33"/>
      <c r="B13" s="40"/>
      <c r="C13" s="40" t="s">
        <v>107</v>
      </c>
      <c r="D13" s="216" t="s">
        <v>361</v>
      </c>
      <c r="E13" s="217"/>
      <c r="F13" s="48" t="s">
        <v>73</v>
      </c>
      <c r="G13" s="48" t="s">
        <v>73</v>
      </c>
      <c r="H13" s="48" t="s">
        <v>73</v>
      </c>
      <c r="I13" s="74">
        <f>SUM(I14:I23)</f>
        <v>0</v>
      </c>
      <c r="J13" s="74">
        <f>SUM(J14:J23)</f>
        <v>0</v>
      </c>
      <c r="K13" s="74">
        <f>SUM(K14:K23)</f>
        <v>0</v>
      </c>
      <c r="L13" s="60"/>
      <c r="M13" s="74">
        <f>SUM(M14:M23)</f>
        <v>1.48344806</v>
      </c>
      <c r="N13" s="64"/>
      <c r="O13" s="17"/>
      <c r="AI13" s="60"/>
      <c r="AS13" s="74">
        <f>SUM(AJ14:AJ23)</f>
        <v>0</v>
      </c>
      <c r="AT13" s="74">
        <f>SUM(AK14:AK23)</f>
        <v>0</v>
      </c>
      <c r="AU13" s="74">
        <f>SUM(AL14:AL23)</f>
        <v>0</v>
      </c>
    </row>
    <row r="14" spans="1:64" ht="12.75">
      <c r="A14" s="34" t="s">
        <v>74</v>
      </c>
      <c r="B14" s="41"/>
      <c r="C14" s="41" t="s">
        <v>215</v>
      </c>
      <c r="D14" s="218" t="s">
        <v>362</v>
      </c>
      <c r="E14" s="219"/>
      <c r="F14" s="41" t="s">
        <v>593</v>
      </c>
      <c r="G14" s="50">
        <v>2.51</v>
      </c>
      <c r="H14" s="135"/>
      <c r="I14" s="50">
        <f>G14*AO14</f>
        <v>0</v>
      </c>
      <c r="J14" s="50">
        <f>G14*AP14</f>
        <v>0</v>
      </c>
      <c r="K14" s="50">
        <f>G14*H14</f>
        <v>0</v>
      </c>
      <c r="L14" s="50">
        <v>0.04646</v>
      </c>
      <c r="M14" s="50">
        <f>G14*L14</f>
        <v>0.1166146</v>
      </c>
      <c r="N14" s="65" t="s">
        <v>616</v>
      </c>
      <c r="O14" s="17"/>
      <c r="Z14" s="68">
        <f>IF(AQ14="5",BJ14,0)</f>
        <v>0</v>
      </c>
      <c r="AB14" s="68">
        <f>IF(AQ14="1",BH14,0)</f>
        <v>0</v>
      </c>
      <c r="AC14" s="68">
        <f>IF(AQ14="1",BI14,0)</f>
        <v>0</v>
      </c>
      <c r="AD14" s="68">
        <f>IF(AQ14="7",BH14,0)</f>
        <v>0</v>
      </c>
      <c r="AE14" s="68">
        <f>IF(AQ14="7",BI14,0)</f>
        <v>0</v>
      </c>
      <c r="AF14" s="68">
        <f>IF(AQ14="2",BH14,0)</f>
        <v>0</v>
      </c>
      <c r="AG14" s="68">
        <f>IF(AQ14="2",BI14,0)</f>
        <v>0</v>
      </c>
      <c r="AH14" s="68">
        <f>IF(AQ14="0",BJ14,0)</f>
        <v>0</v>
      </c>
      <c r="AI14" s="60"/>
      <c r="AJ14" s="50">
        <f>IF(AN14=0,K14,0)</f>
        <v>0</v>
      </c>
      <c r="AK14" s="50">
        <f>IF(AN14=15,K14,0)</f>
        <v>0</v>
      </c>
      <c r="AL14" s="50">
        <f>IF(AN14=21,K14,0)</f>
        <v>0</v>
      </c>
      <c r="AN14" s="68">
        <v>15</v>
      </c>
      <c r="AO14" s="68">
        <f>H14*0.555845158611203</f>
        <v>0</v>
      </c>
      <c r="AP14" s="68">
        <f>H14*(1-0.555845158611203)</f>
        <v>0</v>
      </c>
      <c r="AQ14" s="69" t="s">
        <v>74</v>
      </c>
      <c r="AV14" s="68">
        <f>AW14+AX14</f>
        <v>0</v>
      </c>
      <c r="AW14" s="68">
        <f>G14*AO14</f>
        <v>0</v>
      </c>
      <c r="AX14" s="68">
        <f>G14*AP14</f>
        <v>0</v>
      </c>
      <c r="AY14" s="71" t="s">
        <v>626</v>
      </c>
      <c r="AZ14" s="71" t="s">
        <v>649</v>
      </c>
      <c r="BA14" s="60" t="s">
        <v>657</v>
      </c>
      <c r="BC14" s="68">
        <f>AW14+AX14</f>
        <v>0</v>
      </c>
      <c r="BD14" s="68">
        <f>H14/(100-BE14)*100</f>
        <v>0</v>
      </c>
      <c r="BE14" s="68">
        <v>0</v>
      </c>
      <c r="BF14" s="68">
        <f>M14</f>
        <v>0.1166146</v>
      </c>
      <c r="BH14" s="50">
        <f>G14*AO14</f>
        <v>0</v>
      </c>
      <c r="BI14" s="50">
        <f>G14*AP14</f>
        <v>0</v>
      </c>
      <c r="BJ14" s="50">
        <f>G14*H14</f>
        <v>0</v>
      </c>
      <c r="BK14" s="50" t="s">
        <v>662</v>
      </c>
      <c r="BL14" s="68">
        <v>34</v>
      </c>
    </row>
    <row r="15" spans="1:15" ht="12.75">
      <c r="A15" s="17"/>
      <c r="D15" s="43" t="s">
        <v>363</v>
      </c>
      <c r="E15" s="45"/>
      <c r="G15" s="51">
        <v>0</v>
      </c>
      <c r="N15" s="16"/>
      <c r="O15" s="17"/>
    </row>
    <row r="16" spans="1:15" ht="12.75">
      <c r="A16" s="17"/>
      <c r="D16" s="43" t="s">
        <v>364</v>
      </c>
      <c r="E16" s="45"/>
      <c r="G16" s="51">
        <v>2.51</v>
      </c>
      <c r="N16" s="16"/>
      <c r="O16" s="17"/>
    </row>
    <row r="17" spans="1:64" ht="12.75">
      <c r="A17" s="34" t="s">
        <v>75</v>
      </c>
      <c r="B17" s="41"/>
      <c r="C17" s="41" t="s">
        <v>216</v>
      </c>
      <c r="D17" s="218" t="s">
        <v>365</v>
      </c>
      <c r="E17" s="219"/>
      <c r="F17" s="41" t="s">
        <v>593</v>
      </c>
      <c r="G17" s="50">
        <v>3.22</v>
      </c>
      <c r="H17" s="135"/>
      <c r="I17" s="50">
        <f>G17*AO17</f>
        <v>0</v>
      </c>
      <c r="J17" s="50">
        <f>G17*AP17</f>
        <v>0</v>
      </c>
      <c r="K17" s="50">
        <f>G17*H17</f>
        <v>0</v>
      </c>
      <c r="L17" s="50">
        <v>0.05654</v>
      </c>
      <c r="M17" s="50">
        <f>G17*L17</f>
        <v>0.18205880000000002</v>
      </c>
      <c r="N17" s="65" t="s">
        <v>616</v>
      </c>
      <c r="O17" s="17"/>
      <c r="Z17" s="68">
        <f>IF(AQ17="5",BJ17,0)</f>
        <v>0</v>
      </c>
      <c r="AB17" s="68">
        <f>IF(AQ17="1",BH17,0)</f>
        <v>0</v>
      </c>
      <c r="AC17" s="68">
        <f>IF(AQ17="1",BI17,0)</f>
        <v>0</v>
      </c>
      <c r="AD17" s="68">
        <f>IF(AQ17="7",BH17,0)</f>
        <v>0</v>
      </c>
      <c r="AE17" s="68">
        <f>IF(AQ17="7",BI17,0)</f>
        <v>0</v>
      </c>
      <c r="AF17" s="68">
        <f>IF(AQ17="2",BH17,0)</f>
        <v>0</v>
      </c>
      <c r="AG17" s="68">
        <f>IF(AQ17="2",BI17,0)</f>
        <v>0</v>
      </c>
      <c r="AH17" s="68">
        <f>IF(AQ17="0",BJ17,0)</f>
        <v>0</v>
      </c>
      <c r="AI17" s="60"/>
      <c r="AJ17" s="50">
        <f>IF(AN17=0,K17,0)</f>
        <v>0</v>
      </c>
      <c r="AK17" s="50">
        <f>IF(AN17=15,K17,0)</f>
        <v>0</v>
      </c>
      <c r="AL17" s="50">
        <f>IF(AN17=21,K17,0)</f>
        <v>0</v>
      </c>
      <c r="AN17" s="68">
        <v>15</v>
      </c>
      <c r="AO17" s="68">
        <f>H17*0.611892655367232</f>
        <v>0</v>
      </c>
      <c r="AP17" s="68">
        <f>H17*(1-0.611892655367232)</f>
        <v>0</v>
      </c>
      <c r="AQ17" s="69" t="s">
        <v>74</v>
      </c>
      <c r="AV17" s="68">
        <f>AW17+AX17</f>
        <v>0</v>
      </c>
      <c r="AW17" s="68">
        <f>G17*AO17</f>
        <v>0</v>
      </c>
      <c r="AX17" s="68">
        <f>G17*AP17</f>
        <v>0</v>
      </c>
      <c r="AY17" s="71" t="s">
        <v>626</v>
      </c>
      <c r="AZ17" s="71" t="s">
        <v>649</v>
      </c>
      <c r="BA17" s="60" t="s">
        <v>657</v>
      </c>
      <c r="BC17" s="68">
        <f>AW17+AX17</f>
        <v>0</v>
      </c>
      <c r="BD17" s="68">
        <f>H17/(100-BE17)*100</f>
        <v>0</v>
      </c>
      <c r="BE17" s="68">
        <v>0</v>
      </c>
      <c r="BF17" s="68">
        <f>M17</f>
        <v>0.18205880000000002</v>
      </c>
      <c r="BH17" s="50">
        <f>G17*AO17</f>
        <v>0</v>
      </c>
      <c r="BI17" s="50">
        <f>G17*AP17</f>
        <v>0</v>
      </c>
      <c r="BJ17" s="50">
        <f>G17*H17</f>
        <v>0</v>
      </c>
      <c r="BK17" s="50" t="s">
        <v>662</v>
      </c>
      <c r="BL17" s="68">
        <v>34</v>
      </c>
    </row>
    <row r="18" spans="1:15" ht="12.75">
      <c r="A18" s="17"/>
      <c r="D18" s="43" t="s">
        <v>366</v>
      </c>
      <c r="E18" s="45"/>
      <c r="G18" s="51">
        <v>2.7</v>
      </c>
      <c r="N18" s="16"/>
      <c r="O18" s="17"/>
    </row>
    <row r="19" spans="1:15" ht="12.75">
      <c r="A19" s="17"/>
      <c r="D19" s="43" t="s">
        <v>367</v>
      </c>
      <c r="E19" s="45"/>
      <c r="G19" s="51">
        <v>0.52</v>
      </c>
      <c r="N19" s="16"/>
      <c r="O19" s="17"/>
    </row>
    <row r="20" spans="1:64" ht="12.75">
      <c r="A20" s="34" t="s">
        <v>76</v>
      </c>
      <c r="B20" s="41"/>
      <c r="C20" s="41" t="s">
        <v>217</v>
      </c>
      <c r="D20" s="218" t="s">
        <v>368</v>
      </c>
      <c r="E20" s="219"/>
      <c r="F20" s="41" t="s">
        <v>593</v>
      </c>
      <c r="G20" s="50">
        <v>15.846</v>
      </c>
      <c r="H20" s="135"/>
      <c r="I20" s="50">
        <f>G20*AO20</f>
        <v>0</v>
      </c>
      <c r="J20" s="50">
        <f>G20*AP20</f>
        <v>0</v>
      </c>
      <c r="K20" s="50">
        <f>G20*H20</f>
        <v>0</v>
      </c>
      <c r="L20" s="50">
        <v>0.07471</v>
      </c>
      <c r="M20" s="50">
        <f>G20*L20</f>
        <v>1.18385466</v>
      </c>
      <c r="N20" s="65" t="s">
        <v>616</v>
      </c>
      <c r="O20" s="17"/>
      <c r="Z20" s="68">
        <f>IF(AQ20="5",BJ20,0)</f>
        <v>0</v>
      </c>
      <c r="AB20" s="68">
        <f>IF(AQ20="1",BH20,0)</f>
        <v>0</v>
      </c>
      <c r="AC20" s="68">
        <f>IF(AQ20="1",BI20,0)</f>
        <v>0</v>
      </c>
      <c r="AD20" s="68">
        <f>IF(AQ20="7",BH20,0)</f>
        <v>0</v>
      </c>
      <c r="AE20" s="68">
        <f>IF(AQ20="7",BI20,0)</f>
        <v>0</v>
      </c>
      <c r="AF20" s="68">
        <f>IF(AQ20="2",BH20,0)</f>
        <v>0</v>
      </c>
      <c r="AG20" s="68">
        <f>IF(AQ20="2",BI20,0)</f>
        <v>0</v>
      </c>
      <c r="AH20" s="68">
        <f>IF(AQ20="0",BJ20,0)</f>
        <v>0</v>
      </c>
      <c r="AI20" s="60"/>
      <c r="AJ20" s="50">
        <f>IF(AN20=0,K20,0)</f>
        <v>0</v>
      </c>
      <c r="AK20" s="50">
        <f>IF(AN20=15,K20,0)</f>
        <v>0</v>
      </c>
      <c r="AL20" s="50">
        <f>IF(AN20=21,K20,0)</f>
        <v>0</v>
      </c>
      <c r="AN20" s="68">
        <v>15</v>
      </c>
      <c r="AO20" s="68">
        <f>H20*0.649021904747945</f>
        <v>0</v>
      </c>
      <c r="AP20" s="68">
        <f>H20*(1-0.649021904747945)</f>
        <v>0</v>
      </c>
      <c r="AQ20" s="69" t="s">
        <v>74</v>
      </c>
      <c r="AV20" s="68">
        <f>AW20+AX20</f>
        <v>0</v>
      </c>
      <c r="AW20" s="68">
        <f>G20*AO20</f>
        <v>0</v>
      </c>
      <c r="AX20" s="68">
        <f>G20*AP20</f>
        <v>0</v>
      </c>
      <c r="AY20" s="71" t="s">
        <v>626</v>
      </c>
      <c r="AZ20" s="71" t="s">
        <v>649</v>
      </c>
      <c r="BA20" s="60" t="s">
        <v>657</v>
      </c>
      <c r="BC20" s="68">
        <f>AW20+AX20</f>
        <v>0</v>
      </c>
      <c r="BD20" s="68">
        <f>H20/(100-BE20)*100</f>
        <v>0</v>
      </c>
      <c r="BE20" s="68">
        <v>0</v>
      </c>
      <c r="BF20" s="68">
        <f>M20</f>
        <v>1.18385466</v>
      </c>
      <c r="BH20" s="50">
        <f>G20*AO20</f>
        <v>0</v>
      </c>
      <c r="BI20" s="50">
        <f>G20*AP20</f>
        <v>0</v>
      </c>
      <c r="BJ20" s="50">
        <f>G20*H20</f>
        <v>0</v>
      </c>
      <c r="BK20" s="50" t="s">
        <v>662</v>
      </c>
      <c r="BL20" s="68">
        <v>34</v>
      </c>
    </row>
    <row r="21" spans="1:15" ht="12.75">
      <c r="A21" s="17"/>
      <c r="D21" s="43" t="s">
        <v>369</v>
      </c>
      <c r="E21" s="45"/>
      <c r="G21" s="51">
        <v>13.206</v>
      </c>
      <c r="N21" s="16"/>
      <c r="O21" s="17"/>
    </row>
    <row r="22" spans="1:15" ht="12.75">
      <c r="A22" s="17"/>
      <c r="D22" s="43" t="s">
        <v>370</v>
      </c>
      <c r="E22" s="45"/>
      <c r="G22" s="51">
        <v>2.64</v>
      </c>
      <c r="N22" s="16"/>
      <c r="O22" s="17"/>
    </row>
    <row r="23" spans="1:64" ht="12.75">
      <c r="A23" s="34" t="s">
        <v>77</v>
      </c>
      <c r="B23" s="41"/>
      <c r="C23" s="41" t="s">
        <v>218</v>
      </c>
      <c r="D23" s="218" t="s">
        <v>371</v>
      </c>
      <c r="E23" s="219"/>
      <c r="F23" s="41" t="s">
        <v>594</v>
      </c>
      <c r="G23" s="50">
        <v>11.5</v>
      </c>
      <c r="H23" s="135"/>
      <c r="I23" s="50">
        <f>G23*AO23</f>
        <v>0</v>
      </c>
      <c r="J23" s="50">
        <f>G23*AP23</f>
        <v>0</v>
      </c>
      <c r="K23" s="50">
        <f>G23*H23</f>
        <v>0</v>
      </c>
      <c r="L23" s="50">
        <v>8E-05</v>
      </c>
      <c r="M23" s="50">
        <f>G23*L23</f>
        <v>0.00092</v>
      </c>
      <c r="N23" s="65" t="s">
        <v>616</v>
      </c>
      <c r="O23" s="17"/>
      <c r="Z23" s="68">
        <f>IF(AQ23="5",BJ23,0)</f>
        <v>0</v>
      </c>
      <c r="AB23" s="68">
        <f>IF(AQ23="1",BH23,0)</f>
        <v>0</v>
      </c>
      <c r="AC23" s="68">
        <f>IF(AQ23="1",BI23,0)</f>
        <v>0</v>
      </c>
      <c r="AD23" s="68">
        <f>IF(AQ23="7",BH23,0)</f>
        <v>0</v>
      </c>
      <c r="AE23" s="68">
        <f>IF(AQ23="7",BI23,0)</f>
        <v>0</v>
      </c>
      <c r="AF23" s="68">
        <f>IF(AQ23="2",BH23,0)</f>
        <v>0</v>
      </c>
      <c r="AG23" s="68">
        <f>IF(AQ23="2",BI23,0)</f>
        <v>0</v>
      </c>
      <c r="AH23" s="68">
        <f>IF(AQ23="0",BJ23,0)</f>
        <v>0</v>
      </c>
      <c r="AI23" s="60"/>
      <c r="AJ23" s="50">
        <f>IF(AN23=0,K23,0)</f>
        <v>0</v>
      </c>
      <c r="AK23" s="50">
        <f>IF(AN23=15,K23,0)</f>
        <v>0</v>
      </c>
      <c r="AL23" s="50">
        <f>IF(AN23=21,K23,0)</f>
        <v>0</v>
      </c>
      <c r="AN23" s="68">
        <v>15</v>
      </c>
      <c r="AO23" s="68">
        <f>H23*0.191980681579949</f>
        <v>0</v>
      </c>
      <c r="AP23" s="68">
        <f>H23*(1-0.191980681579949)</f>
        <v>0</v>
      </c>
      <c r="AQ23" s="69" t="s">
        <v>74</v>
      </c>
      <c r="AV23" s="68">
        <f>AW23+AX23</f>
        <v>0</v>
      </c>
      <c r="AW23" s="68">
        <f>G23*AO23</f>
        <v>0</v>
      </c>
      <c r="AX23" s="68">
        <f>G23*AP23</f>
        <v>0</v>
      </c>
      <c r="AY23" s="71" t="s">
        <v>626</v>
      </c>
      <c r="AZ23" s="71" t="s">
        <v>649</v>
      </c>
      <c r="BA23" s="60" t="s">
        <v>657</v>
      </c>
      <c r="BC23" s="68">
        <f>AW23+AX23</f>
        <v>0</v>
      </c>
      <c r="BD23" s="68">
        <f>H23/(100-BE23)*100</f>
        <v>0</v>
      </c>
      <c r="BE23" s="68">
        <v>0</v>
      </c>
      <c r="BF23" s="68">
        <f>M23</f>
        <v>0.00092</v>
      </c>
      <c r="BH23" s="50">
        <f>G23*AO23</f>
        <v>0</v>
      </c>
      <c r="BI23" s="50">
        <f>G23*AP23</f>
        <v>0</v>
      </c>
      <c r="BJ23" s="50">
        <f>G23*H23</f>
        <v>0</v>
      </c>
      <c r="BK23" s="50" t="s">
        <v>662</v>
      </c>
      <c r="BL23" s="68">
        <v>34</v>
      </c>
    </row>
    <row r="24" spans="1:15" ht="12.75">
      <c r="A24" s="17"/>
      <c r="D24" s="43" t="s">
        <v>372</v>
      </c>
      <c r="E24" s="45"/>
      <c r="G24" s="51">
        <v>11.5</v>
      </c>
      <c r="N24" s="16"/>
      <c r="O24" s="17"/>
    </row>
    <row r="25" spans="1:47" ht="12.75">
      <c r="A25" s="33"/>
      <c r="B25" s="40"/>
      <c r="C25" s="40" t="s">
        <v>134</v>
      </c>
      <c r="D25" s="216" t="s">
        <v>373</v>
      </c>
      <c r="E25" s="217"/>
      <c r="F25" s="48" t="s">
        <v>73</v>
      </c>
      <c r="G25" s="48" t="s">
        <v>73</v>
      </c>
      <c r="H25" s="48" t="s">
        <v>73</v>
      </c>
      <c r="I25" s="74">
        <f>SUM(I26:I66)</f>
        <v>0</v>
      </c>
      <c r="J25" s="74">
        <f>SUM(J26:J66)</f>
        <v>0</v>
      </c>
      <c r="K25" s="74">
        <f>SUM(K26:K66)</f>
        <v>0</v>
      </c>
      <c r="L25" s="60"/>
      <c r="M25" s="74">
        <f>SUM(M26:M66)</f>
        <v>3.3007397695000003</v>
      </c>
      <c r="N25" s="64"/>
      <c r="O25" s="17"/>
      <c r="AI25" s="60"/>
      <c r="AS25" s="74">
        <f>SUM(AJ26:AJ66)</f>
        <v>0</v>
      </c>
      <c r="AT25" s="74">
        <f>SUM(AK26:AK66)</f>
        <v>0</v>
      </c>
      <c r="AU25" s="74">
        <f>SUM(AL26:AL66)</f>
        <v>0</v>
      </c>
    </row>
    <row r="26" spans="1:64" ht="12.75">
      <c r="A26" s="34" t="s">
        <v>78</v>
      </c>
      <c r="B26" s="41"/>
      <c r="C26" s="41" t="s">
        <v>219</v>
      </c>
      <c r="D26" s="218" t="s">
        <v>374</v>
      </c>
      <c r="E26" s="219"/>
      <c r="F26" s="41" t="s">
        <v>595</v>
      </c>
      <c r="G26" s="50">
        <v>4</v>
      </c>
      <c r="H26" s="135"/>
      <c r="I26" s="50">
        <f>G26*AO26</f>
        <v>0</v>
      </c>
      <c r="J26" s="50">
        <f>G26*AP26</f>
        <v>0</v>
      </c>
      <c r="K26" s="50">
        <f>G26*H26</f>
        <v>0</v>
      </c>
      <c r="L26" s="50">
        <v>0.00649</v>
      </c>
      <c r="M26" s="50">
        <f>G26*L26</f>
        <v>0.02596</v>
      </c>
      <c r="N26" s="65" t="s">
        <v>616</v>
      </c>
      <c r="O26" s="17"/>
      <c r="Z26" s="68">
        <f>IF(AQ26="5",BJ26,0)</f>
        <v>0</v>
      </c>
      <c r="AB26" s="68">
        <f>IF(AQ26="1",BH26,0)</f>
        <v>0</v>
      </c>
      <c r="AC26" s="68">
        <f>IF(AQ26="1",BI26,0)</f>
        <v>0</v>
      </c>
      <c r="AD26" s="68">
        <f>IF(AQ26="7",BH26,0)</f>
        <v>0</v>
      </c>
      <c r="AE26" s="68">
        <f>IF(AQ26="7",BI26,0)</f>
        <v>0</v>
      </c>
      <c r="AF26" s="68">
        <f>IF(AQ26="2",BH26,0)</f>
        <v>0</v>
      </c>
      <c r="AG26" s="68">
        <f>IF(AQ26="2",BI26,0)</f>
        <v>0</v>
      </c>
      <c r="AH26" s="68">
        <f>IF(AQ26="0",BJ26,0)</f>
        <v>0</v>
      </c>
      <c r="AI26" s="60"/>
      <c r="AJ26" s="50">
        <f>IF(AN26=0,K26,0)</f>
        <v>0</v>
      </c>
      <c r="AK26" s="50">
        <f>IF(AN26=15,K26,0)</f>
        <v>0</v>
      </c>
      <c r="AL26" s="50">
        <f>IF(AN26=21,K26,0)</f>
        <v>0</v>
      </c>
      <c r="AN26" s="68">
        <v>15</v>
      </c>
      <c r="AO26" s="68">
        <f>H26*0.190516431924883</f>
        <v>0</v>
      </c>
      <c r="AP26" s="68">
        <f>H26*(1-0.190516431924883)</f>
        <v>0</v>
      </c>
      <c r="AQ26" s="69" t="s">
        <v>74</v>
      </c>
      <c r="AV26" s="68">
        <f>AW26+AX26</f>
        <v>0</v>
      </c>
      <c r="AW26" s="68">
        <f>G26*AO26</f>
        <v>0</v>
      </c>
      <c r="AX26" s="68">
        <f>G26*AP26</f>
        <v>0</v>
      </c>
      <c r="AY26" s="71" t="s">
        <v>627</v>
      </c>
      <c r="AZ26" s="71" t="s">
        <v>650</v>
      </c>
      <c r="BA26" s="60" t="s">
        <v>657</v>
      </c>
      <c r="BC26" s="68">
        <f>AW26+AX26</f>
        <v>0</v>
      </c>
      <c r="BD26" s="68">
        <f>H26/(100-BE26)*100</f>
        <v>0</v>
      </c>
      <c r="BE26" s="68">
        <v>0</v>
      </c>
      <c r="BF26" s="68">
        <f>M26</f>
        <v>0.02596</v>
      </c>
      <c r="BH26" s="50">
        <f>G26*AO26</f>
        <v>0</v>
      </c>
      <c r="BI26" s="50">
        <f>G26*AP26</f>
        <v>0</v>
      </c>
      <c r="BJ26" s="50">
        <f>G26*H26</f>
        <v>0</v>
      </c>
      <c r="BK26" s="50" t="s">
        <v>662</v>
      </c>
      <c r="BL26" s="68">
        <v>61</v>
      </c>
    </row>
    <row r="27" spans="1:64" ht="12.75">
      <c r="A27" s="34" t="s">
        <v>79</v>
      </c>
      <c r="B27" s="41"/>
      <c r="C27" s="41" t="s">
        <v>220</v>
      </c>
      <c r="D27" s="218" t="s">
        <v>375</v>
      </c>
      <c r="E27" s="219"/>
      <c r="F27" s="41" t="s">
        <v>593</v>
      </c>
      <c r="G27" s="50">
        <v>2.5</v>
      </c>
      <c r="H27" s="135"/>
      <c r="I27" s="50">
        <f>G27*AO27</f>
        <v>0</v>
      </c>
      <c r="J27" s="50">
        <f>G27*AP27</f>
        <v>0</v>
      </c>
      <c r="K27" s="50">
        <f>G27*H27</f>
        <v>0</v>
      </c>
      <c r="L27" s="50">
        <v>0.10712</v>
      </c>
      <c r="M27" s="50">
        <f>G27*L27</f>
        <v>0.26780000000000004</v>
      </c>
      <c r="N27" s="65" t="s">
        <v>616</v>
      </c>
      <c r="O27" s="17"/>
      <c r="Z27" s="68">
        <f>IF(AQ27="5",BJ27,0)</f>
        <v>0</v>
      </c>
      <c r="AB27" s="68">
        <f>IF(AQ27="1",BH27,0)</f>
        <v>0</v>
      </c>
      <c r="AC27" s="68">
        <f>IF(AQ27="1",BI27,0)</f>
        <v>0</v>
      </c>
      <c r="AD27" s="68">
        <f>IF(AQ27="7",BH27,0)</f>
        <v>0</v>
      </c>
      <c r="AE27" s="68">
        <f>IF(AQ27="7",BI27,0)</f>
        <v>0</v>
      </c>
      <c r="AF27" s="68">
        <f>IF(AQ27="2",BH27,0)</f>
        <v>0</v>
      </c>
      <c r="AG27" s="68">
        <f>IF(AQ27="2",BI27,0)</f>
        <v>0</v>
      </c>
      <c r="AH27" s="68">
        <f>IF(AQ27="0",BJ27,0)</f>
        <v>0</v>
      </c>
      <c r="AI27" s="60"/>
      <c r="AJ27" s="50">
        <f>IF(AN27=0,K27,0)</f>
        <v>0</v>
      </c>
      <c r="AK27" s="50">
        <f>IF(AN27=15,K27,0)</f>
        <v>0</v>
      </c>
      <c r="AL27" s="50">
        <f>IF(AN27=21,K27,0)</f>
        <v>0</v>
      </c>
      <c r="AN27" s="68">
        <v>15</v>
      </c>
      <c r="AO27" s="68">
        <f>H27*0.221316348195329</f>
        <v>0</v>
      </c>
      <c r="AP27" s="68">
        <f>H27*(1-0.221316348195329)</f>
        <v>0</v>
      </c>
      <c r="AQ27" s="69" t="s">
        <v>74</v>
      </c>
      <c r="AV27" s="68">
        <f>AW27+AX27</f>
        <v>0</v>
      </c>
      <c r="AW27" s="68">
        <f>G27*AO27</f>
        <v>0</v>
      </c>
      <c r="AX27" s="68">
        <f>G27*AP27</f>
        <v>0</v>
      </c>
      <c r="AY27" s="71" t="s">
        <v>627</v>
      </c>
      <c r="AZ27" s="71" t="s">
        <v>650</v>
      </c>
      <c r="BA27" s="60" t="s">
        <v>657</v>
      </c>
      <c r="BC27" s="68">
        <f>AW27+AX27</f>
        <v>0</v>
      </c>
      <c r="BD27" s="68">
        <f>H27/(100-BE27)*100</f>
        <v>0</v>
      </c>
      <c r="BE27" s="68">
        <v>0</v>
      </c>
      <c r="BF27" s="68">
        <f>M27</f>
        <v>0.26780000000000004</v>
      </c>
      <c r="BH27" s="50">
        <f>G27*AO27</f>
        <v>0</v>
      </c>
      <c r="BI27" s="50">
        <f>G27*AP27</f>
        <v>0</v>
      </c>
      <c r="BJ27" s="50">
        <f>G27*H27</f>
        <v>0</v>
      </c>
      <c r="BK27" s="50" t="s">
        <v>662</v>
      </c>
      <c r="BL27" s="68">
        <v>61</v>
      </c>
    </row>
    <row r="28" spans="1:64" ht="12.75">
      <c r="A28" s="34" t="s">
        <v>80</v>
      </c>
      <c r="B28" s="41"/>
      <c r="C28" s="41" t="s">
        <v>221</v>
      </c>
      <c r="D28" s="218" t="s">
        <v>376</v>
      </c>
      <c r="E28" s="219"/>
      <c r="F28" s="41" t="s">
        <v>593</v>
      </c>
      <c r="G28" s="50">
        <v>40.43</v>
      </c>
      <c r="H28" s="135"/>
      <c r="I28" s="50">
        <f>G28*AO28</f>
        <v>0</v>
      </c>
      <c r="J28" s="50">
        <f>G28*AP28</f>
        <v>0</v>
      </c>
      <c r="K28" s="50">
        <f>G28*H28</f>
        <v>0</v>
      </c>
      <c r="L28" s="50">
        <v>0.00032</v>
      </c>
      <c r="M28" s="50">
        <f>G28*L28</f>
        <v>0.0129376</v>
      </c>
      <c r="N28" s="65" t="s">
        <v>616</v>
      </c>
      <c r="O28" s="17"/>
      <c r="Z28" s="68">
        <f>IF(AQ28="5",BJ28,0)</f>
        <v>0</v>
      </c>
      <c r="AB28" s="68">
        <f>IF(AQ28="1",BH28,0)</f>
        <v>0</v>
      </c>
      <c r="AC28" s="68">
        <f>IF(AQ28="1",BI28,0)</f>
        <v>0</v>
      </c>
      <c r="AD28" s="68">
        <f>IF(AQ28="7",BH28,0)</f>
        <v>0</v>
      </c>
      <c r="AE28" s="68">
        <f>IF(AQ28="7",BI28,0)</f>
        <v>0</v>
      </c>
      <c r="AF28" s="68">
        <f>IF(AQ28="2",BH28,0)</f>
        <v>0</v>
      </c>
      <c r="AG28" s="68">
        <f>IF(AQ28="2",BI28,0)</f>
        <v>0</v>
      </c>
      <c r="AH28" s="68">
        <f>IF(AQ28="0",BJ28,0)</f>
        <v>0</v>
      </c>
      <c r="AI28" s="60"/>
      <c r="AJ28" s="50">
        <f>IF(AN28=0,K28,0)</f>
        <v>0</v>
      </c>
      <c r="AK28" s="50">
        <f>IF(AN28=15,K28,0)</f>
        <v>0</v>
      </c>
      <c r="AL28" s="50">
        <f>IF(AN28=21,K28,0)</f>
        <v>0</v>
      </c>
      <c r="AN28" s="68">
        <v>15</v>
      </c>
      <c r="AO28" s="68">
        <f>H28*0.447622381627847</f>
        <v>0</v>
      </c>
      <c r="AP28" s="68">
        <f>H28*(1-0.447622381627847)</f>
        <v>0</v>
      </c>
      <c r="AQ28" s="69" t="s">
        <v>74</v>
      </c>
      <c r="AV28" s="68">
        <f>AW28+AX28</f>
        <v>0</v>
      </c>
      <c r="AW28" s="68">
        <f>G28*AO28</f>
        <v>0</v>
      </c>
      <c r="AX28" s="68">
        <f>G28*AP28</f>
        <v>0</v>
      </c>
      <c r="AY28" s="71" t="s">
        <v>627</v>
      </c>
      <c r="AZ28" s="71" t="s">
        <v>650</v>
      </c>
      <c r="BA28" s="60" t="s">
        <v>657</v>
      </c>
      <c r="BC28" s="68">
        <f>AW28+AX28</f>
        <v>0</v>
      </c>
      <c r="BD28" s="68">
        <f>H28/(100-BE28)*100</f>
        <v>0</v>
      </c>
      <c r="BE28" s="68">
        <v>0</v>
      </c>
      <c r="BF28" s="68">
        <f>M28</f>
        <v>0.0129376</v>
      </c>
      <c r="BH28" s="50">
        <f>G28*AO28</f>
        <v>0</v>
      </c>
      <c r="BI28" s="50">
        <f>G28*AP28</f>
        <v>0</v>
      </c>
      <c r="BJ28" s="50">
        <f>G28*H28</f>
        <v>0</v>
      </c>
      <c r="BK28" s="50" t="s">
        <v>662</v>
      </c>
      <c r="BL28" s="68">
        <v>61</v>
      </c>
    </row>
    <row r="29" spans="1:64" ht="12.75">
      <c r="A29" s="34" t="s">
        <v>81</v>
      </c>
      <c r="B29" s="41"/>
      <c r="C29" s="41" t="s">
        <v>222</v>
      </c>
      <c r="D29" s="218" t="s">
        <v>377</v>
      </c>
      <c r="E29" s="219"/>
      <c r="F29" s="41" t="s">
        <v>593</v>
      </c>
      <c r="G29" s="50">
        <v>40.43305</v>
      </c>
      <c r="H29" s="135"/>
      <c r="I29" s="50">
        <f>G29*AO29</f>
        <v>0</v>
      </c>
      <c r="J29" s="50">
        <f>G29*AP29</f>
        <v>0</v>
      </c>
      <c r="K29" s="50">
        <f>G29*H29</f>
        <v>0</v>
      </c>
      <c r="L29" s="50">
        <v>0.00559</v>
      </c>
      <c r="M29" s="50">
        <f>G29*L29</f>
        <v>0.22602074950000003</v>
      </c>
      <c r="N29" s="65" t="s">
        <v>616</v>
      </c>
      <c r="O29" s="17"/>
      <c r="Z29" s="68">
        <f>IF(AQ29="5",BJ29,0)</f>
        <v>0</v>
      </c>
      <c r="AB29" s="68">
        <f>IF(AQ29="1",BH29,0)</f>
        <v>0</v>
      </c>
      <c r="AC29" s="68">
        <f>IF(AQ29="1",BI29,0)</f>
        <v>0</v>
      </c>
      <c r="AD29" s="68">
        <f>IF(AQ29="7",BH29,0)</f>
        <v>0</v>
      </c>
      <c r="AE29" s="68">
        <f>IF(AQ29="7",BI29,0)</f>
        <v>0</v>
      </c>
      <c r="AF29" s="68">
        <f>IF(AQ29="2",BH29,0)</f>
        <v>0</v>
      </c>
      <c r="AG29" s="68">
        <f>IF(AQ29="2",BI29,0)</f>
        <v>0</v>
      </c>
      <c r="AH29" s="68">
        <f>IF(AQ29="0",BJ29,0)</f>
        <v>0</v>
      </c>
      <c r="AI29" s="60"/>
      <c r="AJ29" s="50">
        <f>IF(AN29=0,K29,0)</f>
        <v>0</v>
      </c>
      <c r="AK29" s="50">
        <f>IF(AN29=15,K29,0)</f>
        <v>0</v>
      </c>
      <c r="AL29" s="50">
        <f>IF(AN29=21,K29,0)</f>
        <v>0</v>
      </c>
      <c r="AN29" s="68">
        <v>15</v>
      </c>
      <c r="AO29" s="68">
        <f>H29*0.216560712064119</f>
        <v>0</v>
      </c>
      <c r="AP29" s="68">
        <f>H29*(1-0.216560712064119)</f>
        <v>0</v>
      </c>
      <c r="AQ29" s="69" t="s">
        <v>74</v>
      </c>
      <c r="AV29" s="68">
        <f>AW29+AX29</f>
        <v>0</v>
      </c>
      <c r="AW29" s="68">
        <f>G29*AO29</f>
        <v>0</v>
      </c>
      <c r="AX29" s="68">
        <f>G29*AP29</f>
        <v>0</v>
      </c>
      <c r="AY29" s="71" t="s">
        <v>627</v>
      </c>
      <c r="AZ29" s="71" t="s">
        <v>650</v>
      </c>
      <c r="BA29" s="60" t="s">
        <v>657</v>
      </c>
      <c r="BC29" s="68">
        <f>AW29+AX29</f>
        <v>0</v>
      </c>
      <c r="BD29" s="68">
        <f>H29/(100-BE29)*100</f>
        <v>0</v>
      </c>
      <c r="BE29" s="68">
        <v>0</v>
      </c>
      <c r="BF29" s="68">
        <f>M29</f>
        <v>0.22602074950000003</v>
      </c>
      <c r="BH29" s="50">
        <f>G29*AO29</f>
        <v>0</v>
      </c>
      <c r="BI29" s="50">
        <f>G29*AP29</f>
        <v>0</v>
      </c>
      <c r="BJ29" s="50">
        <f>G29*H29</f>
        <v>0</v>
      </c>
      <c r="BK29" s="50" t="s">
        <v>662</v>
      </c>
      <c r="BL29" s="68">
        <v>61</v>
      </c>
    </row>
    <row r="30" spans="1:15" ht="12.75">
      <c r="A30" s="17"/>
      <c r="D30" s="43" t="s">
        <v>378</v>
      </c>
      <c r="E30" s="45"/>
      <c r="G30" s="51">
        <v>0</v>
      </c>
      <c r="N30" s="16"/>
      <c r="O30" s="17"/>
    </row>
    <row r="31" spans="1:15" ht="12.75">
      <c r="A31" s="17"/>
      <c r="D31" s="43" t="s">
        <v>379</v>
      </c>
      <c r="E31" s="45"/>
      <c r="G31" s="51">
        <v>3.99</v>
      </c>
      <c r="N31" s="16"/>
      <c r="O31" s="17"/>
    </row>
    <row r="32" spans="1:15" ht="12.75">
      <c r="A32" s="17"/>
      <c r="D32" s="43" t="s">
        <v>380</v>
      </c>
      <c r="E32" s="45"/>
      <c r="G32" s="51">
        <v>0</v>
      </c>
      <c r="N32" s="16"/>
      <c r="O32" s="17"/>
    </row>
    <row r="33" spans="1:15" ht="12.75">
      <c r="A33" s="17"/>
      <c r="D33" s="43" t="s">
        <v>381</v>
      </c>
      <c r="E33" s="45"/>
      <c r="G33" s="51">
        <v>5.37225</v>
      </c>
      <c r="N33" s="16"/>
      <c r="O33" s="17"/>
    </row>
    <row r="34" spans="1:15" ht="12.75">
      <c r="A34" s="17"/>
      <c r="D34" s="43" t="s">
        <v>382</v>
      </c>
      <c r="E34" s="45"/>
      <c r="G34" s="51">
        <v>0</v>
      </c>
      <c r="N34" s="16"/>
      <c r="O34" s="17"/>
    </row>
    <row r="35" spans="1:15" ht="12.75">
      <c r="A35" s="17"/>
      <c r="D35" s="43" t="s">
        <v>383</v>
      </c>
      <c r="E35" s="45"/>
      <c r="G35" s="51">
        <v>10.4319</v>
      </c>
      <c r="N35" s="16"/>
      <c r="O35" s="17"/>
    </row>
    <row r="36" spans="1:15" ht="12.75">
      <c r="A36" s="17"/>
      <c r="D36" s="43" t="s">
        <v>384</v>
      </c>
      <c r="E36" s="45"/>
      <c r="G36" s="51">
        <v>0</v>
      </c>
      <c r="N36" s="16"/>
      <c r="O36" s="17"/>
    </row>
    <row r="37" spans="1:15" ht="12.75">
      <c r="A37" s="17"/>
      <c r="D37" s="43" t="s">
        <v>385</v>
      </c>
      <c r="E37" s="45"/>
      <c r="G37" s="51">
        <v>20.6389</v>
      </c>
      <c r="N37" s="16"/>
      <c r="O37" s="17"/>
    </row>
    <row r="38" spans="1:64" ht="12.75">
      <c r="A38" s="34" t="s">
        <v>82</v>
      </c>
      <c r="B38" s="41"/>
      <c r="C38" s="41" t="s">
        <v>223</v>
      </c>
      <c r="D38" s="218" t="s">
        <v>386</v>
      </c>
      <c r="E38" s="219"/>
      <c r="F38" s="41" t="s">
        <v>593</v>
      </c>
      <c r="G38" s="50">
        <v>101.43</v>
      </c>
      <c r="H38" s="135"/>
      <c r="I38" s="50">
        <f>G38*AO38</f>
        <v>0</v>
      </c>
      <c r="J38" s="50">
        <f>G38*AP38</f>
        <v>0</v>
      </c>
      <c r="K38" s="50">
        <f>G38*H38</f>
        <v>0</v>
      </c>
      <c r="L38" s="50">
        <v>0.00032</v>
      </c>
      <c r="M38" s="50">
        <f>G38*L38</f>
        <v>0.0324576</v>
      </c>
      <c r="N38" s="65" t="s">
        <v>616</v>
      </c>
      <c r="O38" s="17"/>
      <c r="Z38" s="68">
        <f>IF(AQ38="5",BJ38,0)</f>
        <v>0</v>
      </c>
      <c r="AB38" s="68">
        <f>IF(AQ38="1",BH38,0)</f>
        <v>0</v>
      </c>
      <c r="AC38" s="68">
        <f>IF(AQ38="1",BI38,0)</f>
        <v>0</v>
      </c>
      <c r="AD38" s="68">
        <f>IF(AQ38="7",BH38,0)</f>
        <v>0</v>
      </c>
      <c r="AE38" s="68">
        <f>IF(AQ38="7",BI38,0)</f>
        <v>0</v>
      </c>
      <c r="AF38" s="68">
        <f>IF(AQ38="2",BH38,0)</f>
        <v>0</v>
      </c>
      <c r="AG38" s="68">
        <f>IF(AQ38="2",BI38,0)</f>
        <v>0</v>
      </c>
      <c r="AH38" s="68">
        <f>IF(AQ38="0",BJ38,0)</f>
        <v>0</v>
      </c>
      <c r="AI38" s="60"/>
      <c r="AJ38" s="50">
        <f>IF(AN38=0,K38,0)</f>
        <v>0</v>
      </c>
      <c r="AK38" s="50">
        <f>IF(AN38=15,K38,0)</f>
        <v>0</v>
      </c>
      <c r="AL38" s="50">
        <f>IF(AN38=21,K38,0)</f>
        <v>0</v>
      </c>
      <c r="AN38" s="68">
        <v>15</v>
      </c>
      <c r="AO38" s="68">
        <f>H38*0.489402985074627</f>
        <v>0</v>
      </c>
      <c r="AP38" s="68">
        <f>H38*(1-0.489402985074627)</f>
        <v>0</v>
      </c>
      <c r="AQ38" s="69" t="s">
        <v>74</v>
      </c>
      <c r="AV38" s="68">
        <f>AW38+AX38</f>
        <v>0</v>
      </c>
      <c r="AW38" s="68">
        <f>G38*AO38</f>
        <v>0</v>
      </c>
      <c r="AX38" s="68">
        <f>G38*AP38</f>
        <v>0</v>
      </c>
      <c r="AY38" s="71" t="s">
        <v>627</v>
      </c>
      <c r="AZ38" s="71" t="s">
        <v>650</v>
      </c>
      <c r="BA38" s="60" t="s">
        <v>657</v>
      </c>
      <c r="BC38" s="68">
        <f>AW38+AX38</f>
        <v>0</v>
      </c>
      <c r="BD38" s="68">
        <f>H38/(100-BE38)*100</f>
        <v>0</v>
      </c>
      <c r="BE38" s="68">
        <v>0</v>
      </c>
      <c r="BF38" s="68">
        <f>M38</f>
        <v>0.0324576</v>
      </c>
      <c r="BH38" s="50">
        <f>G38*AO38</f>
        <v>0</v>
      </c>
      <c r="BI38" s="50">
        <f>G38*AP38</f>
        <v>0</v>
      </c>
      <c r="BJ38" s="50">
        <f>G38*H38</f>
        <v>0</v>
      </c>
      <c r="BK38" s="50" t="s">
        <v>662</v>
      </c>
      <c r="BL38" s="68">
        <v>61</v>
      </c>
    </row>
    <row r="39" spans="1:15" ht="12.75">
      <c r="A39" s="17"/>
      <c r="D39" s="43" t="s">
        <v>387</v>
      </c>
      <c r="E39" s="45"/>
      <c r="G39" s="51">
        <v>101.43</v>
      </c>
      <c r="N39" s="16"/>
      <c r="O39" s="17"/>
    </row>
    <row r="40" spans="1:64" ht="12.75">
      <c r="A40" s="34" t="s">
        <v>83</v>
      </c>
      <c r="B40" s="41"/>
      <c r="C40" s="41" t="s">
        <v>224</v>
      </c>
      <c r="D40" s="218" t="s">
        <v>388</v>
      </c>
      <c r="E40" s="219"/>
      <c r="F40" s="41" t="s">
        <v>593</v>
      </c>
      <c r="G40" s="50">
        <v>22.336</v>
      </c>
      <c r="H40" s="135"/>
      <c r="I40" s="50">
        <f>G40*AO40</f>
        <v>0</v>
      </c>
      <c r="J40" s="50">
        <f>G40*AP40</f>
        <v>0</v>
      </c>
      <c r="K40" s="50">
        <f>G40*H40</f>
        <v>0</v>
      </c>
      <c r="L40" s="50">
        <v>0.03921</v>
      </c>
      <c r="M40" s="50">
        <f>G40*L40</f>
        <v>0.87579456</v>
      </c>
      <c r="N40" s="65" t="s">
        <v>616</v>
      </c>
      <c r="O40" s="17"/>
      <c r="Z40" s="68">
        <f>IF(AQ40="5",BJ40,0)</f>
        <v>0</v>
      </c>
      <c r="AB40" s="68">
        <f>IF(AQ40="1",BH40,0)</f>
        <v>0</v>
      </c>
      <c r="AC40" s="68">
        <f>IF(AQ40="1",BI40,0)</f>
        <v>0</v>
      </c>
      <c r="AD40" s="68">
        <f>IF(AQ40="7",BH40,0)</f>
        <v>0</v>
      </c>
      <c r="AE40" s="68">
        <f>IF(AQ40="7",BI40,0)</f>
        <v>0</v>
      </c>
      <c r="AF40" s="68">
        <f>IF(AQ40="2",BH40,0)</f>
        <v>0</v>
      </c>
      <c r="AG40" s="68">
        <f>IF(AQ40="2",BI40,0)</f>
        <v>0</v>
      </c>
      <c r="AH40" s="68">
        <f>IF(AQ40="0",BJ40,0)</f>
        <v>0</v>
      </c>
      <c r="AI40" s="60"/>
      <c r="AJ40" s="50">
        <f>IF(AN40=0,K40,0)</f>
        <v>0</v>
      </c>
      <c r="AK40" s="50">
        <f>IF(AN40=15,K40,0)</f>
        <v>0</v>
      </c>
      <c r="AL40" s="50">
        <f>IF(AN40=21,K40,0)</f>
        <v>0</v>
      </c>
      <c r="AN40" s="68">
        <v>15</v>
      </c>
      <c r="AO40" s="68">
        <f>H40*0.158764826963759</f>
        <v>0</v>
      </c>
      <c r="AP40" s="68">
        <f>H40*(1-0.158764826963759)</f>
        <v>0</v>
      </c>
      <c r="AQ40" s="69" t="s">
        <v>74</v>
      </c>
      <c r="AV40" s="68">
        <f>AW40+AX40</f>
        <v>0</v>
      </c>
      <c r="AW40" s="68">
        <f>G40*AO40</f>
        <v>0</v>
      </c>
      <c r="AX40" s="68">
        <f>G40*AP40</f>
        <v>0</v>
      </c>
      <c r="AY40" s="71" t="s">
        <v>627</v>
      </c>
      <c r="AZ40" s="71" t="s">
        <v>650</v>
      </c>
      <c r="BA40" s="60" t="s">
        <v>657</v>
      </c>
      <c r="BC40" s="68">
        <f>AW40+AX40</f>
        <v>0</v>
      </c>
      <c r="BD40" s="68">
        <f>H40/(100-BE40)*100</f>
        <v>0</v>
      </c>
      <c r="BE40" s="68">
        <v>0</v>
      </c>
      <c r="BF40" s="68">
        <f>M40</f>
        <v>0.87579456</v>
      </c>
      <c r="BH40" s="50">
        <f>G40*AO40</f>
        <v>0</v>
      </c>
      <c r="BI40" s="50">
        <f>G40*AP40</f>
        <v>0</v>
      </c>
      <c r="BJ40" s="50">
        <f>G40*H40</f>
        <v>0</v>
      </c>
      <c r="BK40" s="50" t="s">
        <v>662</v>
      </c>
      <c r="BL40" s="68">
        <v>61</v>
      </c>
    </row>
    <row r="41" spans="1:15" ht="12.75">
      <c r="A41" s="17"/>
      <c r="D41" s="43" t="s">
        <v>389</v>
      </c>
      <c r="E41" s="45"/>
      <c r="G41" s="51">
        <v>0</v>
      </c>
      <c r="N41" s="16"/>
      <c r="O41" s="17"/>
    </row>
    <row r="42" spans="1:15" ht="12.75">
      <c r="A42" s="17"/>
      <c r="D42" s="43" t="s">
        <v>390</v>
      </c>
      <c r="E42" s="45"/>
      <c r="G42" s="51">
        <v>19.257</v>
      </c>
      <c r="N42" s="16"/>
      <c r="O42" s="17"/>
    </row>
    <row r="43" spans="1:15" ht="12.75">
      <c r="A43" s="17"/>
      <c r="D43" s="43" t="s">
        <v>391</v>
      </c>
      <c r="E43" s="45"/>
      <c r="G43" s="51">
        <v>0.91</v>
      </c>
      <c r="N43" s="16"/>
      <c r="O43" s="17"/>
    </row>
    <row r="44" spans="1:15" ht="12.75">
      <c r="A44" s="17"/>
      <c r="D44" s="43" t="s">
        <v>382</v>
      </c>
      <c r="E44" s="45"/>
      <c r="G44" s="51">
        <v>0</v>
      </c>
      <c r="N44" s="16"/>
      <c r="O44" s="17"/>
    </row>
    <row r="45" spans="1:15" ht="12.75">
      <c r="A45" s="17"/>
      <c r="D45" s="43" t="s">
        <v>392</v>
      </c>
      <c r="E45" s="45"/>
      <c r="G45" s="51">
        <v>2.169</v>
      </c>
      <c r="N45" s="16"/>
      <c r="O45" s="17"/>
    </row>
    <row r="46" spans="1:64" ht="12.75">
      <c r="A46" s="83" t="s">
        <v>84</v>
      </c>
      <c r="B46" s="83"/>
      <c r="C46" s="83" t="s">
        <v>225</v>
      </c>
      <c r="D46" s="220" t="s">
        <v>393</v>
      </c>
      <c r="E46" s="221"/>
      <c r="F46" s="83" t="s">
        <v>593</v>
      </c>
      <c r="G46" s="88">
        <v>22.511</v>
      </c>
      <c r="H46" s="136"/>
      <c r="I46" s="88">
        <f>G46*AO46</f>
        <v>0</v>
      </c>
      <c r="J46" s="88">
        <f>G46*AP46</f>
        <v>0</v>
      </c>
      <c r="K46" s="88">
        <f>G46*H46</f>
        <v>0</v>
      </c>
      <c r="L46" s="88">
        <v>0.04766</v>
      </c>
      <c r="M46" s="88">
        <f>G46*L46</f>
        <v>1.07287426</v>
      </c>
      <c r="N46" s="78" t="s">
        <v>616</v>
      </c>
      <c r="O46" s="80"/>
      <c r="Z46" s="68">
        <f>IF(AQ46="5",BJ46,0)</f>
        <v>0</v>
      </c>
      <c r="AB46" s="68">
        <f>IF(AQ46="1",BH46,0)</f>
        <v>0</v>
      </c>
      <c r="AC46" s="68">
        <f>IF(AQ46="1",BI46,0)</f>
        <v>0</v>
      </c>
      <c r="AD46" s="68">
        <f>IF(AQ46="7",BH46,0)</f>
        <v>0</v>
      </c>
      <c r="AE46" s="68">
        <f>IF(AQ46="7",BI46,0)</f>
        <v>0</v>
      </c>
      <c r="AF46" s="68">
        <f>IF(AQ46="2",BH46,0)</f>
        <v>0</v>
      </c>
      <c r="AG46" s="68">
        <f>IF(AQ46="2",BI46,0)</f>
        <v>0</v>
      </c>
      <c r="AH46" s="68">
        <f>IF(AQ46="0",BJ46,0)</f>
        <v>0</v>
      </c>
      <c r="AI46" s="60"/>
      <c r="AJ46" s="50">
        <f>IF(AN46=0,K46,0)</f>
        <v>0</v>
      </c>
      <c r="AK46" s="50">
        <f>IF(AN46=15,K46,0)</f>
        <v>0</v>
      </c>
      <c r="AL46" s="50">
        <f>IF(AN46=21,K46,0)</f>
        <v>0</v>
      </c>
      <c r="AN46" s="68">
        <v>15</v>
      </c>
      <c r="AO46" s="68">
        <f>H46*0.105012974189553</f>
        <v>0</v>
      </c>
      <c r="AP46" s="68">
        <f>H46*(1-0.105012974189553)</f>
        <v>0</v>
      </c>
      <c r="AQ46" s="69" t="s">
        <v>74</v>
      </c>
      <c r="AV46" s="68">
        <f>AW46+AX46</f>
        <v>0</v>
      </c>
      <c r="AW46" s="68">
        <f>G46*AO46</f>
        <v>0</v>
      </c>
      <c r="AX46" s="68">
        <f>G46*AP46</f>
        <v>0</v>
      </c>
      <c r="AY46" s="71" t="s">
        <v>627</v>
      </c>
      <c r="AZ46" s="71" t="s">
        <v>650</v>
      </c>
      <c r="BA46" s="60" t="s">
        <v>657</v>
      </c>
      <c r="BC46" s="68">
        <f>AW46+AX46</f>
        <v>0</v>
      </c>
      <c r="BD46" s="68">
        <f>H46/(100-BE46)*100</f>
        <v>0</v>
      </c>
      <c r="BE46" s="68">
        <v>0</v>
      </c>
      <c r="BF46" s="68">
        <f>M46</f>
        <v>1.07287426</v>
      </c>
      <c r="BH46" s="50">
        <f>G46*AO46</f>
        <v>0</v>
      </c>
      <c r="BI46" s="50">
        <f>G46*AP46</f>
        <v>0</v>
      </c>
      <c r="BJ46" s="50">
        <f>G46*H46</f>
        <v>0</v>
      </c>
      <c r="BK46" s="50" t="s">
        <v>662</v>
      </c>
      <c r="BL46" s="68">
        <v>61</v>
      </c>
    </row>
    <row r="47" spans="1:15" ht="12.75">
      <c r="A47" s="90"/>
      <c r="B47" s="91"/>
      <c r="C47" s="91"/>
      <c r="D47" s="92" t="s">
        <v>394</v>
      </c>
      <c r="E47" s="93"/>
      <c r="F47" s="91"/>
      <c r="G47" s="94">
        <v>0</v>
      </c>
      <c r="H47" s="91"/>
      <c r="I47" s="91"/>
      <c r="J47" s="91"/>
      <c r="K47" s="91"/>
      <c r="L47" s="91"/>
      <c r="M47" s="91"/>
      <c r="N47" s="81"/>
      <c r="O47" s="80"/>
    </row>
    <row r="48" spans="1:15" ht="12.75">
      <c r="A48" s="90"/>
      <c r="B48" s="91"/>
      <c r="C48" s="91"/>
      <c r="D48" s="92" t="s">
        <v>380</v>
      </c>
      <c r="E48" s="93"/>
      <c r="F48" s="91"/>
      <c r="G48" s="94">
        <v>0</v>
      </c>
      <c r="H48" s="91"/>
      <c r="I48" s="91"/>
      <c r="J48" s="91"/>
      <c r="K48" s="91"/>
      <c r="L48" s="91"/>
      <c r="M48" s="91"/>
      <c r="N48" s="81"/>
      <c r="O48" s="80"/>
    </row>
    <row r="49" spans="1:15" ht="12.75">
      <c r="A49" s="90"/>
      <c r="B49" s="91"/>
      <c r="C49" s="91"/>
      <c r="D49" s="92" t="s">
        <v>395</v>
      </c>
      <c r="E49" s="93"/>
      <c r="F49" s="91"/>
      <c r="G49" s="94">
        <v>7.625</v>
      </c>
      <c r="H49" s="91"/>
      <c r="I49" s="91"/>
      <c r="J49" s="91"/>
      <c r="K49" s="91"/>
      <c r="L49" s="91"/>
      <c r="M49" s="91"/>
      <c r="N49" s="81"/>
      <c r="O49" s="80"/>
    </row>
    <row r="50" spans="1:15" ht="12.75">
      <c r="A50" s="90"/>
      <c r="B50" s="91"/>
      <c r="C50" s="91"/>
      <c r="D50" s="92" t="s">
        <v>378</v>
      </c>
      <c r="E50" s="93"/>
      <c r="F50" s="91"/>
      <c r="G50" s="94">
        <v>0</v>
      </c>
      <c r="H50" s="91"/>
      <c r="I50" s="91"/>
      <c r="J50" s="91"/>
      <c r="K50" s="91"/>
      <c r="L50" s="91"/>
      <c r="M50" s="91"/>
      <c r="N50" s="81"/>
      <c r="O50" s="80"/>
    </row>
    <row r="51" spans="1:15" ht="12.75">
      <c r="A51" s="90"/>
      <c r="B51" s="91"/>
      <c r="C51" s="91"/>
      <c r="D51" s="92" t="s">
        <v>396</v>
      </c>
      <c r="E51" s="93"/>
      <c r="F51" s="91"/>
      <c r="G51" s="94">
        <v>7.85</v>
      </c>
      <c r="H51" s="91"/>
      <c r="I51" s="91"/>
      <c r="J51" s="91"/>
      <c r="K51" s="91"/>
      <c r="L51" s="91"/>
      <c r="M51" s="91"/>
      <c r="N51" s="81"/>
      <c r="O51" s="80"/>
    </row>
    <row r="52" spans="1:15" ht="12.75">
      <c r="A52" s="90"/>
      <c r="B52" s="91"/>
      <c r="C52" s="91"/>
      <c r="D52" s="92" t="s">
        <v>382</v>
      </c>
      <c r="E52" s="93"/>
      <c r="F52" s="91"/>
      <c r="G52" s="94">
        <v>0</v>
      </c>
      <c r="H52" s="91"/>
      <c r="I52" s="91"/>
      <c r="J52" s="91"/>
      <c r="K52" s="91"/>
      <c r="L52" s="91"/>
      <c r="M52" s="91"/>
      <c r="N52" s="81"/>
      <c r="O52" s="80"/>
    </row>
    <row r="53" spans="1:15" ht="12.75">
      <c r="A53" s="90"/>
      <c r="B53" s="91"/>
      <c r="C53" s="91"/>
      <c r="D53" s="92" t="s">
        <v>397</v>
      </c>
      <c r="E53" s="93"/>
      <c r="F53" s="91"/>
      <c r="G53" s="94">
        <v>7.036</v>
      </c>
      <c r="H53" s="91"/>
      <c r="I53" s="91"/>
      <c r="J53" s="91"/>
      <c r="K53" s="91"/>
      <c r="L53" s="91"/>
      <c r="M53" s="91"/>
      <c r="N53" s="81"/>
      <c r="O53" s="80"/>
    </row>
    <row r="54" spans="1:64" ht="12.75">
      <c r="A54" s="83" t="s">
        <v>85</v>
      </c>
      <c r="B54" s="83"/>
      <c r="C54" s="83" t="s">
        <v>226</v>
      </c>
      <c r="D54" s="220" t="s">
        <v>398</v>
      </c>
      <c r="E54" s="221"/>
      <c r="F54" s="83" t="s">
        <v>593</v>
      </c>
      <c r="G54" s="88">
        <v>79.094</v>
      </c>
      <c r="H54" s="136"/>
      <c r="I54" s="88">
        <f>G54*AO54</f>
        <v>0</v>
      </c>
      <c r="J54" s="88">
        <f>G54*AP54</f>
        <v>0</v>
      </c>
      <c r="K54" s="88">
        <f>G54*H54</f>
        <v>0</v>
      </c>
      <c r="L54" s="88">
        <v>0.0025</v>
      </c>
      <c r="M54" s="88">
        <f>G54*L54</f>
        <v>0.197735</v>
      </c>
      <c r="N54" s="78" t="s">
        <v>616</v>
      </c>
      <c r="O54" s="80"/>
      <c r="Z54" s="68">
        <f>IF(AQ54="5",BJ54,0)</f>
        <v>0</v>
      </c>
      <c r="AB54" s="68">
        <f>IF(AQ54="1",BH54,0)</f>
        <v>0</v>
      </c>
      <c r="AC54" s="68">
        <f>IF(AQ54="1",BI54,0)</f>
        <v>0</v>
      </c>
      <c r="AD54" s="68">
        <f>IF(AQ54="7",BH54,0)</f>
        <v>0</v>
      </c>
      <c r="AE54" s="68">
        <f>IF(AQ54="7",BI54,0)</f>
        <v>0</v>
      </c>
      <c r="AF54" s="68">
        <f>IF(AQ54="2",BH54,0)</f>
        <v>0</v>
      </c>
      <c r="AG54" s="68">
        <f>IF(AQ54="2",BI54,0)</f>
        <v>0</v>
      </c>
      <c r="AH54" s="68">
        <f>IF(AQ54="0",BJ54,0)</f>
        <v>0</v>
      </c>
      <c r="AI54" s="60"/>
      <c r="AJ54" s="50">
        <f>IF(AN54=0,K54,0)</f>
        <v>0</v>
      </c>
      <c r="AK54" s="50">
        <f>IF(AN54=15,K54,0)</f>
        <v>0</v>
      </c>
      <c r="AL54" s="50">
        <f>IF(AN54=21,K54,0)</f>
        <v>0</v>
      </c>
      <c r="AN54" s="68">
        <v>15</v>
      </c>
      <c r="AO54" s="68">
        <f>H54*0.114179061385466</f>
        <v>0</v>
      </c>
      <c r="AP54" s="68">
        <f>H54*(1-0.114179061385466)</f>
        <v>0</v>
      </c>
      <c r="AQ54" s="69" t="s">
        <v>74</v>
      </c>
      <c r="AV54" s="68">
        <f>AW54+AX54</f>
        <v>0</v>
      </c>
      <c r="AW54" s="68">
        <f>G54*AO54</f>
        <v>0</v>
      </c>
      <c r="AX54" s="68">
        <f>G54*AP54</f>
        <v>0</v>
      </c>
      <c r="AY54" s="71" t="s">
        <v>627</v>
      </c>
      <c r="AZ54" s="71" t="s">
        <v>650</v>
      </c>
      <c r="BA54" s="60" t="s">
        <v>657</v>
      </c>
      <c r="BC54" s="68">
        <f>AW54+AX54</f>
        <v>0</v>
      </c>
      <c r="BD54" s="68">
        <f>H54/(100-BE54)*100</f>
        <v>0</v>
      </c>
      <c r="BE54" s="68">
        <v>0</v>
      </c>
      <c r="BF54" s="68">
        <f>M54</f>
        <v>0.197735</v>
      </c>
      <c r="BH54" s="50">
        <f>G54*AO54</f>
        <v>0</v>
      </c>
      <c r="BI54" s="50">
        <f>G54*AP54</f>
        <v>0</v>
      </c>
      <c r="BJ54" s="50">
        <f>G54*H54</f>
        <v>0</v>
      </c>
      <c r="BK54" s="50" t="s">
        <v>662</v>
      </c>
      <c r="BL54" s="68">
        <v>61</v>
      </c>
    </row>
    <row r="55" spans="1:15" ht="12.75">
      <c r="A55" s="90"/>
      <c r="B55" s="91"/>
      <c r="C55" s="91"/>
      <c r="D55" s="92" t="s">
        <v>399</v>
      </c>
      <c r="E55" s="93"/>
      <c r="F55" s="91"/>
      <c r="G55" s="94">
        <v>0</v>
      </c>
      <c r="H55" s="91"/>
      <c r="I55" s="91"/>
      <c r="J55" s="91"/>
      <c r="K55" s="91"/>
      <c r="L55" s="91"/>
      <c r="M55" s="91"/>
      <c r="N55" s="81"/>
      <c r="O55" s="80"/>
    </row>
    <row r="56" spans="1:15" ht="12.75">
      <c r="A56" s="90"/>
      <c r="B56" s="91"/>
      <c r="C56" s="91"/>
      <c r="D56" s="92" t="s">
        <v>378</v>
      </c>
      <c r="E56" s="93"/>
      <c r="F56" s="91"/>
      <c r="G56" s="94">
        <v>0</v>
      </c>
      <c r="H56" s="91"/>
      <c r="I56" s="91"/>
      <c r="J56" s="91"/>
      <c r="K56" s="91"/>
      <c r="L56" s="91"/>
      <c r="M56" s="91"/>
      <c r="N56" s="81"/>
      <c r="O56" s="80"/>
    </row>
    <row r="57" spans="1:15" ht="12.75">
      <c r="A57" s="90"/>
      <c r="B57" s="91"/>
      <c r="C57" s="91"/>
      <c r="D57" s="92" t="s">
        <v>400</v>
      </c>
      <c r="E57" s="93"/>
      <c r="F57" s="91"/>
      <c r="G57" s="94">
        <v>7.85</v>
      </c>
      <c r="H57" s="91"/>
      <c r="I57" s="91"/>
      <c r="J57" s="91"/>
      <c r="K57" s="91"/>
      <c r="L57" s="91"/>
      <c r="M57" s="91"/>
      <c r="N57" s="81"/>
      <c r="O57" s="80"/>
    </row>
    <row r="58" spans="1:15" ht="12.75">
      <c r="A58" s="90"/>
      <c r="B58" s="91"/>
      <c r="C58" s="91"/>
      <c r="D58" s="92" t="s">
        <v>382</v>
      </c>
      <c r="E58" s="93"/>
      <c r="F58" s="91"/>
      <c r="G58" s="94">
        <v>0</v>
      </c>
      <c r="H58" s="91"/>
      <c r="I58" s="91"/>
      <c r="J58" s="91"/>
      <c r="K58" s="91"/>
      <c r="L58" s="91"/>
      <c r="M58" s="91"/>
      <c r="N58" s="81"/>
      <c r="O58" s="80"/>
    </row>
    <row r="59" spans="1:15" ht="12.75">
      <c r="A59" s="90"/>
      <c r="B59" s="91"/>
      <c r="C59" s="91"/>
      <c r="D59" s="92" t="s">
        <v>401</v>
      </c>
      <c r="E59" s="93"/>
      <c r="F59" s="91"/>
      <c r="G59" s="94">
        <v>24.674</v>
      </c>
      <c r="H59" s="91"/>
      <c r="I59" s="91"/>
      <c r="J59" s="91"/>
      <c r="K59" s="91"/>
      <c r="L59" s="91"/>
      <c r="M59" s="91"/>
      <c r="N59" s="81"/>
      <c r="O59" s="80"/>
    </row>
    <row r="60" spans="1:15" ht="12.75">
      <c r="A60" s="90"/>
      <c r="B60" s="91"/>
      <c r="C60" s="91"/>
      <c r="D60" s="92" t="s">
        <v>402</v>
      </c>
      <c r="E60" s="93"/>
      <c r="F60" s="91"/>
      <c r="G60" s="94">
        <v>-5.469</v>
      </c>
      <c r="H60" s="91"/>
      <c r="I60" s="91"/>
      <c r="J60" s="91"/>
      <c r="K60" s="91"/>
      <c r="L60" s="91"/>
      <c r="M60" s="91"/>
      <c r="N60" s="81"/>
      <c r="O60" s="80"/>
    </row>
    <row r="61" spans="1:15" ht="12.75">
      <c r="A61" s="90"/>
      <c r="B61" s="91"/>
      <c r="C61" s="91"/>
      <c r="D61" s="92" t="s">
        <v>403</v>
      </c>
      <c r="E61" s="93"/>
      <c r="F61" s="91"/>
      <c r="G61" s="94">
        <v>0</v>
      </c>
      <c r="H61" s="91"/>
      <c r="I61" s="91"/>
      <c r="J61" s="91"/>
      <c r="K61" s="91"/>
      <c r="L61" s="91"/>
      <c r="M61" s="91"/>
      <c r="N61" s="81"/>
      <c r="O61" s="80"/>
    </row>
    <row r="62" spans="1:15" ht="12.75">
      <c r="A62" s="90"/>
      <c r="B62" s="91"/>
      <c r="C62" s="91"/>
      <c r="D62" s="92" t="s">
        <v>404</v>
      </c>
      <c r="E62" s="93"/>
      <c r="F62" s="91"/>
      <c r="G62" s="94">
        <v>5.5</v>
      </c>
      <c r="H62" s="91"/>
      <c r="I62" s="91"/>
      <c r="J62" s="91"/>
      <c r="K62" s="91"/>
      <c r="L62" s="91"/>
      <c r="M62" s="91"/>
      <c r="N62" s="81"/>
      <c r="O62" s="80"/>
    </row>
    <row r="63" spans="1:15" ht="12.75">
      <c r="A63" s="90"/>
      <c r="B63" s="91"/>
      <c r="C63" s="91"/>
      <c r="D63" s="92" t="s">
        <v>384</v>
      </c>
      <c r="E63" s="93"/>
      <c r="F63" s="91"/>
      <c r="G63" s="94">
        <v>0</v>
      </c>
      <c r="H63" s="91"/>
      <c r="I63" s="91"/>
      <c r="J63" s="91"/>
      <c r="K63" s="91"/>
      <c r="L63" s="91"/>
      <c r="M63" s="91"/>
      <c r="N63" s="81"/>
      <c r="O63" s="80"/>
    </row>
    <row r="64" spans="1:15" ht="12.75">
      <c r="A64" s="90"/>
      <c r="B64" s="91"/>
      <c r="C64" s="91"/>
      <c r="D64" s="92" t="s">
        <v>405</v>
      </c>
      <c r="E64" s="93"/>
      <c r="F64" s="91"/>
      <c r="G64" s="94">
        <v>45.329</v>
      </c>
      <c r="H64" s="91"/>
      <c r="I64" s="91"/>
      <c r="J64" s="91"/>
      <c r="K64" s="91"/>
      <c r="L64" s="91"/>
      <c r="M64" s="91"/>
      <c r="N64" s="81"/>
      <c r="O64" s="80"/>
    </row>
    <row r="65" spans="1:15" ht="12.75">
      <c r="A65" s="90"/>
      <c r="B65" s="91"/>
      <c r="C65" s="91"/>
      <c r="D65" s="92" t="s">
        <v>406</v>
      </c>
      <c r="E65" s="93"/>
      <c r="F65" s="91"/>
      <c r="G65" s="94">
        <v>1.21</v>
      </c>
      <c r="H65" s="91"/>
      <c r="I65" s="91"/>
      <c r="J65" s="91"/>
      <c r="K65" s="91"/>
      <c r="L65" s="91"/>
      <c r="M65" s="91"/>
      <c r="N65" s="81"/>
      <c r="O65" s="80"/>
    </row>
    <row r="66" spans="1:64" ht="12.75">
      <c r="A66" s="83" t="s">
        <v>86</v>
      </c>
      <c r="B66" s="83"/>
      <c r="C66" s="83" t="s">
        <v>227</v>
      </c>
      <c r="D66" s="220" t="s">
        <v>407</v>
      </c>
      <c r="E66" s="221"/>
      <c r="F66" s="83" t="s">
        <v>593</v>
      </c>
      <c r="G66" s="88">
        <v>5.5</v>
      </c>
      <c r="H66" s="136"/>
      <c r="I66" s="88">
        <f>G66*AO66</f>
        <v>0</v>
      </c>
      <c r="J66" s="88">
        <f>G66*AP66</f>
        <v>0</v>
      </c>
      <c r="K66" s="88">
        <f>G66*H66</f>
        <v>0</v>
      </c>
      <c r="L66" s="88">
        <v>0.10712</v>
      </c>
      <c r="M66" s="88">
        <f>G66*L66</f>
        <v>0.58916</v>
      </c>
      <c r="N66" s="78" t="s">
        <v>616</v>
      </c>
      <c r="O66" s="80"/>
      <c r="Z66" s="68">
        <f>IF(AQ66="5",BJ66,0)</f>
        <v>0</v>
      </c>
      <c r="AB66" s="68">
        <f>IF(AQ66="1",BH66,0)</f>
        <v>0</v>
      </c>
      <c r="AC66" s="68">
        <f>IF(AQ66="1",BI66,0)</f>
        <v>0</v>
      </c>
      <c r="AD66" s="68">
        <f>IF(AQ66="7",BH66,0)</f>
        <v>0</v>
      </c>
      <c r="AE66" s="68">
        <f>IF(AQ66="7",BI66,0)</f>
        <v>0</v>
      </c>
      <c r="AF66" s="68">
        <f>IF(AQ66="2",BH66,0)</f>
        <v>0</v>
      </c>
      <c r="AG66" s="68">
        <f>IF(AQ66="2",BI66,0)</f>
        <v>0</v>
      </c>
      <c r="AH66" s="68">
        <f>IF(AQ66="0",BJ66,0)</f>
        <v>0</v>
      </c>
      <c r="AI66" s="60"/>
      <c r="AJ66" s="50">
        <f>IF(AN66=0,K66,0)</f>
        <v>0</v>
      </c>
      <c r="AK66" s="50">
        <f>IF(AN66=15,K66,0)</f>
        <v>0</v>
      </c>
      <c r="AL66" s="50">
        <f>IF(AN66=21,K66,0)</f>
        <v>0</v>
      </c>
      <c r="AN66" s="68">
        <v>15</v>
      </c>
      <c r="AO66" s="68">
        <f>H66*0.246430260047281</f>
        <v>0</v>
      </c>
      <c r="AP66" s="68">
        <f>H66*(1-0.246430260047281)</f>
        <v>0</v>
      </c>
      <c r="AQ66" s="69" t="s">
        <v>74</v>
      </c>
      <c r="AV66" s="68">
        <f>AW66+AX66</f>
        <v>0</v>
      </c>
      <c r="AW66" s="68">
        <f>G66*AO66</f>
        <v>0</v>
      </c>
      <c r="AX66" s="68">
        <f>G66*AP66</f>
        <v>0</v>
      </c>
      <c r="AY66" s="71" t="s">
        <v>627</v>
      </c>
      <c r="AZ66" s="71" t="s">
        <v>650</v>
      </c>
      <c r="BA66" s="60" t="s">
        <v>657</v>
      </c>
      <c r="BC66" s="68">
        <f>AW66+AX66</f>
        <v>0</v>
      </c>
      <c r="BD66" s="68">
        <f>H66/(100-BE66)*100</f>
        <v>0</v>
      </c>
      <c r="BE66" s="68">
        <v>0</v>
      </c>
      <c r="BF66" s="68">
        <f>M66</f>
        <v>0.58916</v>
      </c>
      <c r="BH66" s="50">
        <f>G66*AO66</f>
        <v>0</v>
      </c>
      <c r="BI66" s="50">
        <f>G66*AP66</f>
        <v>0</v>
      </c>
      <c r="BJ66" s="50">
        <f>G66*H66</f>
        <v>0</v>
      </c>
      <c r="BK66" s="50" t="s">
        <v>662</v>
      </c>
      <c r="BL66" s="68">
        <v>61</v>
      </c>
    </row>
    <row r="67" spans="1:47" ht="12.75">
      <c r="A67" s="96"/>
      <c r="B67" s="97"/>
      <c r="C67" s="97" t="s">
        <v>135</v>
      </c>
      <c r="D67" s="222" t="s">
        <v>408</v>
      </c>
      <c r="E67" s="223"/>
      <c r="F67" s="96" t="s">
        <v>73</v>
      </c>
      <c r="G67" s="96" t="s">
        <v>73</v>
      </c>
      <c r="H67" s="96" t="s">
        <v>73</v>
      </c>
      <c r="I67" s="98">
        <f>SUM(I68:I68)</f>
        <v>0</v>
      </c>
      <c r="J67" s="98">
        <f>SUM(J68:J68)</f>
        <v>0</v>
      </c>
      <c r="K67" s="98">
        <f>SUM(K68:K68)</f>
        <v>0</v>
      </c>
      <c r="L67" s="99"/>
      <c r="M67" s="98">
        <f>SUM(M68:M68)</f>
        <v>0.00024804</v>
      </c>
      <c r="N67" s="95"/>
      <c r="O67" s="80"/>
      <c r="AI67" s="60"/>
      <c r="AS67" s="74">
        <f>SUM(AJ68:AJ68)</f>
        <v>0</v>
      </c>
      <c r="AT67" s="74">
        <f>SUM(AK68:AK68)</f>
        <v>0</v>
      </c>
      <c r="AU67" s="74">
        <f>SUM(AL68:AL68)</f>
        <v>0</v>
      </c>
    </row>
    <row r="68" spans="1:64" ht="12.75">
      <c r="A68" s="83" t="s">
        <v>87</v>
      </c>
      <c r="B68" s="83"/>
      <c r="C68" s="83" t="s">
        <v>228</v>
      </c>
      <c r="D68" s="220" t="s">
        <v>409</v>
      </c>
      <c r="E68" s="221"/>
      <c r="F68" s="83" t="s">
        <v>594</v>
      </c>
      <c r="G68" s="88">
        <v>24.804</v>
      </c>
      <c r="H68" s="136"/>
      <c r="I68" s="88">
        <f>G68*AO68</f>
        <v>0</v>
      </c>
      <c r="J68" s="88">
        <f>G68*AP68</f>
        <v>0</v>
      </c>
      <c r="K68" s="88">
        <f>G68*H68</f>
        <v>0</v>
      </c>
      <c r="L68" s="88">
        <v>1E-05</v>
      </c>
      <c r="M68" s="88">
        <f>G68*L68</f>
        <v>0.00024804</v>
      </c>
      <c r="N68" s="78" t="s">
        <v>616</v>
      </c>
      <c r="O68" s="80"/>
      <c r="Z68" s="68">
        <f>IF(AQ68="5",BJ68,0)</f>
        <v>0</v>
      </c>
      <c r="AB68" s="68">
        <f>IF(AQ68="1",BH68,0)</f>
        <v>0</v>
      </c>
      <c r="AC68" s="68">
        <f>IF(AQ68="1",BI68,0)</f>
        <v>0</v>
      </c>
      <c r="AD68" s="68">
        <f>IF(AQ68="7",BH68,0)</f>
        <v>0</v>
      </c>
      <c r="AE68" s="68">
        <f>IF(AQ68="7",BI68,0)</f>
        <v>0</v>
      </c>
      <c r="AF68" s="68">
        <f>IF(AQ68="2",BH68,0)</f>
        <v>0</v>
      </c>
      <c r="AG68" s="68">
        <f>IF(AQ68="2",BI68,0)</f>
        <v>0</v>
      </c>
      <c r="AH68" s="68">
        <f>IF(AQ68="0",BJ68,0)</f>
        <v>0</v>
      </c>
      <c r="AI68" s="60"/>
      <c r="AJ68" s="50">
        <f>IF(AN68=0,K68,0)</f>
        <v>0</v>
      </c>
      <c r="AK68" s="50">
        <f>IF(AN68=15,K68,0)</f>
        <v>0</v>
      </c>
      <c r="AL68" s="50">
        <f>IF(AN68=21,K68,0)</f>
        <v>0</v>
      </c>
      <c r="AN68" s="68">
        <v>15</v>
      </c>
      <c r="AO68" s="68">
        <f>H68*0.150775947745101</f>
        <v>0</v>
      </c>
      <c r="AP68" s="68">
        <f>H68*(1-0.150775947745101)</f>
        <v>0</v>
      </c>
      <c r="AQ68" s="69" t="s">
        <v>74</v>
      </c>
      <c r="AV68" s="68">
        <f>AW68+AX68</f>
        <v>0</v>
      </c>
      <c r="AW68" s="68">
        <f>G68*AO68</f>
        <v>0</v>
      </c>
      <c r="AX68" s="68">
        <f>G68*AP68</f>
        <v>0</v>
      </c>
      <c r="AY68" s="71" t="s">
        <v>628</v>
      </c>
      <c r="AZ68" s="71" t="s">
        <v>650</v>
      </c>
      <c r="BA68" s="60" t="s">
        <v>657</v>
      </c>
      <c r="BC68" s="68">
        <f>AW68+AX68</f>
        <v>0</v>
      </c>
      <c r="BD68" s="68">
        <f>H68/(100-BE68)*100</f>
        <v>0</v>
      </c>
      <c r="BE68" s="68">
        <v>0</v>
      </c>
      <c r="BF68" s="68">
        <f>M68</f>
        <v>0.00024804</v>
      </c>
      <c r="BH68" s="50">
        <f>G68*AO68</f>
        <v>0</v>
      </c>
      <c r="BI68" s="50">
        <f>G68*AP68</f>
        <v>0</v>
      </c>
      <c r="BJ68" s="50">
        <f>G68*H68</f>
        <v>0</v>
      </c>
      <c r="BK68" s="50" t="s">
        <v>662</v>
      </c>
      <c r="BL68" s="68">
        <v>62</v>
      </c>
    </row>
    <row r="69" spans="1:47" ht="12.75">
      <c r="A69" s="96"/>
      <c r="B69" s="97"/>
      <c r="C69" s="97" t="s">
        <v>136</v>
      </c>
      <c r="D69" s="222" t="s">
        <v>410</v>
      </c>
      <c r="E69" s="223"/>
      <c r="F69" s="96" t="s">
        <v>73</v>
      </c>
      <c r="G69" s="96" t="s">
        <v>73</v>
      </c>
      <c r="H69" s="96" t="s">
        <v>73</v>
      </c>
      <c r="I69" s="98">
        <f>SUM(I70:I73)</f>
        <v>0</v>
      </c>
      <c r="J69" s="98">
        <f>SUM(J70:J73)</f>
        <v>0</v>
      </c>
      <c r="K69" s="98">
        <f>SUM(K70:K73)</f>
        <v>0</v>
      </c>
      <c r="L69" s="99"/>
      <c r="M69" s="98">
        <f>SUM(M70:M73)</f>
        <v>0.6133564</v>
      </c>
      <c r="N69" s="95"/>
      <c r="O69" s="80"/>
      <c r="AI69" s="60"/>
      <c r="AS69" s="74">
        <f>SUM(AJ70:AJ73)</f>
        <v>0</v>
      </c>
      <c r="AT69" s="74">
        <f>SUM(AK70:AK73)</f>
        <v>0</v>
      </c>
      <c r="AU69" s="74">
        <f>SUM(AL70:AL73)</f>
        <v>0</v>
      </c>
    </row>
    <row r="70" spans="1:64" ht="12.75">
      <c r="A70" s="83" t="s">
        <v>88</v>
      </c>
      <c r="B70" s="83"/>
      <c r="C70" s="83" t="s">
        <v>229</v>
      </c>
      <c r="D70" s="220" t="s">
        <v>411</v>
      </c>
      <c r="E70" s="221"/>
      <c r="F70" s="83" t="s">
        <v>593</v>
      </c>
      <c r="G70" s="88">
        <v>3.718</v>
      </c>
      <c r="H70" s="136"/>
      <c r="I70" s="88">
        <f>G70*AO70</f>
        <v>0</v>
      </c>
      <c r="J70" s="88">
        <f>G70*AP70</f>
        <v>0</v>
      </c>
      <c r="K70" s="88">
        <f>G70*H70</f>
        <v>0</v>
      </c>
      <c r="L70" s="88">
        <v>0.0798</v>
      </c>
      <c r="M70" s="88">
        <f>G70*L70</f>
        <v>0.29669639999999997</v>
      </c>
      <c r="N70" s="78" t="s">
        <v>616</v>
      </c>
      <c r="O70" s="80"/>
      <c r="Z70" s="68">
        <f>IF(AQ70="5",BJ70,0)</f>
        <v>0</v>
      </c>
      <c r="AB70" s="68">
        <f>IF(AQ70="1",BH70,0)</f>
        <v>0</v>
      </c>
      <c r="AC70" s="68">
        <f>IF(AQ70="1",BI70,0)</f>
        <v>0</v>
      </c>
      <c r="AD70" s="68">
        <f>IF(AQ70="7",BH70,0)</f>
        <v>0</v>
      </c>
      <c r="AE70" s="68">
        <f>IF(AQ70="7",BI70,0)</f>
        <v>0</v>
      </c>
      <c r="AF70" s="68">
        <f>IF(AQ70="2",BH70,0)</f>
        <v>0</v>
      </c>
      <c r="AG70" s="68">
        <f>IF(AQ70="2",BI70,0)</f>
        <v>0</v>
      </c>
      <c r="AH70" s="68">
        <f>IF(AQ70="0",BJ70,0)</f>
        <v>0</v>
      </c>
      <c r="AI70" s="60"/>
      <c r="AJ70" s="50">
        <f>IF(AN70=0,K70,0)</f>
        <v>0</v>
      </c>
      <c r="AK70" s="50">
        <f>IF(AN70=15,K70,0)</f>
        <v>0</v>
      </c>
      <c r="AL70" s="50">
        <f>IF(AN70=21,K70,0)</f>
        <v>0</v>
      </c>
      <c r="AN70" s="68">
        <v>15</v>
      </c>
      <c r="AO70" s="68">
        <f>H70*0.571333260402953</f>
        <v>0</v>
      </c>
      <c r="AP70" s="68">
        <f>H70*(1-0.571333260402953)</f>
        <v>0</v>
      </c>
      <c r="AQ70" s="69" t="s">
        <v>74</v>
      </c>
      <c r="AV70" s="68">
        <f>AW70+AX70</f>
        <v>0</v>
      </c>
      <c r="AW70" s="68">
        <f>G70*AO70</f>
        <v>0</v>
      </c>
      <c r="AX70" s="68">
        <f>G70*AP70</f>
        <v>0</v>
      </c>
      <c r="AY70" s="71" t="s">
        <v>629</v>
      </c>
      <c r="AZ70" s="71" t="s">
        <v>650</v>
      </c>
      <c r="BA70" s="60" t="s">
        <v>657</v>
      </c>
      <c r="BC70" s="68">
        <f>AW70+AX70</f>
        <v>0</v>
      </c>
      <c r="BD70" s="68">
        <f>H70/(100-BE70)*100</f>
        <v>0</v>
      </c>
      <c r="BE70" s="68">
        <v>0</v>
      </c>
      <c r="BF70" s="68">
        <f>M70</f>
        <v>0.29669639999999997</v>
      </c>
      <c r="BH70" s="50">
        <f>G70*AO70</f>
        <v>0</v>
      </c>
      <c r="BI70" s="50">
        <f>G70*AP70</f>
        <v>0</v>
      </c>
      <c r="BJ70" s="50">
        <f>G70*H70</f>
        <v>0</v>
      </c>
      <c r="BK70" s="50" t="s">
        <v>662</v>
      </c>
      <c r="BL70" s="68">
        <v>63</v>
      </c>
    </row>
    <row r="71" spans="1:15" ht="12.75">
      <c r="A71" s="90"/>
      <c r="B71" s="91"/>
      <c r="C71" s="91"/>
      <c r="D71" s="92" t="s">
        <v>412</v>
      </c>
      <c r="E71" s="93"/>
      <c r="F71" s="91"/>
      <c r="G71" s="94">
        <v>0</v>
      </c>
      <c r="H71" s="91"/>
      <c r="I71" s="91"/>
      <c r="J71" s="91"/>
      <c r="K71" s="91"/>
      <c r="L71" s="91"/>
      <c r="M71" s="91"/>
      <c r="N71" s="81"/>
      <c r="O71" s="80"/>
    </row>
    <row r="72" spans="1:15" ht="12.75">
      <c r="A72" s="90"/>
      <c r="B72" s="91"/>
      <c r="C72" s="91"/>
      <c r="D72" s="92" t="s">
        <v>413</v>
      </c>
      <c r="E72" s="93"/>
      <c r="F72" s="91"/>
      <c r="G72" s="94">
        <v>3.718</v>
      </c>
      <c r="H72" s="91"/>
      <c r="I72" s="91"/>
      <c r="J72" s="91"/>
      <c r="K72" s="91"/>
      <c r="L72" s="91"/>
      <c r="M72" s="91"/>
      <c r="N72" s="81"/>
      <c r="O72" s="80"/>
    </row>
    <row r="73" spans="1:64" ht="12.75">
      <c r="A73" s="83" t="s">
        <v>89</v>
      </c>
      <c r="B73" s="83"/>
      <c r="C73" s="83" t="s">
        <v>230</v>
      </c>
      <c r="D73" s="220" t="s">
        <v>414</v>
      </c>
      <c r="E73" s="221"/>
      <c r="F73" s="83" t="s">
        <v>593</v>
      </c>
      <c r="G73" s="88">
        <v>35.5</v>
      </c>
      <c r="H73" s="136"/>
      <c r="I73" s="88">
        <f>G73*AO73</f>
        <v>0</v>
      </c>
      <c r="J73" s="88">
        <f>G73*AP73</f>
        <v>0</v>
      </c>
      <c r="K73" s="88">
        <f>G73*H73</f>
        <v>0</v>
      </c>
      <c r="L73" s="88">
        <v>0.00892</v>
      </c>
      <c r="M73" s="88">
        <f>G73*L73</f>
        <v>0.31666000000000005</v>
      </c>
      <c r="N73" s="78" t="s">
        <v>616</v>
      </c>
      <c r="O73" s="80"/>
      <c r="Z73" s="68">
        <f>IF(AQ73="5",BJ73,0)</f>
        <v>0</v>
      </c>
      <c r="AB73" s="68">
        <f>IF(AQ73="1",BH73,0)</f>
        <v>0</v>
      </c>
      <c r="AC73" s="68">
        <f>IF(AQ73="1",BI73,0)</f>
        <v>0</v>
      </c>
      <c r="AD73" s="68">
        <f>IF(AQ73="7",BH73,0)</f>
        <v>0</v>
      </c>
      <c r="AE73" s="68">
        <f>IF(AQ73="7",BI73,0)</f>
        <v>0</v>
      </c>
      <c r="AF73" s="68">
        <f>IF(AQ73="2",BH73,0)</f>
        <v>0</v>
      </c>
      <c r="AG73" s="68">
        <f>IF(AQ73="2",BI73,0)</f>
        <v>0</v>
      </c>
      <c r="AH73" s="68">
        <f>IF(AQ73="0",BJ73,0)</f>
        <v>0</v>
      </c>
      <c r="AI73" s="60"/>
      <c r="AJ73" s="50">
        <f>IF(AN73=0,K73,0)</f>
        <v>0</v>
      </c>
      <c r="AK73" s="50">
        <f>IF(AN73=15,K73,0)</f>
        <v>0</v>
      </c>
      <c r="AL73" s="50">
        <f>IF(AN73=21,K73,0)</f>
        <v>0</v>
      </c>
      <c r="AN73" s="68">
        <v>15</v>
      </c>
      <c r="AO73" s="68">
        <f>H73*0.704642032332564</f>
        <v>0</v>
      </c>
      <c r="AP73" s="68">
        <f>H73*(1-0.704642032332564)</f>
        <v>0</v>
      </c>
      <c r="AQ73" s="69" t="s">
        <v>74</v>
      </c>
      <c r="AV73" s="68">
        <f>AW73+AX73</f>
        <v>0</v>
      </c>
      <c r="AW73" s="68">
        <f>G73*AO73</f>
        <v>0</v>
      </c>
      <c r="AX73" s="68">
        <f>G73*AP73</f>
        <v>0</v>
      </c>
      <c r="AY73" s="71" t="s">
        <v>629</v>
      </c>
      <c r="AZ73" s="71" t="s">
        <v>650</v>
      </c>
      <c r="BA73" s="60" t="s">
        <v>657</v>
      </c>
      <c r="BC73" s="68">
        <f>AW73+AX73</f>
        <v>0</v>
      </c>
      <c r="BD73" s="68">
        <f>H73/(100-BE73)*100</f>
        <v>0</v>
      </c>
      <c r="BE73" s="68">
        <v>0</v>
      </c>
      <c r="BF73" s="68">
        <f>M73</f>
        <v>0.31666000000000005</v>
      </c>
      <c r="BH73" s="50">
        <f>G73*AO73</f>
        <v>0</v>
      </c>
      <c r="BI73" s="50">
        <f>G73*AP73</f>
        <v>0</v>
      </c>
      <c r="BJ73" s="50">
        <f>G73*H73</f>
        <v>0</v>
      </c>
      <c r="BK73" s="50" t="s">
        <v>662</v>
      </c>
      <c r="BL73" s="68">
        <v>63</v>
      </c>
    </row>
    <row r="74" spans="1:47" ht="12.75">
      <c r="A74" s="96"/>
      <c r="B74" s="97"/>
      <c r="C74" s="97" t="s">
        <v>137</v>
      </c>
      <c r="D74" s="222" t="s">
        <v>415</v>
      </c>
      <c r="E74" s="223"/>
      <c r="F74" s="96" t="s">
        <v>73</v>
      </c>
      <c r="G74" s="96" t="s">
        <v>73</v>
      </c>
      <c r="H74" s="96" t="s">
        <v>73</v>
      </c>
      <c r="I74" s="98">
        <f>SUM(I75:I77)</f>
        <v>0</v>
      </c>
      <c r="J74" s="98">
        <f>SUM(J75:J77)</f>
        <v>0</v>
      </c>
      <c r="K74" s="98">
        <f>SUM(K75:K77)</f>
        <v>0</v>
      </c>
      <c r="L74" s="99"/>
      <c r="M74" s="98">
        <f>SUM(M75:M77)</f>
        <v>0.07425999999999999</v>
      </c>
      <c r="N74" s="95"/>
      <c r="O74" s="80"/>
      <c r="AI74" s="60"/>
      <c r="AS74" s="74">
        <f>SUM(AJ75:AJ77)</f>
        <v>0</v>
      </c>
      <c r="AT74" s="74">
        <f>SUM(AK75:AK77)</f>
        <v>0</v>
      </c>
      <c r="AU74" s="74">
        <f>SUM(AL75:AL77)</f>
        <v>0</v>
      </c>
    </row>
    <row r="75" spans="1:64" ht="12.75">
      <c r="A75" s="83" t="s">
        <v>90</v>
      </c>
      <c r="B75" s="83"/>
      <c r="C75" s="83" t="s">
        <v>231</v>
      </c>
      <c r="D75" s="220" t="s">
        <v>416</v>
      </c>
      <c r="E75" s="221"/>
      <c r="F75" s="83" t="s">
        <v>595</v>
      </c>
      <c r="G75" s="88">
        <v>1</v>
      </c>
      <c r="H75" s="136"/>
      <c r="I75" s="88">
        <f>G75*AO75</f>
        <v>0</v>
      </c>
      <c r="J75" s="88">
        <f>G75*AP75</f>
        <v>0</v>
      </c>
      <c r="K75" s="88">
        <f>G75*H75</f>
        <v>0</v>
      </c>
      <c r="L75" s="88">
        <v>0.01414</v>
      </c>
      <c r="M75" s="88">
        <f>G75*L75</f>
        <v>0.01414</v>
      </c>
      <c r="N75" s="78" t="s">
        <v>616</v>
      </c>
      <c r="O75" s="80"/>
      <c r="Z75" s="68">
        <f>IF(AQ75="5",BJ75,0)</f>
        <v>0</v>
      </c>
      <c r="AB75" s="68">
        <f>IF(AQ75="1",BH75,0)</f>
        <v>0</v>
      </c>
      <c r="AC75" s="68">
        <f>IF(AQ75="1",BI75,0)</f>
        <v>0</v>
      </c>
      <c r="AD75" s="68">
        <f>IF(AQ75="7",BH75,0)</f>
        <v>0</v>
      </c>
      <c r="AE75" s="68">
        <f>IF(AQ75="7",BI75,0)</f>
        <v>0</v>
      </c>
      <c r="AF75" s="68">
        <f>IF(AQ75="2",BH75,0)</f>
        <v>0</v>
      </c>
      <c r="AG75" s="68">
        <f>IF(AQ75="2",BI75,0)</f>
        <v>0</v>
      </c>
      <c r="AH75" s="68">
        <f>IF(AQ75="0",BJ75,0)</f>
        <v>0</v>
      </c>
      <c r="AI75" s="60"/>
      <c r="AJ75" s="50">
        <f>IF(AN75=0,K75,0)</f>
        <v>0</v>
      </c>
      <c r="AK75" s="50">
        <f>IF(AN75=15,K75,0)</f>
        <v>0</v>
      </c>
      <c r="AL75" s="50">
        <f>IF(AN75=21,K75,0)</f>
        <v>0</v>
      </c>
      <c r="AN75" s="68">
        <v>15</v>
      </c>
      <c r="AO75" s="68">
        <f>H75*0.158552844942525</f>
        <v>0</v>
      </c>
      <c r="AP75" s="68">
        <f>H75*(1-0.158552844942525)</f>
        <v>0</v>
      </c>
      <c r="AQ75" s="69" t="s">
        <v>74</v>
      </c>
      <c r="AV75" s="68">
        <f>AW75+AX75</f>
        <v>0</v>
      </c>
      <c r="AW75" s="68">
        <f>G75*AO75</f>
        <v>0</v>
      </c>
      <c r="AX75" s="68">
        <f>G75*AP75</f>
        <v>0</v>
      </c>
      <c r="AY75" s="71" t="s">
        <v>630</v>
      </c>
      <c r="AZ75" s="71" t="s">
        <v>650</v>
      </c>
      <c r="BA75" s="60" t="s">
        <v>657</v>
      </c>
      <c r="BC75" s="68">
        <f>AW75+AX75</f>
        <v>0</v>
      </c>
      <c r="BD75" s="68">
        <f>H75/(100-BE75)*100</f>
        <v>0</v>
      </c>
      <c r="BE75" s="68">
        <v>0</v>
      </c>
      <c r="BF75" s="68">
        <f>M75</f>
        <v>0.01414</v>
      </c>
      <c r="BH75" s="50">
        <f>G75*AO75</f>
        <v>0</v>
      </c>
      <c r="BI75" s="50">
        <f>G75*AP75</f>
        <v>0</v>
      </c>
      <c r="BJ75" s="50">
        <f>G75*H75</f>
        <v>0</v>
      </c>
      <c r="BK75" s="50" t="s">
        <v>662</v>
      </c>
      <c r="BL75" s="68">
        <v>64</v>
      </c>
    </row>
    <row r="76" spans="1:64" ht="12.75">
      <c r="A76" s="101" t="s">
        <v>91</v>
      </c>
      <c r="B76" s="101"/>
      <c r="C76" s="101" t="s">
        <v>232</v>
      </c>
      <c r="D76" s="224" t="s">
        <v>417</v>
      </c>
      <c r="E76" s="225"/>
      <c r="F76" s="101" t="s">
        <v>595</v>
      </c>
      <c r="G76" s="102">
        <v>1</v>
      </c>
      <c r="H76" s="137"/>
      <c r="I76" s="102">
        <f>G76*AO76</f>
        <v>0</v>
      </c>
      <c r="J76" s="102">
        <f>G76*AP76</f>
        <v>0</v>
      </c>
      <c r="K76" s="102">
        <f>G76*H76</f>
        <v>0</v>
      </c>
      <c r="L76" s="102">
        <v>0.00098</v>
      </c>
      <c r="M76" s="102">
        <f>G76*L76</f>
        <v>0.00098</v>
      </c>
      <c r="N76" s="100" t="s">
        <v>232</v>
      </c>
      <c r="O76" s="80"/>
      <c r="Z76" s="68">
        <f>IF(AQ76="5",BJ76,0)</f>
        <v>0</v>
      </c>
      <c r="AB76" s="68">
        <f>IF(AQ76="1",BH76,0)</f>
        <v>0</v>
      </c>
      <c r="AC76" s="68">
        <f>IF(AQ76="1",BI76,0)</f>
        <v>0</v>
      </c>
      <c r="AD76" s="68">
        <f>IF(AQ76="7",BH76,0)</f>
        <v>0</v>
      </c>
      <c r="AE76" s="68">
        <f>IF(AQ76="7",BI76,0)</f>
        <v>0</v>
      </c>
      <c r="AF76" s="68">
        <f>IF(AQ76="2",BH76,0)</f>
        <v>0</v>
      </c>
      <c r="AG76" s="68">
        <f>IF(AQ76="2",BI76,0)</f>
        <v>0</v>
      </c>
      <c r="AH76" s="68">
        <f>IF(AQ76="0",BJ76,0)</f>
        <v>0</v>
      </c>
      <c r="AI76" s="60"/>
      <c r="AJ76" s="52">
        <f>IF(AN76=0,K76,0)</f>
        <v>0</v>
      </c>
      <c r="AK76" s="52">
        <f>IF(AN76=15,K76,0)</f>
        <v>0</v>
      </c>
      <c r="AL76" s="52">
        <f>IF(AN76=21,K76,0)</f>
        <v>0</v>
      </c>
      <c r="AN76" s="68">
        <v>15</v>
      </c>
      <c r="AO76" s="68">
        <f>H76*1</f>
        <v>0</v>
      </c>
      <c r="AP76" s="68">
        <f>H76*(1-1)</f>
        <v>0</v>
      </c>
      <c r="AQ76" s="70" t="s">
        <v>74</v>
      </c>
      <c r="AV76" s="68">
        <f>AW76+AX76</f>
        <v>0</v>
      </c>
      <c r="AW76" s="68">
        <f>G76*AO76</f>
        <v>0</v>
      </c>
      <c r="AX76" s="68">
        <f>G76*AP76</f>
        <v>0</v>
      </c>
      <c r="AY76" s="71" t="s">
        <v>630</v>
      </c>
      <c r="AZ76" s="71" t="s">
        <v>650</v>
      </c>
      <c r="BA76" s="60" t="s">
        <v>657</v>
      </c>
      <c r="BC76" s="68">
        <f>AW76+AX76</f>
        <v>0</v>
      </c>
      <c r="BD76" s="68">
        <f>H76/(100-BE76)*100</f>
        <v>0</v>
      </c>
      <c r="BE76" s="68">
        <v>0</v>
      </c>
      <c r="BF76" s="68">
        <f>M76</f>
        <v>0.00098</v>
      </c>
      <c r="BH76" s="52">
        <f>G76*AO76</f>
        <v>0</v>
      </c>
      <c r="BI76" s="52">
        <f>G76*AP76</f>
        <v>0</v>
      </c>
      <c r="BJ76" s="52">
        <f>G76*H76</f>
        <v>0</v>
      </c>
      <c r="BK76" s="52" t="s">
        <v>663</v>
      </c>
      <c r="BL76" s="68">
        <v>64</v>
      </c>
    </row>
    <row r="77" spans="1:64" ht="12.75">
      <c r="A77" s="83" t="s">
        <v>92</v>
      </c>
      <c r="B77" s="83"/>
      <c r="C77" s="83" t="s">
        <v>233</v>
      </c>
      <c r="D77" s="220" t="s">
        <v>418</v>
      </c>
      <c r="E77" s="221"/>
      <c r="F77" s="83" t="s">
        <v>595</v>
      </c>
      <c r="G77" s="88">
        <v>2</v>
      </c>
      <c r="H77" s="136"/>
      <c r="I77" s="88">
        <f>G77*AO77</f>
        <v>0</v>
      </c>
      <c r="J77" s="88">
        <f>G77*AP77</f>
        <v>0</v>
      </c>
      <c r="K77" s="88">
        <f>G77*H77</f>
        <v>0</v>
      </c>
      <c r="L77" s="88">
        <v>0.02957</v>
      </c>
      <c r="M77" s="88">
        <f>G77*L77</f>
        <v>0.05914</v>
      </c>
      <c r="N77" s="78" t="s">
        <v>616</v>
      </c>
      <c r="O77" s="80"/>
      <c r="Z77" s="68">
        <f>IF(AQ77="5",BJ77,0)</f>
        <v>0</v>
      </c>
      <c r="AB77" s="68">
        <f>IF(AQ77="1",BH77,0)</f>
        <v>0</v>
      </c>
      <c r="AC77" s="68">
        <f>IF(AQ77="1",BI77,0)</f>
        <v>0</v>
      </c>
      <c r="AD77" s="68">
        <f>IF(AQ77="7",BH77,0)</f>
        <v>0</v>
      </c>
      <c r="AE77" s="68">
        <f>IF(AQ77="7",BI77,0)</f>
        <v>0</v>
      </c>
      <c r="AF77" s="68">
        <f>IF(AQ77="2",BH77,0)</f>
        <v>0</v>
      </c>
      <c r="AG77" s="68">
        <f>IF(AQ77="2",BI77,0)</f>
        <v>0</v>
      </c>
      <c r="AH77" s="68">
        <f>IF(AQ77="0",BJ77,0)</f>
        <v>0</v>
      </c>
      <c r="AI77" s="60"/>
      <c r="AJ77" s="50">
        <f>IF(AN77=0,K77,0)</f>
        <v>0</v>
      </c>
      <c r="AK77" s="50">
        <f>IF(AN77=15,K77,0)</f>
        <v>0</v>
      </c>
      <c r="AL77" s="50">
        <f>IF(AN77=21,K77,0)</f>
        <v>0</v>
      </c>
      <c r="AN77" s="68">
        <v>15</v>
      </c>
      <c r="AO77" s="68">
        <f>H77*0.648056710775047</f>
        <v>0</v>
      </c>
      <c r="AP77" s="68">
        <f>H77*(1-0.648056710775047)</f>
        <v>0</v>
      </c>
      <c r="AQ77" s="69" t="s">
        <v>74</v>
      </c>
      <c r="AV77" s="68">
        <f>AW77+AX77</f>
        <v>0</v>
      </c>
      <c r="AW77" s="68">
        <f>G77*AO77</f>
        <v>0</v>
      </c>
      <c r="AX77" s="68">
        <f>G77*AP77</f>
        <v>0</v>
      </c>
      <c r="AY77" s="71" t="s">
        <v>630</v>
      </c>
      <c r="AZ77" s="71" t="s">
        <v>650</v>
      </c>
      <c r="BA77" s="60" t="s">
        <v>657</v>
      </c>
      <c r="BC77" s="68">
        <f>AW77+AX77</f>
        <v>0</v>
      </c>
      <c r="BD77" s="68">
        <f>H77/(100-BE77)*100</f>
        <v>0</v>
      </c>
      <c r="BE77" s="68">
        <v>0</v>
      </c>
      <c r="BF77" s="68">
        <f>M77</f>
        <v>0.05914</v>
      </c>
      <c r="BH77" s="50">
        <f>G77*AO77</f>
        <v>0</v>
      </c>
      <c r="BI77" s="50">
        <f>G77*AP77</f>
        <v>0</v>
      </c>
      <c r="BJ77" s="50">
        <f>G77*H77</f>
        <v>0</v>
      </c>
      <c r="BK77" s="50" t="s">
        <v>662</v>
      </c>
      <c r="BL77" s="68">
        <v>64</v>
      </c>
    </row>
    <row r="78" spans="1:47" ht="12.75">
      <c r="A78" s="96"/>
      <c r="B78" s="97"/>
      <c r="C78" s="97" t="s">
        <v>234</v>
      </c>
      <c r="D78" s="222" t="s">
        <v>419</v>
      </c>
      <c r="E78" s="223"/>
      <c r="F78" s="96" t="s">
        <v>73</v>
      </c>
      <c r="G78" s="96" t="s">
        <v>73</v>
      </c>
      <c r="H78" s="96" t="s">
        <v>73</v>
      </c>
      <c r="I78" s="98">
        <f>SUM(I79:I88)</f>
        <v>0</v>
      </c>
      <c r="J78" s="98">
        <f>SUM(J79:J88)</f>
        <v>0</v>
      </c>
      <c r="K78" s="98">
        <f>SUM(K79:K88)</f>
        <v>0</v>
      </c>
      <c r="L78" s="99"/>
      <c r="M78" s="98">
        <f>SUM(M79:M88)</f>
        <v>0.040526655</v>
      </c>
      <c r="N78" s="95"/>
      <c r="O78" s="80"/>
      <c r="AI78" s="60"/>
      <c r="AS78" s="74">
        <f>SUM(AJ79:AJ88)</f>
        <v>0</v>
      </c>
      <c r="AT78" s="74">
        <f>SUM(AK79:AK88)</f>
        <v>0</v>
      </c>
      <c r="AU78" s="74">
        <f>SUM(AL79:AL88)</f>
        <v>0</v>
      </c>
    </row>
    <row r="79" spans="1:64" ht="12.75">
      <c r="A79" s="83" t="s">
        <v>93</v>
      </c>
      <c r="B79" s="83"/>
      <c r="C79" s="83" t="s">
        <v>235</v>
      </c>
      <c r="D79" s="220" t="s">
        <v>420</v>
      </c>
      <c r="E79" s="221"/>
      <c r="F79" s="83" t="s">
        <v>593</v>
      </c>
      <c r="G79" s="88">
        <v>10.41225</v>
      </c>
      <c r="H79" s="136"/>
      <c r="I79" s="88">
        <f>G79*AO79</f>
        <v>0</v>
      </c>
      <c r="J79" s="88">
        <f>G79*AP79</f>
        <v>0</v>
      </c>
      <c r="K79" s="88">
        <f>G79*H79</f>
        <v>0</v>
      </c>
      <c r="L79" s="88">
        <v>0.00358</v>
      </c>
      <c r="M79" s="88">
        <f>G79*L79</f>
        <v>0.037275855</v>
      </c>
      <c r="N79" s="78" t="s">
        <v>616</v>
      </c>
      <c r="O79" s="80"/>
      <c r="Z79" s="68">
        <f>IF(AQ79="5",BJ79,0)</f>
        <v>0</v>
      </c>
      <c r="AB79" s="68">
        <f>IF(AQ79="1",BH79,0)</f>
        <v>0</v>
      </c>
      <c r="AC79" s="68">
        <f>IF(AQ79="1",BI79,0)</f>
        <v>0</v>
      </c>
      <c r="AD79" s="68">
        <f>IF(AQ79="7",BH79,0)</f>
        <v>0</v>
      </c>
      <c r="AE79" s="68">
        <f>IF(AQ79="7",BI79,0)</f>
        <v>0</v>
      </c>
      <c r="AF79" s="68">
        <f>IF(AQ79="2",BH79,0)</f>
        <v>0</v>
      </c>
      <c r="AG79" s="68">
        <f>IF(AQ79="2",BI79,0)</f>
        <v>0</v>
      </c>
      <c r="AH79" s="68">
        <f>IF(AQ79="0",BJ79,0)</f>
        <v>0</v>
      </c>
      <c r="AI79" s="60"/>
      <c r="AJ79" s="50">
        <f>IF(AN79=0,K79,0)</f>
        <v>0</v>
      </c>
      <c r="AK79" s="50">
        <f>IF(AN79=15,K79,0)</f>
        <v>0</v>
      </c>
      <c r="AL79" s="50">
        <f>IF(AN79=21,K79,0)</f>
        <v>0</v>
      </c>
      <c r="AN79" s="68">
        <v>15</v>
      </c>
      <c r="AO79" s="68">
        <f>H79*0.618280843425796</f>
        <v>0</v>
      </c>
      <c r="AP79" s="68">
        <f>H79*(1-0.618280843425796)</f>
        <v>0</v>
      </c>
      <c r="AQ79" s="69" t="s">
        <v>80</v>
      </c>
      <c r="AV79" s="68">
        <f>AW79+AX79</f>
        <v>0</v>
      </c>
      <c r="AW79" s="68">
        <f>G79*AO79</f>
        <v>0</v>
      </c>
      <c r="AX79" s="68">
        <f>G79*AP79</f>
        <v>0</v>
      </c>
      <c r="AY79" s="71" t="s">
        <v>631</v>
      </c>
      <c r="AZ79" s="71" t="s">
        <v>651</v>
      </c>
      <c r="BA79" s="60" t="s">
        <v>657</v>
      </c>
      <c r="BC79" s="68">
        <f>AW79+AX79</f>
        <v>0</v>
      </c>
      <c r="BD79" s="68">
        <f>H79/(100-BE79)*100</f>
        <v>0</v>
      </c>
      <c r="BE79" s="68">
        <v>0</v>
      </c>
      <c r="BF79" s="68">
        <f>M79</f>
        <v>0.037275855</v>
      </c>
      <c r="BH79" s="50">
        <f>G79*AO79</f>
        <v>0</v>
      </c>
      <c r="BI79" s="50">
        <f>G79*AP79</f>
        <v>0</v>
      </c>
      <c r="BJ79" s="50">
        <f>G79*H79</f>
        <v>0</v>
      </c>
      <c r="BK79" s="50" t="s">
        <v>662</v>
      </c>
      <c r="BL79" s="68">
        <v>711</v>
      </c>
    </row>
    <row r="80" spans="1:15" ht="12.75">
      <c r="A80" s="90"/>
      <c r="B80" s="91"/>
      <c r="C80" s="91"/>
      <c r="D80" s="92" t="s">
        <v>380</v>
      </c>
      <c r="E80" s="93"/>
      <c r="F80" s="91"/>
      <c r="G80" s="94">
        <v>0</v>
      </c>
      <c r="H80" s="91"/>
      <c r="I80" s="91"/>
      <c r="J80" s="91"/>
      <c r="K80" s="91"/>
      <c r="L80" s="91"/>
      <c r="M80" s="91"/>
      <c r="N80" s="81"/>
      <c r="O80" s="80"/>
    </row>
    <row r="81" spans="1:15" ht="12.75">
      <c r="A81" s="90"/>
      <c r="B81" s="91"/>
      <c r="C81" s="91"/>
      <c r="D81" s="92" t="s">
        <v>421</v>
      </c>
      <c r="E81" s="93"/>
      <c r="F81" s="91"/>
      <c r="G81" s="94">
        <v>0</v>
      </c>
      <c r="H81" s="91"/>
      <c r="I81" s="91"/>
      <c r="J81" s="91"/>
      <c r="K81" s="91"/>
      <c r="L81" s="91"/>
      <c r="M81" s="91"/>
      <c r="N81" s="81"/>
      <c r="O81" s="80"/>
    </row>
    <row r="82" spans="1:15" ht="12.75">
      <c r="A82" s="90"/>
      <c r="B82" s="91"/>
      <c r="C82" s="91"/>
      <c r="D82" s="92" t="s">
        <v>381</v>
      </c>
      <c r="E82" s="93"/>
      <c r="F82" s="91"/>
      <c r="G82" s="94">
        <v>5.37225</v>
      </c>
      <c r="H82" s="91"/>
      <c r="I82" s="91"/>
      <c r="J82" s="91"/>
      <c r="K82" s="91"/>
      <c r="L82" s="91"/>
      <c r="M82" s="91"/>
      <c r="N82" s="81"/>
      <c r="O82" s="80"/>
    </row>
    <row r="83" spans="1:15" ht="12.75">
      <c r="A83" s="90"/>
      <c r="B83" s="91"/>
      <c r="C83" s="91"/>
      <c r="D83" s="92" t="s">
        <v>422</v>
      </c>
      <c r="E83" s="93"/>
      <c r="F83" s="91"/>
      <c r="G83" s="94">
        <v>0</v>
      </c>
      <c r="H83" s="91"/>
      <c r="I83" s="91"/>
      <c r="J83" s="91"/>
      <c r="K83" s="91"/>
      <c r="L83" s="91"/>
      <c r="M83" s="91"/>
      <c r="N83" s="81"/>
      <c r="O83" s="80"/>
    </row>
    <row r="84" spans="1:15" ht="12.75">
      <c r="A84" s="90"/>
      <c r="B84" s="91"/>
      <c r="C84" s="91"/>
      <c r="D84" s="92" t="s">
        <v>423</v>
      </c>
      <c r="E84" s="93"/>
      <c r="F84" s="91"/>
      <c r="G84" s="94">
        <v>5.04</v>
      </c>
      <c r="H84" s="91"/>
      <c r="I84" s="91"/>
      <c r="J84" s="91"/>
      <c r="K84" s="91"/>
      <c r="L84" s="91"/>
      <c r="M84" s="91"/>
      <c r="N84" s="81"/>
      <c r="O84" s="80"/>
    </row>
    <row r="85" spans="1:64" ht="12.75">
      <c r="A85" s="83" t="s">
        <v>94</v>
      </c>
      <c r="B85" s="83"/>
      <c r="C85" s="83" t="s">
        <v>236</v>
      </c>
      <c r="D85" s="220" t="s">
        <v>424</v>
      </c>
      <c r="E85" s="221"/>
      <c r="F85" s="83" t="s">
        <v>594</v>
      </c>
      <c r="G85" s="88">
        <v>9.17</v>
      </c>
      <c r="H85" s="136"/>
      <c r="I85" s="88">
        <f>G85*AO85</f>
        <v>0</v>
      </c>
      <c r="J85" s="88">
        <f>G85*AP85</f>
        <v>0</v>
      </c>
      <c r="K85" s="88">
        <f>G85*H85</f>
        <v>0</v>
      </c>
      <c r="L85" s="88">
        <v>0.00024</v>
      </c>
      <c r="M85" s="88">
        <f>G85*L85</f>
        <v>0.0022008</v>
      </c>
      <c r="N85" s="78" t="s">
        <v>616</v>
      </c>
      <c r="O85" s="80"/>
      <c r="Z85" s="68">
        <f>IF(AQ85="5",BJ85,0)</f>
        <v>0</v>
      </c>
      <c r="AB85" s="68">
        <f>IF(AQ85="1",BH85,0)</f>
        <v>0</v>
      </c>
      <c r="AC85" s="68">
        <f>IF(AQ85="1",BI85,0)</f>
        <v>0</v>
      </c>
      <c r="AD85" s="68">
        <f>IF(AQ85="7",BH85,0)</f>
        <v>0</v>
      </c>
      <c r="AE85" s="68">
        <f>IF(AQ85="7",BI85,0)</f>
        <v>0</v>
      </c>
      <c r="AF85" s="68">
        <f>IF(AQ85="2",BH85,0)</f>
        <v>0</v>
      </c>
      <c r="AG85" s="68">
        <f>IF(AQ85="2",BI85,0)</f>
        <v>0</v>
      </c>
      <c r="AH85" s="68">
        <f>IF(AQ85="0",BJ85,0)</f>
        <v>0</v>
      </c>
      <c r="AI85" s="60"/>
      <c r="AJ85" s="50">
        <f>IF(AN85=0,K85,0)</f>
        <v>0</v>
      </c>
      <c r="AK85" s="50">
        <f>IF(AN85=15,K85,0)</f>
        <v>0</v>
      </c>
      <c r="AL85" s="50">
        <f>IF(AN85=21,K85,0)</f>
        <v>0</v>
      </c>
      <c r="AN85" s="68">
        <v>15</v>
      </c>
      <c r="AO85" s="68">
        <f>H85*0.593734350623647</f>
        <v>0</v>
      </c>
      <c r="AP85" s="68">
        <f>H85*(1-0.593734350623647)</f>
        <v>0</v>
      </c>
      <c r="AQ85" s="69" t="s">
        <v>80</v>
      </c>
      <c r="AV85" s="68">
        <f>AW85+AX85</f>
        <v>0</v>
      </c>
      <c r="AW85" s="68">
        <f>G85*AO85</f>
        <v>0</v>
      </c>
      <c r="AX85" s="68">
        <f>G85*AP85</f>
        <v>0</v>
      </c>
      <c r="AY85" s="71" t="s">
        <v>631</v>
      </c>
      <c r="AZ85" s="71" t="s">
        <v>651</v>
      </c>
      <c r="BA85" s="60" t="s">
        <v>657</v>
      </c>
      <c r="BC85" s="68">
        <f>AW85+AX85</f>
        <v>0</v>
      </c>
      <c r="BD85" s="68">
        <f>H85/(100-BE85)*100</f>
        <v>0</v>
      </c>
      <c r="BE85" s="68">
        <v>0</v>
      </c>
      <c r="BF85" s="68">
        <f>M85</f>
        <v>0.0022008</v>
      </c>
      <c r="BH85" s="50">
        <f>G85*AO85</f>
        <v>0</v>
      </c>
      <c r="BI85" s="50">
        <f>G85*AP85</f>
        <v>0</v>
      </c>
      <c r="BJ85" s="50">
        <f>G85*H85</f>
        <v>0</v>
      </c>
      <c r="BK85" s="50" t="s">
        <v>662</v>
      </c>
      <c r="BL85" s="68">
        <v>711</v>
      </c>
    </row>
    <row r="86" spans="1:15" ht="12.75">
      <c r="A86" s="90"/>
      <c r="B86" s="91"/>
      <c r="C86" s="91"/>
      <c r="D86" s="92" t="s">
        <v>425</v>
      </c>
      <c r="E86" s="93"/>
      <c r="F86" s="91"/>
      <c r="G86" s="94">
        <v>9.17</v>
      </c>
      <c r="H86" s="91"/>
      <c r="I86" s="91"/>
      <c r="J86" s="91"/>
      <c r="K86" s="91"/>
      <c r="L86" s="91"/>
      <c r="M86" s="91"/>
      <c r="N86" s="81"/>
      <c r="O86" s="80"/>
    </row>
    <row r="87" spans="1:64" ht="12.75">
      <c r="A87" s="83" t="s">
        <v>95</v>
      </c>
      <c r="B87" s="83"/>
      <c r="C87" s="83" t="s">
        <v>237</v>
      </c>
      <c r="D87" s="220" t="s">
        <v>426</v>
      </c>
      <c r="E87" s="221"/>
      <c r="F87" s="83" t="s">
        <v>594</v>
      </c>
      <c r="G87" s="88">
        <v>2.1</v>
      </c>
      <c r="H87" s="136"/>
      <c r="I87" s="88">
        <f>G87*AO87</f>
        <v>0</v>
      </c>
      <c r="J87" s="88">
        <f>G87*AP87</f>
        <v>0</v>
      </c>
      <c r="K87" s="88">
        <f>G87*H87</f>
        <v>0</v>
      </c>
      <c r="L87" s="88">
        <v>0.0005</v>
      </c>
      <c r="M87" s="88">
        <f>G87*L87</f>
        <v>0.0010500000000000002</v>
      </c>
      <c r="N87" s="78" t="s">
        <v>616</v>
      </c>
      <c r="O87" s="80"/>
      <c r="Z87" s="68">
        <f>IF(AQ87="5",BJ87,0)</f>
        <v>0</v>
      </c>
      <c r="AB87" s="68">
        <f>IF(AQ87="1",BH87,0)</f>
        <v>0</v>
      </c>
      <c r="AC87" s="68">
        <f>IF(AQ87="1",BI87,0)</f>
        <v>0</v>
      </c>
      <c r="AD87" s="68">
        <f>IF(AQ87="7",BH87,0)</f>
        <v>0</v>
      </c>
      <c r="AE87" s="68">
        <f>IF(AQ87="7",BI87,0)</f>
        <v>0</v>
      </c>
      <c r="AF87" s="68">
        <f>IF(AQ87="2",BH87,0)</f>
        <v>0</v>
      </c>
      <c r="AG87" s="68">
        <f>IF(AQ87="2",BI87,0)</f>
        <v>0</v>
      </c>
      <c r="AH87" s="68">
        <f>IF(AQ87="0",BJ87,0)</f>
        <v>0</v>
      </c>
      <c r="AI87" s="60"/>
      <c r="AJ87" s="50">
        <f>IF(AN87=0,K87,0)</f>
        <v>0</v>
      </c>
      <c r="AK87" s="50">
        <f>IF(AN87=15,K87,0)</f>
        <v>0</v>
      </c>
      <c r="AL87" s="50">
        <f>IF(AN87=21,K87,0)</f>
        <v>0</v>
      </c>
      <c r="AN87" s="68">
        <v>15</v>
      </c>
      <c r="AO87" s="68">
        <f>H87*0.603505617977528</f>
        <v>0</v>
      </c>
      <c r="AP87" s="68">
        <f>H87*(1-0.603505617977528)</f>
        <v>0</v>
      </c>
      <c r="AQ87" s="69" t="s">
        <v>80</v>
      </c>
      <c r="AV87" s="68">
        <f>AW87+AX87</f>
        <v>0</v>
      </c>
      <c r="AW87" s="68">
        <f>G87*AO87</f>
        <v>0</v>
      </c>
      <c r="AX87" s="68">
        <f>G87*AP87</f>
        <v>0</v>
      </c>
      <c r="AY87" s="71" t="s">
        <v>631</v>
      </c>
      <c r="AZ87" s="71" t="s">
        <v>651</v>
      </c>
      <c r="BA87" s="60" t="s">
        <v>657</v>
      </c>
      <c r="BC87" s="68">
        <f>AW87+AX87</f>
        <v>0</v>
      </c>
      <c r="BD87" s="68">
        <f>H87/(100-BE87)*100</f>
        <v>0</v>
      </c>
      <c r="BE87" s="68">
        <v>0</v>
      </c>
      <c r="BF87" s="68">
        <f>M87</f>
        <v>0.0010500000000000002</v>
      </c>
      <c r="BH87" s="50">
        <f>G87*AO87</f>
        <v>0</v>
      </c>
      <c r="BI87" s="50">
        <f>G87*AP87</f>
        <v>0</v>
      </c>
      <c r="BJ87" s="50">
        <f>G87*H87</f>
        <v>0</v>
      </c>
      <c r="BK87" s="50" t="s">
        <v>662</v>
      </c>
      <c r="BL87" s="68">
        <v>711</v>
      </c>
    </row>
    <row r="88" spans="1:64" ht="12.75">
      <c r="A88" s="83" t="s">
        <v>96</v>
      </c>
      <c r="B88" s="83"/>
      <c r="C88" s="83" t="s">
        <v>238</v>
      </c>
      <c r="D88" s="220" t="s">
        <v>427</v>
      </c>
      <c r="E88" s="221"/>
      <c r="F88" s="83" t="s">
        <v>596</v>
      </c>
      <c r="G88" s="88">
        <v>0.1</v>
      </c>
      <c r="H88" s="136"/>
      <c r="I88" s="88">
        <f>G88*AO88</f>
        <v>0</v>
      </c>
      <c r="J88" s="88">
        <f>G88*AP88</f>
        <v>0</v>
      </c>
      <c r="K88" s="88">
        <f>G88*H88</f>
        <v>0</v>
      </c>
      <c r="L88" s="88">
        <v>0</v>
      </c>
      <c r="M88" s="88">
        <f>G88*L88</f>
        <v>0</v>
      </c>
      <c r="N88" s="78" t="s">
        <v>616</v>
      </c>
      <c r="O88" s="80"/>
      <c r="Z88" s="68">
        <f>IF(AQ88="5",BJ88,0)</f>
        <v>0</v>
      </c>
      <c r="AB88" s="68">
        <f>IF(AQ88="1",BH88,0)</f>
        <v>0</v>
      </c>
      <c r="AC88" s="68">
        <f>IF(AQ88="1",BI88,0)</f>
        <v>0</v>
      </c>
      <c r="AD88" s="68">
        <f>IF(AQ88="7",BH88,0)</f>
        <v>0</v>
      </c>
      <c r="AE88" s="68">
        <f>IF(AQ88="7",BI88,0)</f>
        <v>0</v>
      </c>
      <c r="AF88" s="68">
        <f>IF(AQ88="2",BH88,0)</f>
        <v>0</v>
      </c>
      <c r="AG88" s="68">
        <f>IF(AQ88="2",BI88,0)</f>
        <v>0</v>
      </c>
      <c r="AH88" s="68">
        <f>IF(AQ88="0",BJ88,0)</f>
        <v>0</v>
      </c>
      <c r="AI88" s="60"/>
      <c r="AJ88" s="50">
        <f>IF(AN88=0,K88,0)</f>
        <v>0</v>
      </c>
      <c r="AK88" s="50">
        <f>IF(AN88=15,K88,0)</f>
        <v>0</v>
      </c>
      <c r="AL88" s="50">
        <f>IF(AN88=21,K88,0)</f>
        <v>0</v>
      </c>
      <c r="AN88" s="68">
        <v>15</v>
      </c>
      <c r="AO88" s="68">
        <f>H88*0</f>
        <v>0</v>
      </c>
      <c r="AP88" s="68">
        <f>H88*(1-0)</f>
        <v>0</v>
      </c>
      <c r="AQ88" s="69" t="s">
        <v>78</v>
      </c>
      <c r="AV88" s="68">
        <f>AW88+AX88</f>
        <v>0</v>
      </c>
      <c r="AW88" s="68">
        <f>G88*AO88</f>
        <v>0</v>
      </c>
      <c r="AX88" s="68">
        <f>G88*AP88</f>
        <v>0</v>
      </c>
      <c r="AY88" s="71" t="s">
        <v>631</v>
      </c>
      <c r="AZ88" s="71" t="s">
        <v>651</v>
      </c>
      <c r="BA88" s="60" t="s">
        <v>657</v>
      </c>
      <c r="BC88" s="68">
        <f>AW88+AX88</f>
        <v>0</v>
      </c>
      <c r="BD88" s="68">
        <f>H88/(100-BE88)*100</f>
        <v>0</v>
      </c>
      <c r="BE88" s="68">
        <v>0</v>
      </c>
      <c r="BF88" s="68">
        <f>M88</f>
        <v>0</v>
      </c>
      <c r="BH88" s="50">
        <f>G88*AO88</f>
        <v>0</v>
      </c>
      <c r="BI88" s="50">
        <f>G88*AP88</f>
        <v>0</v>
      </c>
      <c r="BJ88" s="50">
        <f>G88*H88</f>
        <v>0</v>
      </c>
      <c r="BK88" s="50" t="s">
        <v>662</v>
      </c>
      <c r="BL88" s="68">
        <v>711</v>
      </c>
    </row>
    <row r="89" spans="1:47" ht="12.75">
      <c r="A89" s="104"/>
      <c r="B89" s="105"/>
      <c r="C89" s="105" t="s">
        <v>239</v>
      </c>
      <c r="D89" s="226" t="s">
        <v>428</v>
      </c>
      <c r="E89" s="223"/>
      <c r="F89" s="104" t="s">
        <v>73</v>
      </c>
      <c r="G89" s="104" t="s">
        <v>73</v>
      </c>
      <c r="H89" s="104" t="s">
        <v>73</v>
      </c>
      <c r="I89" s="106">
        <f>SUM(I90:I100)</f>
        <v>0</v>
      </c>
      <c r="J89" s="106">
        <f>SUM(J90:J100)</f>
        <v>0</v>
      </c>
      <c r="K89" s="106">
        <f>SUM(K90:K100)</f>
        <v>0</v>
      </c>
      <c r="L89" s="107"/>
      <c r="M89" s="106">
        <f>SUM(M90:M100)</f>
        <v>0.020892</v>
      </c>
      <c r="N89" s="103"/>
      <c r="O89" s="80"/>
      <c r="AI89" s="60"/>
      <c r="AS89" s="74">
        <f>SUM(AJ90:AJ100)</f>
        <v>0</v>
      </c>
      <c r="AT89" s="74">
        <f>SUM(AK90:AK100)</f>
        <v>0</v>
      </c>
      <c r="AU89" s="74">
        <f>SUM(AL90:AL100)</f>
        <v>0</v>
      </c>
    </row>
    <row r="90" spans="1:64" ht="12.75">
      <c r="A90" s="83" t="s">
        <v>97</v>
      </c>
      <c r="B90" s="83"/>
      <c r="C90" s="83" t="s">
        <v>240</v>
      </c>
      <c r="D90" s="220" t="s">
        <v>429</v>
      </c>
      <c r="E90" s="221"/>
      <c r="F90" s="83" t="s">
        <v>595</v>
      </c>
      <c r="G90" s="88">
        <v>1</v>
      </c>
      <c r="H90" s="136"/>
      <c r="I90" s="88">
        <f aca="true" t="shared" si="0" ref="I90:I100">G90*AO90</f>
        <v>0</v>
      </c>
      <c r="J90" s="88">
        <f aca="true" t="shared" si="1" ref="J90:J100">G90*AP90</f>
        <v>0</v>
      </c>
      <c r="K90" s="88">
        <f aca="true" t="shared" si="2" ref="K90:K100">G90*H90</f>
        <v>0</v>
      </c>
      <c r="L90" s="88">
        <v>0.00038</v>
      </c>
      <c r="M90" s="88">
        <f aca="true" t="shared" si="3" ref="M90:M100">G90*L90</f>
        <v>0.00038</v>
      </c>
      <c r="N90" s="78" t="s">
        <v>616</v>
      </c>
      <c r="O90" s="80"/>
      <c r="Z90" s="68">
        <f aca="true" t="shared" si="4" ref="Z90:Z100">IF(AQ90="5",BJ90,0)</f>
        <v>0</v>
      </c>
      <c r="AB90" s="68">
        <f aca="true" t="shared" si="5" ref="AB90:AB100">IF(AQ90="1",BH90,0)</f>
        <v>0</v>
      </c>
      <c r="AC90" s="68">
        <f aca="true" t="shared" si="6" ref="AC90:AC100">IF(AQ90="1",BI90,0)</f>
        <v>0</v>
      </c>
      <c r="AD90" s="68">
        <f aca="true" t="shared" si="7" ref="AD90:AD100">IF(AQ90="7",BH90,0)</f>
        <v>0</v>
      </c>
      <c r="AE90" s="68">
        <f aca="true" t="shared" si="8" ref="AE90:AE100">IF(AQ90="7",BI90,0)</f>
        <v>0</v>
      </c>
      <c r="AF90" s="68">
        <f aca="true" t="shared" si="9" ref="AF90:AF100">IF(AQ90="2",BH90,0)</f>
        <v>0</v>
      </c>
      <c r="AG90" s="68">
        <f aca="true" t="shared" si="10" ref="AG90:AG100">IF(AQ90="2",BI90,0)</f>
        <v>0</v>
      </c>
      <c r="AH90" s="68">
        <f aca="true" t="shared" si="11" ref="AH90:AH100">IF(AQ90="0",BJ90,0)</f>
        <v>0</v>
      </c>
      <c r="AI90" s="60"/>
      <c r="AJ90" s="50">
        <f aca="true" t="shared" si="12" ref="AJ90:AJ100">IF(AN90=0,K90,0)</f>
        <v>0</v>
      </c>
      <c r="AK90" s="50">
        <f aca="true" t="shared" si="13" ref="AK90:AK100">IF(AN90=15,K90,0)</f>
        <v>0</v>
      </c>
      <c r="AL90" s="50">
        <f aca="true" t="shared" si="14" ref="AL90:AL100">IF(AN90=21,K90,0)</f>
        <v>0</v>
      </c>
      <c r="AN90" s="68">
        <v>15</v>
      </c>
      <c r="AO90" s="68">
        <f>H90*0.810294117647059</f>
        <v>0</v>
      </c>
      <c r="AP90" s="68">
        <f>H90*(1-0.810294117647059)</f>
        <v>0</v>
      </c>
      <c r="AQ90" s="69" t="s">
        <v>80</v>
      </c>
      <c r="AV90" s="68">
        <f aca="true" t="shared" si="15" ref="AV90:AV100">AW90+AX90</f>
        <v>0</v>
      </c>
      <c r="AW90" s="68">
        <f aca="true" t="shared" si="16" ref="AW90:AW100">G90*AO90</f>
        <v>0</v>
      </c>
      <c r="AX90" s="68">
        <f aca="true" t="shared" si="17" ref="AX90:AX100">G90*AP90</f>
        <v>0</v>
      </c>
      <c r="AY90" s="71" t="s">
        <v>632</v>
      </c>
      <c r="AZ90" s="71" t="s">
        <v>652</v>
      </c>
      <c r="BA90" s="60" t="s">
        <v>657</v>
      </c>
      <c r="BC90" s="68">
        <f aca="true" t="shared" si="18" ref="BC90:BC100">AW90+AX90</f>
        <v>0</v>
      </c>
      <c r="BD90" s="68">
        <f aca="true" t="shared" si="19" ref="BD90:BD100">H90/(100-BE90)*100</f>
        <v>0</v>
      </c>
      <c r="BE90" s="68">
        <v>0</v>
      </c>
      <c r="BF90" s="68">
        <f aca="true" t="shared" si="20" ref="BF90:BF100">M90</f>
        <v>0.00038</v>
      </c>
      <c r="BH90" s="50">
        <f aca="true" t="shared" si="21" ref="BH90:BH100">G90*AO90</f>
        <v>0</v>
      </c>
      <c r="BI90" s="50">
        <f aca="true" t="shared" si="22" ref="BI90:BI100">G90*AP90</f>
        <v>0</v>
      </c>
      <c r="BJ90" s="50">
        <f aca="true" t="shared" si="23" ref="BJ90:BJ100">G90*H90</f>
        <v>0</v>
      </c>
      <c r="BK90" s="50" t="s">
        <v>662</v>
      </c>
      <c r="BL90" s="68">
        <v>721</v>
      </c>
    </row>
    <row r="91" spans="1:64" ht="12.75">
      <c r="A91" s="83" t="s">
        <v>98</v>
      </c>
      <c r="B91" s="83"/>
      <c r="C91" s="83" t="s">
        <v>241</v>
      </c>
      <c r="D91" s="220" t="s">
        <v>430</v>
      </c>
      <c r="E91" s="221"/>
      <c r="F91" s="83" t="s">
        <v>594</v>
      </c>
      <c r="G91" s="88">
        <v>6</v>
      </c>
      <c r="H91" s="136"/>
      <c r="I91" s="88">
        <f t="shared" si="0"/>
        <v>0</v>
      </c>
      <c r="J91" s="88">
        <f t="shared" si="1"/>
        <v>0</v>
      </c>
      <c r="K91" s="88">
        <f t="shared" si="2"/>
        <v>0</v>
      </c>
      <c r="L91" s="88">
        <v>0.0021</v>
      </c>
      <c r="M91" s="88">
        <f t="shared" si="3"/>
        <v>0.0126</v>
      </c>
      <c r="N91" s="78" t="s">
        <v>616</v>
      </c>
      <c r="O91" s="80"/>
      <c r="Z91" s="68">
        <f t="shared" si="4"/>
        <v>0</v>
      </c>
      <c r="AB91" s="68">
        <f t="shared" si="5"/>
        <v>0</v>
      </c>
      <c r="AC91" s="68">
        <f t="shared" si="6"/>
        <v>0</v>
      </c>
      <c r="AD91" s="68">
        <f t="shared" si="7"/>
        <v>0</v>
      </c>
      <c r="AE91" s="68">
        <f t="shared" si="8"/>
        <v>0</v>
      </c>
      <c r="AF91" s="68">
        <f t="shared" si="9"/>
        <v>0</v>
      </c>
      <c r="AG91" s="68">
        <f t="shared" si="10"/>
        <v>0</v>
      </c>
      <c r="AH91" s="68">
        <f t="shared" si="11"/>
        <v>0</v>
      </c>
      <c r="AI91" s="60"/>
      <c r="AJ91" s="50">
        <f t="shared" si="12"/>
        <v>0</v>
      </c>
      <c r="AK91" s="50">
        <f t="shared" si="13"/>
        <v>0</v>
      </c>
      <c r="AL91" s="50">
        <f t="shared" si="14"/>
        <v>0</v>
      </c>
      <c r="AN91" s="68">
        <v>15</v>
      </c>
      <c r="AO91" s="68">
        <f>H91*0</f>
        <v>0</v>
      </c>
      <c r="AP91" s="68">
        <f>H91*(1-0)</f>
        <v>0</v>
      </c>
      <c r="AQ91" s="69" t="s">
        <v>80</v>
      </c>
      <c r="AV91" s="68">
        <f t="shared" si="15"/>
        <v>0</v>
      </c>
      <c r="AW91" s="68">
        <f t="shared" si="16"/>
        <v>0</v>
      </c>
      <c r="AX91" s="68">
        <f t="shared" si="17"/>
        <v>0</v>
      </c>
      <c r="AY91" s="71" t="s">
        <v>632</v>
      </c>
      <c r="AZ91" s="71" t="s">
        <v>652</v>
      </c>
      <c r="BA91" s="60" t="s">
        <v>657</v>
      </c>
      <c r="BC91" s="68">
        <f t="shared" si="18"/>
        <v>0</v>
      </c>
      <c r="BD91" s="68">
        <f t="shared" si="19"/>
        <v>0</v>
      </c>
      <c r="BE91" s="68">
        <v>0</v>
      </c>
      <c r="BF91" s="68">
        <f t="shared" si="20"/>
        <v>0.0126</v>
      </c>
      <c r="BH91" s="50">
        <f t="shared" si="21"/>
        <v>0</v>
      </c>
      <c r="BI91" s="50">
        <f t="shared" si="22"/>
        <v>0</v>
      </c>
      <c r="BJ91" s="50">
        <f t="shared" si="23"/>
        <v>0</v>
      </c>
      <c r="BK91" s="50" t="s">
        <v>662</v>
      </c>
      <c r="BL91" s="68">
        <v>721</v>
      </c>
    </row>
    <row r="92" spans="1:64" ht="12.75">
      <c r="A92" s="83" t="s">
        <v>99</v>
      </c>
      <c r="B92" s="83"/>
      <c r="C92" s="83" t="s">
        <v>242</v>
      </c>
      <c r="D92" s="220" t="s">
        <v>431</v>
      </c>
      <c r="E92" s="221"/>
      <c r="F92" s="83" t="s">
        <v>594</v>
      </c>
      <c r="G92" s="88">
        <v>7.8</v>
      </c>
      <c r="H92" s="136"/>
      <c r="I92" s="88">
        <f t="shared" si="0"/>
        <v>0</v>
      </c>
      <c r="J92" s="88">
        <f t="shared" si="1"/>
        <v>0</v>
      </c>
      <c r="K92" s="88">
        <f t="shared" si="2"/>
        <v>0</v>
      </c>
      <c r="L92" s="88">
        <v>0.00047</v>
      </c>
      <c r="M92" s="88">
        <f t="shared" si="3"/>
        <v>0.003666</v>
      </c>
      <c r="N92" s="78" t="s">
        <v>616</v>
      </c>
      <c r="O92" s="80"/>
      <c r="Z92" s="68">
        <f t="shared" si="4"/>
        <v>0</v>
      </c>
      <c r="AB92" s="68">
        <f t="shared" si="5"/>
        <v>0</v>
      </c>
      <c r="AC92" s="68">
        <f t="shared" si="6"/>
        <v>0</v>
      </c>
      <c r="AD92" s="68">
        <f t="shared" si="7"/>
        <v>0</v>
      </c>
      <c r="AE92" s="68">
        <f t="shared" si="8"/>
        <v>0</v>
      </c>
      <c r="AF92" s="68">
        <f t="shared" si="9"/>
        <v>0</v>
      </c>
      <c r="AG92" s="68">
        <f t="shared" si="10"/>
        <v>0</v>
      </c>
      <c r="AH92" s="68">
        <f t="shared" si="11"/>
        <v>0</v>
      </c>
      <c r="AI92" s="60"/>
      <c r="AJ92" s="50">
        <f t="shared" si="12"/>
        <v>0</v>
      </c>
      <c r="AK92" s="50">
        <f t="shared" si="13"/>
        <v>0</v>
      </c>
      <c r="AL92" s="50">
        <f t="shared" si="14"/>
        <v>0</v>
      </c>
      <c r="AN92" s="68">
        <v>15</v>
      </c>
      <c r="AO92" s="68">
        <f>H92*0.378966666666667</f>
        <v>0</v>
      </c>
      <c r="AP92" s="68">
        <f>H92*(1-0.378966666666667)</f>
        <v>0</v>
      </c>
      <c r="AQ92" s="69" t="s">
        <v>80</v>
      </c>
      <c r="AV92" s="68">
        <f t="shared" si="15"/>
        <v>0</v>
      </c>
      <c r="AW92" s="68">
        <f t="shared" si="16"/>
        <v>0</v>
      </c>
      <c r="AX92" s="68">
        <f t="shared" si="17"/>
        <v>0</v>
      </c>
      <c r="AY92" s="71" t="s">
        <v>632</v>
      </c>
      <c r="AZ92" s="71" t="s">
        <v>652</v>
      </c>
      <c r="BA92" s="60" t="s">
        <v>657</v>
      </c>
      <c r="BC92" s="68">
        <f t="shared" si="18"/>
        <v>0</v>
      </c>
      <c r="BD92" s="68">
        <f t="shared" si="19"/>
        <v>0</v>
      </c>
      <c r="BE92" s="68">
        <v>0</v>
      </c>
      <c r="BF92" s="68">
        <f t="shared" si="20"/>
        <v>0.003666</v>
      </c>
      <c r="BH92" s="50">
        <f t="shared" si="21"/>
        <v>0</v>
      </c>
      <c r="BI92" s="50">
        <f t="shared" si="22"/>
        <v>0</v>
      </c>
      <c r="BJ92" s="50">
        <f t="shared" si="23"/>
        <v>0</v>
      </c>
      <c r="BK92" s="50" t="s">
        <v>662</v>
      </c>
      <c r="BL92" s="68">
        <v>721</v>
      </c>
    </row>
    <row r="93" spans="1:64" ht="12.75">
      <c r="A93" s="83" t="s">
        <v>100</v>
      </c>
      <c r="B93" s="83"/>
      <c r="C93" s="83" t="s">
        <v>243</v>
      </c>
      <c r="D93" s="220" t="s">
        <v>432</v>
      </c>
      <c r="E93" s="221"/>
      <c r="F93" s="83" t="s">
        <v>594</v>
      </c>
      <c r="G93" s="88">
        <v>1.8</v>
      </c>
      <c r="H93" s="136"/>
      <c r="I93" s="88">
        <f t="shared" si="0"/>
        <v>0</v>
      </c>
      <c r="J93" s="88">
        <f t="shared" si="1"/>
        <v>0</v>
      </c>
      <c r="K93" s="88">
        <f t="shared" si="2"/>
        <v>0</v>
      </c>
      <c r="L93" s="88">
        <v>0.00152</v>
      </c>
      <c r="M93" s="88">
        <f t="shared" si="3"/>
        <v>0.002736</v>
      </c>
      <c r="N93" s="78" t="s">
        <v>616</v>
      </c>
      <c r="O93" s="80"/>
      <c r="Z93" s="68">
        <f t="shared" si="4"/>
        <v>0</v>
      </c>
      <c r="AB93" s="68">
        <f t="shared" si="5"/>
        <v>0</v>
      </c>
      <c r="AC93" s="68">
        <f t="shared" si="6"/>
        <v>0</v>
      </c>
      <c r="AD93" s="68">
        <f t="shared" si="7"/>
        <v>0</v>
      </c>
      <c r="AE93" s="68">
        <f t="shared" si="8"/>
        <v>0</v>
      </c>
      <c r="AF93" s="68">
        <f t="shared" si="9"/>
        <v>0</v>
      </c>
      <c r="AG93" s="68">
        <f t="shared" si="10"/>
        <v>0</v>
      </c>
      <c r="AH93" s="68">
        <f t="shared" si="11"/>
        <v>0</v>
      </c>
      <c r="AI93" s="60"/>
      <c r="AJ93" s="50">
        <f t="shared" si="12"/>
        <v>0</v>
      </c>
      <c r="AK93" s="50">
        <f t="shared" si="13"/>
        <v>0</v>
      </c>
      <c r="AL93" s="50">
        <f t="shared" si="14"/>
        <v>0</v>
      </c>
      <c r="AN93" s="68">
        <v>15</v>
      </c>
      <c r="AO93" s="68">
        <f>H93*0.360594530876157</f>
        <v>0</v>
      </c>
      <c r="AP93" s="68">
        <f>H93*(1-0.360594530876157)</f>
        <v>0</v>
      </c>
      <c r="AQ93" s="69" t="s">
        <v>80</v>
      </c>
      <c r="AV93" s="68">
        <f t="shared" si="15"/>
        <v>0</v>
      </c>
      <c r="AW93" s="68">
        <f t="shared" si="16"/>
        <v>0</v>
      </c>
      <c r="AX93" s="68">
        <f t="shared" si="17"/>
        <v>0</v>
      </c>
      <c r="AY93" s="71" t="s">
        <v>632</v>
      </c>
      <c r="AZ93" s="71" t="s">
        <v>652</v>
      </c>
      <c r="BA93" s="60" t="s">
        <v>657</v>
      </c>
      <c r="BC93" s="68">
        <f t="shared" si="18"/>
        <v>0</v>
      </c>
      <c r="BD93" s="68">
        <f t="shared" si="19"/>
        <v>0</v>
      </c>
      <c r="BE93" s="68">
        <v>0</v>
      </c>
      <c r="BF93" s="68">
        <f t="shared" si="20"/>
        <v>0.002736</v>
      </c>
      <c r="BH93" s="50">
        <f t="shared" si="21"/>
        <v>0</v>
      </c>
      <c r="BI93" s="50">
        <f t="shared" si="22"/>
        <v>0</v>
      </c>
      <c r="BJ93" s="50">
        <f t="shared" si="23"/>
        <v>0</v>
      </c>
      <c r="BK93" s="50" t="s">
        <v>662</v>
      </c>
      <c r="BL93" s="68">
        <v>721</v>
      </c>
    </row>
    <row r="94" spans="1:64" ht="12.75">
      <c r="A94" s="83" t="s">
        <v>101</v>
      </c>
      <c r="B94" s="83"/>
      <c r="C94" s="83" t="s">
        <v>244</v>
      </c>
      <c r="D94" s="220" t="s">
        <v>433</v>
      </c>
      <c r="E94" s="221"/>
      <c r="F94" s="83" t="s">
        <v>594</v>
      </c>
      <c r="G94" s="88">
        <v>0.5</v>
      </c>
      <c r="H94" s="136"/>
      <c r="I94" s="88">
        <f t="shared" si="0"/>
        <v>0</v>
      </c>
      <c r="J94" s="88">
        <f t="shared" si="1"/>
        <v>0</v>
      </c>
      <c r="K94" s="88">
        <f t="shared" si="2"/>
        <v>0</v>
      </c>
      <c r="L94" s="88">
        <v>0.00131</v>
      </c>
      <c r="M94" s="88">
        <f t="shared" si="3"/>
        <v>0.000655</v>
      </c>
      <c r="N94" s="78" t="s">
        <v>616</v>
      </c>
      <c r="O94" s="80"/>
      <c r="Z94" s="68">
        <f t="shared" si="4"/>
        <v>0</v>
      </c>
      <c r="AB94" s="68">
        <f t="shared" si="5"/>
        <v>0</v>
      </c>
      <c r="AC94" s="68">
        <f t="shared" si="6"/>
        <v>0</v>
      </c>
      <c r="AD94" s="68">
        <f t="shared" si="7"/>
        <v>0</v>
      </c>
      <c r="AE94" s="68">
        <f t="shared" si="8"/>
        <v>0</v>
      </c>
      <c r="AF94" s="68">
        <f t="shared" si="9"/>
        <v>0</v>
      </c>
      <c r="AG94" s="68">
        <f t="shared" si="10"/>
        <v>0</v>
      </c>
      <c r="AH94" s="68">
        <f t="shared" si="11"/>
        <v>0</v>
      </c>
      <c r="AI94" s="60"/>
      <c r="AJ94" s="50">
        <f t="shared" si="12"/>
        <v>0</v>
      </c>
      <c r="AK94" s="50">
        <f t="shared" si="13"/>
        <v>0</v>
      </c>
      <c r="AL94" s="50">
        <f t="shared" si="14"/>
        <v>0</v>
      </c>
      <c r="AN94" s="68">
        <v>15</v>
      </c>
      <c r="AO94" s="68">
        <f>H94*0.460092546600089</f>
        <v>0</v>
      </c>
      <c r="AP94" s="68">
        <f>H94*(1-0.460092546600089)</f>
        <v>0</v>
      </c>
      <c r="AQ94" s="69" t="s">
        <v>80</v>
      </c>
      <c r="AV94" s="68">
        <f t="shared" si="15"/>
        <v>0</v>
      </c>
      <c r="AW94" s="68">
        <f t="shared" si="16"/>
        <v>0</v>
      </c>
      <c r="AX94" s="68">
        <f t="shared" si="17"/>
        <v>0</v>
      </c>
      <c r="AY94" s="71" t="s">
        <v>632</v>
      </c>
      <c r="AZ94" s="71" t="s">
        <v>652</v>
      </c>
      <c r="BA94" s="60" t="s">
        <v>657</v>
      </c>
      <c r="BC94" s="68">
        <f t="shared" si="18"/>
        <v>0</v>
      </c>
      <c r="BD94" s="68">
        <f t="shared" si="19"/>
        <v>0</v>
      </c>
      <c r="BE94" s="68">
        <v>0</v>
      </c>
      <c r="BF94" s="68">
        <f t="shared" si="20"/>
        <v>0.000655</v>
      </c>
      <c r="BH94" s="50">
        <f t="shared" si="21"/>
        <v>0</v>
      </c>
      <c r="BI94" s="50">
        <f t="shared" si="22"/>
        <v>0</v>
      </c>
      <c r="BJ94" s="50">
        <f t="shared" si="23"/>
        <v>0</v>
      </c>
      <c r="BK94" s="50" t="s">
        <v>662</v>
      </c>
      <c r="BL94" s="68">
        <v>721</v>
      </c>
    </row>
    <row r="95" spans="1:64" ht="12.75">
      <c r="A95" s="83" t="s">
        <v>102</v>
      </c>
      <c r="B95" s="83"/>
      <c r="C95" s="83" t="s">
        <v>245</v>
      </c>
      <c r="D95" s="220" t="s">
        <v>434</v>
      </c>
      <c r="E95" s="221"/>
      <c r="F95" s="83" t="s">
        <v>595</v>
      </c>
      <c r="G95" s="88">
        <v>4</v>
      </c>
      <c r="H95" s="136"/>
      <c r="I95" s="88">
        <f t="shared" si="0"/>
        <v>0</v>
      </c>
      <c r="J95" s="88">
        <f t="shared" si="1"/>
        <v>0</v>
      </c>
      <c r="K95" s="88">
        <f t="shared" si="2"/>
        <v>0</v>
      </c>
      <c r="L95" s="88">
        <v>0</v>
      </c>
      <c r="M95" s="88">
        <f t="shared" si="3"/>
        <v>0</v>
      </c>
      <c r="N95" s="78" t="s">
        <v>616</v>
      </c>
      <c r="O95" s="80"/>
      <c r="Z95" s="68">
        <f t="shared" si="4"/>
        <v>0</v>
      </c>
      <c r="AB95" s="68">
        <f t="shared" si="5"/>
        <v>0</v>
      </c>
      <c r="AC95" s="68">
        <f t="shared" si="6"/>
        <v>0</v>
      </c>
      <c r="AD95" s="68">
        <f t="shared" si="7"/>
        <v>0</v>
      </c>
      <c r="AE95" s="68">
        <f t="shared" si="8"/>
        <v>0</v>
      </c>
      <c r="AF95" s="68">
        <f t="shared" si="9"/>
        <v>0</v>
      </c>
      <c r="AG95" s="68">
        <f t="shared" si="10"/>
        <v>0</v>
      </c>
      <c r="AH95" s="68">
        <f t="shared" si="11"/>
        <v>0</v>
      </c>
      <c r="AI95" s="60"/>
      <c r="AJ95" s="50">
        <f t="shared" si="12"/>
        <v>0</v>
      </c>
      <c r="AK95" s="50">
        <f t="shared" si="13"/>
        <v>0</v>
      </c>
      <c r="AL95" s="50">
        <f t="shared" si="14"/>
        <v>0</v>
      </c>
      <c r="AN95" s="68">
        <v>15</v>
      </c>
      <c r="AO95" s="68">
        <f>H95*0</f>
        <v>0</v>
      </c>
      <c r="AP95" s="68">
        <f>H95*(1-0)</f>
        <v>0</v>
      </c>
      <c r="AQ95" s="69" t="s">
        <v>80</v>
      </c>
      <c r="AV95" s="68">
        <f t="shared" si="15"/>
        <v>0</v>
      </c>
      <c r="AW95" s="68">
        <f t="shared" si="16"/>
        <v>0</v>
      </c>
      <c r="AX95" s="68">
        <f t="shared" si="17"/>
        <v>0</v>
      </c>
      <c r="AY95" s="71" t="s">
        <v>632</v>
      </c>
      <c r="AZ95" s="71" t="s">
        <v>652</v>
      </c>
      <c r="BA95" s="60" t="s">
        <v>657</v>
      </c>
      <c r="BC95" s="68">
        <f t="shared" si="18"/>
        <v>0</v>
      </c>
      <c r="BD95" s="68">
        <f t="shared" si="19"/>
        <v>0</v>
      </c>
      <c r="BE95" s="68">
        <v>0</v>
      </c>
      <c r="BF95" s="68">
        <f t="shared" si="20"/>
        <v>0</v>
      </c>
      <c r="BH95" s="50">
        <f t="shared" si="21"/>
        <v>0</v>
      </c>
      <c r="BI95" s="50">
        <f t="shared" si="22"/>
        <v>0</v>
      </c>
      <c r="BJ95" s="50">
        <f t="shared" si="23"/>
        <v>0</v>
      </c>
      <c r="BK95" s="50" t="s">
        <v>662</v>
      </c>
      <c r="BL95" s="68">
        <v>721</v>
      </c>
    </row>
    <row r="96" spans="1:64" ht="12.75">
      <c r="A96" s="83" t="s">
        <v>103</v>
      </c>
      <c r="B96" s="83"/>
      <c r="C96" s="83" t="s">
        <v>246</v>
      </c>
      <c r="D96" s="220" t="s">
        <v>435</v>
      </c>
      <c r="E96" s="221"/>
      <c r="F96" s="83" t="s">
        <v>595</v>
      </c>
      <c r="G96" s="88">
        <v>1</v>
      </c>
      <c r="H96" s="136"/>
      <c r="I96" s="88">
        <f t="shared" si="0"/>
        <v>0</v>
      </c>
      <c r="J96" s="88">
        <f t="shared" si="1"/>
        <v>0</v>
      </c>
      <c r="K96" s="88">
        <f t="shared" si="2"/>
        <v>0</v>
      </c>
      <c r="L96" s="88">
        <v>0</v>
      </c>
      <c r="M96" s="88">
        <f t="shared" si="3"/>
        <v>0</v>
      </c>
      <c r="N96" s="78" t="s">
        <v>616</v>
      </c>
      <c r="O96" s="80"/>
      <c r="Z96" s="68">
        <f t="shared" si="4"/>
        <v>0</v>
      </c>
      <c r="AB96" s="68">
        <f t="shared" si="5"/>
        <v>0</v>
      </c>
      <c r="AC96" s="68">
        <f t="shared" si="6"/>
        <v>0</v>
      </c>
      <c r="AD96" s="68">
        <f t="shared" si="7"/>
        <v>0</v>
      </c>
      <c r="AE96" s="68">
        <f t="shared" si="8"/>
        <v>0</v>
      </c>
      <c r="AF96" s="68">
        <f t="shared" si="9"/>
        <v>0</v>
      </c>
      <c r="AG96" s="68">
        <f t="shared" si="10"/>
        <v>0</v>
      </c>
      <c r="AH96" s="68">
        <f t="shared" si="11"/>
        <v>0</v>
      </c>
      <c r="AI96" s="60"/>
      <c r="AJ96" s="50">
        <f t="shared" si="12"/>
        <v>0</v>
      </c>
      <c r="AK96" s="50">
        <f t="shared" si="13"/>
        <v>0</v>
      </c>
      <c r="AL96" s="50">
        <f t="shared" si="14"/>
        <v>0</v>
      </c>
      <c r="AN96" s="68">
        <v>15</v>
      </c>
      <c r="AO96" s="68">
        <f>H96*0</f>
        <v>0</v>
      </c>
      <c r="AP96" s="68">
        <f>H96*(1-0)</f>
        <v>0</v>
      </c>
      <c r="AQ96" s="69" t="s">
        <v>80</v>
      </c>
      <c r="AV96" s="68">
        <f t="shared" si="15"/>
        <v>0</v>
      </c>
      <c r="AW96" s="68">
        <f t="shared" si="16"/>
        <v>0</v>
      </c>
      <c r="AX96" s="68">
        <f t="shared" si="17"/>
        <v>0</v>
      </c>
      <c r="AY96" s="71" t="s">
        <v>632</v>
      </c>
      <c r="AZ96" s="71" t="s">
        <v>652</v>
      </c>
      <c r="BA96" s="60" t="s">
        <v>657</v>
      </c>
      <c r="BC96" s="68">
        <f t="shared" si="18"/>
        <v>0</v>
      </c>
      <c r="BD96" s="68">
        <f t="shared" si="19"/>
        <v>0</v>
      </c>
      <c r="BE96" s="68">
        <v>0</v>
      </c>
      <c r="BF96" s="68">
        <f t="shared" si="20"/>
        <v>0</v>
      </c>
      <c r="BH96" s="50">
        <f t="shared" si="21"/>
        <v>0</v>
      </c>
      <c r="BI96" s="50">
        <f t="shared" si="22"/>
        <v>0</v>
      </c>
      <c r="BJ96" s="50">
        <f t="shared" si="23"/>
        <v>0</v>
      </c>
      <c r="BK96" s="50" t="s">
        <v>662</v>
      </c>
      <c r="BL96" s="68">
        <v>721</v>
      </c>
    </row>
    <row r="97" spans="1:64" ht="12.75">
      <c r="A97" s="83" t="s">
        <v>104</v>
      </c>
      <c r="B97" s="83"/>
      <c r="C97" s="83" t="s">
        <v>247</v>
      </c>
      <c r="D97" s="220" t="s">
        <v>436</v>
      </c>
      <c r="E97" s="221"/>
      <c r="F97" s="83" t="s">
        <v>594</v>
      </c>
      <c r="G97" s="88">
        <v>9.6</v>
      </c>
      <c r="H97" s="136"/>
      <c r="I97" s="88">
        <f t="shared" si="0"/>
        <v>0</v>
      </c>
      <c r="J97" s="88">
        <f t="shared" si="1"/>
        <v>0</v>
      </c>
      <c r="K97" s="88">
        <f t="shared" si="2"/>
        <v>0</v>
      </c>
      <c r="L97" s="88">
        <v>0</v>
      </c>
      <c r="M97" s="88">
        <f t="shared" si="3"/>
        <v>0</v>
      </c>
      <c r="N97" s="78" t="s">
        <v>616</v>
      </c>
      <c r="O97" s="80"/>
      <c r="Z97" s="68">
        <f t="shared" si="4"/>
        <v>0</v>
      </c>
      <c r="AB97" s="68">
        <f t="shared" si="5"/>
        <v>0</v>
      </c>
      <c r="AC97" s="68">
        <f t="shared" si="6"/>
        <v>0</v>
      </c>
      <c r="AD97" s="68">
        <f t="shared" si="7"/>
        <v>0</v>
      </c>
      <c r="AE97" s="68">
        <f t="shared" si="8"/>
        <v>0</v>
      </c>
      <c r="AF97" s="68">
        <f t="shared" si="9"/>
        <v>0</v>
      </c>
      <c r="AG97" s="68">
        <f t="shared" si="10"/>
        <v>0</v>
      </c>
      <c r="AH97" s="68">
        <f t="shared" si="11"/>
        <v>0</v>
      </c>
      <c r="AI97" s="60"/>
      <c r="AJ97" s="50">
        <f t="shared" si="12"/>
        <v>0</v>
      </c>
      <c r="AK97" s="50">
        <f t="shared" si="13"/>
        <v>0</v>
      </c>
      <c r="AL97" s="50">
        <f t="shared" si="14"/>
        <v>0</v>
      </c>
      <c r="AN97" s="68">
        <v>15</v>
      </c>
      <c r="AO97" s="68">
        <f>H97*0</f>
        <v>0</v>
      </c>
      <c r="AP97" s="68">
        <f>H97*(1-0)</f>
        <v>0</v>
      </c>
      <c r="AQ97" s="69" t="s">
        <v>75</v>
      </c>
      <c r="AV97" s="68">
        <f t="shared" si="15"/>
        <v>0</v>
      </c>
      <c r="AW97" s="68">
        <f t="shared" si="16"/>
        <v>0</v>
      </c>
      <c r="AX97" s="68">
        <f t="shared" si="17"/>
        <v>0</v>
      </c>
      <c r="AY97" s="71" t="s">
        <v>632</v>
      </c>
      <c r="AZ97" s="71" t="s">
        <v>652</v>
      </c>
      <c r="BA97" s="60" t="s">
        <v>657</v>
      </c>
      <c r="BC97" s="68">
        <f t="shared" si="18"/>
        <v>0</v>
      </c>
      <c r="BD97" s="68">
        <f t="shared" si="19"/>
        <v>0</v>
      </c>
      <c r="BE97" s="68">
        <v>0</v>
      </c>
      <c r="BF97" s="68">
        <f t="shared" si="20"/>
        <v>0</v>
      </c>
      <c r="BH97" s="50">
        <f t="shared" si="21"/>
        <v>0</v>
      </c>
      <c r="BI97" s="50">
        <f t="shared" si="22"/>
        <v>0</v>
      </c>
      <c r="BJ97" s="50">
        <f t="shared" si="23"/>
        <v>0</v>
      </c>
      <c r="BK97" s="50" t="s">
        <v>662</v>
      </c>
      <c r="BL97" s="68">
        <v>721</v>
      </c>
    </row>
    <row r="98" spans="1:64" ht="12.75">
      <c r="A98" s="83" t="s">
        <v>105</v>
      </c>
      <c r="B98" s="83"/>
      <c r="C98" s="83" t="s">
        <v>248</v>
      </c>
      <c r="D98" s="220" t="s">
        <v>437</v>
      </c>
      <c r="E98" s="221"/>
      <c r="F98" s="83" t="s">
        <v>594</v>
      </c>
      <c r="G98" s="88">
        <v>9.6</v>
      </c>
      <c r="H98" s="136"/>
      <c r="I98" s="88">
        <f t="shared" si="0"/>
        <v>0</v>
      </c>
      <c r="J98" s="88">
        <f t="shared" si="1"/>
        <v>0</v>
      </c>
      <c r="K98" s="88">
        <f t="shared" si="2"/>
        <v>0</v>
      </c>
      <c r="L98" s="88">
        <v>0</v>
      </c>
      <c r="M98" s="88">
        <f t="shared" si="3"/>
        <v>0</v>
      </c>
      <c r="N98" s="78" t="s">
        <v>616</v>
      </c>
      <c r="O98" s="80"/>
      <c r="Z98" s="68">
        <f t="shared" si="4"/>
        <v>0</v>
      </c>
      <c r="AB98" s="68">
        <f t="shared" si="5"/>
        <v>0</v>
      </c>
      <c r="AC98" s="68">
        <f t="shared" si="6"/>
        <v>0</v>
      </c>
      <c r="AD98" s="68">
        <f t="shared" si="7"/>
        <v>0</v>
      </c>
      <c r="AE98" s="68">
        <f t="shared" si="8"/>
        <v>0</v>
      </c>
      <c r="AF98" s="68">
        <f t="shared" si="9"/>
        <v>0</v>
      </c>
      <c r="AG98" s="68">
        <f t="shared" si="10"/>
        <v>0</v>
      </c>
      <c r="AH98" s="68">
        <f t="shared" si="11"/>
        <v>0</v>
      </c>
      <c r="AI98" s="60"/>
      <c r="AJ98" s="50">
        <f t="shared" si="12"/>
        <v>0</v>
      </c>
      <c r="AK98" s="50">
        <f t="shared" si="13"/>
        <v>0</v>
      </c>
      <c r="AL98" s="50">
        <f t="shared" si="14"/>
        <v>0</v>
      </c>
      <c r="AN98" s="68">
        <v>15</v>
      </c>
      <c r="AO98" s="68">
        <f>H98*0.0265733127086217</f>
        <v>0</v>
      </c>
      <c r="AP98" s="68">
        <f>H98*(1-0.0265733127086217)</f>
        <v>0</v>
      </c>
      <c r="AQ98" s="69" t="s">
        <v>80</v>
      </c>
      <c r="AV98" s="68">
        <f t="shared" si="15"/>
        <v>0</v>
      </c>
      <c r="AW98" s="68">
        <f t="shared" si="16"/>
        <v>0</v>
      </c>
      <c r="AX98" s="68">
        <f t="shared" si="17"/>
        <v>0</v>
      </c>
      <c r="AY98" s="71" t="s">
        <v>632</v>
      </c>
      <c r="AZ98" s="71" t="s">
        <v>652</v>
      </c>
      <c r="BA98" s="60" t="s">
        <v>657</v>
      </c>
      <c r="BC98" s="68">
        <f t="shared" si="18"/>
        <v>0</v>
      </c>
      <c r="BD98" s="68">
        <f t="shared" si="19"/>
        <v>0</v>
      </c>
      <c r="BE98" s="68">
        <v>0</v>
      </c>
      <c r="BF98" s="68">
        <f t="shared" si="20"/>
        <v>0</v>
      </c>
      <c r="BH98" s="50">
        <f t="shared" si="21"/>
        <v>0</v>
      </c>
      <c r="BI98" s="50">
        <f t="shared" si="22"/>
        <v>0</v>
      </c>
      <c r="BJ98" s="50">
        <f t="shared" si="23"/>
        <v>0</v>
      </c>
      <c r="BK98" s="50" t="s">
        <v>662</v>
      </c>
      <c r="BL98" s="68">
        <v>721</v>
      </c>
    </row>
    <row r="99" spans="1:64" ht="12.75">
      <c r="A99" s="83" t="s">
        <v>106</v>
      </c>
      <c r="B99" s="83"/>
      <c r="C99" s="83" t="s">
        <v>249</v>
      </c>
      <c r="D99" s="220" t="s">
        <v>438</v>
      </c>
      <c r="E99" s="221"/>
      <c r="F99" s="83" t="s">
        <v>594</v>
      </c>
      <c r="G99" s="88">
        <v>0.5</v>
      </c>
      <c r="H99" s="136"/>
      <c r="I99" s="88">
        <f t="shared" si="0"/>
        <v>0</v>
      </c>
      <c r="J99" s="88">
        <f t="shared" si="1"/>
        <v>0</v>
      </c>
      <c r="K99" s="88">
        <f t="shared" si="2"/>
        <v>0</v>
      </c>
      <c r="L99" s="88">
        <v>0.00171</v>
      </c>
      <c r="M99" s="88">
        <f t="shared" si="3"/>
        <v>0.000855</v>
      </c>
      <c r="N99" s="78" t="s">
        <v>616</v>
      </c>
      <c r="O99" s="80"/>
      <c r="Z99" s="68">
        <f t="shared" si="4"/>
        <v>0</v>
      </c>
      <c r="AB99" s="68">
        <f t="shared" si="5"/>
        <v>0</v>
      </c>
      <c r="AC99" s="68">
        <f t="shared" si="6"/>
        <v>0</v>
      </c>
      <c r="AD99" s="68">
        <f t="shared" si="7"/>
        <v>0</v>
      </c>
      <c r="AE99" s="68">
        <f t="shared" si="8"/>
        <v>0</v>
      </c>
      <c r="AF99" s="68">
        <f t="shared" si="9"/>
        <v>0</v>
      </c>
      <c r="AG99" s="68">
        <f t="shared" si="10"/>
        <v>0</v>
      </c>
      <c r="AH99" s="68">
        <f t="shared" si="11"/>
        <v>0</v>
      </c>
      <c r="AI99" s="60"/>
      <c r="AJ99" s="50">
        <f t="shared" si="12"/>
        <v>0</v>
      </c>
      <c r="AK99" s="50">
        <f t="shared" si="13"/>
        <v>0</v>
      </c>
      <c r="AL99" s="50">
        <f t="shared" si="14"/>
        <v>0</v>
      </c>
      <c r="AN99" s="68">
        <v>15</v>
      </c>
      <c r="AO99" s="68">
        <f>H99*0.437290537042587</f>
        <v>0</v>
      </c>
      <c r="AP99" s="68">
        <f>H99*(1-0.437290537042587)</f>
        <v>0</v>
      </c>
      <c r="AQ99" s="69" t="s">
        <v>80</v>
      </c>
      <c r="AV99" s="68">
        <f t="shared" si="15"/>
        <v>0</v>
      </c>
      <c r="AW99" s="68">
        <f t="shared" si="16"/>
        <v>0</v>
      </c>
      <c r="AX99" s="68">
        <f t="shared" si="17"/>
        <v>0</v>
      </c>
      <c r="AY99" s="71" t="s">
        <v>632</v>
      </c>
      <c r="AZ99" s="71" t="s">
        <v>652</v>
      </c>
      <c r="BA99" s="60" t="s">
        <v>657</v>
      </c>
      <c r="BC99" s="68">
        <f t="shared" si="18"/>
        <v>0</v>
      </c>
      <c r="BD99" s="68">
        <f t="shared" si="19"/>
        <v>0</v>
      </c>
      <c r="BE99" s="68">
        <v>0</v>
      </c>
      <c r="BF99" s="68">
        <f t="shared" si="20"/>
        <v>0.000855</v>
      </c>
      <c r="BH99" s="50">
        <f t="shared" si="21"/>
        <v>0</v>
      </c>
      <c r="BI99" s="50">
        <f t="shared" si="22"/>
        <v>0</v>
      </c>
      <c r="BJ99" s="50">
        <f t="shared" si="23"/>
        <v>0</v>
      </c>
      <c r="BK99" s="50" t="s">
        <v>662</v>
      </c>
      <c r="BL99" s="68">
        <v>721</v>
      </c>
    </row>
    <row r="100" spans="1:64" ht="12.75">
      <c r="A100" s="83" t="s">
        <v>107</v>
      </c>
      <c r="B100" s="83"/>
      <c r="C100" s="83" t="s">
        <v>250</v>
      </c>
      <c r="D100" s="220" t="s">
        <v>439</v>
      </c>
      <c r="E100" s="221"/>
      <c r="F100" s="83" t="s">
        <v>596</v>
      </c>
      <c r="G100" s="88">
        <v>0.05</v>
      </c>
      <c r="H100" s="136"/>
      <c r="I100" s="88">
        <f t="shared" si="0"/>
        <v>0</v>
      </c>
      <c r="J100" s="88">
        <f t="shared" si="1"/>
        <v>0</v>
      </c>
      <c r="K100" s="88">
        <f t="shared" si="2"/>
        <v>0</v>
      </c>
      <c r="L100" s="88">
        <v>0</v>
      </c>
      <c r="M100" s="88">
        <f t="shared" si="3"/>
        <v>0</v>
      </c>
      <c r="N100" s="78" t="s">
        <v>616</v>
      </c>
      <c r="O100" s="80"/>
      <c r="Z100" s="68">
        <f t="shared" si="4"/>
        <v>0</v>
      </c>
      <c r="AB100" s="68">
        <f t="shared" si="5"/>
        <v>0</v>
      </c>
      <c r="AC100" s="68">
        <f t="shared" si="6"/>
        <v>0</v>
      </c>
      <c r="AD100" s="68">
        <f t="shared" si="7"/>
        <v>0</v>
      </c>
      <c r="AE100" s="68">
        <f t="shared" si="8"/>
        <v>0</v>
      </c>
      <c r="AF100" s="68">
        <f t="shared" si="9"/>
        <v>0</v>
      </c>
      <c r="AG100" s="68">
        <f t="shared" si="10"/>
        <v>0</v>
      </c>
      <c r="AH100" s="68">
        <f t="shared" si="11"/>
        <v>0</v>
      </c>
      <c r="AI100" s="60"/>
      <c r="AJ100" s="50">
        <f t="shared" si="12"/>
        <v>0</v>
      </c>
      <c r="AK100" s="50">
        <f t="shared" si="13"/>
        <v>0</v>
      </c>
      <c r="AL100" s="50">
        <f t="shared" si="14"/>
        <v>0</v>
      </c>
      <c r="AN100" s="68">
        <v>15</v>
      </c>
      <c r="AO100" s="68">
        <f>H100*0</f>
        <v>0</v>
      </c>
      <c r="AP100" s="68">
        <f>H100*(1-0)</f>
        <v>0</v>
      </c>
      <c r="AQ100" s="69" t="s">
        <v>78</v>
      </c>
      <c r="AV100" s="68">
        <f t="shared" si="15"/>
        <v>0</v>
      </c>
      <c r="AW100" s="68">
        <f t="shared" si="16"/>
        <v>0</v>
      </c>
      <c r="AX100" s="68">
        <f t="shared" si="17"/>
        <v>0</v>
      </c>
      <c r="AY100" s="71" t="s">
        <v>632</v>
      </c>
      <c r="AZ100" s="71" t="s">
        <v>652</v>
      </c>
      <c r="BA100" s="60" t="s">
        <v>657</v>
      </c>
      <c r="BC100" s="68">
        <f t="shared" si="18"/>
        <v>0</v>
      </c>
      <c r="BD100" s="68">
        <f t="shared" si="19"/>
        <v>0</v>
      </c>
      <c r="BE100" s="68">
        <v>0</v>
      </c>
      <c r="BF100" s="68">
        <f t="shared" si="20"/>
        <v>0</v>
      </c>
      <c r="BH100" s="50">
        <f t="shared" si="21"/>
        <v>0</v>
      </c>
      <c r="BI100" s="50">
        <f t="shared" si="22"/>
        <v>0</v>
      </c>
      <c r="BJ100" s="50">
        <f t="shared" si="23"/>
        <v>0</v>
      </c>
      <c r="BK100" s="50" t="s">
        <v>662</v>
      </c>
      <c r="BL100" s="68">
        <v>721</v>
      </c>
    </row>
    <row r="101" spans="1:47" ht="12.75">
      <c r="A101" s="109"/>
      <c r="B101" s="110"/>
      <c r="C101" s="110" t="s">
        <v>251</v>
      </c>
      <c r="D101" s="227" t="s">
        <v>440</v>
      </c>
      <c r="E101" s="223"/>
      <c r="F101" s="109" t="s">
        <v>73</v>
      </c>
      <c r="G101" s="109" t="s">
        <v>73</v>
      </c>
      <c r="H101" s="109" t="s">
        <v>73</v>
      </c>
      <c r="I101" s="111">
        <f>SUM(I102:I112)</f>
        <v>0</v>
      </c>
      <c r="J101" s="111">
        <f>SUM(J102:J112)</f>
        <v>0</v>
      </c>
      <c r="K101" s="111">
        <f>SUM(K102:K112)</f>
        <v>0</v>
      </c>
      <c r="L101" s="112"/>
      <c r="M101" s="111">
        <f>SUM(M102:M112)</f>
        <v>0.01938</v>
      </c>
      <c r="N101" s="108"/>
      <c r="O101" s="80"/>
      <c r="AI101" s="60"/>
      <c r="AS101" s="74">
        <f>SUM(AJ102:AJ112)</f>
        <v>0</v>
      </c>
      <c r="AT101" s="74">
        <f>SUM(AK102:AK112)</f>
        <v>0</v>
      </c>
      <c r="AU101" s="74">
        <f>SUM(AL102:AL112)</f>
        <v>0</v>
      </c>
    </row>
    <row r="102" spans="1:64" ht="12.75">
      <c r="A102" s="83" t="s">
        <v>108</v>
      </c>
      <c r="B102" s="83"/>
      <c r="C102" s="83" t="s">
        <v>252</v>
      </c>
      <c r="D102" s="220" t="s">
        <v>441</v>
      </c>
      <c r="E102" s="221"/>
      <c r="F102" s="83" t="s">
        <v>594</v>
      </c>
      <c r="G102" s="88">
        <v>3</v>
      </c>
      <c r="H102" s="136"/>
      <c r="I102" s="88">
        <f aca="true" t="shared" si="24" ref="I102:I112">G102*AO102</f>
        <v>0</v>
      </c>
      <c r="J102" s="88">
        <f aca="true" t="shared" si="25" ref="J102:J112">G102*AP102</f>
        <v>0</v>
      </c>
      <c r="K102" s="88">
        <f aca="true" t="shared" si="26" ref="K102:K112">G102*H102</f>
        <v>0</v>
      </c>
      <c r="L102" s="88">
        <v>0.00213</v>
      </c>
      <c r="M102" s="88">
        <f aca="true" t="shared" si="27" ref="M102:M112">G102*L102</f>
        <v>0.00639</v>
      </c>
      <c r="N102" s="78" t="s">
        <v>616</v>
      </c>
      <c r="O102" s="80"/>
      <c r="Z102" s="68">
        <f aca="true" t="shared" si="28" ref="Z102:Z112">IF(AQ102="5",BJ102,0)</f>
        <v>0</v>
      </c>
      <c r="AB102" s="68">
        <f aca="true" t="shared" si="29" ref="AB102:AB112">IF(AQ102="1",BH102,0)</f>
        <v>0</v>
      </c>
      <c r="AC102" s="68">
        <f aca="true" t="shared" si="30" ref="AC102:AC112">IF(AQ102="1",BI102,0)</f>
        <v>0</v>
      </c>
      <c r="AD102" s="68">
        <f aca="true" t="shared" si="31" ref="AD102:AD112">IF(AQ102="7",BH102,0)</f>
        <v>0</v>
      </c>
      <c r="AE102" s="68">
        <f aca="true" t="shared" si="32" ref="AE102:AE112">IF(AQ102="7",BI102,0)</f>
        <v>0</v>
      </c>
      <c r="AF102" s="68">
        <f aca="true" t="shared" si="33" ref="AF102:AF112">IF(AQ102="2",BH102,0)</f>
        <v>0</v>
      </c>
      <c r="AG102" s="68">
        <f aca="true" t="shared" si="34" ref="AG102:AG112">IF(AQ102="2",BI102,0)</f>
        <v>0</v>
      </c>
      <c r="AH102" s="68">
        <f aca="true" t="shared" si="35" ref="AH102:AH112">IF(AQ102="0",BJ102,0)</f>
        <v>0</v>
      </c>
      <c r="AI102" s="60"/>
      <c r="AJ102" s="50">
        <f aca="true" t="shared" si="36" ref="AJ102:AJ112">IF(AN102=0,K102,0)</f>
        <v>0</v>
      </c>
      <c r="AK102" s="50">
        <f aca="true" t="shared" si="37" ref="AK102:AK112">IF(AN102=15,K102,0)</f>
        <v>0</v>
      </c>
      <c r="AL102" s="50">
        <f aca="true" t="shared" si="38" ref="AL102:AL112">IF(AN102=21,K102,0)</f>
        <v>0</v>
      </c>
      <c r="AN102" s="68">
        <v>15</v>
      </c>
      <c r="AO102" s="68">
        <f>H102*0</f>
        <v>0</v>
      </c>
      <c r="AP102" s="68">
        <f>H102*(1-0)</f>
        <v>0</v>
      </c>
      <c r="AQ102" s="69" t="s">
        <v>80</v>
      </c>
      <c r="AV102" s="68">
        <f aca="true" t="shared" si="39" ref="AV102:AV112">AW102+AX102</f>
        <v>0</v>
      </c>
      <c r="AW102" s="68">
        <f aca="true" t="shared" si="40" ref="AW102:AW112">G102*AO102</f>
        <v>0</v>
      </c>
      <c r="AX102" s="68">
        <f aca="true" t="shared" si="41" ref="AX102:AX112">G102*AP102</f>
        <v>0</v>
      </c>
      <c r="AY102" s="71" t="s">
        <v>633</v>
      </c>
      <c r="AZ102" s="71" t="s">
        <v>652</v>
      </c>
      <c r="BA102" s="60" t="s">
        <v>657</v>
      </c>
      <c r="BC102" s="68">
        <f aca="true" t="shared" si="42" ref="BC102:BC112">AW102+AX102</f>
        <v>0</v>
      </c>
      <c r="BD102" s="68">
        <f aca="true" t="shared" si="43" ref="BD102:BD112">H102/(100-BE102)*100</f>
        <v>0</v>
      </c>
      <c r="BE102" s="68">
        <v>0</v>
      </c>
      <c r="BF102" s="68">
        <f aca="true" t="shared" si="44" ref="BF102:BF112">M102</f>
        <v>0.00639</v>
      </c>
      <c r="BH102" s="50">
        <f aca="true" t="shared" si="45" ref="BH102:BH112">G102*AO102</f>
        <v>0</v>
      </c>
      <c r="BI102" s="50">
        <f aca="true" t="shared" si="46" ref="BI102:BI112">G102*AP102</f>
        <v>0</v>
      </c>
      <c r="BJ102" s="50">
        <f aca="true" t="shared" si="47" ref="BJ102:BJ112">G102*H102</f>
        <v>0</v>
      </c>
      <c r="BK102" s="50" t="s">
        <v>662</v>
      </c>
      <c r="BL102" s="68">
        <v>722</v>
      </c>
    </row>
    <row r="103" spans="1:64" ht="12.75">
      <c r="A103" s="83" t="s">
        <v>109</v>
      </c>
      <c r="B103" s="83"/>
      <c r="C103" s="83" t="s">
        <v>253</v>
      </c>
      <c r="D103" s="220" t="s">
        <v>442</v>
      </c>
      <c r="E103" s="221"/>
      <c r="F103" s="83" t="s">
        <v>595</v>
      </c>
      <c r="G103" s="88">
        <v>2</v>
      </c>
      <c r="H103" s="136"/>
      <c r="I103" s="88">
        <f t="shared" si="24"/>
        <v>0</v>
      </c>
      <c r="J103" s="88">
        <f t="shared" si="25"/>
        <v>0</v>
      </c>
      <c r="K103" s="88">
        <f t="shared" si="26"/>
        <v>0</v>
      </c>
      <c r="L103" s="88">
        <v>0</v>
      </c>
      <c r="M103" s="88">
        <f t="shared" si="27"/>
        <v>0</v>
      </c>
      <c r="N103" s="78" t="s">
        <v>616</v>
      </c>
      <c r="O103" s="80"/>
      <c r="Z103" s="68">
        <f t="shared" si="28"/>
        <v>0</v>
      </c>
      <c r="AB103" s="68">
        <f t="shared" si="29"/>
        <v>0</v>
      </c>
      <c r="AC103" s="68">
        <f t="shared" si="30"/>
        <v>0</v>
      </c>
      <c r="AD103" s="68">
        <f t="shared" si="31"/>
        <v>0</v>
      </c>
      <c r="AE103" s="68">
        <f t="shared" si="32"/>
        <v>0</v>
      </c>
      <c r="AF103" s="68">
        <f t="shared" si="33"/>
        <v>0</v>
      </c>
      <c r="AG103" s="68">
        <f t="shared" si="34"/>
        <v>0</v>
      </c>
      <c r="AH103" s="68">
        <f t="shared" si="35"/>
        <v>0</v>
      </c>
      <c r="AI103" s="60"/>
      <c r="AJ103" s="50">
        <f t="shared" si="36"/>
        <v>0</v>
      </c>
      <c r="AK103" s="50">
        <f t="shared" si="37"/>
        <v>0</v>
      </c>
      <c r="AL103" s="50">
        <f t="shared" si="38"/>
        <v>0</v>
      </c>
      <c r="AN103" s="68">
        <v>15</v>
      </c>
      <c r="AO103" s="68">
        <f>H103*0</f>
        <v>0</v>
      </c>
      <c r="AP103" s="68">
        <f>H103*(1-0)</f>
        <v>0</v>
      </c>
      <c r="AQ103" s="69" t="s">
        <v>80</v>
      </c>
      <c r="AV103" s="68">
        <f t="shared" si="39"/>
        <v>0</v>
      </c>
      <c r="AW103" s="68">
        <f t="shared" si="40"/>
        <v>0</v>
      </c>
      <c r="AX103" s="68">
        <f t="shared" si="41"/>
        <v>0</v>
      </c>
      <c r="AY103" s="71" t="s">
        <v>633</v>
      </c>
      <c r="AZ103" s="71" t="s">
        <v>652</v>
      </c>
      <c r="BA103" s="60" t="s">
        <v>657</v>
      </c>
      <c r="BC103" s="68">
        <f t="shared" si="42"/>
        <v>0</v>
      </c>
      <c r="BD103" s="68">
        <f t="shared" si="43"/>
        <v>0</v>
      </c>
      <c r="BE103" s="68">
        <v>0</v>
      </c>
      <c r="BF103" s="68">
        <f t="shared" si="44"/>
        <v>0</v>
      </c>
      <c r="BH103" s="50">
        <f t="shared" si="45"/>
        <v>0</v>
      </c>
      <c r="BI103" s="50">
        <f t="shared" si="46"/>
        <v>0</v>
      </c>
      <c r="BJ103" s="50">
        <f t="shared" si="47"/>
        <v>0</v>
      </c>
      <c r="BK103" s="50" t="s">
        <v>662</v>
      </c>
      <c r="BL103" s="68">
        <v>722</v>
      </c>
    </row>
    <row r="104" spans="1:64" ht="12.75">
      <c r="A104" s="83" t="s">
        <v>110</v>
      </c>
      <c r="B104" s="83"/>
      <c r="C104" s="83" t="s">
        <v>254</v>
      </c>
      <c r="D104" s="220" t="s">
        <v>443</v>
      </c>
      <c r="E104" s="221"/>
      <c r="F104" s="83" t="s">
        <v>595</v>
      </c>
      <c r="G104" s="88">
        <v>2</v>
      </c>
      <c r="H104" s="136"/>
      <c r="I104" s="88">
        <f t="shared" si="24"/>
        <v>0</v>
      </c>
      <c r="J104" s="88">
        <f t="shared" si="25"/>
        <v>0</v>
      </c>
      <c r="K104" s="88">
        <f t="shared" si="26"/>
        <v>0</v>
      </c>
      <c r="L104" s="88">
        <v>2E-05</v>
      </c>
      <c r="M104" s="88">
        <f t="shared" si="27"/>
        <v>4E-05</v>
      </c>
      <c r="N104" s="78" t="s">
        <v>616</v>
      </c>
      <c r="O104" s="80"/>
      <c r="Z104" s="68">
        <f t="shared" si="28"/>
        <v>0</v>
      </c>
      <c r="AB104" s="68">
        <f t="shared" si="29"/>
        <v>0</v>
      </c>
      <c r="AC104" s="68">
        <f t="shared" si="30"/>
        <v>0</v>
      </c>
      <c r="AD104" s="68">
        <f t="shared" si="31"/>
        <v>0</v>
      </c>
      <c r="AE104" s="68">
        <f t="shared" si="32"/>
        <v>0</v>
      </c>
      <c r="AF104" s="68">
        <f t="shared" si="33"/>
        <v>0</v>
      </c>
      <c r="AG104" s="68">
        <f t="shared" si="34"/>
        <v>0</v>
      </c>
      <c r="AH104" s="68">
        <f t="shared" si="35"/>
        <v>0</v>
      </c>
      <c r="AI104" s="60"/>
      <c r="AJ104" s="50">
        <f t="shared" si="36"/>
        <v>0</v>
      </c>
      <c r="AK104" s="50">
        <f t="shared" si="37"/>
        <v>0</v>
      </c>
      <c r="AL104" s="50">
        <f t="shared" si="38"/>
        <v>0</v>
      </c>
      <c r="AN104" s="68">
        <v>15</v>
      </c>
      <c r="AO104" s="68">
        <f>H104*0.0286063569682152</f>
        <v>0</v>
      </c>
      <c r="AP104" s="68">
        <f>H104*(1-0.0286063569682152)</f>
        <v>0</v>
      </c>
      <c r="AQ104" s="69" t="s">
        <v>80</v>
      </c>
      <c r="AV104" s="68">
        <f t="shared" si="39"/>
        <v>0</v>
      </c>
      <c r="AW104" s="68">
        <f t="shared" si="40"/>
        <v>0</v>
      </c>
      <c r="AX104" s="68">
        <f t="shared" si="41"/>
        <v>0</v>
      </c>
      <c r="AY104" s="71" t="s">
        <v>633</v>
      </c>
      <c r="AZ104" s="71" t="s">
        <v>652</v>
      </c>
      <c r="BA104" s="60" t="s">
        <v>657</v>
      </c>
      <c r="BC104" s="68">
        <f t="shared" si="42"/>
        <v>0</v>
      </c>
      <c r="BD104" s="68">
        <f t="shared" si="43"/>
        <v>0</v>
      </c>
      <c r="BE104" s="68">
        <v>0</v>
      </c>
      <c r="BF104" s="68">
        <f t="shared" si="44"/>
        <v>4E-05</v>
      </c>
      <c r="BH104" s="50">
        <f t="shared" si="45"/>
        <v>0</v>
      </c>
      <c r="BI104" s="50">
        <f t="shared" si="46"/>
        <v>0</v>
      </c>
      <c r="BJ104" s="50">
        <f t="shared" si="47"/>
        <v>0</v>
      </c>
      <c r="BK104" s="50" t="s">
        <v>662</v>
      </c>
      <c r="BL104" s="68">
        <v>722</v>
      </c>
    </row>
    <row r="105" spans="1:64" ht="12.75">
      <c r="A105" s="83" t="s">
        <v>111</v>
      </c>
      <c r="B105" s="83"/>
      <c r="C105" s="83" t="s">
        <v>255</v>
      </c>
      <c r="D105" s="220" t="s">
        <v>444</v>
      </c>
      <c r="E105" s="221"/>
      <c r="F105" s="83" t="s">
        <v>594</v>
      </c>
      <c r="G105" s="88">
        <v>12.5</v>
      </c>
      <c r="H105" s="136"/>
      <c r="I105" s="88">
        <f t="shared" si="24"/>
        <v>0</v>
      </c>
      <c r="J105" s="88">
        <f t="shared" si="25"/>
        <v>0</v>
      </c>
      <c r="K105" s="88">
        <f t="shared" si="26"/>
        <v>0</v>
      </c>
      <c r="L105" s="88">
        <v>0.0005</v>
      </c>
      <c r="M105" s="88">
        <f t="shared" si="27"/>
        <v>0.00625</v>
      </c>
      <c r="N105" s="78" t="s">
        <v>616</v>
      </c>
      <c r="O105" s="80"/>
      <c r="Z105" s="68">
        <f t="shared" si="28"/>
        <v>0</v>
      </c>
      <c r="AB105" s="68">
        <f t="shared" si="29"/>
        <v>0</v>
      </c>
      <c r="AC105" s="68">
        <f t="shared" si="30"/>
        <v>0</v>
      </c>
      <c r="AD105" s="68">
        <f t="shared" si="31"/>
        <v>0</v>
      </c>
      <c r="AE105" s="68">
        <f t="shared" si="32"/>
        <v>0</v>
      </c>
      <c r="AF105" s="68">
        <f t="shared" si="33"/>
        <v>0</v>
      </c>
      <c r="AG105" s="68">
        <f t="shared" si="34"/>
        <v>0</v>
      </c>
      <c r="AH105" s="68">
        <f t="shared" si="35"/>
        <v>0</v>
      </c>
      <c r="AI105" s="60"/>
      <c r="AJ105" s="50">
        <f t="shared" si="36"/>
        <v>0</v>
      </c>
      <c r="AK105" s="50">
        <f t="shared" si="37"/>
        <v>0</v>
      </c>
      <c r="AL105" s="50">
        <f t="shared" si="38"/>
        <v>0</v>
      </c>
      <c r="AN105" s="68">
        <v>15</v>
      </c>
      <c r="AO105" s="68">
        <f>H105*0.352889335895878</f>
        <v>0</v>
      </c>
      <c r="AP105" s="68">
        <f>H105*(1-0.352889335895878)</f>
        <v>0</v>
      </c>
      <c r="AQ105" s="69" t="s">
        <v>80</v>
      </c>
      <c r="AV105" s="68">
        <f t="shared" si="39"/>
        <v>0</v>
      </c>
      <c r="AW105" s="68">
        <f t="shared" si="40"/>
        <v>0</v>
      </c>
      <c r="AX105" s="68">
        <f t="shared" si="41"/>
        <v>0</v>
      </c>
      <c r="AY105" s="71" t="s">
        <v>633</v>
      </c>
      <c r="AZ105" s="71" t="s">
        <v>652</v>
      </c>
      <c r="BA105" s="60" t="s">
        <v>657</v>
      </c>
      <c r="BC105" s="68">
        <f t="shared" si="42"/>
        <v>0</v>
      </c>
      <c r="BD105" s="68">
        <f t="shared" si="43"/>
        <v>0</v>
      </c>
      <c r="BE105" s="68">
        <v>0</v>
      </c>
      <c r="BF105" s="68">
        <f t="shared" si="44"/>
        <v>0.00625</v>
      </c>
      <c r="BH105" s="50">
        <f t="shared" si="45"/>
        <v>0</v>
      </c>
      <c r="BI105" s="50">
        <f t="shared" si="46"/>
        <v>0</v>
      </c>
      <c r="BJ105" s="50">
        <f t="shared" si="47"/>
        <v>0</v>
      </c>
      <c r="BK105" s="50" t="s">
        <v>662</v>
      </c>
      <c r="BL105" s="68">
        <v>722</v>
      </c>
    </row>
    <row r="106" spans="1:64" ht="12.75">
      <c r="A106" s="83" t="s">
        <v>112</v>
      </c>
      <c r="B106" s="83"/>
      <c r="C106" s="83" t="s">
        <v>256</v>
      </c>
      <c r="D106" s="220" t="s">
        <v>445</v>
      </c>
      <c r="E106" s="221"/>
      <c r="F106" s="83" t="s">
        <v>595</v>
      </c>
      <c r="G106" s="88">
        <v>2</v>
      </c>
      <c r="H106" s="136"/>
      <c r="I106" s="88">
        <f t="shared" si="24"/>
        <v>0</v>
      </c>
      <c r="J106" s="88">
        <f t="shared" si="25"/>
        <v>0</v>
      </c>
      <c r="K106" s="88">
        <f t="shared" si="26"/>
        <v>0</v>
      </c>
      <c r="L106" s="88">
        <v>0.00063</v>
      </c>
      <c r="M106" s="88">
        <f t="shared" si="27"/>
        <v>0.00126</v>
      </c>
      <c r="N106" s="78" t="s">
        <v>616</v>
      </c>
      <c r="O106" s="80"/>
      <c r="Z106" s="68">
        <f t="shared" si="28"/>
        <v>0</v>
      </c>
      <c r="AB106" s="68">
        <f t="shared" si="29"/>
        <v>0</v>
      </c>
      <c r="AC106" s="68">
        <f t="shared" si="30"/>
        <v>0</v>
      </c>
      <c r="AD106" s="68">
        <f t="shared" si="31"/>
        <v>0</v>
      </c>
      <c r="AE106" s="68">
        <f t="shared" si="32"/>
        <v>0</v>
      </c>
      <c r="AF106" s="68">
        <f t="shared" si="33"/>
        <v>0</v>
      </c>
      <c r="AG106" s="68">
        <f t="shared" si="34"/>
        <v>0</v>
      </c>
      <c r="AH106" s="68">
        <f t="shared" si="35"/>
        <v>0</v>
      </c>
      <c r="AI106" s="60"/>
      <c r="AJ106" s="50">
        <f t="shared" si="36"/>
        <v>0</v>
      </c>
      <c r="AK106" s="50">
        <f t="shared" si="37"/>
        <v>0</v>
      </c>
      <c r="AL106" s="50">
        <f t="shared" si="38"/>
        <v>0</v>
      </c>
      <c r="AN106" s="68">
        <v>15</v>
      </c>
      <c r="AO106" s="68">
        <f>H106*0.493581780538302</f>
        <v>0</v>
      </c>
      <c r="AP106" s="68">
        <f>H106*(1-0.493581780538302)</f>
        <v>0</v>
      </c>
      <c r="AQ106" s="69" t="s">
        <v>80</v>
      </c>
      <c r="AV106" s="68">
        <f t="shared" si="39"/>
        <v>0</v>
      </c>
      <c r="AW106" s="68">
        <f t="shared" si="40"/>
        <v>0</v>
      </c>
      <c r="AX106" s="68">
        <f t="shared" si="41"/>
        <v>0</v>
      </c>
      <c r="AY106" s="71" t="s">
        <v>633</v>
      </c>
      <c r="AZ106" s="71" t="s">
        <v>652</v>
      </c>
      <c r="BA106" s="60" t="s">
        <v>657</v>
      </c>
      <c r="BC106" s="68">
        <f t="shared" si="42"/>
        <v>0</v>
      </c>
      <c r="BD106" s="68">
        <f t="shared" si="43"/>
        <v>0</v>
      </c>
      <c r="BE106" s="68">
        <v>0</v>
      </c>
      <c r="BF106" s="68">
        <f t="shared" si="44"/>
        <v>0.00126</v>
      </c>
      <c r="BH106" s="50">
        <f t="shared" si="45"/>
        <v>0</v>
      </c>
      <c r="BI106" s="50">
        <f t="shared" si="46"/>
        <v>0</v>
      </c>
      <c r="BJ106" s="50">
        <f t="shared" si="47"/>
        <v>0</v>
      </c>
      <c r="BK106" s="50" t="s">
        <v>662</v>
      </c>
      <c r="BL106" s="68">
        <v>722</v>
      </c>
    </row>
    <row r="107" spans="1:64" ht="12.75">
      <c r="A107" s="83" t="s">
        <v>113</v>
      </c>
      <c r="B107" s="83"/>
      <c r="C107" s="83" t="s">
        <v>257</v>
      </c>
      <c r="D107" s="220" t="s">
        <v>446</v>
      </c>
      <c r="E107" s="221"/>
      <c r="F107" s="83" t="s">
        <v>597</v>
      </c>
      <c r="G107" s="88">
        <v>3</v>
      </c>
      <c r="H107" s="136"/>
      <c r="I107" s="88">
        <f t="shared" si="24"/>
        <v>0</v>
      </c>
      <c r="J107" s="88">
        <f t="shared" si="25"/>
        <v>0</v>
      </c>
      <c r="K107" s="88">
        <f t="shared" si="26"/>
        <v>0</v>
      </c>
      <c r="L107" s="88">
        <v>0.00148</v>
      </c>
      <c r="M107" s="88">
        <f t="shared" si="27"/>
        <v>0.0044399999999999995</v>
      </c>
      <c r="N107" s="78" t="s">
        <v>616</v>
      </c>
      <c r="O107" s="80"/>
      <c r="Z107" s="68">
        <f t="shared" si="28"/>
        <v>0</v>
      </c>
      <c r="AB107" s="68">
        <f t="shared" si="29"/>
        <v>0</v>
      </c>
      <c r="AC107" s="68">
        <f t="shared" si="30"/>
        <v>0</v>
      </c>
      <c r="AD107" s="68">
        <f t="shared" si="31"/>
        <v>0</v>
      </c>
      <c r="AE107" s="68">
        <f t="shared" si="32"/>
        <v>0</v>
      </c>
      <c r="AF107" s="68">
        <f t="shared" si="33"/>
        <v>0</v>
      </c>
      <c r="AG107" s="68">
        <f t="shared" si="34"/>
        <v>0</v>
      </c>
      <c r="AH107" s="68">
        <f t="shared" si="35"/>
        <v>0</v>
      </c>
      <c r="AI107" s="60"/>
      <c r="AJ107" s="50">
        <f t="shared" si="36"/>
        <v>0</v>
      </c>
      <c r="AK107" s="50">
        <f t="shared" si="37"/>
        <v>0</v>
      </c>
      <c r="AL107" s="50">
        <f t="shared" si="38"/>
        <v>0</v>
      </c>
      <c r="AN107" s="68">
        <v>15</v>
      </c>
      <c r="AO107" s="68">
        <f>H107*0.500380666268853</f>
        <v>0</v>
      </c>
      <c r="AP107" s="68">
        <f>H107*(1-0.500380666268853)</f>
        <v>0</v>
      </c>
      <c r="AQ107" s="69" t="s">
        <v>80</v>
      </c>
      <c r="AV107" s="68">
        <f t="shared" si="39"/>
        <v>0</v>
      </c>
      <c r="AW107" s="68">
        <f t="shared" si="40"/>
        <v>0</v>
      </c>
      <c r="AX107" s="68">
        <f t="shared" si="41"/>
        <v>0</v>
      </c>
      <c r="AY107" s="71" t="s">
        <v>633</v>
      </c>
      <c r="AZ107" s="71" t="s">
        <v>652</v>
      </c>
      <c r="BA107" s="60" t="s">
        <v>657</v>
      </c>
      <c r="BC107" s="68">
        <f t="shared" si="42"/>
        <v>0</v>
      </c>
      <c r="BD107" s="68">
        <f t="shared" si="43"/>
        <v>0</v>
      </c>
      <c r="BE107" s="68">
        <v>0</v>
      </c>
      <c r="BF107" s="68">
        <f t="shared" si="44"/>
        <v>0.0044399999999999995</v>
      </c>
      <c r="BH107" s="50">
        <f t="shared" si="45"/>
        <v>0</v>
      </c>
      <c r="BI107" s="50">
        <f t="shared" si="46"/>
        <v>0</v>
      </c>
      <c r="BJ107" s="50">
        <f t="shared" si="47"/>
        <v>0</v>
      </c>
      <c r="BK107" s="50" t="s">
        <v>662</v>
      </c>
      <c r="BL107" s="68">
        <v>722</v>
      </c>
    </row>
    <row r="108" spans="1:64" ht="12.75">
      <c r="A108" s="83" t="s">
        <v>114</v>
      </c>
      <c r="B108" s="83"/>
      <c r="C108" s="83" t="s">
        <v>258</v>
      </c>
      <c r="D108" s="220" t="s">
        <v>447</v>
      </c>
      <c r="E108" s="221"/>
      <c r="F108" s="83" t="s">
        <v>594</v>
      </c>
      <c r="G108" s="88">
        <v>12.5</v>
      </c>
      <c r="H108" s="136"/>
      <c r="I108" s="88">
        <f t="shared" si="24"/>
        <v>0</v>
      </c>
      <c r="J108" s="88">
        <f t="shared" si="25"/>
        <v>0</v>
      </c>
      <c r="K108" s="88">
        <f t="shared" si="26"/>
        <v>0</v>
      </c>
      <c r="L108" s="88">
        <v>7E-05</v>
      </c>
      <c r="M108" s="88">
        <f t="shared" si="27"/>
        <v>0.0008749999999999999</v>
      </c>
      <c r="N108" s="78" t="s">
        <v>616</v>
      </c>
      <c r="O108" s="80"/>
      <c r="Z108" s="68">
        <f t="shared" si="28"/>
        <v>0</v>
      </c>
      <c r="AB108" s="68">
        <f t="shared" si="29"/>
        <v>0</v>
      </c>
      <c r="AC108" s="68">
        <f t="shared" si="30"/>
        <v>0</v>
      </c>
      <c r="AD108" s="68">
        <f t="shared" si="31"/>
        <v>0</v>
      </c>
      <c r="AE108" s="68">
        <f t="shared" si="32"/>
        <v>0</v>
      </c>
      <c r="AF108" s="68">
        <f t="shared" si="33"/>
        <v>0</v>
      </c>
      <c r="AG108" s="68">
        <f t="shared" si="34"/>
        <v>0</v>
      </c>
      <c r="AH108" s="68">
        <f t="shared" si="35"/>
        <v>0</v>
      </c>
      <c r="AI108" s="60"/>
      <c r="AJ108" s="50">
        <f t="shared" si="36"/>
        <v>0</v>
      </c>
      <c r="AK108" s="50">
        <f t="shared" si="37"/>
        <v>0</v>
      </c>
      <c r="AL108" s="50">
        <f t="shared" si="38"/>
        <v>0</v>
      </c>
      <c r="AN108" s="68">
        <v>15</v>
      </c>
      <c r="AO108" s="68">
        <f>H108*0.448558558558559</f>
        <v>0</v>
      </c>
      <c r="AP108" s="68">
        <f>H108*(1-0.448558558558559)</f>
        <v>0</v>
      </c>
      <c r="AQ108" s="69" t="s">
        <v>80</v>
      </c>
      <c r="AV108" s="68">
        <f t="shared" si="39"/>
        <v>0</v>
      </c>
      <c r="AW108" s="68">
        <f t="shared" si="40"/>
        <v>0</v>
      </c>
      <c r="AX108" s="68">
        <f t="shared" si="41"/>
        <v>0</v>
      </c>
      <c r="AY108" s="71" t="s">
        <v>633</v>
      </c>
      <c r="AZ108" s="71" t="s">
        <v>652</v>
      </c>
      <c r="BA108" s="60" t="s">
        <v>657</v>
      </c>
      <c r="BC108" s="68">
        <f t="shared" si="42"/>
        <v>0</v>
      </c>
      <c r="BD108" s="68">
        <f t="shared" si="43"/>
        <v>0</v>
      </c>
      <c r="BE108" s="68">
        <v>0</v>
      </c>
      <c r="BF108" s="68">
        <f t="shared" si="44"/>
        <v>0.0008749999999999999</v>
      </c>
      <c r="BH108" s="50">
        <f t="shared" si="45"/>
        <v>0</v>
      </c>
      <c r="BI108" s="50">
        <f t="shared" si="46"/>
        <v>0</v>
      </c>
      <c r="BJ108" s="50">
        <f t="shared" si="47"/>
        <v>0</v>
      </c>
      <c r="BK108" s="50" t="s">
        <v>662</v>
      </c>
      <c r="BL108" s="68">
        <v>722</v>
      </c>
    </row>
    <row r="109" spans="1:64" ht="12.75">
      <c r="A109" s="83" t="s">
        <v>115</v>
      </c>
      <c r="B109" s="83"/>
      <c r="C109" s="83" t="s">
        <v>259</v>
      </c>
      <c r="D109" s="220" t="s">
        <v>448</v>
      </c>
      <c r="E109" s="221"/>
      <c r="F109" s="83" t="s">
        <v>595</v>
      </c>
      <c r="G109" s="88">
        <v>5</v>
      </c>
      <c r="H109" s="136"/>
      <c r="I109" s="88">
        <f t="shared" si="24"/>
        <v>0</v>
      </c>
      <c r="J109" s="88">
        <f t="shared" si="25"/>
        <v>0</v>
      </c>
      <c r="K109" s="88">
        <f t="shared" si="26"/>
        <v>0</v>
      </c>
      <c r="L109" s="88">
        <v>0</v>
      </c>
      <c r="M109" s="88">
        <f t="shared" si="27"/>
        <v>0</v>
      </c>
      <c r="N109" s="78" t="s">
        <v>616</v>
      </c>
      <c r="O109" s="80"/>
      <c r="Z109" s="68">
        <f t="shared" si="28"/>
        <v>0</v>
      </c>
      <c r="AB109" s="68">
        <f t="shared" si="29"/>
        <v>0</v>
      </c>
      <c r="AC109" s="68">
        <f t="shared" si="30"/>
        <v>0</v>
      </c>
      <c r="AD109" s="68">
        <f t="shared" si="31"/>
        <v>0</v>
      </c>
      <c r="AE109" s="68">
        <f t="shared" si="32"/>
        <v>0</v>
      </c>
      <c r="AF109" s="68">
        <f t="shared" si="33"/>
        <v>0</v>
      </c>
      <c r="AG109" s="68">
        <f t="shared" si="34"/>
        <v>0</v>
      </c>
      <c r="AH109" s="68">
        <f t="shared" si="35"/>
        <v>0</v>
      </c>
      <c r="AI109" s="60"/>
      <c r="AJ109" s="50">
        <f t="shared" si="36"/>
        <v>0</v>
      </c>
      <c r="AK109" s="50">
        <f t="shared" si="37"/>
        <v>0</v>
      </c>
      <c r="AL109" s="50">
        <f t="shared" si="38"/>
        <v>0</v>
      </c>
      <c r="AN109" s="68">
        <v>15</v>
      </c>
      <c r="AO109" s="68">
        <f>H109*0</f>
        <v>0</v>
      </c>
      <c r="AP109" s="68">
        <f>H109*(1-0)</f>
        <v>0</v>
      </c>
      <c r="AQ109" s="69" t="s">
        <v>80</v>
      </c>
      <c r="AV109" s="68">
        <f t="shared" si="39"/>
        <v>0</v>
      </c>
      <c r="AW109" s="68">
        <f t="shared" si="40"/>
        <v>0</v>
      </c>
      <c r="AX109" s="68">
        <f t="shared" si="41"/>
        <v>0</v>
      </c>
      <c r="AY109" s="71" t="s">
        <v>633</v>
      </c>
      <c r="AZ109" s="71" t="s">
        <v>652</v>
      </c>
      <c r="BA109" s="60" t="s">
        <v>657</v>
      </c>
      <c r="BC109" s="68">
        <f t="shared" si="42"/>
        <v>0</v>
      </c>
      <c r="BD109" s="68">
        <f t="shared" si="43"/>
        <v>0</v>
      </c>
      <c r="BE109" s="68">
        <v>0</v>
      </c>
      <c r="BF109" s="68">
        <f t="shared" si="44"/>
        <v>0</v>
      </c>
      <c r="BH109" s="50">
        <f t="shared" si="45"/>
        <v>0</v>
      </c>
      <c r="BI109" s="50">
        <f t="shared" si="46"/>
        <v>0</v>
      </c>
      <c r="BJ109" s="50">
        <f t="shared" si="47"/>
        <v>0</v>
      </c>
      <c r="BK109" s="50" t="s">
        <v>662</v>
      </c>
      <c r="BL109" s="68">
        <v>722</v>
      </c>
    </row>
    <row r="110" spans="1:64" ht="12.75">
      <c r="A110" s="83" t="s">
        <v>116</v>
      </c>
      <c r="B110" s="83"/>
      <c r="C110" s="83" t="s">
        <v>260</v>
      </c>
      <c r="D110" s="220" t="s">
        <v>449</v>
      </c>
      <c r="E110" s="221"/>
      <c r="F110" s="83" t="s">
        <v>594</v>
      </c>
      <c r="G110" s="88">
        <v>12.5</v>
      </c>
      <c r="H110" s="136"/>
      <c r="I110" s="88">
        <f t="shared" si="24"/>
        <v>0</v>
      </c>
      <c r="J110" s="88">
        <f t="shared" si="25"/>
        <v>0</v>
      </c>
      <c r="K110" s="88">
        <f t="shared" si="26"/>
        <v>0</v>
      </c>
      <c r="L110" s="88">
        <v>1E-05</v>
      </c>
      <c r="M110" s="88">
        <f t="shared" si="27"/>
        <v>0.000125</v>
      </c>
      <c r="N110" s="78" t="s">
        <v>616</v>
      </c>
      <c r="O110" s="80"/>
      <c r="Z110" s="68">
        <f t="shared" si="28"/>
        <v>0</v>
      </c>
      <c r="AB110" s="68">
        <f t="shared" si="29"/>
        <v>0</v>
      </c>
      <c r="AC110" s="68">
        <f t="shared" si="30"/>
        <v>0</v>
      </c>
      <c r="AD110" s="68">
        <f t="shared" si="31"/>
        <v>0</v>
      </c>
      <c r="AE110" s="68">
        <f t="shared" si="32"/>
        <v>0</v>
      </c>
      <c r="AF110" s="68">
        <f t="shared" si="33"/>
        <v>0</v>
      </c>
      <c r="AG110" s="68">
        <f t="shared" si="34"/>
        <v>0</v>
      </c>
      <c r="AH110" s="68">
        <f t="shared" si="35"/>
        <v>0</v>
      </c>
      <c r="AI110" s="60"/>
      <c r="AJ110" s="50">
        <f t="shared" si="36"/>
        <v>0</v>
      </c>
      <c r="AK110" s="50">
        <f t="shared" si="37"/>
        <v>0</v>
      </c>
      <c r="AL110" s="50">
        <f t="shared" si="38"/>
        <v>0</v>
      </c>
      <c r="AN110" s="68">
        <v>15</v>
      </c>
      <c r="AO110" s="68">
        <f>H110*0.0501616977079055</f>
        <v>0</v>
      </c>
      <c r="AP110" s="68">
        <f>H110*(1-0.0501616977079055)</f>
        <v>0</v>
      </c>
      <c r="AQ110" s="69" t="s">
        <v>80</v>
      </c>
      <c r="AV110" s="68">
        <f t="shared" si="39"/>
        <v>0</v>
      </c>
      <c r="AW110" s="68">
        <f t="shared" si="40"/>
        <v>0</v>
      </c>
      <c r="AX110" s="68">
        <f t="shared" si="41"/>
        <v>0</v>
      </c>
      <c r="AY110" s="71" t="s">
        <v>633</v>
      </c>
      <c r="AZ110" s="71" t="s">
        <v>652</v>
      </c>
      <c r="BA110" s="60" t="s">
        <v>657</v>
      </c>
      <c r="BC110" s="68">
        <f t="shared" si="42"/>
        <v>0</v>
      </c>
      <c r="BD110" s="68">
        <f t="shared" si="43"/>
        <v>0</v>
      </c>
      <c r="BE110" s="68">
        <v>0</v>
      </c>
      <c r="BF110" s="68">
        <f t="shared" si="44"/>
        <v>0.000125</v>
      </c>
      <c r="BH110" s="50">
        <f t="shared" si="45"/>
        <v>0</v>
      </c>
      <c r="BI110" s="50">
        <f t="shared" si="46"/>
        <v>0</v>
      </c>
      <c r="BJ110" s="50">
        <f t="shared" si="47"/>
        <v>0</v>
      </c>
      <c r="BK110" s="50" t="s">
        <v>662</v>
      </c>
      <c r="BL110" s="68">
        <v>722</v>
      </c>
    </row>
    <row r="111" spans="1:64" ht="12.75">
      <c r="A111" s="83" t="s">
        <v>117</v>
      </c>
      <c r="B111" s="83"/>
      <c r="C111" s="83" t="s">
        <v>261</v>
      </c>
      <c r="D111" s="220" t="s">
        <v>450</v>
      </c>
      <c r="E111" s="221"/>
      <c r="F111" s="83" t="s">
        <v>594</v>
      </c>
      <c r="G111" s="88">
        <v>12.5</v>
      </c>
      <c r="H111" s="136"/>
      <c r="I111" s="88">
        <f t="shared" si="24"/>
        <v>0</v>
      </c>
      <c r="J111" s="88">
        <f t="shared" si="25"/>
        <v>0</v>
      </c>
      <c r="K111" s="88">
        <f t="shared" si="26"/>
        <v>0</v>
      </c>
      <c r="L111" s="88">
        <v>0</v>
      </c>
      <c r="M111" s="88">
        <f t="shared" si="27"/>
        <v>0</v>
      </c>
      <c r="N111" s="78" t="s">
        <v>616</v>
      </c>
      <c r="O111" s="80"/>
      <c r="Z111" s="68">
        <f t="shared" si="28"/>
        <v>0</v>
      </c>
      <c r="AB111" s="68">
        <f t="shared" si="29"/>
        <v>0</v>
      </c>
      <c r="AC111" s="68">
        <f t="shared" si="30"/>
        <v>0</v>
      </c>
      <c r="AD111" s="68">
        <f t="shared" si="31"/>
        <v>0</v>
      </c>
      <c r="AE111" s="68">
        <f t="shared" si="32"/>
        <v>0</v>
      </c>
      <c r="AF111" s="68">
        <f t="shared" si="33"/>
        <v>0</v>
      </c>
      <c r="AG111" s="68">
        <f t="shared" si="34"/>
        <v>0</v>
      </c>
      <c r="AH111" s="68">
        <f t="shared" si="35"/>
        <v>0</v>
      </c>
      <c r="AI111" s="60"/>
      <c r="AJ111" s="50">
        <f t="shared" si="36"/>
        <v>0</v>
      </c>
      <c r="AK111" s="50">
        <f t="shared" si="37"/>
        <v>0</v>
      </c>
      <c r="AL111" s="50">
        <f t="shared" si="38"/>
        <v>0</v>
      </c>
      <c r="AN111" s="68">
        <v>15</v>
      </c>
      <c r="AO111" s="68">
        <f>H111*0.0137254901960784</f>
        <v>0</v>
      </c>
      <c r="AP111" s="68">
        <f>H111*(1-0.0137254901960784)</f>
        <v>0</v>
      </c>
      <c r="AQ111" s="69" t="s">
        <v>80</v>
      </c>
      <c r="AV111" s="68">
        <f t="shared" si="39"/>
        <v>0</v>
      </c>
      <c r="AW111" s="68">
        <f t="shared" si="40"/>
        <v>0</v>
      </c>
      <c r="AX111" s="68">
        <f t="shared" si="41"/>
        <v>0</v>
      </c>
      <c r="AY111" s="71" t="s">
        <v>633</v>
      </c>
      <c r="AZ111" s="71" t="s">
        <v>652</v>
      </c>
      <c r="BA111" s="60" t="s">
        <v>657</v>
      </c>
      <c r="BC111" s="68">
        <f t="shared" si="42"/>
        <v>0</v>
      </c>
      <c r="BD111" s="68">
        <f t="shared" si="43"/>
        <v>0</v>
      </c>
      <c r="BE111" s="68">
        <v>0</v>
      </c>
      <c r="BF111" s="68">
        <f t="shared" si="44"/>
        <v>0</v>
      </c>
      <c r="BH111" s="50">
        <f t="shared" si="45"/>
        <v>0</v>
      </c>
      <c r="BI111" s="50">
        <f t="shared" si="46"/>
        <v>0</v>
      </c>
      <c r="BJ111" s="50">
        <f t="shared" si="47"/>
        <v>0</v>
      </c>
      <c r="BK111" s="50" t="s">
        <v>662</v>
      </c>
      <c r="BL111" s="68">
        <v>722</v>
      </c>
    </row>
    <row r="112" spans="1:64" ht="12.75">
      <c r="A112" s="83" t="s">
        <v>118</v>
      </c>
      <c r="B112" s="83"/>
      <c r="C112" s="83" t="s">
        <v>262</v>
      </c>
      <c r="D112" s="220" t="s">
        <v>451</v>
      </c>
      <c r="E112" s="221"/>
      <c r="F112" s="83" t="s">
        <v>596</v>
      </c>
      <c r="G112" s="88">
        <v>0.037</v>
      </c>
      <c r="H112" s="136"/>
      <c r="I112" s="88">
        <f t="shared" si="24"/>
        <v>0</v>
      </c>
      <c r="J112" s="88">
        <f t="shared" si="25"/>
        <v>0</v>
      </c>
      <c r="K112" s="88">
        <f t="shared" si="26"/>
        <v>0</v>
      </c>
      <c r="L112" s="88">
        <v>0</v>
      </c>
      <c r="M112" s="88">
        <f t="shared" si="27"/>
        <v>0</v>
      </c>
      <c r="N112" s="78" t="s">
        <v>616</v>
      </c>
      <c r="O112" s="80"/>
      <c r="Z112" s="68">
        <f t="shared" si="28"/>
        <v>0</v>
      </c>
      <c r="AB112" s="68">
        <f t="shared" si="29"/>
        <v>0</v>
      </c>
      <c r="AC112" s="68">
        <f t="shared" si="30"/>
        <v>0</v>
      </c>
      <c r="AD112" s="68">
        <f t="shared" si="31"/>
        <v>0</v>
      </c>
      <c r="AE112" s="68">
        <f t="shared" si="32"/>
        <v>0</v>
      </c>
      <c r="AF112" s="68">
        <f t="shared" si="33"/>
        <v>0</v>
      </c>
      <c r="AG112" s="68">
        <f t="shared" si="34"/>
        <v>0</v>
      </c>
      <c r="AH112" s="68">
        <f t="shared" si="35"/>
        <v>0</v>
      </c>
      <c r="AI112" s="60"/>
      <c r="AJ112" s="50">
        <f t="shared" si="36"/>
        <v>0</v>
      </c>
      <c r="AK112" s="50">
        <f t="shared" si="37"/>
        <v>0</v>
      </c>
      <c r="AL112" s="50">
        <f t="shared" si="38"/>
        <v>0</v>
      </c>
      <c r="AN112" s="68">
        <v>15</v>
      </c>
      <c r="AO112" s="68">
        <f>H112*0</f>
        <v>0</v>
      </c>
      <c r="AP112" s="68">
        <f>H112*(1-0)</f>
        <v>0</v>
      </c>
      <c r="AQ112" s="69" t="s">
        <v>78</v>
      </c>
      <c r="AV112" s="68">
        <f t="shared" si="39"/>
        <v>0</v>
      </c>
      <c r="AW112" s="68">
        <f t="shared" si="40"/>
        <v>0</v>
      </c>
      <c r="AX112" s="68">
        <f t="shared" si="41"/>
        <v>0</v>
      </c>
      <c r="AY112" s="71" t="s">
        <v>633</v>
      </c>
      <c r="AZ112" s="71" t="s">
        <v>652</v>
      </c>
      <c r="BA112" s="60" t="s">
        <v>657</v>
      </c>
      <c r="BC112" s="68">
        <f t="shared" si="42"/>
        <v>0</v>
      </c>
      <c r="BD112" s="68">
        <f t="shared" si="43"/>
        <v>0</v>
      </c>
      <c r="BE112" s="68">
        <v>0</v>
      </c>
      <c r="BF112" s="68">
        <f t="shared" si="44"/>
        <v>0</v>
      </c>
      <c r="BH112" s="50">
        <f t="shared" si="45"/>
        <v>0</v>
      </c>
      <c r="BI112" s="50">
        <f t="shared" si="46"/>
        <v>0</v>
      </c>
      <c r="BJ112" s="50">
        <f t="shared" si="47"/>
        <v>0</v>
      </c>
      <c r="BK112" s="50" t="s">
        <v>662</v>
      </c>
      <c r="BL112" s="68">
        <v>722</v>
      </c>
    </row>
    <row r="113" spans="1:47" ht="12.75">
      <c r="A113" s="114"/>
      <c r="B113" s="115"/>
      <c r="C113" s="115" t="s">
        <v>263</v>
      </c>
      <c r="D113" s="228" t="s">
        <v>452</v>
      </c>
      <c r="E113" s="223"/>
      <c r="F113" s="114" t="s">
        <v>73</v>
      </c>
      <c r="G113" s="114" t="s">
        <v>73</v>
      </c>
      <c r="H113" s="114" t="s">
        <v>73</v>
      </c>
      <c r="I113" s="116">
        <f>SUM(I114:I145)</f>
        <v>0</v>
      </c>
      <c r="J113" s="116">
        <f>SUM(J114:J145)</f>
        <v>0</v>
      </c>
      <c r="K113" s="116">
        <f>SUM(K114:K145)</f>
        <v>0</v>
      </c>
      <c r="L113" s="117"/>
      <c r="M113" s="116">
        <f>SUM(M114:M145)</f>
        <v>0.25617999999999996</v>
      </c>
      <c r="N113" s="113"/>
      <c r="O113" s="80"/>
      <c r="AI113" s="60"/>
      <c r="AS113" s="74">
        <f>SUM(AJ114:AJ145)</f>
        <v>0</v>
      </c>
      <c r="AT113" s="74">
        <f>SUM(AK114:AK145)</f>
        <v>0</v>
      </c>
      <c r="AU113" s="74">
        <f>SUM(AL114:AL145)</f>
        <v>0</v>
      </c>
    </row>
    <row r="114" spans="1:64" ht="12.75">
      <c r="A114" s="83" t="s">
        <v>119</v>
      </c>
      <c r="B114" s="83"/>
      <c r="C114" s="83" t="s">
        <v>264</v>
      </c>
      <c r="D114" s="220" t="s">
        <v>453</v>
      </c>
      <c r="E114" s="221"/>
      <c r="F114" s="83" t="s">
        <v>598</v>
      </c>
      <c r="G114" s="88">
        <v>1</v>
      </c>
      <c r="H114" s="136"/>
      <c r="I114" s="88">
        <f aca="true" t="shared" si="48" ref="I114:I121">G114*AO114</f>
        <v>0</v>
      </c>
      <c r="J114" s="88">
        <f aca="true" t="shared" si="49" ref="J114:J121">G114*AP114</f>
        <v>0</v>
      </c>
      <c r="K114" s="88">
        <f aca="true" t="shared" si="50" ref="K114:K121">G114*H114</f>
        <v>0</v>
      </c>
      <c r="L114" s="88">
        <v>0.01933</v>
      </c>
      <c r="M114" s="88">
        <f aca="true" t="shared" si="51" ref="M114:M121">G114*L114</f>
        <v>0.01933</v>
      </c>
      <c r="N114" s="78" t="s">
        <v>616</v>
      </c>
      <c r="O114" s="80"/>
      <c r="Z114" s="68">
        <f aca="true" t="shared" si="52" ref="Z114:Z121">IF(AQ114="5",BJ114,0)</f>
        <v>0</v>
      </c>
      <c r="AB114" s="68">
        <f aca="true" t="shared" si="53" ref="AB114:AB121">IF(AQ114="1",BH114,0)</f>
        <v>0</v>
      </c>
      <c r="AC114" s="68">
        <f aca="true" t="shared" si="54" ref="AC114:AC121">IF(AQ114="1",BI114,0)</f>
        <v>0</v>
      </c>
      <c r="AD114" s="68">
        <f aca="true" t="shared" si="55" ref="AD114:AD121">IF(AQ114="7",BH114,0)</f>
        <v>0</v>
      </c>
      <c r="AE114" s="68">
        <f aca="true" t="shared" si="56" ref="AE114:AE121">IF(AQ114="7",BI114,0)</f>
        <v>0</v>
      </c>
      <c r="AF114" s="68">
        <f aca="true" t="shared" si="57" ref="AF114:AF121">IF(AQ114="2",BH114,0)</f>
        <v>0</v>
      </c>
      <c r="AG114" s="68">
        <f aca="true" t="shared" si="58" ref="AG114:AG121">IF(AQ114="2",BI114,0)</f>
        <v>0</v>
      </c>
      <c r="AH114" s="68">
        <f aca="true" t="shared" si="59" ref="AH114:AH121">IF(AQ114="0",BJ114,0)</f>
        <v>0</v>
      </c>
      <c r="AI114" s="60"/>
      <c r="AJ114" s="50">
        <f aca="true" t="shared" si="60" ref="AJ114:AJ121">IF(AN114=0,K114,0)</f>
        <v>0</v>
      </c>
      <c r="AK114" s="50">
        <f aca="true" t="shared" si="61" ref="AK114:AK121">IF(AN114=15,K114,0)</f>
        <v>0</v>
      </c>
      <c r="AL114" s="50">
        <f aca="true" t="shared" si="62" ref="AL114:AL121">IF(AN114=21,K114,0)</f>
        <v>0</v>
      </c>
      <c r="AN114" s="68">
        <v>15</v>
      </c>
      <c r="AO114" s="68">
        <f aca="true" t="shared" si="63" ref="AO114:AO121">H114*0</f>
        <v>0</v>
      </c>
      <c r="AP114" s="68">
        <f aca="true" t="shared" si="64" ref="AP114:AP121">H114*(1-0)</f>
        <v>0</v>
      </c>
      <c r="AQ114" s="69" t="s">
        <v>80</v>
      </c>
      <c r="AV114" s="68">
        <f aca="true" t="shared" si="65" ref="AV114:AV121">AW114+AX114</f>
        <v>0</v>
      </c>
      <c r="AW114" s="68">
        <f aca="true" t="shared" si="66" ref="AW114:AW121">G114*AO114</f>
        <v>0</v>
      </c>
      <c r="AX114" s="68">
        <f aca="true" t="shared" si="67" ref="AX114:AX121">G114*AP114</f>
        <v>0</v>
      </c>
      <c r="AY114" s="71" t="s">
        <v>634</v>
      </c>
      <c r="AZ114" s="71" t="s">
        <v>652</v>
      </c>
      <c r="BA114" s="60" t="s">
        <v>657</v>
      </c>
      <c r="BC114" s="68">
        <f aca="true" t="shared" si="68" ref="BC114:BC121">AW114+AX114</f>
        <v>0</v>
      </c>
      <c r="BD114" s="68">
        <f aca="true" t="shared" si="69" ref="BD114:BD121">H114/(100-BE114)*100</f>
        <v>0</v>
      </c>
      <c r="BE114" s="68">
        <v>0</v>
      </c>
      <c r="BF114" s="68">
        <f aca="true" t="shared" si="70" ref="BF114:BF121">M114</f>
        <v>0.01933</v>
      </c>
      <c r="BH114" s="50">
        <f aca="true" t="shared" si="71" ref="BH114:BH121">G114*AO114</f>
        <v>0</v>
      </c>
      <c r="BI114" s="50">
        <f aca="true" t="shared" si="72" ref="BI114:BI121">G114*AP114</f>
        <v>0</v>
      </c>
      <c r="BJ114" s="50">
        <f aca="true" t="shared" si="73" ref="BJ114:BJ121">G114*H114</f>
        <v>0</v>
      </c>
      <c r="BK114" s="50" t="s">
        <v>662</v>
      </c>
      <c r="BL114" s="68">
        <v>725</v>
      </c>
    </row>
    <row r="115" spans="1:64" ht="12.75">
      <c r="A115" s="83" t="s">
        <v>120</v>
      </c>
      <c r="B115" s="83"/>
      <c r="C115" s="83" t="s">
        <v>265</v>
      </c>
      <c r="D115" s="220" t="s">
        <v>454</v>
      </c>
      <c r="E115" s="221"/>
      <c r="F115" s="83" t="s">
        <v>598</v>
      </c>
      <c r="G115" s="88">
        <v>1</v>
      </c>
      <c r="H115" s="136"/>
      <c r="I115" s="88">
        <f t="shared" si="48"/>
        <v>0</v>
      </c>
      <c r="J115" s="88">
        <f t="shared" si="49"/>
        <v>0</v>
      </c>
      <c r="K115" s="88">
        <f t="shared" si="50"/>
        <v>0</v>
      </c>
      <c r="L115" s="88">
        <v>0.01946</v>
      </c>
      <c r="M115" s="88">
        <f t="shared" si="51"/>
        <v>0.01946</v>
      </c>
      <c r="N115" s="78" t="s">
        <v>616</v>
      </c>
      <c r="O115" s="80"/>
      <c r="Z115" s="68">
        <f t="shared" si="52"/>
        <v>0</v>
      </c>
      <c r="AB115" s="68">
        <f t="shared" si="53"/>
        <v>0</v>
      </c>
      <c r="AC115" s="68">
        <f t="shared" si="54"/>
        <v>0</v>
      </c>
      <c r="AD115" s="68">
        <f t="shared" si="55"/>
        <v>0</v>
      </c>
      <c r="AE115" s="68">
        <f t="shared" si="56"/>
        <v>0</v>
      </c>
      <c r="AF115" s="68">
        <f t="shared" si="57"/>
        <v>0</v>
      </c>
      <c r="AG115" s="68">
        <f t="shared" si="58"/>
        <v>0</v>
      </c>
      <c r="AH115" s="68">
        <f t="shared" si="59"/>
        <v>0</v>
      </c>
      <c r="AI115" s="60"/>
      <c r="AJ115" s="50">
        <f t="shared" si="60"/>
        <v>0</v>
      </c>
      <c r="AK115" s="50">
        <f t="shared" si="61"/>
        <v>0</v>
      </c>
      <c r="AL115" s="50">
        <f t="shared" si="62"/>
        <v>0</v>
      </c>
      <c r="AN115" s="68">
        <v>15</v>
      </c>
      <c r="AO115" s="68">
        <f t="shared" si="63"/>
        <v>0</v>
      </c>
      <c r="AP115" s="68">
        <f t="shared" si="64"/>
        <v>0</v>
      </c>
      <c r="AQ115" s="69" t="s">
        <v>80</v>
      </c>
      <c r="AV115" s="68">
        <f t="shared" si="65"/>
        <v>0</v>
      </c>
      <c r="AW115" s="68">
        <f t="shared" si="66"/>
        <v>0</v>
      </c>
      <c r="AX115" s="68">
        <f t="shared" si="67"/>
        <v>0</v>
      </c>
      <c r="AY115" s="71" t="s">
        <v>634</v>
      </c>
      <c r="AZ115" s="71" t="s">
        <v>652</v>
      </c>
      <c r="BA115" s="60" t="s">
        <v>657</v>
      </c>
      <c r="BC115" s="68">
        <f t="shared" si="68"/>
        <v>0</v>
      </c>
      <c r="BD115" s="68">
        <f t="shared" si="69"/>
        <v>0</v>
      </c>
      <c r="BE115" s="68">
        <v>0</v>
      </c>
      <c r="BF115" s="68">
        <f t="shared" si="70"/>
        <v>0.01946</v>
      </c>
      <c r="BH115" s="50">
        <f t="shared" si="71"/>
        <v>0</v>
      </c>
      <c r="BI115" s="50">
        <f t="shared" si="72"/>
        <v>0</v>
      </c>
      <c r="BJ115" s="50">
        <f t="shared" si="73"/>
        <v>0</v>
      </c>
      <c r="BK115" s="50" t="s">
        <v>662</v>
      </c>
      <c r="BL115" s="68">
        <v>725</v>
      </c>
    </row>
    <row r="116" spans="1:64" ht="12.75">
      <c r="A116" s="83" t="s">
        <v>121</v>
      </c>
      <c r="B116" s="83"/>
      <c r="C116" s="83" t="s">
        <v>266</v>
      </c>
      <c r="D116" s="220" t="s">
        <v>455</v>
      </c>
      <c r="E116" s="221"/>
      <c r="F116" s="83" t="s">
        <v>595</v>
      </c>
      <c r="G116" s="88">
        <v>1</v>
      </c>
      <c r="H116" s="136"/>
      <c r="I116" s="88">
        <f t="shared" si="48"/>
        <v>0</v>
      </c>
      <c r="J116" s="88">
        <f t="shared" si="49"/>
        <v>0</v>
      </c>
      <c r="K116" s="88">
        <f t="shared" si="50"/>
        <v>0</v>
      </c>
      <c r="L116" s="88">
        <v>0.00225</v>
      </c>
      <c r="M116" s="88">
        <f t="shared" si="51"/>
        <v>0.00225</v>
      </c>
      <c r="N116" s="78" t="s">
        <v>616</v>
      </c>
      <c r="O116" s="80"/>
      <c r="Z116" s="68">
        <f t="shared" si="52"/>
        <v>0</v>
      </c>
      <c r="AB116" s="68">
        <f t="shared" si="53"/>
        <v>0</v>
      </c>
      <c r="AC116" s="68">
        <f t="shared" si="54"/>
        <v>0</v>
      </c>
      <c r="AD116" s="68">
        <f t="shared" si="55"/>
        <v>0</v>
      </c>
      <c r="AE116" s="68">
        <f t="shared" si="56"/>
        <v>0</v>
      </c>
      <c r="AF116" s="68">
        <f t="shared" si="57"/>
        <v>0</v>
      </c>
      <c r="AG116" s="68">
        <f t="shared" si="58"/>
        <v>0</v>
      </c>
      <c r="AH116" s="68">
        <f t="shared" si="59"/>
        <v>0</v>
      </c>
      <c r="AI116" s="60"/>
      <c r="AJ116" s="50">
        <f t="shared" si="60"/>
        <v>0</v>
      </c>
      <c r="AK116" s="50">
        <f t="shared" si="61"/>
        <v>0</v>
      </c>
      <c r="AL116" s="50">
        <f t="shared" si="62"/>
        <v>0</v>
      </c>
      <c r="AN116" s="68">
        <v>15</v>
      </c>
      <c r="AO116" s="68">
        <f t="shared" si="63"/>
        <v>0</v>
      </c>
      <c r="AP116" s="68">
        <f t="shared" si="64"/>
        <v>0</v>
      </c>
      <c r="AQ116" s="69" t="s">
        <v>80</v>
      </c>
      <c r="AV116" s="68">
        <f t="shared" si="65"/>
        <v>0</v>
      </c>
      <c r="AW116" s="68">
        <f t="shared" si="66"/>
        <v>0</v>
      </c>
      <c r="AX116" s="68">
        <f t="shared" si="67"/>
        <v>0</v>
      </c>
      <c r="AY116" s="71" t="s">
        <v>634</v>
      </c>
      <c r="AZ116" s="71" t="s">
        <v>652</v>
      </c>
      <c r="BA116" s="60" t="s">
        <v>657</v>
      </c>
      <c r="BC116" s="68">
        <f t="shared" si="68"/>
        <v>0</v>
      </c>
      <c r="BD116" s="68">
        <f t="shared" si="69"/>
        <v>0</v>
      </c>
      <c r="BE116" s="68">
        <v>0</v>
      </c>
      <c r="BF116" s="68">
        <f t="shared" si="70"/>
        <v>0.00225</v>
      </c>
      <c r="BH116" s="50">
        <f t="shared" si="71"/>
        <v>0</v>
      </c>
      <c r="BI116" s="50">
        <f t="shared" si="72"/>
        <v>0</v>
      </c>
      <c r="BJ116" s="50">
        <f t="shared" si="73"/>
        <v>0</v>
      </c>
      <c r="BK116" s="50" t="s">
        <v>662</v>
      </c>
      <c r="BL116" s="68">
        <v>725</v>
      </c>
    </row>
    <row r="117" spans="1:64" ht="12.75">
      <c r="A117" s="83" t="s">
        <v>122</v>
      </c>
      <c r="B117" s="83"/>
      <c r="C117" s="83" t="s">
        <v>267</v>
      </c>
      <c r="D117" s="220" t="s">
        <v>456</v>
      </c>
      <c r="E117" s="221"/>
      <c r="F117" s="83" t="s">
        <v>598</v>
      </c>
      <c r="G117" s="88">
        <v>1</v>
      </c>
      <c r="H117" s="136"/>
      <c r="I117" s="88">
        <f t="shared" si="48"/>
        <v>0</v>
      </c>
      <c r="J117" s="88">
        <f t="shared" si="49"/>
        <v>0</v>
      </c>
      <c r="K117" s="88">
        <f t="shared" si="50"/>
        <v>0</v>
      </c>
      <c r="L117" s="88">
        <v>0.00086</v>
      </c>
      <c r="M117" s="88">
        <f t="shared" si="51"/>
        <v>0.00086</v>
      </c>
      <c r="N117" s="78" t="s">
        <v>616</v>
      </c>
      <c r="O117" s="80"/>
      <c r="Z117" s="68">
        <f t="shared" si="52"/>
        <v>0</v>
      </c>
      <c r="AB117" s="68">
        <f t="shared" si="53"/>
        <v>0</v>
      </c>
      <c r="AC117" s="68">
        <f t="shared" si="54"/>
        <v>0</v>
      </c>
      <c r="AD117" s="68">
        <f t="shared" si="55"/>
        <v>0</v>
      </c>
      <c r="AE117" s="68">
        <f t="shared" si="56"/>
        <v>0</v>
      </c>
      <c r="AF117" s="68">
        <f t="shared" si="57"/>
        <v>0</v>
      </c>
      <c r="AG117" s="68">
        <f t="shared" si="58"/>
        <v>0</v>
      </c>
      <c r="AH117" s="68">
        <f t="shared" si="59"/>
        <v>0</v>
      </c>
      <c r="AI117" s="60"/>
      <c r="AJ117" s="50">
        <f t="shared" si="60"/>
        <v>0</v>
      </c>
      <c r="AK117" s="50">
        <f t="shared" si="61"/>
        <v>0</v>
      </c>
      <c r="AL117" s="50">
        <f t="shared" si="62"/>
        <v>0</v>
      </c>
      <c r="AN117" s="68">
        <v>15</v>
      </c>
      <c r="AO117" s="68">
        <f t="shared" si="63"/>
        <v>0</v>
      </c>
      <c r="AP117" s="68">
        <f t="shared" si="64"/>
        <v>0</v>
      </c>
      <c r="AQ117" s="69" t="s">
        <v>80</v>
      </c>
      <c r="AV117" s="68">
        <f t="shared" si="65"/>
        <v>0</v>
      </c>
      <c r="AW117" s="68">
        <f t="shared" si="66"/>
        <v>0</v>
      </c>
      <c r="AX117" s="68">
        <f t="shared" si="67"/>
        <v>0</v>
      </c>
      <c r="AY117" s="71" t="s">
        <v>634</v>
      </c>
      <c r="AZ117" s="71" t="s">
        <v>652</v>
      </c>
      <c r="BA117" s="60" t="s">
        <v>657</v>
      </c>
      <c r="BC117" s="68">
        <f t="shared" si="68"/>
        <v>0</v>
      </c>
      <c r="BD117" s="68">
        <f t="shared" si="69"/>
        <v>0</v>
      </c>
      <c r="BE117" s="68">
        <v>0</v>
      </c>
      <c r="BF117" s="68">
        <f t="shared" si="70"/>
        <v>0.00086</v>
      </c>
      <c r="BH117" s="50">
        <f t="shared" si="71"/>
        <v>0</v>
      </c>
      <c r="BI117" s="50">
        <f t="shared" si="72"/>
        <v>0</v>
      </c>
      <c r="BJ117" s="50">
        <f t="shared" si="73"/>
        <v>0</v>
      </c>
      <c r="BK117" s="50" t="s">
        <v>662</v>
      </c>
      <c r="BL117" s="68">
        <v>725</v>
      </c>
    </row>
    <row r="118" spans="1:64" ht="12.75">
      <c r="A118" s="83" t="s">
        <v>123</v>
      </c>
      <c r="B118" s="83"/>
      <c r="C118" s="83" t="s">
        <v>268</v>
      </c>
      <c r="D118" s="220" t="s">
        <v>457</v>
      </c>
      <c r="E118" s="221"/>
      <c r="F118" s="83" t="s">
        <v>595</v>
      </c>
      <c r="G118" s="88">
        <v>3</v>
      </c>
      <c r="H118" s="136"/>
      <c r="I118" s="88">
        <f t="shared" si="48"/>
        <v>0</v>
      </c>
      <c r="J118" s="88">
        <f t="shared" si="49"/>
        <v>0</v>
      </c>
      <c r="K118" s="88">
        <f t="shared" si="50"/>
        <v>0</v>
      </c>
      <c r="L118" s="88">
        <v>0.00085</v>
      </c>
      <c r="M118" s="88">
        <f t="shared" si="51"/>
        <v>0.0025499999999999997</v>
      </c>
      <c r="N118" s="78" t="s">
        <v>616</v>
      </c>
      <c r="O118" s="80"/>
      <c r="Z118" s="68">
        <f t="shared" si="52"/>
        <v>0</v>
      </c>
      <c r="AB118" s="68">
        <f t="shared" si="53"/>
        <v>0</v>
      </c>
      <c r="AC118" s="68">
        <f t="shared" si="54"/>
        <v>0</v>
      </c>
      <c r="AD118" s="68">
        <f t="shared" si="55"/>
        <v>0</v>
      </c>
      <c r="AE118" s="68">
        <f t="shared" si="56"/>
        <v>0</v>
      </c>
      <c r="AF118" s="68">
        <f t="shared" si="57"/>
        <v>0</v>
      </c>
      <c r="AG118" s="68">
        <f t="shared" si="58"/>
        <v>0</v>
      </c>
      <c r="AH118" s="68">
        <f t="shared" si="59"/>
        <v>0</v>
      </c>
      <c r="AI118" s="60"/>
      <c r="AJ118" s="50">
        <f t="shared" si="60"/>
        <v>0</v>
      </c>
      <c r="AK118" s="50">
        <f t="shared" si="61"/>
        <v>0</v>
      </c>
      <c r="AL118" s="50">
        <f t="shared" si="62"/>
        <v>0</v>
      </c>
      <c r="AN118" s="68">
        <v>15</v>
      </c>
      <c r="AO118" s="68">
        <f t="shared" si="63"/>
        <v>0</v>
      </c>
      <c r="AP118" s="68">
        <f t="shared" si="64"/>
        <v>0</v>
      </c>
      <c r="AQ118" s="69" t="s">
        <v>80</v>
      </c>
      <c r="AV118" s="68">
        <f t="shared" si="65"/>
        <v>0</v>
      </c>
      <c r="AW118" s="68">
        <f t="shared" si="66"/>
        <v>0</v>
      </c>
      <c r="AX118" s="68">
        <f t="shared" si="67"/>
        <v>0</v>
      </c>
      <c r="AY118" s="71" t="s">
        <v>634</v>
      </c>
      <c r="AZ118" s="71" t="s">
        <v>652</v>
      </c>
      <c r="BA118" s="60" t="s">
        <v>657</v>
      </c>
      <c r="BC118" s="68">
        <f t="shared" si="68"/>
        <v>0</v>
      </c>
      <c r="BD118" s="68">
        <f t="shared" si="69"/>
        <v>0</v>
      </c>
      <c r="BE118" s="68">
        <v>0</v>
      </c>
      <c r="BF118" s="68">
        <f t="shared" si="70"/>
        <v>0.0025499999999999997</v>
      </c>
      <c r="BH118" s="50">
        <f t="shared" si="71"/>
        <v>0</v>
      </c>
      <c r="BI118" s="50">
        <f t="shared" si="72"/>
        <v>0</v>
      </c>
      <c r="BJ118" s="50">
        <f t="shared" si="73"/>
        <v>0</v>
      </c>
      <c r="BK118" s="50" t="s">
        <v>662</v>
      </c>
      <c r="BL118" s="68">
        <v>725</v>
      </c>
    </row>
    <row r="119" spans="1:64" ht="12.75">
      <c r="A119" s="83" t="s">
        <v>124</v>
      </c>
      <c r="B119" s="83"/>
      <c r="C119" s="83" t="s">
        <v>269</v>
      </c>
      <c r="D119" s="220" t="s">
        <v>458</v>
      </c>
      <c r="E119" s="221"/>
      <c r="F119" s="83" t="s">
        <v>598</v>
      </c>
      <c r="G119" s="88">
        <v>1</v>
      </c>
      <c r="H119" s="136"/>
      <c r="I119" s="88">
        <f t="shared" si="48"/>
        <v>0</v>
      </c>
      <c r="J119" s="88">
        <f t="shared" si="49"/>
        <v>0</v>
      </c>
      <c r="K119" s="88">
        <f t="shared" si="50"/>
        <v>0</v>
      </c>
      <c r="L119" s="88">
        <v>0.125</v>
      </c>
      <c r="M119" s="88">
        <f t="shared" si="51"/>
        <v>0.125</v>
      </c>
      <c r="N119" s="78" t="s">
        <v>616</v>
      </c>
      <c r="O119" s="80"/>
      <c r="Z119" s="68">
        <f t="shared" si="52"/>
        <v>0</v>
      </c>
      <c r="AB119" s="68">
        <f t="shared" si="53"/>
        <v>0</v>
      </c>
      <c r="AC119" s="68">
        <f t="shared" si="54"/>
        <v>0</v>
      </c>
      <c r="AD119" s="68">
        <f t="shared" si="55"/>
        <v>0</v>
      </c>
      <c r="AE119" s="68">
        <f t="shared" si="56"/>
        <v>0</v>
      </c>
      <c r="AF119" s="68">
        <f t="shared" si="57"/>
        <v>0</v>
      </c>
      <c r="AG119" s="68">
        <f t="shared" si="58"/>
        <v>0</v>
      </c>
      <c r="AH119" s="68">
        <f t="shared" si="59"/>
        <v>0</v>
      </c>
      <c r="AI119" s="60"/>
      <c r="AJ119" s="50">
        <f t="shared" si="60"/>
        <v>0</v>
      </c>
      <c r="AK119" s="50">
        <f t="shared" si="61"/>
        <v>0</v>
      </c>
      <c r="AL119" s="50">
        <f t="shared" si="62"/>
        <v>0</v>
      </c>
      <c r="AN119" s="68">
        <v>15</v>
      </c>
      <c r="AO119" s="68">
        <f t="shared" si="63"/>
        <v>0</v>
      </c>
      <c r="AP119" s="68">
        <f t="shared" si="64"/>
        <v>0</v>
      </c>
      <c r="AQ119" s="69" t="s">
        <v>80</v>
      </c>
      <c r="AV119" s="68">
        <f t="shared" si="65"/>
        <v>0</v>
      </c>
      <c r="AW119" s="68">
        <f t="shared" si="66"/>
        <v>0</v>
      </c>
      <c r="AX119" s="68">
        <f t="shared" si="67"/>
        <v>0</v>
      </c>
      <c r="AY119" s="71" t="s">
        <v>634</v>
      </c>
      <c r="AZ119" s="71" t="s">
        <v>652</v>
      </c>
      <c r="BA119" s="60" t="s">
        <v>657</v>
      </c>
      <c r="BC119" s="68">
        <f t="shared" si="68"/>
        <v>0</v>
      </c>
      <c r="BD119" s="68">
        <f t="shared" si="69"/>
        <v>0</v>
      </c>
      <c r="BE119" s="68">
        <v>0</v>
      </c>
      <c r="BF119" s="68">
        <f t="shared" si="70"/>
        <v>0.125</v>
      </c>
      <c r="BH119" s="50">
        <f t="shared" si="71"/>
        <v>0</v>
      </c>
      <c r="BI119" s="50">
        <f t="shared" si="72"/>
        <v>0</v>
      </c>
      <c r="BJ119" s="50">
        <f t="shared" si="73"/>
        <v>0</v>
      </c>
      <c r="BK119" s="50" t="s">
        <v>662</v>
      </c>
      <c r="BL119" s="68">
        <v>725</v>
      </c>
    </row>
    <row r="120" spans="1:64" ht="12.75">
      <c r="A120" s="83" t="s">
        <v>125</v>
      </c>
      <c r="B120" s="83"/>
      <c r="C120" s="83" t="s">
        <v>268</v>
      </c>
      <c r="D120" s="220" t="s">
        <v>457</v>
      </c>
      <c r="E120" s="221"/>
      <c r="F120" s="83" t="s">
        <v>595</v>
      </c>
      <c r="G120" s="88">
        <v>3</v>
      </c>
      <c r="H120" s="136"/>
      <c r="I120" s="88">
        <f t="shared" si="48"/>
        <v>0</v>
      </c>
      <c r="J120" s="88">
        <f t="shared" si="49"/>
        <v>0</v>
      </c>
      <c r="K120" s="88">
        <f t="shared" si="50"/>
        <v>0</v>
      </c>
      <c r="L120" s="88">
        <v>0.00085</v>
      </c>
      <c r="M120" s="88">
        <f t="shared" si="51"/>
        <v>0.0025499999999999997</v>
      </c>
      <c r="N120" s="78" t="s">
        <v>616</v>
      </c>
      <c r="O120" s="80"/>
      <c r="Z120" s="68">
        <f t="shared" si="52"/>
        <v>0</v>
      </c>
      <c r="AB120" s="68">
        <f t="shared" si="53"/>
        <v>0</v>
      </c>
      <c r="AC120" s="68">
        <f t="shared" si="54"/>
        <v>0</v>
      </c>
      <c r="AD120" s="68">
        <f t="shared" si="55"/>
        <v>0</v>
      </c>
      <c r="AE120" s="68">
        <f t="shared" si="56"/>
        <v>0</v>
      </c>
      <c r="AF120" s="68">
        <f t="shared" si="57"/>
        <v>0</v>
      </c>
      <c r="AG120" s="68">
        <f t="shared" si="58"/>
        <v>0</v>
      </c>
      <c r="AH120" s="68">
        <f t="shared" si="59"/>
        <v>0</v>
      </c>
      <c r="AI120" s="60"/>
      <c r="AJ120" s="50">
        <f t="shared" si="60"/>
        <v>0</v>
      </c>
      <c r="AK120" s="50">
        <f t="shared" si="61"/>
        <v>0</v>
      </c>
      <c r="AL120" s="50">
        <f t="shared" si="62"/>
        <v>0</v>
      </c>
      <c r="AN120" s="68">
        <v>15</v>
      </c>
      <c r="AO120" s="68">
        <f t="shared" si="63"/>
        <v>0</v>
      </c>
      <c r="AP120" s="68">
        <f t="shared" si="64"/>
        <v>0</v>
      </c>
      <c r="AQ120" s="69" t="s">
        <v>80</v>
      </c>
      <c r="AV120" s="68">
        <f t="shared" si="65"/>
        <v>0</v>
      </c>
      <c r="AW120" s="68">
        <f t="shared" si="66"/>
        <v>0</v>
      </c>
      <c r="AX120" s="68">
        <f t="shared" si="67"/>
        <v>0</v>
      </c>
      <c r="AY120" s="71" t="s">
        <v>634</v>
      </c>
      <c r="AZ120" s="71" t="s">
        <v>652</v>
      </c>
      <c r="BA120" s="60" t="s">
        <v>657</v>
      </c>
      <c r="BC120" s="68">
        <f t="shared" si="68"/>
        <v>0</v>
      </c>
      <c r="BD120" s="68">
        <f t="shared" si="69"/>
        <v>0</v>
      </c>
      <c r="BE120" s="68">
        <v>0</v>
      </c>
      <c r="BF120" s="68">
        <f t="shared" si="70"/>
        <v>0.0025499999999999997</v>
      </c>
      <c r="BH120" s="50">
        <f t="shared" si="71"/>
        <v>0</v>
      </c>
      <c r="BI120" s="50">
        <f t="shared" si="72"/>
        <v>0</v>
      </c>
      <c r="BJ120" s="50">
        <f t="shared" si="73"/>
        <v>0</v>
      </c>
      <c r="BK120" s="50" t="s">
        <v>662</v>
      </c>
      <c r="BL120" s="68">
        <v>725</v>
      </c>
    </row>
    <row r="121" spans="1:64" ht="12.75">
      <c r="A121" s="83" t="s">
        <v>126</v>
      </c>
      <c r="B121" s="83"/>
      <c r="C121" s="83" t="s">
        <v>270</v>
      </c>
      <c r="D121" s="220" t="s">
        <v>459</v>
      </c>
      <c r="E121" s="221"/>
      <c r="F121" s="83" t="s">
        <v>595</v>
      </c>
      <c r="G121" s="88">
        <v>2</v>
      </c>
      <c r="H121" s="136"/>
      <c r="I121" s="88">
        <f t="shared" si="48"/>
        <v>0</v>
      </c>
      <c r="J121" s="88">
        <f t="shared" si="49"/>
        <v>0</v>
      </c>
      <c r="K121" s="88">
        <f t="shared" si="50"/>
        <v>0</v>
      </c>
      <c r="L121" s="88">
        <v>0.005</v>
      </c>
      <c r="M121" s="88">
        <f t="shared" si="51"/>
        <v>0.01</v>
      </c>
      <c r="N121" s="78" t="s">
        <v>616</v>
      </c>
      <c r="O121" s="80"/>
      <c r="Z121" s="68">
        <f t="shared" si="52"/>
        <v>0</v>
      </c>
      <c r="AB121" s="68">
        <f t="shared" si="53"/>
        <v>0</v>
      </c>
      <c r="AC121" s="68">
        <f t="shared" si="54"/>
        <v>0</v>
      </c>
      <c r="AD121" s="68">
        <f t="shared" si="55"/>
        <v>0</v>
      </c>
      <c r="AE121" s="68">
        <f t="shared" si="56"/>
        <v>0</v>
      </c>
      <c r="AF121" s="68">
        <f t="shared" si="57"/>
        <v>0</v>
      </c>
      <c r="AG121" s="68">
        <f t="shared" si="58"/>
        <v>0</v>
      </c>
      <c r="AH121" s="68">
        <f t="shared" si="59"/>
        <v>0</v>
      </c>
      <c r="AI121" s="60"/>
      <c r="AJ121" s="50">
        <f t="shared" si="60"/>
        <v>0</v>
      </c>
      <c r="AK121" s="50">
        <f t="shared" si="61"/>
        <v>0</v>
      </c>
      <c r="AL121" s="50">
        <f t="shared" si="62"/>
        <v>0</v>
      </c>
      <c r="AN121" s="68">
        <v>15</v>
      </c>
      <c r="AO121" s="68">
        <f t="shared" si="63"/>
        <v>0</v>
      </c>
      <c r="AP121" s="68">
        <f t="shared" si="64"/>
        <v>0</v>
      </c>
      <c r="AQ121" s="69" t="s">
        <v>80</v>
      </c>
      <c r="AV121" s="68">
        <f t="shared" si="65"/>
        <v>0</v>
      </c>
      <c r="AW121" s="68">
        <f t="shared" si="66"/>
        <v>0</v>
      </c>
      <c r="AX121" s="68">
        <f t="shared" si="67"/>
        <v>0</v>
      </c>
      <c r="AY121" s="71" t="s">
        <v>634</v>
      </c>
      <c r="AZ121" s="71" t="s">
        <v>652</v>
      </c>
      <c r="BA121" s="60" t="s">
        <v>657</v>
      </c>
      <c r="BC121" s="68">
        <f t="shared" si="68"/>
        <v>0</v>
      </c>
      <c r="BD121" s="68">
        <f t="shared" si="69"/>
        <v>0</v>
      </c>
      <c r="BE121" s="68">
        <v>0</v>
      </c>
      <c r="BF121" s="68">
        <f t="shared" si="70"/>
        <v>0.01</v>
      </c>
      <c r="BH121" s="50">
        <f t="shared" si="71"/>
        <v>0</v>
      </c>
      <c r="BI121" s="50">
        <f t="shared" si="72"/>
        <v>0</v>
      </c>
      <c r="BJ121" s="50">
        <f t="shared" si="73"/>
        <v>0</v>
      </c>
      <c r="BK121" s="50" t="s">
        <v>662</v>
      </c>
      <c r="BL121" s="68">
        <v>725</v>
      </c>
    </row>
    <row r="122" spans="1:15" ht="12.75">
      <c r="A122" s="90"/>
      <c r="B122" s="91"/>
      <c r="C122" s="91"/>
      <c r="D122" s="92" t="s">
        <v>460</v>
      </c>
      <c r="E122" s="93"/>
      <c r="F122" s="91"/>
      <c r="G122" s="94">
        <v>0</v>
      </c>
      <c r="H122" s="91"/>
      <c r="I122" s="91"/>
      <c r="J122" s="91"/>
      <c r="K122" s="91"/>
      <c r="L122" s="91"/>
      <c r="M122" s="91"/>
      <c r="N122" s="81"/>
      <c r="O122" s="80"/>
    </row>
    <row r="123" spans="1:15" ht="12.75">
      <c r="A123" s="90"/>
      <c r="B123" s="91"/>
      <c r="C123" s="91"/>
      <c r="D123" s="92" t="s">
        <v>461</v>
      </c>
      <c r="E123" s="93"/>
      <c r="F123" s="91"/>
      <c r="G123" s="94">
        <v>0</v>
      </c>
      <c r="H123" s="91"/>
      <c r="I123" s="91"/>
      <c r="J123" s="91"/>
      <c r="K123" s="91"/>
      <c r="L123" s="91"/>
      <c r="M123" s="91"/>
      <c r="N123" s="81"/>
      <c r="O123" s="80"/>
    </row>
    <row r="124" spans="1:15" ht="12.75">
      <c r="A124" s="90"/>
      <c r="B124" s="91"/>
      <c r="C124" s="91"/>
      <c r="D124" s="92" t="s">
        <v>75</v>
      </c>
      <c r="E124" s="93"/>
      <c r="F124" s="91"/>
      <c r="G124" s="94">
        <v>2</v>
      </c>
      <c r="H124" s="91"/>
      <c r="I124" s="91"/>
      <c r="J124" s="91"/>
      <c r="K124" s="91"/>
      <c r="L124" s="91"/>
      <c r="M124" s="91"/>
      <c r="N124" s="81"/>
      <c r="O124" s="80"/>
    </row>
    <row r="125" spans="1:64" ht="12.75">
      <c r="A125" s="83" t="s">
        <v>127</v>
      </c>
      <c r="B125" s="83"/>
      <c r="C125" s="83" t="s">
        <v>271</v>
      </c>
      <c r="D125" s="220" t="s">
        <v>462</v>
      </c>
      <c r="E125" s="221"/>
      <c r="F125" s="83" t="s">
        <v>598</v>
      </c>
      <c r="G125" s="88">
        <v>1</v>
      </c>
      <c r="H125" s="136"/>
      <c r="I125" s="88">
        <f aca="true" t="shared" si="74" ref="I125:I145">G125*AO125</f>
        <v>0</v>
      </c>
      <c r="J125" s="88">
        <f aca="true" t="shared" si="75" ref="J125:J145">G125*AP125</f>
        <v>0</v>
      </c>
      <c r="K125" s="88">
        <f aca="true" t="shared" si="76" ref="K125:K145">G125*H125</f>
        <v>0</v>
      </c>
      <c r="L125" s="88">
        <v>0.00141</v>
      </c>
      <c r="M125" s="88">
        <f aca="true" t="shared" si="77" ref="M125:M145">G125*L125</f>
        <v>0.00141</v>
      </c>
      <c r="N125" s="78" t="s">
        <v>616</v>
      </c>
      <c r="O125" s="80"/>
      <c r="Z125" s="68">
        <f aca="true" t="shared" si="78" ref="Z125:Z145">IF(AQ125="5",BJ125,0)</f>
        <v>0</v>
      </c>
      <c r="AB125" s="68">
        <f aca="true" t="shared" si="79" ref="AB125:AB145">IF(AQ125="1",BH125,0)</f>
        <v>0</v>
      </c>
      <c r="AC125" s="68">
        <f aca="true" t="shared" si="80" ref="AC125:AC145">IF(AQ125="1",BI125,0)</f>
        <v>0</v>
      </c>
      <c r="AD125" s="68">
        <f aca="true" t="shared" si="81" ref="AD125:AD145">IF(AQ125="7",BH125,0)</f>
        <v>0</v>
      </c>
      <c r="AE125" s="68">
        <f aca="true" t="shared" si="82" ref="AE125:AE145">IF(AQ125="7",BI125,0)</f>
        <v>0</v>
      </c>
      <c r="AF125" s="68">
        <f aca="true" t="shared" si="83" ref="AF125:AF145">IF(AQ125="2",BH125,0)</f>
        <v>0</v>
      </c>
      <c r="AG125" s="68">
        <f aca="true" t="shared" si="84" ref="AG125:AG145">IF(AQ125="2",BI125,0)</f>
        <v>0</v>
      </c>
      <c r="AH125" s="68">
        <f aca="true" t="shared" si="85" ref="AH125:AH145">IF(AQ125="0",BJ125,0)</f>
        <v>0</v>
      </c>
      <c r="AI125" s="60"/>
      <c r="AJ125" s="50">
        <f aca="true" t="shared" si="86" ref="AJ125:AJ145">IF(AN125=0,K125,0)</f>
        <v>0</v>
      </c>
      <c r="AK125" s="50">
        <f aca="true" t="shared" si="87" ref="AK125:AK145">IF(AN125=15,K125,0)</f>
        <v>0</v>
      </c>
      <c r="AL125" s="50">
        <f aca="true" t="shared" si="88" ref="AL125:AL145">IF(AN125=21,K125,0)</f>
        <v>0</v>
      </c>
      <c r="AN125" s="68">
        <v>15</v>
      </c>
      <c r="AO125" s="68">
        <f>H125*0.115237556561086</f>
        <v>0</v>
      </c>
      <c r="AP125" s="68">
        <f>H125*(1-0.115237556561086)</f>
        <v>0</v>
      </c>
      <c r="AQ125" s="69" t="s">
        <v>80</v>
      </c>
      <c r="AV125" s="68">
        <f aca="true" t="shared" si="89" ref="AV125:AV145">AW125+AX125</f>
        <v>0</v>
      </c>
      <c r="AW125" s="68">
        <f aca="true" t="shared" si="90" ref="AW125:AW145">G125*AO125</f>
        <v>0</v>
      </c>
      <c r="AX125" s="68">
        <f aca="true" t="shared" si="91" ref="AX125:AX145">G125*AP125</f>
        <v>0</v>
      </c>
      <c r="AY125" s="71" t="s">
        <v>634</v>
      </c>
      <c r="AZ125" s="71" t="s">
        <v>652</v>
      </c>
      <c r="BA125" s="60" t="s">
        <v>657</v>
      </c>
      <c r="BC125" s="68">
        <f aca="true" t="shared" si="92" ref="BC125:BC145">AW125+AX125</f>
        <v>0</v>
      </c>
      <c r="BD125" s="68">
        <f aca="true" t="shared" si="93" ref="BD125:BD145">H125/(100-BE125)*100</f>
        <v>0</v>
      </c>
      <c r="BE125" s="68">
        <v>0</v>
      </c>
      <c r="BF125" s="68">
        <f aca="true" t="shared" si="94" ref="BF125:BF145">M125</f>
        <v>0.00141</v>
      </c>
      <c r="BH125" s="50">
        <f aca="true" t="shared" si="95" ref="BH125:BH145">G125*AO125</f>
        <v>0</v>
      </c>
      <c r="BI125" s="50">
        <f aca="true" t="shared" si="96" ref="BI125:BI145">G125*AP125</f>
        <v>0</v>
      </c>
      <c r="BJ125" s="50">
        <f aca="true" t="shared" si="97" ref="BJ125:BJ145">G125*H125</f>
        <v>0</v>
      </c>
      <c r="BK125" s="50" t="s">
        <v>662</v>
      </c>
      <c r="BL125" s="68">
        <v>725</v>
      </c>
    </row>
    <row r="126" spans="1:64" ht="12.75">
      <c r="A126" s="119" t="s">
        <v>128</v>
      </c>
      <c r="B126" s="119"/>
      <c r="C126" s="119" t="s">
        <v>272</v>
      </c>
      <c r="D126" s="229" t="s">
        <v>463</v>
      </c>
      <c r="E126" s="221"/>
      <c r="F126" s="119" t="s">
        <v>598</v>
      </c>
      <c r="G126" s="120">
        <v>1</v>
      </c>
      <c r="H126" s="138"/>
      <c r="I126" s="120">
        <f t="shared" si="74"/>
        <v>0</v>
      </c>
      <c r="J126" s="120">
        <f t="shared" si="75"/>
        <v>0</v>
      </c>
      <c r="K126" s="120">
        <f t="shared" si="76"/>
        <v>0</v>
      </c>
      <c r="L126" s="120">
        <v>0.01701</v>
      </c>
      <c r="M126" s="120">
        <f t="shared" si="77"/>
        <v>0.01701</v>
      </c>
      <c r="N126" s="118" t="s">
        <v>616</v>
      </c>
      <c r="O126" s="80"/>
      <c r="Z126" s="68">
        <f t="shared" si="78"/>
        <v>0</v>
      </c>
      <c r="AB126" s="68">
        <f t="shared" si="79"/>
        <v>0</v>
      </c>
      <c r="AC126" s="68">
        <f t="shared" si="80"/>
        <v>0</v>
      </c>
      <c r="AD126" s="68">
        <f t="shared" si="81"/>
        <v>0</v>
      </c>
      <c r="AE126" s="68">
        <f t="shared" si="82"/>
        <v>0</v>
      </c>
      <c r="AF126" s="68">
        <f t="shared" si="83"/>
        <v>0</v>
      </c>
      <c r="AG126" s="68">
        <f t="shared" si="84"/>
        <v>0</v>
      </c>
      <c r="AH126" s="68">
        <f t="shared" si="85"/>
        <v>0</v>
      </c>
      <c r="AI126" s="60"/>
      <c r="AJ126" s="50">
        <f t="shared" si="86"/>
        <v>0</v>
      </c>
      <c r="AK126" s="50">
        <f t="shared" si="87"/>
        <v>0</v>
      </c>
      <c r="AL126" s="50">
        <f t="shared" si="88"/>
        <v>0</v>
      </c>
      <c r="AN126" s="68">
        <v>15</v>
      </c>
      <c r="AO126" s="68">
        <f>H126*0.755724028636579</f>
        <v>0</v>
      </c>
      <c r="AP126" s="68">
        <f>H126*(1-0.755724028636579)</f>
        <v>0</v>
      </c>
      <c r="AQ126" s="69" t="s">
        <v>80</v>
      </c>
      <c r="AV126" s="68">
        <f t="shared" si="89"/>
        <v>0</v>
      </c>
      <c r="AW126" s="68">
        <f t="shared" si="90"/>
        <v>0</v>
      </c>
      <c r="AX126" s="68">
        <f t="shared" si="91"/>
        <v>0</v>
      </c>
      <c r="AY126" s="71" t="s">
        <v>634</v>
      </c>
      <c r="AZ126" s="71" t="s">
        <v>652</v>
      </c>
      <c r="BA126" s="60" t="s">
        <v>657</v>
      </c>
      <c r="BC126" s="68">
        <f t="shared" si="92"/>
        <v>0</v>
      </c>
      <c r="BD126" s="68">
        <f t="shared" si="93"/>
        <v>0</v>
      </c>
      <c r="BE126" s="68">
        <v>0</v>
      </c>
      <c r="BF126" s="68">
        <f t="shared" si="94"/>
        <v>0.01701</v>
      </c>
      <c r="BH126" s="50">
        <f t="shared" si="95"/>
        <v>0</v>
      </c>
      <c r="BI126" s="50">
        <f t="shared" si="96"/>
        <v>0</v>
      </c>
      <c r="BJ126" s="50">
        <f t="shared" si="97"/>
        <v>0</v>
      </c>
      <c r="BK126" s="50" t="s">
        <v>662</v>
      </c>
      <c r="BL126" s="68">
        <v>725</v>
      </c>
    </row>
    <row r="127" spans="1:64" ht="12.75">
      <c r="A127" s="83" t="s">
        <v>129</v>
      </c>
      <c r="B127" s="83"/>
      <c r="C127" s="83" t="s">
        <v>273</v>
      </c>
      <c r="D127" s="220" t="s">
        <v>464</v>
      </c>
      <c r="E127" s="221"/>
      <c r="F127" s="83" t="s">
        <v>595</v>
      </c>
      <c r="G127" s="88">
        <v>1</v>
      </c>
      <c r="H127" s="136"/>
      <c r="I127" s="88">
        <f t="shared" si="74"/>
        <v>0</v>
      </c>
      <c r="J127" s="88">
        <f t="shared" si="75"/>
        <v>0</v>
      </c>
      <c r="K127" s="88">
        <f t="shared" si="76"/>
        <v>0</v>
      </c>
      <c r="L127" s="88">
        <v>0.0002</v>
      </c>
      <c r="M127" s="88">
        <f t="shared" si="77"/>
        <v>0.0002</v>
      </c>
      <c r="N127" s="78" t="s">
        <v>616</v>
      </c>
      <c r="O127" s="80"/>
      <c r="Z127" s="68">
        <f t="shared" si="78"/>
        <v>0</v>
      </c>
      <c r="AB127" s="68">
        <f t="shared" si="79"/>
        <v>0</v>
      </c>
      <c r="AC127" s="68">
        <f t="shared" si="80"/>
        <v>0</v>
      </c>
      <c r="AD127" s="68">
        <f t="shared" si="81"/>
        <v>0</v>
      </c>
      <c r="AE127" s="68">
        <f t="shared" si="82"/>
        <v>0</v>
      </c>
      <c r="AF127" s="68">
        <f t="shared" si="83"/>
        <v>0</v>
      </c>
      <c r="AG127" s="68">
        <f t="shared" si="84"/>
        <v>0</v>
      </c>
      <c r="AH127" s="68">
        <f t="shared" si="85"/>
        <v>0</v>
      </c>
      <c r="AI127" s="60"/>
      <c r="AJ127" s="50">
        <f t="shared" si="86"/>
        <v>0</v>
      </c>
      <c r="AK127" s="50">
        <f t="shared" si="87"/>
        <v>0</v>
      </c>
      <c r="AL127" s="50">
        <f t="shared" si="88"/>
        <v>0</v>
      </c>
      <c r="AN127" s="68">
        <v>15</v>
      </c>
      <c r="AO127" s="68">
        <f>H127*0.673503836317136</f>
        <v>0</v>
      </c>
      <c r="AP127" s="68">
        <f>H127*(1-0.673503836317136)</f>
        <v>0</v>
      </c>
      <c r="AQ127" s="69" t="s">
        <v>80</v>
      </c>
      <c r="AV127" s="68">
        <f t="shared" si="89"/>
        <v>0</v>
      </c>
      <c r="AW127" s="68">
        <f t="shared" si="90"/>
        <v>0</v>
      </c>
      <c r="AX127" s="68">
        <f t="shared" si="91"/>
        <v>0</v>
      </c>
      <c r="AY127" s="71" t="s">
        <v>634</v>
      </c>
      <c r="AZ127" s="71" t="s">
        <v>652</v>
      </c>
      <c r="BA127" s="60" t="s">
        <v>657</v>
      </c>
      <c r="BC127" s="68">
        <f t="shared" si="92"/>
        <v>0</v>
      </c>
      <c r="BD127" s="68">
        <f t="shared" si="93"/>
        <v>0</v>
      </c>
      <c r="BE127" s="68">
        <v>0</v>
      </c>
      <c r="BF127" s="68">
        <f t="shared" si="94"/>
        <v>0.0002</v>
      </c>
      <c r="BH127" s="50">
        <f t="shared" si="95"/>
        <v>0</v>
      </c>
      <c r="BI127" s="50">
        <f t="shared" si="96"/>
        <v>0</v>
      </c>
      <c r="BJ127" s="50">
        <f t="shared" si="97"/>
        <v>0</v>
      </c>
      <c r="BK127" s="50" t="s">
        <v>662</v>
      </c>
      <c r="BL127" s="68">
        <v>725</v>
      </c>
    </row>
    <row r="128" spans="1:64" ht="12.75">
      <c r="A128" s="83" t="s">
        <v>130</v>
      </c>
      <c r="B128" s="83"/>
      <c r="C128" s="83" t="s">
        <v>274</v>
      </c>
      <c r="D128" s="220" t="s">
        <v>465</v>
      </c>
      <c r="E128" s="221"/>
      <c r="F128" s="83" t="s">
        <v>595</v>
      </c>
      <c r="G128" s="88">
        <v>1</v>
      </c>
      <c r="H128" s="136"/>
      <c r="I128" s="88">
        <f t="shared" si="74"/>
        <v>0</v>
      </c>
      <c r="J128" s="88">
        <f t="shared" si="75"/>
        <v>0</v>
      </c>
      <c r="K128" s="88">
        <f t="shared" si="76"/>
        <v>0</v>
      </c>
      <c r="L128" s="88">
        <v>0.00041</v>
      </c>
      <c r="M128" s="88">
        <f t="shared" si="77"/>
        <v>0.00041</v>
      </c>
      <c r="N128" s="78" t="s">
        <v>616</v>
      </c>
      <c r="O128" s="80"/>
      <c r="Z128" s="68">
        <f t="shared" si="78"/>
        <v>0</v>
      </c>
      <c r="AB128" s="68">
        <f t="shared" si="79"/>
        <v>0</v>
      </c>
      <c r="AC128" s="68">
        <f t="shared" si="80"/>
        <v>0</v>
      </c>
      <c r="AD128" s="68">
        <f t="shared" si="81"/>
        <v>0</v>
      </c>
      <c r="AE128" s="68">
        <f t="shared" si="82"/>
        <v>0</v>
      </c>
      <c r="AF128" s="68">
        <f t="shared" si="83"/>
        <v>0</v>
      </c>
      <c r="AG128" s="68">
        <f t="shared" si="84"/>
        <v>0</v>
      </c>
      <c r="AH128" s="68">
        <f t="shared" si="85"/>
        <v>0</v>
      </c>
      <c r="AI128" s="60"/>
      <c r="AJ128" s="50">
        <f t="shared" si="86"/>
        <v>0</v>
      </c>
      <c r="AK128" s="50">
        <f t="shared" si="87"/>
        <v>0</v>
      </c>
      <c r="AL128" s="50">
        <f t="shared" si="88"/>
        <v>0</v>
      </c>
      <c r="AN128" s="68">
        <v>15</v>
      </c>
      <c r="AO128" s="68">
        <f>H128*0.494415841584158</f>
        <v>0</v>
      </c>
      <c r="AP128" s="68">
        <f>H128*(1-0.494415841584158)</f>
        <v>0</v>
      </c>
      <c r="AQ128" s="69" t="s">
        <v>80</v>
      </c>
      <c r="AV128" s="68">
        <f t="shared" si="89"/>
        <v>0</v>
      </c>
      <c r="AW128" s="68">
        <f t="shared" si="90"/>
        <v>0</v>
      </c>
      <c r="AX128" s="68">
        <f t="shared" si="91"/>
        <v>0</v>
      </c>
      <c r="AY128" s="71" t="s">
        <v>634</v>
      </c>
      <c r="AZ128" s="71" t="s">
        <v>652</v>
      </c>
      <c r="BA128" s="60" t="s">
        <v>657</v>
      </c>
      <c r="BC128" s="68">
        <f t="shared" si="92"/>
        <v>0</v>
      </c>
      <c r="BD128" s="68">
        <f t="shared" si="93"/>
        <v>0</v>
      </c>
      <c r="BE128" s="68">
        <v>0</v>
      </c>
      <c r="BF128" s="68">
        <f t="shared" si="94"/>
        <v>0.00041</v>
      </c>
      <c r="BH128" s="50">
        <f t="shared" si="95"/>
        <v>0</v>
      </c>
      <c r="BI128" s="50">
        <f t="shared" si="96"/>
        <v>0</v>
      </c>
      <c r="BJ128" s="50">
        <f t="shared" si="97"/>
        <v>0</v>
      </c>
      <c r="BK128" s="50" t="s">
        <v>662</v>
      </c>
      <c r="BL128" s="68">
        <v>725</v>
      </c>
    </row>
    <row r="129" spans="1:64" ht="12.75">
      <c r="A129" s="83" t="s">
        <v>131</v>
      </c>
      <c r="B129" s="83"/>
      <c r="C129" s="83" t="s">
        <v>275</v>
      </c>
      <c r="D129" s="220" t="s">
        <v>466</v>
      </c>
      <c r="E129" s="221"/>
      <c r="F129" s="83" t="s">
        <v>595</v>
      </c>
      <c r="G129" s="88">
        <v>2</v>
      </c>
      <c r="H129" s="136"/>
      <c r="I129" s="88">
        <f t="shared" si="74"/>
        <v>0</v>
      </c>
      <c r="J129" s="88">
        <f t="shared" si="75"/>
        <v>0</v>
      </c>
      <c r="K129" s="88">
        <f t="shared" si="76"/>
        <v>0</v>
      </c>
      <c r="L129" s="88">
        <v>4E-05</v>
      </c>
      <c r="M129" s="88">
        <f t="shared" si="77"/>
        <v>8E-05</v>
      </c>
      <c r="N129" s="78" t="s">
        <v>616</v>
      </c>
      <c r="O129" s="80"/>
      <c r="Z129" s="68">
        <f t="shared" si="78"/>
        <v>0</v>
      </c>
      <c r="AB129" s="68">
        <f t="shared" si="79"/>
        <v>0</v>
      </c>
      <c r="AC129" s="68">
        <f t="shared" si="80"/>
        <v>0</v>
      </c>
      <c r="AD129" s="68">
        <f t="shared" si="81"/>
        <v>0</v>
      </c>
      <c r="AE129" s="68">
        <f t="shared" si="82"/>
        <v>0</v>
      </c>
      <c r="AF129" s="68">
        <f t="shared" si="83"/>
        <v>0</v>
      </c>
      <c r="AG129" s="68">
        <f t="shared" si="84"/>
        <v>0</v>
      </c>
      <c r="AH129" s="68">
        <f t="shared" si="85"/>
        <v>0</v>
      </c>
      <c r="AI129" s="60"/>
      <c r="AJ129" s="50">
        <f t="shared" si="86"/>
        <v>0</v>
      </c>
      <c r="AK129" s="50">
        <f t="shared" si="87"/>
        <v>0</v>
      </c>
      <c r="AL129" s="50">
        <f t="shared" si="88"/>
        <v>0</v>
      </c>
      <c r="AN129" s="68">
        <v>15</v>
      </c>
      <c r="AO129" s="68">
        <f>H129*0.0298739495798319</f>
        <v>0</v>
      </c>
      <c r="AP129" s="68">
        <f>H129*(1-0.0298739495798319)</f>
        <v>0</v>
      </c>
      <c r="AQ129" s="69" t="s">
        <v>80</v>
      </c>
      <c r="AV129" s="68">
        <f t="shared" si="89"/>
        <v>0</v>
      </c>
      <c r="AW129" s="68">
        <f t="shared" si="90"/>
        <v>0</v>
      </c>
      <c r="AX129" s="68">
        <f t="shared" si="91"/>
        <v>0</v>
      </c>
      <c r="AY129" s="71" t="s">
        <v>634</v>
      </c>
      <c r="AZ129" s="71" t="s">
        <v>652</v>
      </c>
      <c r="BA129" s="60" t="s">
        <v>657</v>
      </c>
      <c r="BC129" s="68">
        <f t="shared" si="92"/>
        <v>0</v>
      </c>
      <c r="BD129" s="68">
        <f t="shared" si="93"/>
        <v>0</v>
      </c>
      <c r="BE129" s="68">
        <v>0</v>
      </c>
      <c r="BF129" s="68">
        <f t="shared" si="94"/>
        <v>8E-05</v>
      </c>
      <c r="BH129" s="50">
        <f t="shared" si="95"/>
        <v>0</v>
      </c>
      <c r="BI129" s="50">
        <f t="shared" si="96"/>
        <v>0</v>
      </c>
      <c r="BJ129" s="50">
        <f t="shared" si="97"/>
        <v>0</v>
      </c>
      <c r="BK129" s="50" t="s">
        <v>662</v>
      </c>
      <c r="BL129" s="68">
        <v>725</v>
      </c>
    </row>
    <row r="130" spans="1:64" ht="12.75">
      <c r="A130" s="83" t="s">
        <v>132</v>
      </c>
      <c r="B130" s="83"/>
      <c r="C130" s="83" t="s">
        <v>276</v>
      </c>
      <c r="D130" s="220" t="s">
        <v>467</v>
      </c>
      <c r="E130" s="221"/>
      <c r="F130" s="83" t="s">
        <v>595</v>
      </c>
      <c r="G130" s="88">
        <v>1</v>
      </c>
      <c r="H130" s="136"/>
      <c r="I130" s="88">
        <f t="shared" si="74"/>
        <v>0</v>
      </c>
      <c r="J130" s="88">
        <f t="shared" si="75"/>
        <v>0</v>
      </c>
      <c r="K130" s="88">
        <f t="shared" si="76"/>
        <v>0</v>
      </c>
      <c r="L130" s="88">
        <v>0.00013</v>
      </c>
      <c r="M130" s="88">
        <f t="shared" si="77"/>
        <v>0.00013</v>
      </c>
      <c r="N130" s="78" t="s">
        <v>616</v>
      </c>
      <c r="O130" s="80"/>
      <c r="Z130" s="68">
        <f t="shared" si="78"/>
        <v>0</v>
      </c>
      <c r="AB130" s="68">
        <f t="shared" si="79"/>
        <v>0</v>
      </c>
      <c r="AC130" s="68">
        <f t="shared" si="80"/>
        <v>0</v>
      </c>
      <c r="AD130" s="68">
        <f t="shared" si="81"/>
        <v>0</v>
      </c>
      <c r="AE130" s="68">
        <f t="shared" si="82"/>
        <v>0</v>
      </c>
      <c r="AF130" s="68">
        <f t="shared" si="83"/>
        <v>0</v>
      </c>
      <c r="AG130" s="68">
        <f t="shared" si="84"/>
        <v>0</v>
      </c>
      <c r="AH130" s="68">
        <f t="shared" si="85"/>
        <v>0</v>
      </c>
      <c r="AI130" s="60"/>
      <c r="AJ130" s="50">
        <f t="shared" si="86"/>
        <v>0</v>
      </c>
      <c r="AK130" s="50">
        <f t="shared" si="87"/>
        <v>0</v>
      </c>
      <c r="AL130" s="50">
        <f t="shared" si="88"/>
        <v>0</v>
      </c>
      <c r="AN130" s="68">
        <v>15</v>
      </c>
      <c r="AO130" s="68">
        <f>H130*0.209803921568627</f>
        <v>0</v>
      </c>
      <c r="AP130" s="68">
        <f>H130*(1-0.209803921568627)</f>
        <v>0</v>
      </c>
      <c r="AQ130" s="69" t="s">
        <v>80</v>
      </c>
      <c r="AV130" s="68">
        <f t="shared" si="89"/>
        <v>0</v>
      </c>
      <c r="AW130" s="68">
        <f t="shared" si="90"/>
        <v>0</v>
      </c>
      <c r="AX130" s="68">
        <f t="shared" si="91"/>
        <v>0</v>
      </c>
      <c r="AY130" s="71" t="s">
        <v>634</v>
      </c>
      <c r="AZ130" s="71" t="s">
        <v>652</v>
      </c>
      <c r="BA130" s="60" t="s">
        <v>657</v>
      </c>
      <c r="BC130" s="68">
        <f t="shared" si="92"/>
        <v>0</v>
      </c>
      <c r="BD130" s="68">
        <f t="shared" si="93"/>
        <v>0</v>
      </c>
      <c r="BE130" s="68">
        <v>0</v>
      </c>
      <c r="BF130" s="68">
        <f t="shared" si="94"/>
        <v>0.00013</v>
      </c>
      <c r="BH130" s="50">
        <f t="shared" si="95"/>
        <v>0</v>
      </c>
      <c r="BI130" s="50">
        <f t="shared" si="96"/>
        <v>0</v>
      </c>
      <c r="BJ130" s="50">
        <f t="shared" si="97"/>
        <v>0</v>
      </c>
      <c r="BK130" s="50" t="s">
        <v>662</v>
      </c>
      <c r="BL130" s="68">
        <v>725</v>
      </c>
    </row>
    <row r="131" spans="1:64" ht="12.75">
      <c r="A131" s="83" t="s">
        <v>133</v>
      </c>
      <c r="B131" s="83"/>
      <c r="C131" s="83" t="s">
        <v>277</v>
      </c>
      <c r="D131" s="220" t="s">
        <v>468</v>
      </c>
      <c r="E131" s="221"/>
      <c r="F131" s="83" t="s">
        <v>595</v>
      </c>
      <c r="G131" s="88">
        <v>1</v>
      </c>
      <c r="H131" s="136"/>
      <c r="I131" s="88">
        <f t="shared" si="74"/>
        <v>0</v>
      </c>
      <c r="J131" s="88">
        <f t="shared" si="75"/>
        <v>0</v>
      </c>
      <c r="K131" s="88">
        <f t="shared" si="76"/>
        <v>0</v>
      </c>
      <c r="L131" s="88">
        <v>0.0005</v>
      </c>
      <c r="M131" s="88">
        <f t="shared" si="77"/>
        <v>0.0005</v>
      </c>
      <c r="N131" s="78" t="s">
        <v>616</v>
      </c>
      <c r="O131" s="80"/>
      <c r="Z131" s="68">
        <f t="shared" si="78"/>
        <v>0</v>
      </c>
      <c r="AB131" s="68">
        <f t="shared" si="79"/>
        <v>0</v>
      </c>
      <c r="AC131" s="68">
        <f t="shared" si="80"/>
        <v>0</v>
      </c>
      <c r="AD131" s="68">
        <f t="shared" si="81"/>
        <v>0</v>
      </c>
      <c r="AE131" s="68">
        <f t="shared" si="82"/>
        <v>0</v>
      </c>
      <c r="AF131" s="68">
        <f t="shared" si="83"/>
        <v>0</v>
      </c>
      <c r="AG131" s="68">
        <f t="shared" si="84"/>
        <v>0</v>
      </c>
      <c r="AH131" s="68">
        <f t="shared" si="85"/>
        <v>0</v>
      </c>
      <c r="AI131" s="60"/>
      <c r="AJ131" s="50">
        <f t="shared" si="86"/>
        <v>0</v>
      </c>
      <c r="AK131" s="50">
        <f t="shared" si="87"/>
        <v>0</v>
      </c>
      <c r="AL131" s="50">
        <f t="shared" si="88"/>
        <v>0</v>
      </c>
      <c r="AN131" s="68">
        <v>15</v>
      </c>
      <c r="AO131" s="68">
        <f>H131*0.915288652952887</f>
        <v>0</v>
      </c>
      <c r="AP131" s="68">
        <f>H131*(1-0.915288652952887)</f>
        <v>0</v>
      </c>
      <c r="AQ131" s="69" t="s">
        <v>80</v>
      </c>
      <c r="AV131" s="68">
        <f t="shared" si="89"/>
        <v>0</v>
      </c>
      <c r="AW131" s="68">
        <f t="shared" si="90"/>
        <v>0</v>
      </c>
      <c r="AX131" s="68">
        <f t="shared" si="91"/>
        <v>0</v>
      </c>
      <c r="AY131" s="71" t="s">
        <v>634</v>
      </c>
      <c r="AZ131" s="71" t="s">
        <v>652</v>
      </c>
      <c r="BA131" s="60" t="s">
        <v>657</v>
      </c>
      <c r="BC131" s="68">
        <f t="shared" si="92"/>
        <v>0</v>
      </c>
      <c r="BD131" s="68">
        <f t="shared" si="93"/>
        <v>0</v>
      </c>
      <c r="BE131" s="68">
        <v>0</v>
      </c>
      <c r="BF131" s="68">
        <f t="shared" si="94"/>
        <v>0.0005</v>
      </c>
      <c r="BH131" s="50">
        <f t="shared" si="95"/>
        <v>0</v>
      </c>
      <c r="BI131" s="50">
        <f t="shared" si="96"/>
        <v>0</v>
      </c>
      <c r="BJ131" s="50">
        <f t="shared" si="97"/>
        <v>0</v>
      </c>
      <c r="BK131" s="50" t="s">
        <v>662</v>
      </c>
      <c r="BL131" s="68">
        <v>725</v>
      </c>
    </row>
    <row r="132" spans="1:64" ht="12.75">
      <c r="A132" s="83" t="s">
        <v>134</v>
      </c>
      <c r="B132" s="83"/>
      <c r="C132" s="83" t="s">
        <v>278</v>
      </c>
      <c r="D132" s="220" t="s">
        <v>469</v>
      </c>
      <c r="E132" s="221"/>
      <c r="F132" s="83" t="s">
        <v>595</v>
      </c>
      <c r="G132" s="88">
        <v>1</v>
      </c>
      <c r="H132" s="136"/>
      <c r="I132" s="88">
        <f t="shared" si="74"/>
        <v>0</v>
      </c>
      <c r="J132" s="88">
        <f t="shared" si="75"/>
        <v>0</v>
      </c>
      <c r="K132" s="88">
        <f t="shared" si="76"/>
        <v>0</v>
      </c>
      <c r="L132" s="88">
        <v>0.00033</v>
      </c>
      <c r="M132" s="88">
        <f t="shared" si="77"/>
        <v>0.00033</v>
      </c>
      <c r="N132" s="78" t="s">
        <v>616</v>
      </c>
      <c r="O132" s="80"/>
      <c r="Z132" s="68">
        <f t="shared" si="78"/>
        <v>0</v>
      </c>
      <c r="AB132" s="68">
        <f t="shared" si="79"/>
        <v>0</v>
      </c>
      <c r="AC132" s="68">
        <f t="shared" si="80"/>
        <v>0</v>
      </c>
      <c r="AD132" s="68">
        <f t="shared" si="81"/>
        <v>0</v>
      </c>
      <c r="AE132" s="68">
        <f t="shared" si="82"/>
        <v>0</v>
      </c>
      <c r="AF132" s="68">
        <f t="shared" si="83"/>
        <v>0</v>
      </c>
      <c r="AG132" s="68">
        <f t="shared" si="84"/>
        <v>0</v>
      </c>
      <c r="AH132" s="68">
        <f t="shared" si="85"/>
        <v>0</v>
      </c>
      <c r="AI132" s="60"/>
      <c r="AJ132" s="50">
        <f t="shared" si="86"/>
        <v>0</v>
      </c>
      <c r="AK132" s="50">
        <f t="shared" si="87"/>
        <v>0</v>
      </c>
      <c r="AL132" s="50">
        <f t="shared" si="88"/>
        <v>0</v>
      </c>
      <c r="AN132" s="68">
        <v>15</v>
      </c>
      <c r="AO132" s="68">
        <f>H132*0.829103078982597</f>
        <v>0</v>
      </c>
      <c r="AP132" s="68">
        <f>H132*(1-0.829103078982597)</f>
        <v>0</v>
      </c>
      <c r="AQ132" s="69" t="s">
        <v>80</v>
      </c>
      <c r="AV132" s="68">
        <f t="shared" si="89"/>
        <v>0</v>
      </c>
      <c r="AW132" s="68">
        <f t="shared" si="90"/>
        <v>0</v>
      </c>
      <c r="AX132" s="68">
        <f t="shared" si="91"/>
        <v>0</v>
      </c>
      <c r="AY132" s="71" t="s">
        <v>634</v>
      </c>
      <c r="AZ132" s="71" t="s">
        <v>652</v>
      </c>
      <c r="BA132" s="60" t="s">
        <v>657</v>
      </c>
      <c r="BC132" s="68">
        <f t="shared" si="92"/>
        <v>0</v>
      </c>
      <c r="BD132" s="68">
        <f t="shared" si="93"/>
        <v>0</v>
      </c>
      <c r="BE132" s="68">
        <v>0</v>
      </c>
      <c r="BF132" s="68">
        <f t="shared" si="94"/>
        <v>0.00033</v>
      </c>
      <c r="BH132" s="50">
        <f t="shared" si="95"/>
        <v>0</v>
      </c>
      <c r="BI132" s="50">
        <f t="shared" si="96"/>
        <v>0</v>
      </c>
      <c r="BJ132" s="50">
        <f t="shared" si="97"/>
        <v>0</v>
      </c>
      <c r="BK132" s="50" t="s">
        <v>662</v>
      </c>
      <c r="BL132" s="68">
        <v>725</v>
      </c>
    </row>
    <row r="133" spans="1:64" ht="12.75">
      <c r="A133" s="83" t="s">
        <v>135</v>
      </c>
      <c r="B133" s="83"/>
      <c r="C133" s="83" t="s">
        <v>279</v>
      </c>
      <c r="D133" s="220" t="s">
        <v>470</v>
      </c>
      <c r="E133" s="221"/>
      <c r="F133" s="83" t="s">
        <v>598</v>
      </c>
      <c r="G133" s="88">
        <v>7</v>
      </c>
      <c r="H133" s="136"/>
      <c r="I133" s="88">
        <f t="shared" si="74"/>
        <v>0</v>
      </c>
      <c r="J133" s="88">
        <f t="shared" si="75"/>
        <v>0</v>
      </c>
      <c r="K133" s="88">
        <f t="shared" si="76"/>
        <v>0</v>
      </c>
      <c r="L133" s="88">
        <v>0.00017</v>
      </c>
      <c r="M133" s="88">
        <f t="shared" si="77"/>
        <v>0.00119</v>
      </c>
      <c r="N133" s="78" t="s">
        <v>616</v>
      </c>
      <c r="O133" s="80"/>
      <c r="Z133" s="68">
        <f t="shared" si="78"/>
        <v>0</v>
      </c>
      <c r="AB133" s="68">
        <f t="shared" si="79"/>
        <v>0</v>
      </c>
      <c r="AC133" s="68">
        <f t="shared" si="80"/>
        <v>0</v>
      </c>
      <c r="AD133" s="68">
        <f t="shared" si="81"/>
        <v>0</v>
      </c>
      <c r="AE133" s="68">
        <f t="shared" si="82"/>
        <v>0</v>
      </c>
      <c r="AF133" s="68">
        <f t="shared" si="83"/>
        <v>0</v>
      </c>
      <c r="AG133" s="68">
        <f t="shared" si="84"/>
        <v>0</v>
      </c>
      <c r="AH133" s="68">
        <f t="shared" si="85"/>
        <v>0</v>
      </c>
      <c r="AI133" s="60"/>
      <c r="AJ133" s="50">
        <f t="shared" si="86"/>
        <v>0</v>
      </c>
      <c r="AK133" s="50">
        <f t="shared" si="87"/>
        <v>0</v>
      </c>
      <c r="AL133" s="50">
        <f t="shared" si="88"/>
        <v>0</v>
      </c>
      <c r="AN133" s="68">
        <v>15</v>
      </c>
      <c r="AO133" s="68">
        <f>H133*0.523036437246963</f>
        <v>0</v>
      </c>
      <c r="AP133" s="68">
        <f>H133*(1-0.523036437246963)</f>
        <v>0</v>
      </c>
      <c r="AQ133" s="69" t="s">
        <v>80</v>
      </c>
      <c r="AV133" s="68">
        <f t="shared" si="89"/>
        <v>0</v>
      </c>
      <c r="AW133" s="68">
        <f t="shared" si="90"/>
        <v>0</v>
      </c>
      <c r="AX133" s="68">
        <f t="shared" si="91"/>
        <v>0</v>
      </c>
      <c r="AY133" s="71" t="s">
        <v>634</v>
      </c>
      <c r="AZ133" s="71" t="s">
        <v>652</v>
      </c>
      <c r="BA133" s="60" t="s">
        <v>657</v>
      </c>
      <c r="BC133" s="68">
        <f t="shared" si="92"/>
        <v>0</v>
      </c>
      <c r="BD133" s="68">
        <f t="shared" si="93"/>
        <v>0</v>
      </c>
      <c r="BE133" s="68">
        <v>0</v>
      </c>
      <c r="BF133" s="68">
        <f t="shared" si="94"/>
        <v>0.00119</v>
      </c>
      <c r="BH133" s="50">
        <f t="shared" si="95"/>
        <v>0</v>
      </c>
      <c r="BI133" s="50">
        <f t="shared" si="96"/>
        <v>0</v>
      </c>
      <c r="BJ133" s="50">
        <f t="shared" si="97"/>
        <v>0</v>
      </c>
      <c r="BK133" s="50" t="s">
        <v>662</v>
      </c>
      <c r="BL133" s="68">
        <v>725</v>
      </c>
    </row>
    <row r="134" spans="1:64" ht="12.75">
      <c r="A134" s="119" t="s">
        <v>136</v>
      </c>
      <c r="B134" s="119"/>
      <c r="C134" s="119" t="s">
        <v>280</v>
      </c>
      <c r="D134" s="229" t="s">
        <v>471</v>
      </c>
      <c r="E134" s="221"/>
      <c r="F134" s="119" t="s">
        <v>595</v>
      </c>
      <c r="G134" s="120">
        <v>2</v>
      </c>
      <c r="H134" s="138"/>
      <c r="I134" s="120">
        <f t="shared" si="74"/>
        <v>0</v>
      </c>
      <c r="J134" s="120">
        <f t="shared" si="75"/>
        <v>0</v>
      </c>
      <c r="K134" s="120">
        <f t="shared" si="76"/>
        <v>0</v>
      </c>
      <c r="L134" s="120">
        <v>0.00164</v>
      </c>
      <c r="M134" s="120">
        <f t="shared" si="77"/>
        <v>0.00328</v>
      </c>
      <c r="N134" s="118" t="s">
        <v>616</v>
      </c>
      <c r="O134" s="80"/>
      <c r="Z134" s="68">
        <f t="shared" si="78"/>
        <v>0</v>
      </c>
      <c r="AB134" s="68">
        <f t="shared" si="79"/>
        <v>0</v>
      </c>
      <c r="AC134" s="68">
        <f t="shared" si="80"/>
        <v>0</v>
      </c>
      <c r="AD134" s="68">
        <f t="shared" si="81"/>
        <v>0</v>
      </c>
      <c r="AE134" s="68">
        <f t="shared" si="82"/>
        <v>0</v>
      </c>
      <c r="AF134" s="68">
        <f t="shared" si="83"/>
        <v>0</v>
      </c>
      <c r="AG134" s="68">
        <f t="shared" si="84"/>
        <v>0</v>
      </c>
      <c r="AH134" s="68">
        <f t="shared" si="85"/>
        <v>0</v>
      </c>
      <c r="AI134" s="60"/>
      <c r="AJ134" s="50">
        <f t="shared" si="86"/>
        <v>0</v>
      </c>
      <c r="AK134" s="50">
        <f t="shared" si="87"/>
        <v>0</v>
      </c>
      <c r="AL134" s="50">
        <f t="shared" si="88"/>
        <v>0</v>
      </c>
      <c r="AN134" s="68">
        <v>15</v>
      </c>
      <c r="AO134" s="68">
        <f>H134*0.886520884520885</f>
        <v>0</v>
      </c>
      <c r="AP134" s="68">
        <f>H134*(1-0.886520884520885)</f>
        <v>0</v>
      </c>
      <c r="AQ134" s="69" t="s">
        <v>80</v>
      </c>
      <c r="AV134" s="68">
        <f t="shared" si="89"/>
        <v>0</v>
      </c>
      <c r="AW134" s="68">
        <f t="shared" si="90"/>
        <v>0</v>
      </c>
      <c r="AX134" s="68">
        <f t="shared" si="91"/>
        <v>0</v>
      </c>
      <c r="AY134" s="71" t="s">
        <v>634</v>
      </c>
      <c r="AZ134" s="71" t="s">
        <v>652</v>
      </c>
      <c r="BA134" s="60" t="s">
        <v>657</v>
      </c>
      <c r="BC134" s="68">
        <f t="shared" si="92"/>
        <v>0</v>
      </c>
      <c r="BD134" s="68">
        <f t="shared" si="93"/>
        <v>0</v>
      </c>
      <c r="BE134" s="68">
        <v>0</v>
      </c>
      <c r="BF134" s="68">
        <f t="shared" si="94"/>
        <v>0.00328</v>
      </c>
      <c r="BH134" s="50">
        <f t="shared" si="95"/>
        <v>0</v>
      </c>
      <c r="BI134" s="50">
        <f t="shared" si="96"/>
        <v>0</v>
      </c>
      <c r="BJ134" s="50">
        <f t="shared" si="97"/>
        <v>0</v>
      </c>
      <c r="BK134" s="50" t="s">
        <v>662</v>
      </c>
      <c r="BL134" s="68">
        <v>725</v>
      </c>
    </row>
    <row r="135" spans="1:64" ht="12.75">
      <c r="A135" s="119" t="s">
        <v>137</v>
      </c>
      <c r="B135" s="119"/>
      <c r="C135" s="119" t="s">
        <v>281</v>
      </c>
      <c r="D135" s="229" t="s">
        <v>472</v>
      </c>
      <c r="E135" s="221"/>
      <c r="F135" s="119" t="s">
        <v>595</v>
      </c>
      <c r="G135" s="120">
        <v>1</v>
      </c>
      <c r="H135" s="138"/>
      <c r="I135" s="120">
        <f t="shared" si="74"/>
        <v>0</v>
      </c>
      <c r="J135" s="120">
        <f t="shared" si="75"/>
        <v>0</v>
      </c>
      <c r="K135" s="120">
        <f t="shared" si="76"/>
        <v>0</v>
      </c>
      <c r="L135" s="120">
        <v>0.00152</v>
      </c>
      <c r="M135" s="120">
        <f t="shared" si="77"/>
        <v>0.00152</v>
      </c>
      <c r="N135" s="118" t="s">
        <v>616</v>
      </c>
      <c r="O135" s="80"/>
      <c r="Z135" s="68">
        <f t="shared" si="78"/>
        <v>0</v>
      </c>
      <c r="AB135" s="68">
        <f t="shared" si="79"/>
        <v>0</v>
      </c>
      <c r="AC135" s="68">
        <f t="shared" si="80"/>
        <v>0</v>
      </c>
      <c r="AD135" s="68">
        <f t="shared" si="81"/>
        <v>0</v>
      </c>
      <c r="AE135" s="68">
        <f t="shared" si="82"/>
        <v>0</v>
      </c>
      <c r="AF135" s="68">
        <f t="shared" si="83"/>
        <v>0</v>
      </c>
      <c r="AG135" s="68">
        <f t="shared" si="84"/>
        <v>0</v>
      </c>
      <c r="AH135" s="68">
        <f t="shared" si="85"/>
        <v>0</v>
      </c>
      <c r="AI135" s="60"/>
      <c r="AJ135" s="50">
        <f t="shared" si="86"/>
        <v>0</v>
      </c>
      <c r="AK135" s="50">
        <f t="shared" si="87"/>
        <v>0</v>
      </c>
      <c r="AL135" s="50">
        <f t="shared" si="88"/>
        <v>0</v>
      </c>
      <c r="AN135" s="68">
        <v>15</v>
      </c>
      <c r="AO135" s="68">
        <f>H135*0.852484261501211</f>
        <v>0</v>
      </c>
      <c r="AP135" s="68">
        <f>H135*(1-0.852484261501211)</f>
        <v>0</v>
      </c>
      <c r="AQ135" s="69" t="s">
        <v>80</v>
      </c>
      <c r="AV135" s="68">
        <f t="shared" si="89"/>
        <v>0</v>
      </c>
      <c r="AW135" s="68">
        <f t="shared" si="90"/>
        <v>0</v>
      </c>
      <c r="AX135" s="68">
        <f t="shared" si="91"/>
        <v>0</v>
      </c>
      <c r="AY135" s="71" t="s">
        <v>634</v>
      </c>
      <c r="AZ135" s="71" t="s">
        <v>652</v>
      </c>
      <c r="BA135" s="60" t="s">
        <v>657</v>
      </c>
      <c r="BC135" s="68">
        <f t="shared" si="92"/>
        <v>0</v>
      </c>
      <c r="BD135" s="68">
        <f t="shared" si="93"/>
        <v>0</v>
      </c>
      <c r="BE135" s="68">
        <v>0</v>
      </c>
      <c r="BF135" s="68">
        <f t="shared" si="94"/>
        <v>0.00152</v>
      </c>
      <c r="BH135" s="50">
        <f t="shared" si="95"/>
        <v>0</v>
      </c>
      <c r="BI135" s="50">
        <f t="shared" si="96"/>
        <v>0</v>
      </c>
      <c r="BJ135" s="50">
        <f t="shared" si="97"/>
        <v>0</v>
      </c>
      <c r="BK135" s="50" t="s">
        <v>662</v>
      </c>
      <c r="BL135" s="68">
        <v>725</v>
      </c>
    </row>
    <row r="136" spans="1:64" ht="12.75">
      <c r="A136" s="119" t="s">
        <v>138</v>
      </c>
      <c r="B136" s="119"/>
      <c r="C136" s="119" t="s">
        <v>282</v>
      </c>
      <c r="D136" s="229" t="s">
        <v>473</v>
      </c>
      <c r="E136" s="221"/>
      <c r="F136" s="119" t="s">
        <v>598</v>
      </c>
      <c r="G136" s="120">
        <v>1</v>
      </c>
      <c r="H136" s="138"/>
      <c r="I136" s="120">
        <f t="shared" si="74"/>
        <v>0</v>
      </c>
      <c r="J136" s="120">
        <f t="shared" si="75"/>
        <v>0</v>
      </c>
      <c r="K136" s="120">
        <f t="shared" si="76"/>
        <v>0</v>
      </c>
      <c r="L136" s="120">
        <v>0.00024</v>
      </c>
      <c r="M136" s="120">
        <f t="shared" si="77"/>
        <v>0.00024</v>
      </c>
      <c r="N136" s="118" t="s">
        <v>616</v>
      </c>
      <c r="O136" s="80"/>
      <c r="Z136" s="68">
        <f t="shared" si="78"/>
        <v>0</v>
      </c>
      <c r="AB136" s="68">
        <f t="shared" si="79"/>
        <v>0</v>
      </c>
      <c r="AC136" s="68">
        <f t="shared" si="80"/>
        <v>0</v>
      </c>
      <c r="AD136" s="68">
        <f t="shared" si="81"/>
        <v>0</v>
      </c>
      <c r="AE136" s="68">
        <f t="shared" si="82"/>
        <v>0</v>
      </c>
      <c r="AF136" s="68">
        <f t="shared" si="83"/>
        <v>0</v>
      </c>
      <c r="AG136" s="68">
        <f t="shared" si="84"/>
        <v>0</v>
      </c>
      <c r="AH136" s="68">
        <f t="shared" si="85"/>
        <v>0</v>
      </c>
      <c r="AI136" s="60"/>
      <c r="AJ136" s="50">
        <f t="shared" si="86"/>
        <v>0</v>
      </c>
      <c r="AK136" s="50">
        <f t="shared" si="87"/>
        <v>0</v>
      </c>
      <c r="AL136" s="50">
        <f t="shared" si="88"/>
        <v>0</v>
      </c>
      <c r="AN136" s="68">
        <v>15</v>
      </c>
      <c r="AO136" s="68">
        <f>H136*0.894161184210526</f>
        <v>0</v>
      </c>
      <c r="AP136" s="68">
        <f>H136*(1-0.894161184210526)</f>
        <v>0</v>
      </c>
      <c r="AQ136" s="69" t="s">
        <v>80</v>
      </c>
      <c r="AV136" s="68">
        <f t="shared" si="89"/>
        <v>0</v>
      </c>
      <c r="AW136" s="68">
        <f t="shared" si="90"/>
        <v>0</v>
      </c>
      <c r="AX136" s="68">
        <f t="shared" si="91"/>
        <v>0</v>
      </c>
      <c r="AY136" s="71" t="s">
        <v>634</v>
      </c>
      <c r="AZ136" s="71" t="s">
        <v>652</v>
      </c>
      <c r="BA136" s="60" t="s">
        <v>657</v>
      </c>
      <c r="BC136" s="68">
        <f t="shared" si="92"/>
        <v>0</v>
      </c>
      <c r="BD136" s="68">
        <f t="shared" si="93"/>
        <v>0</v>
      </c>
      <c r="BE136" s="68">
        <v>0</v>
      </c>
      <c r="BF136" s="68">
        <f t="shared" si="94"/>
        <v>0.00024</v>
      </c>
      <c r="BH136" s="50">
        <f t="shared" si="95"/>
        <v>0</v>
      </c>
      <c r="BI136" s="50">
        <f t="shared" si="96"/>
        <v>0</v>
      </c>
      <c r="BJ136" s="50">
        <f t="shared" si="97"/>
        <v>0</v>
      </c>
      <c r="BK136" s="50" t="s">
        <v>662</v>
      </c>
      <c r="BL136" s="68">
        <v>725</v>
      </c>
    </row>
    <row r="137" spans="1:64" ht="12.75">
      <c r="A137" s="83" t="s">
        <v>139</v>
      </c>
      <c r="B137" s="83"/>
      <c r="C137" s="83" t="s">
        <v>283</v>
      </c>
      <c r="D137" s="220" t="s">
        <v>474</v>
      </c>
      <c r="E137" s="221"/>
      <c r="F137" s="83" t="s">
        <v>598</v>
      </c>
      <c r="G137" s="88">
        <v>1</v>
      </c>
      <c r="H137" s="136"/>
      <c r="I137" s="88">
        <f t="shared" si="74"/>
        <v>0</v>
      </c>
      <c r="J137" s="88">
        <f t="shared" si="75"/>
        <v>0</v>
      </c>
      <c r="K137" s="88">
        <f t="shared" si="76"/>
        <v>0</v>
      </c>
      <c r="L137" s="88">
        <v>0.00186</v>
      </c>
      <c r="M137" s="88">
        <f t="shared" si="77"/>
        <v>0.00186</v>
      </c>
      <c r="N137" s="78" t="s">
        <v>616</v>
      </c>
      <c r="O137" s="80"/>
      <c r="Z137" s="68">
        <f t="shared" si="78"/>
        <v>0</v>
      </c>
      <c r="AB137" s="68">
        <f t="shared" si="79"/>
        <v>0</v>
      </c>
      <c r="AC137" s="68">
        <f t="shared" si="80"/>
        <v>0</v>
      </c>
      <c r="AD137" s="68">
        <f t="shared" si="81"/>
        <v>0</v>
      </c>
      <c r="AE137" s="68">
        <f t="shared" si="82"/>
        <v>0</v>
      </c>
      <c r="AF137" s="68">
        <f t="shared" si="83"/>
        <v>0</v>
      </c>
      <c r="AG137" s="68">
        <f t="shared" si="84"/>
        <v>0</v>
      </c>
      <c r="AH137" s="68">
        <f t="shared" si="85"/>
        <v>0</v>
      </c>
      <c r="AI137" s="60"/>
      <c r="AJ137" s="50">
        <f t="shared" si="86"/>
        <v>0</v>
      </c>
      <c r="AK137" s="50">
        <f t="shared" si="87"/>
        <v>0</v>
      </c>
      <c r="AL137" s="50">
        <f t="shared" si="88"/>
        <v>0</v>
      </c>
      <c r="AN137" s="68">
        <v>15</v>
      </c>
      <c r="AO137" s="68">
        <f>H137*0.449284009546539</f>
        <v>0</v>
      </c>
      <c r="AP137" s="68">
        <f>H137*(1-0.449284009546539)</f>
        <v>0</v>
      </c>
      <c r="AQ137" s="69" t="s">
        <v>80</v>
      </c>
      <c r="AV137" s="68">
        <f t="shared" si="89"/>
        <v>0</v>
      </c>
      <c r="AW137" s="68">
        <f t="shared" si="90"/>
        <v>0</v>
      </c>
      <c r="AX137" s="68">
        <f t="shared" si="91"/>
        <v>0</v>
      </c>
      <c r="AY137" s="71" t="s">
        <v>634</v>
      </c>
      <c r="AZ137" s="71" t="s">
        <v>652</v>
      </c>
      <c r="BA137" s="60" t="s">
        <v>657</v>
      </c>
      <c r="BC137" s="68">
        <f t="shared" si="92"/>
        <v>0</v>
      </c>
      <c r="BD137" s="68">
        <f t="shared" si="93"/>
        <v>0</v>
      </c>
      <c r="BE137" s="68">
        <v>0</v>
      </c>
      <c r="BF137" s="68">
        <f t="shared" si="94"/>
        <v>0.00186</v>
      </c>
      <c r="BH137" s="50">
        <f t="shared" si="95"/>
        <v>0</v>
      </c>
      <c r="BI137" s="50">
        <f t="shared" si="96"/>
        <v>0</v>
      </c>
      <c r="BJ137" s="50">
        <f t="shared" si="97"/>
        <v>0</v>
      </c>
      <c r="BK137" s="50" t="s">
        <v>662</v>
      </c>
      <c r="BL137" s="68">
        <v>725</v>
      </c>
    </row>
    <row r="138" spans="1:64" ht="12.75">
      <c r="A138" s="119" t="s">
        <v>140</v>
      </c>
      <c r="B138" s="119"/>
      <c r="C138" s="119" t="s">
        <v>284</v>
      </c>
      <c r="D138" s="229" t="s">
        <v>475</v>
      </c>
      <c r="E138" s="221"/>
      <c r="F138" s="119" t="s">
        <v>598</v>
      </c>
      <c r="G138" s="120">
        <v>1</v>
      </c>
      <c r="H138" s="138"/>
      <c r="I138" s="120">
        <f t="shared" si="74"/>
        <v>0</v>
      </c>
      <c r="J138" s="120">
        <f t="shared" si="75"/>
        <v>0</v>
      </c>
      <c r="K138" s="120">
        <f t="shared" si="76"/>
        <v>0</v>
      </c>
      <c r="L138" s="120">
        <v>0.02822</v>
      </c>
      <c r="M138" s="120">
        <f t="shared" si="77"/>
        <v>0.02822</v>
      </c>
      <c r="N138" s="118" t="s">
        <v>616</v>
      </c>
      <c r="O138" s="80"/>
      <c r="Z138" s="68">
        <f t="shared" si="78"/>
        <v>0</v>
      </c>
      <c r="AB138" s="68">
        <f t="shared" si="79"/>
        <v>0</v>
      </c>
      <c r="AC138" s="68">
        <f t="shared" si="80"/>
        <v>0</v>
      </c>
      <c r="AD138" s="68">
        <f t="shared" si="81"/>
        <v>0</v>
      </c>
      <c r="AE138" s="68">
        <f t="shared" si="82"/>
        <v>0</v>
      </c>
      <c r="AF138" s="68">
        <f t="shared" si="83"/>
        <v>0</v>
      </c>
      <c r="AG138" s="68">
        <f t="shared" si="84"/>
        <v>0</v>
      </c>
      <c r="AH138" s="68">
        <f t="shared" si="85"/>
        <v>0</v>
      </c>
      <c r="AI138" s="60"/>
      <c r="AJ138" s="50">
        <f t="shared" si="86"/>
        <v>0</v>
      </c>
      <c r="AK138" s="50">
        <f t="shared" si="87"/>
        <v>0</v>
      </c>
      <c r="AL138" s="50">
        <f t="shared" si="88"/>
        <v>0</v>
      </c>
      <c r="AN138" s="68">
        <v>15</v>
      </c>
      <c r="AO138" s="68">
        <f>H138*0.903139255014327</f>
        <v>0</v>
      </c>
      <c r="AP138" s="68">
        <f>H138*(1-0.903139255014327)</f>
        <v>0</v>
      </c>
      <c r="AQ138" s="69" t="s">
        <v>80</v>
      </c>
      <c r="AV138" s="68">
        <f t="shared" si="89"/>
        <v>0</v>
      </c>
      <c r="AW138" s="68">
        <f t="shared" si="90"/>
        <v>0</v>
      </c>
      <c r="AX138" s="68">
        <f t="shared" si="91"/>
        <v>0</v>
      </c>
      <c r="AY138" s="71" t="s">
        <v>634</v>
      </c>
      <c r="AZ138" s="71" t="s">
        <v>652</v>
      </c>
      <c r="BA138" s="60" t="s">
        <v>657</v>
      </c>
      <c r="BC138" s="68">
        <f t="shared" si="92"/>
        <v>0</v>
      </c>
      <c r="BD138" s="68">
        <f t="shared" si="93"/>
        <v>0</v>
      </c>
      <c r="BE138" s="68">
        <v>0</v>
      </c>
      <c r="BF138" s="68">
        <f t="shared" si="94"/>
        <v>0.02822</v>
      </c>
      <c r="BH138" s="50">
        <f t="shared" si="95"/>
        <v>0</v>
      </c>
      <c r="BI138" s="50">
        <f t="shared" si="96"/>
        <v>0</v>
      </c>
      <c r="BJ138" s="50">
        <f t="shared" si="97"/>
        <v>0</v>
      </c>
      <c r="BK138" s="50" t="s">
        <v>662</v>
      </c>
      <c r="BL138" s="68">
        <v>725</v>
      </c>
    </row>
    <row r="139" spans="1:64" ht="12.75">
      <c r="A139" s="119" t="s">
        <v>141</v>
      </c>
      <c r="B139" s="119"/>
      <c r="C139" s="119" t="s">
        <v>285</v>
      </c>
      <c r="D139" s="229" t="s">
        <v>476</v>
      </c>
      <c r="E139" s="221"/>
      <c r="F139" s="119" t="s">
        <v>598</v>
      </c>
      <c r="G139" s="120">
        <v>1</v>
      </c>
      <c r="H139" s="138"/>
      <c r="I139" s="120">
        <f t="shared" si="74"/>
        <v>0</v>
      </c>
      <c r="J139" s="120">
        <f t="shared" si="75"/>
        <v>0</v>
      </c>
      <c r="K139" s="120">
        <f t="shared" si="76"/>
        <v>0</v>
      </c>
      <c r="L139" s="120">
        <v>0.0023</v>
      </c>
      <c r="M139" s="120">
        <f t="shared" si="77"/>
        <v>0.0023</v>
      </c>
      <c r="N139" s="118" t="s">
        <v>616</v>
      </c>
      <c r="O139" s="80"/>
      <c r="Z139" s="68">
        <f t="shared" si="78"/>
        <v>0</v>
      </c>
      <c r="AB139" s="68">
        <f t="shared" si="79"/>
        <v>0</v>
      </c>
      <c r="AC139" s="68">
        <f t="shared" si="80"/>
        <v>0</v>
      </c>
      <c r="AD139" s="68">
        <f t="shared" si="81"/>
        <v>0</v>
      </c>
      <c r="AE139" s="68">
        <f t="shared" si="82"/>
        <v>0</v>
      </c>
      <c r="AF139" s="68">
        <f t="shared" si="83"/>
        <v>0</v>
      </c>
      <c r="AG139" s="68">
        <f t="shared" si="84"/>
        <v>0</v>
      </c>
      <c r="AH139" s="68">
        <f t="shared" si="85"/>
        <v>0</v>
      </c>
      <c r="AI139" s="60"/>
      <c r="AJ139" s="50">
        <f t="shared" si="86"/>
        <v>0</v>
      </c>
      <c r="AK139" s="50">
        <f t="shared" si="87"/>
        <v>0</v>
      </c>
      <c r="AL139" s="50">
        <f t="shared" si="88"/>
        <v>0</v>
      </c>
      <c r="AN139" s="68">
        <v>15</v>
      </c>
      <c r="AO139" s="68">
        <f>H139*0.899027654748312</f>
        <v>0</v>
      </c>
      <c r="AP139" s="68">
        <f>H139*(1-0.899027654748312)</f>
        <v>0</v>
      </c>
      <c r="AQ139" s="69" t="s">
        <v>80</v>
      </c>
      <c r="AV139" s="68">
        <f t="shared" si="89"/>
        <v>0</v>
      </c>
      <c r="AW139" s="68">
        <f t="shared" si="90"/>
        <v>0</v>
      </c>
      <c r="AX139" s="68">
        <f t="shared" si="91"/>
        <v>0</v>
      </c>
      <c r="AY139" s="71" t="s">
        <v>634</v>
      </c>
      <c r="AZ139" s="71" t="s">
        <v>652</v>
      </c>
      <c r="BA139" s="60" t="s">
        <v>657</v>
      </c>
      <c r="BC139" s="68">
        <f t="shared" si="92"/>
        <v>0</v>
      </c>
      <c r="BD139" s="68">
        <f t="shared" si="93"/>
        <v>0</v>
      </c>
      <c r="BE139" s="68">
        <v>0</v>
      </c>
      <c r="BF139" s="68">
        <f t="shared" si="94"/>
        <v>0.0023</v>
      </c>
      <c r="BH139" s="50">
        <f t="shared" si="95"/>
        <v>0</v>
      </c>
      <c r="BI139" s="50">
        <f t="shared" si="96"/>
        <v>0</v>
      </c>
      <c r="BJ139" s="50">
        <f t="shared" si="97"/>
        <v>0</v>
      </c>
      <c r="BK139" s="50" t="s">
        <v>662</v>
      </c>
      <c r="BL139" s="68">
        <v>725</v>
      </c>
    </row>
    <row r="140" spans="1:64" ht="12.75">
      <c r="A140" s="119" t="s">
        <v>142</v>
      </c>
      <c r="B140" s="119"/>
      <c r="C140" s="119" t="s">
        <v>286</v>
      </c>
      <c r="D140" s="229" t="s">
        <v>477</v>
      </c>
      <c r="E140" s="221"/>
      <c r="F140" s="119" t="s">
        <v>598</v>
      </c>
      <c r="G140" s="120">
        <v>2</v>
      </c>
      <c r="H140" s="138"/>
      <c r="I140" s="120">
        <f t="shared" si="74"/>
        <v>0</v>
      </c>
      <c r="J140" s="120">
        <f t="shared" si="75"/>
        <v>0</v>
      </c>
      <c r="K140" s="120">
        <f t="shared" si="76"/>
        <v>0</v>
      </c>
      <c r="L140" s="120">
        <v>0.0011</v>
      </c>
      <c r="M140" s="120">
        <f t="shared" si="77"/>
        <v>0.0022</v>
      </c>
      <c r="N140" s="118" t="s">
        <v>616</v>
      </c>
      <c r="O140" s="80"/>
      <c r="Z140" s="68">
        <f t="shared" si="78"/>
        <v>0</v>
      </c>
      <c r="AB140" s="68">
        <f t="shared" si="79"/>
        <v>0</v>
      </c>
      <c r="AC140" s="68">
        <f t="shared" si="80"/>
        <v>0</v>
      </c>
      <c r="AD140" s="68">
        <f t="shared" si="81"/>
        <v>0</v>
      </c>
      <c r="AE140" s="68">
        <f t="shared" si="82"/>
        <v>0</v>
      </c>
      <c r="AF140" s="68">
        <f t="shared" si="83"/>
        <v>0</v>
      </c>
      <c r="AG140" s="68">
        <f t="shared" si="84"/>
        <v>0</v>
      </c>
      <c r="AH140" s="68">
        <f t="shared" si="85"/>
        <v>0</v>
      </c>
      <c r="AI140" s="60"/>
      <c r="AJ140" s="50">
        <f t="shared" si="86"/>
        <v>0</v>
      </c>
      <c r="AK140" s="50">
        <f t="shared" si="87"/>
        <v>0</v>
      </c>
      <c r="AL140" s="50">
        <f t="shared" si="88"/>
        <v>0</v>
      </c>
      <c r="AN140" s="68">
        <v>15</v>
      </c>
      <c r="AO140" s="68">
        <f>H140*0.778173575129534</f>
        <v>0</v>
      </c>
      <c r="AP140" s="68">
        <f>H140*(1-0.778173575129534)</f>
        <v>0</v>
      </c>
      <c r="AQ140" s="69" t="s">
        <v>80</v>
      </c>
      <c r="AV140" s="68">
        <f t="shared" si="89"/>
        <v>0</v>
      </c>
      <c r="AW140" s="68">
        <f t="shared" si="90"/>
        <v>0</v>
      </c>
      <c r="AX140" s="68">
        <f t="shared" si="91"/>
        <v>0</v>
      </c>
      <c r="AY140" s="71" t="s">
        <v>634</v>
      </c>
      <c r="AZ140" s="71" t="s">
        <v>652</v>
      </c>
      <c r="BA140" s="60" t="s">
        <v>657</v>
      </c>
      <c r="BC140" s="68">
        <f t="shared" si="92"/>
        <v>0</v>
      </c>
      <c r="BD140" s="68">
        <f t="shared" si="93"/>
        <v>0</v>
      </c>
      <c r="BE140" s="68">
        <v>0</v>
      </c>
      <c r="BF140" s="68">
        <f t="shared" si="94"/>
        <v>0.0022</v>
      </c>
      <c r="BH140" s="50">
        <f t="shared" si="95"/>
        <v>0</v>
      </c>
      <c r="BI140" s="50">
        <f t="shared" si="96"/>
        <v>0</v>
      </c>
      <c r="BJ140" s="50">
        <f t="shared" si="97"/>
        <v>0</v>
      </c>
      <c r="BK140" s="50" t="s">
        <v>662</v>
      </c>
      <c r="BL140" s="68">
        <v>725</v>
      </c>
    </row>
    <row r="141" spans="1:64" ht="12.75">
      <c r="A141" s="119" t="s">
        <v>143</v>
      </c>
      <c r="B141" s="119"/>
      <c r="C141" s="119" t="s">
        <v>287</v>
      </c>
      <c r="D141" s="229" t="s">
        <v>478</v>
      </c>
      <c r="E141" s="221"/>
      <c r="F141" s="119" t="s">
        <v>598</v>
      </c>
      <c r="G141" s="120">
        <v>1</v>
      </c>
      <c r="H141" s="138"/>
      <c r="I141" s="120">
        <f t="shared" si="74"/>
        <v>0</v>
      </c>
      <c r="J141" s="120">
        <f t="shared" si="75"/>
        <v>0</v>
      </c>
      <c r="K141" s="120">
        <f t="shared" si="76"/>
        <v>0</v>
      </c>
      <c r="L141" s="120">
        <v>0.0013</v>
      </c>
      <c r="M141" s="120">
        <f t="shared" si="77"/>
        <v>0.0013</v>
      </c>
      <c r="N141" s="118" t="s">
        <v>616</v>
      </c>
      <c r="O141" s="80"/>
      <c r="Z141" s="68">
        <f t="shared" si="78"/>
        <v>0</v>
      </c>
      <c r="AB141" s="68">
        <f t="shared" si="79"/>
        <v>0</v>
      </c>
      <c r="AC141" s="68">
        <f t="shared" si="80"/>
        <v>0</v>
      </c>
      <c r="AD141" s="68">
        <f t="shared" si="81"/>
        <v>0</v>
      </c>
      <c r="AE141" s="68">
        <f t="shared" si="82"/>
        <v>0</v>
      </c>
      <c r="AF141" s="68">
        <f t="shared" si="83"/>
        <v>0</v>
      </c>
      <c r="AG141" s="68">
        <f t="shared" si="84"/>
        <v>0</v>
      </c>
      <c r="AH141" s="68">
        <f t="shared" si="85"/>
        <v>0</v>
      </c>
      <c r="AI141" s="60"/>
      <c r="AJ141" s="50">
        <f t="shared" si="86"/>
        <v>0</v>
      </c>
      <c r="AK141" s="50">
        <f t="shared" si="87"/>
        <v>0</v>
      </c>
      <c r="AL141" s="50">
        <f t="shared" si="88"/>
        <v>0</v>
      </c>
      <c r="AN141" s="68">
        <v>15</v>
      </c>
      <c r="AO141" s="68">
        <f>H141*0.785401002506266</f>
        <v>0</v>
      </c>
      <c r="AP141" s="68">
        <f>H141*(1-0.785401002506266)</f>
        <v>0</v>
      </c>
      <c r="AQ141" s="69" t="s">
        <v>80</v>
      </c>
      <c r="AV141" s="68">
        <f t="shared" si="89"/>
        <v>0</v>
      </c>
      <c r="AW141" s="68">
        <f t="shared" si="90"/>
        <v>0</v>
      </c>
      <c r="AX141" s="68">
        <f t="shared" si="91"/>
        <v>0</v>
      </c>
      <c r="AY141" s="71" t="s">
        <v>634</v>
      </c>
      <c r="AZ141" s="71" t="s">
        <v>652</v>
      </c>
      <c r="BA141" s="60" t="s">
        <v>657</v>
      </c>
      <c r="BC141" s="68">
        <f t="shared" si="92"/>
        <v>0</v>
      </c>
      <c r="BD141" s="68">
        <f t="shared" si="93"/>
        <v>0</v>
      </c>
      <c r="BE141" s="68">
        <v>0</v>
      </c>
      <c r="BF141" s="68">
        <f t="shared" si="94"/>
        <v>0.0013</v>
      </c>
      <c r="BH141" s="50">
        <f t="shared" si="95"/>
        <v>0</v>
      </c>
      <c r="BI141" s="50">
        <f t="shared" si="96"/>
        <v>0</v>
      </c>
      <c r="BJ141" s="50">
        <f t="shared" si="97"/>
        <v>0</v>
      </c>
      <c r="BK141" s="50" t="s">
        <v>662</v>
      </c>
      <c r="BL141" s="68">
        <v>725</v>
      </c>
    </row>
    <row r="142" spans="1:64" ht="12.75">
      <c r="A142" s="119" t="s">
        <v>144</v>
      </c>
      <c r="B142" s="119"/>
      <c r="C142" s="119" t="s">
        <v>288</v>
      </c>
      <c r="D142" s="229" t="s">
        <v>479</v>
      </c>
      <c r="E142" s="225"/>
      <c r="F142" s="119" t="s">
        <v>595</v>
      </c>
      <c r="G142" s="120">
        <v>1</v>
      </c>
      <c r="H142" s="138"/>
      <c r="I142" s="120">
        <f t="shared" si="74"/>
        <v>0</v>
      </c>
      <c r="J142" s="120">
        <f t="shared" si="75"/>
        <v>0</v>
      </c>
      <c r="K142" s="120">
        <f t="shared" si="76"/>
        <v>0</v>
      </c>
      <c r="L142" s="120">
        <v>0.008</v>
      </c>
      <c r="M142" s="120">
        <f t="shared" si="77"/>
        <v>0.008</v>
      </c>
      <c r="N142" s="118" t="s">
        <v>616</v>
      </c>
      <c r="O142" s="80"/>
      <c r="Z142" s="68">
        <f t="shared" si="78"/>
        <v>0</v>
      </c>
      <c r="AB142" s="68">
        <f t="shared" si="79"/>
        <v>0</v>
      </c>
      <c r="AC142" s="68">
        <f t="shared" si="80"/>
        <v>0</v>
      </c>
      <c r="AD142" s="68">
        <f t="shared" si="81"/>
        <v>0</v>
      </c>
      <c r="AE142" s="68">
        <f t="shared" si="82"/>
        <v>0</v>
      </c>
      <c r="AF142" s="68">
        <f t="shared" si="83"/>
        <v>0</v>
      </c>
      <c r="AG142" s="68">
        <f t="shared" si="84"/>
        <v>0</v>
      </c>
      <c r="AH142" s="68">
        <f t="shared" si="85"/>
        <v>0</v>
      </c>
      <c r="AI142" s="60"/>
      <c r="AJ142" s="52">
        <f t="shared" si="86"/>
        <v>0</v>
      </c>
      <c r="AK142" s="52">
        <f t="shared" si="87"/>
        <v>0</v>
      </c>
      <c r="AL142" s="52">
        <f t="shared" si="88"/>
        <v>0</v>
      </c>
      <c r="AN142" s="68">
        <v>15</v>
      </c>
      <c r="AO142" s="68">
        <f>H142*1</f>
        <v>0</v>
      </c>
      <c r="AP142" s="68">
        <f>H142*(1-1)</f>
        <v>0</v>
      </c>
      <c r="AQ142" s="70" t="s">
        <v>80</v>
      </c>
      <c r="AV142" s="68">
        <f t="shared" si="89"/>
        <v>0</v>
      </c>
      <c r="AW142" s="68">
        <f t="shared" si="90"/>
        <v>0</v>
      </c>
      <c r="AX142" s="68">
        <f t="shared" si="91"/>
        <v>0</v>
      </c>
      <c r="AY142" s="71" t="s">
        <v>634</v>
      </c>
      <c r="AZ142" s="71" t="s">
        <v>652</v>
      </c>
      <c r="BA142" s="60" t="s">
        <v>657</v>
      </c>
      <c r="BC142" s="68">
        <f t="shared" si="92"/>
        <v>0</v>
      </c>
      <c r="BD142" s="68">
        <f t="shared" si="93"/>
        <v>0</v>
      </c>
      <c r="BE142" s="68">
        <v>0</v>
      </c>
      <c r="BF142" s="68">
        <f t="shared" si="94"/>
        <v>0.008</v>
      </c>
      <c r="BH142" s="52">
        <f t="shared" si="95"/>
        <v>0</v>
      </c>
      <c r="BI142" s="52">
        <f t="shared" si="96"/>
        <v>0</v>
      </c>
      <c r="BJ142" s="52">
        <f t="shared" si="97"/>
        <v>0</v>
      </c>
      <c r="BK142" s="52" t="s">
        <v>663</v>
      </c>
      <c r="BL142" s="68">
        <v>725</v>
      </c>
    </row>
    <row r="143" spans="1:64" ht="12.75">
      <c r="A143" s="119" t="s">
        <v>145</v>
      </c>
      <c r="B143" s="119"/>
      <c r="C143" s="119" t="s">
        <v>232</v>
      </c>
      <c r="D143" s="229" t="s">
        <v>480</v>
      </c>
      <c r="E143" s="225"/>
      <c r="F143" s="119" t="s">
        <v>595</v>
      </c>
      <c r="G143" s="120">
        <v>1</v>
      </c>
      <c r="H143" s="138"/>
      <c r="I143" s="120">
        <f t="shared" si="74"/>
        <v>0</v>
      </c>
      <c r="J143" s="120">
        <f t="shared" si="75"/>
        <v>0</v>
      </c>
      <c r="K143" s="120">
        <f t="shared" si="76"/>
        <v>0</v>
      </c>
      <c r="L143" s="120">
        <v>0.002</v>
      </c>
      <c r="M143" s="120">
        <f t="shared" si="77"/>
        <v>0.002</v>
      </c>
      <c r="N143" s="118" t="s">
        <v>232</v>
      </c>
      <c r="O143" s="80"/>
      <c r="Z143" s="68">
        <f t="shared" si="78"/>
        <v>0</v>
      </c>
      <c r="AB143" s="68">
        <f t="shared" si="79"/>
        <v>0</v>
      </c>
      <c r="AC143" s="68">
        <f t="shared" si="80"/>
        <v>0</v>
      </c>
      <c r="AD143" s="68">
        <f t="shared" si="81"/>
        <v>0</v>
      </c>
      <c r="AE143" s="68">
        <f t="shared" si="82"/>
        <v>0</v>
      </c>
      <c r="AF143" s="68">
        <f t="shared" si="83"/>
        <v>0</v>
      </c>
      <c r="AG143" s="68">
        <f t="shared" si="84"/>
        <v>0</v>
      </c>
      <c r="AH143" s="68">
        <f t="shared" si="85"/>
        <v>0</v>
      </c>
      <c r="AI143" s="60"/>
      <c r="AJ143" s="52">
        <f t="shared" si="86"/>
        <v>0</v>
      </c>
      <c r="AK143" s="52">
        <f t="shared" si="87"/>
        <v>0</v>
      </c>
      <c r="AL143" s="52">
        <f t="shared" si="88"/>
        <v>0</v>
      </c>
      <c r="AN143" s="68">
        <v>15</v>
      </c>
      <c r="AO143" s="68">
        <f>H143*1</f>
        <v>0</v>
      </c>
      <c r="AP143" s="68">
        <f>H143*(1-1)</f>
        <v>0</v>
      </c>
      <c r="AQ143" s="70" t="s">
        <v>80</v>
      </c>
      <c r="AV143" s="68">
        <f t="shared" si="89"/>
        <v>0</v>
      </c>
      <c r="AW143" s="68">
        <f t="shared" si="90"/>
        <v>0</v>
      </c>
      <c r="AX143" s="68">
        <f t="shared" si="91"/>
        <v>0</v>
      </c>
      <c r="AY143" s="71" t="s">
        <v>634</v>
      </c>
      <c r="AZ143" s="71" t="s">
        <v>652</v>
      </c>
      <c r="BA143" s="60" t="s">
        <v>657</v>
      </c>
      <c r="BC143" s="68">
        <f t="shared" si="92"/>
        <v>0</v>
      </c>
      <c r="BD143" s="68">
        <f t="shared" si="93"/>
        <v>0</v>
      </c>
      <c r="BE143" s="68">
        <v>0</v>
      </c>
      <c r="BF143" s="68">
        <f t="shared" si="94"/>
        <v>0.002</v>
      </c>
      <c r="BH143" s="52">
        <f t="shared" si="95"/>
        <v>0</v>
      </c>
      <c r="BI143" s="52">
        <f t="shared" si="96"/>
        <v>0</v>
      </c>
      <c r="BJ143" s="52">
        <f t="shared" si="97"/>
        <v>0</v>
      </c>
      <c r="BK143" s="52" t="s">
        <v>663</v>
      </c>
      <c r="BL143" s="68">
        <v>725</v>
      </c>
    </row>
    <row r="144" spans="1:64" ht="12.75">
      <c r="A144" s="119" t="s">
        <v>146</v>
      </c>
      <c r="B144" s="119"/>
      <c r="C144" s="119" t="s">
        <v>232</v>
      </c>
      <c r="D144" s="229" t="s">
        <v>481</v>
      </c>
      <c r="E144" s="225"/>
      <c r="F144" s="119" t="s">
        <v>595</v>
      </c>
      <c r="G144" s="120">
        <v>1</v>
      </c>
      <c r="H144" s="138"/>
      <c r="I144" s="120">
        <f t="shared" si="74"/>
        <v>0</v>
      </c>
      <c r="J144" s="120">
        <f t="shared" si="75"/>
        <v>0</v>
      </c>
      <c r="K144" s="120">
        <f t="shared" si="76"/>
        <v>0</v>
      </c>
      <c r="L144" s="120">
        <v>0.002</v>
      </c>
      <c r="M144" s="120">
        <f t="shared" si="77"/>
        <v>0.002</v>
      </c>
      <c r="N144" s="118" t="s">
        <v>232</v>
      </c>
      <c r="O144" s="80"/>
      <c r="Z144" s="68">
        <f t="shared" si="78"/>
        <v>0</v>
      </c>
      <c r="AB144" s="68">
        <f t="shared" si="79"/>
        <v>0</v>
      </c>
      <c r="AC144" s="68">
        <f t="shared" si="80"/>
        <v>0</v>
      </c>
      <c r="AD144" s="68">
        <f t="shared" si="81"/>
        <v>0</v>
      </c>
      <c r="AE144" s="68">
        <f t="shared" si="82"/>
        <v>0</v>
      </c>
      <c r="AF144" s="68">
        <f t="shared" si="83"/>
        <v>0</v>
      </c>
      <c r="AG144" s="68">
        <f t="shared" si="84"/>
        <v>0</v>
      </c>
      <c r="AH144" s="68">
        <f t="shared" si="85"/>
        <v>0</v>
      </c>
      <c r="AI144" s="60"/>
      <c r="AJ144" s="52">
        <f t="shared" si="86"/>
        <v>0</v>
      </c>
      <c r="AK144" s="52">
        <f t="shared" si="87"/>
        <v>0</v>
      </c>
      <c r="AL144" s="52">
        <f t="shared" si="88"/>
        <v>0</v>
      </c>
      <c r="AN144" s="68">
        <v>15</v>
      </c>
      <c r="AO144" s="68">
        <f>H144*1</f>
        <v>0</v>
      </c>
      <c r="AP144" s="68">
        <f>H144*(1-1)</f>
        <v>0</v>
      </c>
      <c r="AQ144" s="70" t="s">
        <v>80</v>
      </c>
      <c r="AV144" s="68">
        <f t="shared" si="89"/>
        <v>0</v>
      </c>
      <c r="AW144" s="68">
        <f t="shared" si="90"/>
        <v>0</v>
      </c>
      <c r="AX144" s="68">
        <f t="shared" si="91"/>
        <v>0</v>
      </c>
      <c r="AY144" s="71" t="s">
        <v>634</v>
      </c>
      <c r="AZ144" s="71" t="s">
        <v>652</v>
      </c>
      <c r="BA144" s="60" t="s">
        <v>657</v>
      </c>
      <c r="BC144" s="68">
        <f t="shared" si="92"/>
        <v>0</v>
      </c>
      <c r="BD144" s="68">
        <f t="shared" si="93"/>
        <v>0</v>
      </c>
      <c r="BE144" s="68">
        <v>0</v>
      </c>
      <c r="BF144" s="68">
        <f t="shared" si="94"/>
        <v>0.002</v>
      </c>
      <c r="BH144" s="52">
        <f t="shared" si="95"/>
        <v>0</v>
      </c>
      <c r="BI144" s="52">
        <f t="shared" si="96"/>
        <v>0</v>
      </c>
      <c r="BJ144" s="52">
        <f t="shared" si="97"/>
        <v>0</v>
      </c>
      <c r="BK144" s="52" t="s">
        <v>663</v>
      </c>
      <c r="BL144" s="68">
        <v>725</v>
      </c>
    </row>
    <row r="145" spans="1:64" ht="12.75">
      <c r="A145" s="83" t="s">
        <v>147</v>
      </c>
      <c r="B145" s="83"/>
      <c r="C145" s="83" t="s">
        <v>289</v>
      </c>
      <c r="D145" s="220" t="s">
        <v>482</v>
      </c>
      <c r="E145" s="221"/>
      <c r="F145" s="83" t="s">
        <v>596</v>
      </c>
      <c r="G145" s="88">
        <v>0.3</v>
      </c>
      <c r="H145" s="136"/>
      <c r="I145" s="88">
        <f t="shared" si="74"/>
        <v>0</v>
      </c>
      <c r="J145" s="88">
        <f t="shared" si="75"/>
        <v>0</v>
      </c>
      <c r="K145" s="88">
        <f t="shared" si="76"/>
        <v>0</v>
      </c>
      <c r="L145" s="88">
        <v>0</v>
      </c>
      <c r="M145" s="88">
        <f t="shared" si="77"/>
        <v>0</v>
      </c>
      <c r="N145" s="78" t="s">
        <v>616</v>
      </c>
      <c r="O145" s="80"/>
      <c r="Z145" s="68">
        <f t="shared" si="78"/>
        <v>0</v>
      </c>
      <c r="AB145" s="68">
        <f t="shared" si="79"/>
        <v>0</v>
      </c>
      <c r="AC145" s="68">
        <f t="shared" si="80"/>
        <v>0</v>
      </c>
      <c r="AD145" s="68">
        <f t="shared" si="81"/>
        <v>0</v>
      </c>
      <c r="AE145" s="68">
        <f t="shared" si="82"/>
        <v>0</v>
      </c>
      <c r="AF145" s="68">
        <f t="shared" si="83"/>
        <v>0</v>
      </c>
      <c r="AG145" s="68">
        <f t="shared" si="84"/>
        <v>0</v>
      </c>
      <c r="AH145" s="68">
        <f t="shared" si="85"/>
        <v>0</v>
      </c>
      <c r="AI145" s="60"/>
      <c r="AJ145" s="50">
        <f t="shared" si="86"/>
        <v>0</v>
      </c>
      <c r="AK145" s="50">
        <f t="shared" si="87"/>
        <v>0</v>
      </c>
      <c r="AL145" s="50">
        <f t="shared" si="88"/>
        <v>0</v>
      </c>
      <c r="AN145" s="68">
        <v>15</v>
      </c>
      <c r="AO145" s="68">
        <f>H145*0</f>
        <v>0</v>
      </c>
      <c r="AP145" s="68">
        <f>H145*(1-0)</f>
        <v>0</v>
      </c>
      <c r="AQ145" s="69" t="s">
        <v>80</v>
      </c>
      <c r="AV145" s="68">
        <f t="shared" si="89"/>
        <v>0</v>
      </c>
      <c r="AW145" s="68">
        <f t="shared" si="90"/>
        <v>0</v>
      </c>
      <c r="AX145" s="68">
        <f t="shared" si="91"/>
        <v>0</v>
      </c>
      <c r="AY145" s="71" t="s">
        <v>634</v>
      </c>
      <c r="AZ145" s="71" t="s">
        <v>652</v>
      </c>
      <c r="BA145" s="60" t="s">
        <v>657</v>
      </c>
      <c r="BC145" s="68">
        <f t="shared" si="92"/>
        <v>0</v>
      </c>
      <c r="BD145" s="68">
        <f t="shared" si="93"/>
        <v>0</v>
      </c>
      <c r="BE145" s="68">
        <v>0</v>
      </c>
      <c r="BF145" s="68">
        <f t="shared" si="94"/>
        <v>0</v>
      </c>
      <c r="BH145" s="50">
        <f t="shared" si="95"/>
        <v>0</v>
      </c>
      <c r="BI145" s="50">
        <f t="shared" si="96"/>
        <v>0</v>
      </c>
      <c r="BJ145" s="50">
        <f t="shared" si="97"/>
        <v>0</v>
      </c>
      <c r="BK145" s="50" t="s">
        <v>662</v>
      </c>
      <c r="BL145" s="68">
        <v>725</v>
      </c>
    </row>
    <row r="146" spans="1:47" ht="12.75">
      <c r="A146" s="96"/>
      <c r="B146" s="97"/>
      <c r="C146" s="97" t="s">
        <v>290</v>
      </c>
      <c r="D146" s="222" t="s">
        <v>483</v>
      </c>
      <c r="E146" s="223"/>
      <c r="F146" s="96" t="s">
        <v>73</v>
      </c>
      <c r="G146" s="96" t="s">
        <v>73</v>
      </c>
      <c r="H146" s="96" t="s">
        <v>73</v>
      </c>
      <c r="I146" s="98">
        <f>SUM(I147:I150)</f>
        <v>0</v>
      </c>
      <c r="J146" s="98">
        <f>SUM(J147:J150)</f>
        <v>0</v>
      </c>
      <c r="K146" s="98">
        <f>SUM(K147:K150)</f>
        <v>0</v>
      </c>
      <c r="L146" s="99"/>
      <c r="M146" s="98">
        <f>SUM(M147:M150)</f>
        <v>0.0001</v>
      </c>
      <c r="N146" s="95"/>
      <c r="O146" s="80"/>
      <c r="AI146" s="60"/>
      <c r="AS146" s="74">
        <f>SUM(AJ147:AJ150)</f>
        <v>0</v>
      </c>
      <c r="AT146" s="74">
        <f>SUM(AK147:AK150)</f>
        <v>0</v>
      </c>
      <c r="AU146" s="74">
        <f>SUM(AL147:AL150)</f>
        <v>0</v>
      </c>
    </row>
    <row r="147" spans="1:64" ht="12.75">
      <c r="A147" s="83" t="s">
        <v>148</v>
      </c>
      <c r="B147" s="83"/>
      <c r="C147" s="83" t="s">
        <v>291</v>
      </c>
      <c r="D147" s="220" t="s">
        <v>484</v>
      </c>
      <c r="E147" s="221"/>
      <c r="F147" s="83" t="s">
        <v>595</v>
      </c>
      <c r="G147" s="88">
        <v>2</v>
      </c>
      <c r="H147" s="136"/>
      <c r="I147" s="88">
        <f>G147*AO147</f>
        <v>0</v>
      </c>
      <c r="J147" s="88">
        <f>G147*AP147</f>
        <v>0</v>
      </c>
      <c r="K147" s="88">
        <f>G147*H147</f>
        <v>0</v>
      </c>
      <c r="L147" s="88">
        <v>0</v>
      </c>
      <c r="M147" s="88">
        <f>G147*L147</f>
        <v>0</v>
      </c>
      <c r="N147" s="78" t="s">
        <v>616</v>
      </c>
      <c r="O147" s="80"/>
      <c r="Z147" s="68">
        <f>IF(AQ147="5",BJ147,0)</f>
        <v>0</v>
      </c>
      <c r="AB147" s="68">
        <f>IF(AQ147="1",BH147,0)</f>
        <v>0</v>
      </c>
      <c r="AC147" s="68">
        <f>IF(AQ147="1",BI147,0)</f>
        <v>0</v>
      </c>
      <c r="AD147" s="68">
        <f>IF(AQ147="7",BH147,0)</f>
        <v>0</v>
      </c>
      <c r="AE147" s="68">
        <f>IF(AQ147="7",BI147,0)</f>
        <v>0</v>
      </c>
      <c r="AF147" s="68">
        <f>IF(AQ147="2",BH147,0)</f>
        <v>0</v>
      </c>
      <c r="AG147" s="68">
        <f>IF(AQ147="2",BI147,0)</f>
        <v>0</v>
      </c>
      <c r="AH147" s="68">
        <f>IF(AQ147="0",BJ147,0)</f>
        <v>0</v>
      </c>
      <c r="AI147" s="60"/>
      <c r="AJ147" s="50">
        <f>IF(AN147=0,K147,0)</f>
        <v>0</v>
      </c>
      <c r="AK147" s="50">
        <f>IF(AN147=15,K147,0)</f>
        <v>0</v>
      </c>
      <c r="AL147" s="50">
        <f>IF(AN147=21,K147,0)</f>
        <v>0</v>
      </c>
      <c r="AN147" s="68">
        <v>15</v>
      </c>
      <c r="AO147" s="68">
        <f>H147*0</f>
        <v>0</v>
      </c>
      <c r="AP147" s="68">
        <f>H147*(1-0)</f>
        <v>0</v>
      </c>
      <c r="AQ147" s="69" t="s">
        <v>80</v>
      </c>
      <c r="AV147" s="68">
        <f>AW147+AX147</f>
        <v>0</v>
      </c>
      <c r="AW147" s="68">
        <f>G147*AO147</f>
        <v>0</v>
      </c>
      <c r="AX147" s="68">
        <f>G147*AP147</f>
        <v>0</v>
      </c>
      <c r="AY147" s="71" t="s">
        <v>635</v>
      </c>
      <c r="AZ147" s="71" t="s">
        <v>652</v>
      </c>
      <c r="BA147" s="60" t="s">
        <v>657</v>
      </c>
      <c r="BC147" s="68">
        <f>AW147+AX147</f>
        <v>0</v>
      </c>
      <c r="BD147" s="68">
        <f>H147/(100-BE147)*100</f>
        <v>0</v>
      </c>
      <c r="BE147" s="68">
        <v>0</v>
      </c>
      <c r="BF147" s="68">
        <f>M147</f>
        <v>0</v>
      </c>
      <c r="BH147" s="50">
        <f>G147*AO147</f>
        <v>0</v>
      </c>
      <c r="BI147" s="50">
        <f>G147*AP147</f>
        <v>0</v>
      </c>
      <c r="BJ147" s="50">
        <f>G147*H147</f>
        <v>0</v>
      </c>
      <c r="BK147" s="50" t="s">
        <v>662</v>
      </c>
      <c r="BL147" s="68">
        <v>728</v>
      </c>
    </row>
    <row r="148" spans="1:64" ht="12.75">
      <c r="A148" s="101" t="s">
        <v>149</v>
      </c>
      <c r="B148" s="101"/>
      <c r="C148" s="101" t="s">
        <v>292</v>
      </c>
      <c r="D148" s="224" t="s">
        <v>485</v>
      </c>
      <c r="E148" s="225"/>
      <c r="F148" s="101" t="s">
        <v>595</v>
      </c>
      <c r="G148" s="102">
        <v>2</v>
      </c>
      <c r="H148" s="137"/>
      <c r="I148" s="102">
        <f>G148*AO148</f>
        <v>0</v>
      </c>
      <c r="J148" s="102">
        <f>G148*AP148</f>
        <v>0</v>
      </c>
      <c r="K148" s="102">
        <f>G148*H148</f>
        <v>0</v>
      </c>
      <c r="L148" s="102">
        <v>5E-05</v>
      </c>
      <c r="M148" s="102">
        <f>G148*L148</f>
        <v>0.0001</v>
      </c>
      <c r="N148" s="100" t="s">
        <v>616</v>
      </c>
      <c r="O148" s="80"/>
      <c r="Z148" s="68">
        <f>IF(AQ148="5",BJ148,0)</f>
        <v>0</v>
      </c>
      <c r="AB148" s="68">
        <f>IF(AQ148="1",BH148,0)</f>
        <v>0</v>
      </c>
      <c r="AC148" s="68">
        <f>IF(AQ148="1",BI148,0)</f>
        <v>0</v>
      </c>
      <c r="AD148" s="68">
        <f>IF(AQ148="7",BH148,0)</f>
        <v>0</v>
      </c>
      <c r="AE148" s="68">
        <f>IF(AQ148="7",BI148,0)</f>
        <v>0</v>
      </c>
      <c r="AF148" s="68">
        <f>IF(AQ148="2",BH148,0)</f>
        <v>0</v>
      </c>
      <c r="AG148" s="68">
        <f>IF(AQ148="2",BI148,0)</f>
        <v>0</v>
      </c>
      <c r="AH148" s="68">
        <f>IF(AQ148="0",BJ148,0)</f>
        <v>0</v>
      </c>
      <c r="AI148" s="60"/>
      <c r="AJ148" s="52">
        <f>IF(AN148=0,K148,0)</f>
        <v>0</v>
      </c>
      <c r="AK148" s="52">
        <f>IF(AN148=15,K148,0)</f>
        <v>0</v>
      </c>
      <c r="AL148" s="52">
        <f>IF(AN148=21,K148,0)</f>
        <v>0</v>
      </c>
      <c r="AN148" s="68">
        <v>15</v>
      </c>
      <c r="AO148" s="68">
        <f>H148*1</f>
        <v>0</v>
      </c>
      <c r="AP148" s="68">
        <f>H148*(1-1)</f>
        <v>0</v>
      </c>
      <c r="AQ148" s="70" t="s">
        <v>80</v>
      </c>
      <c r="AV148" s="68">
        <f>AW148+AX148</f>
        <v>0</v>
      </c>
      <c r="AW148" s="68">
        <f>G148*AO148</f>
        <v>0</v>
      </c>
      <c r="AX148" s="68">
        <f>G148*AP148</f>
        <v>0</v>
      </c>
      <c r="AY148" s="71" t="s">
        <v>635</v>
      </c>
      <c r="AZ148" s="71" t="s">
        <v>652</v>
      </c>
      <c r="BA148" s="60" t="s">
        <v>657</v>
      </c>
      <c r="BC148" s="68">
        <f>AW148+AX148</f>
        <v>0</v>
      </c>
      <c r="BD148" s="68">
        <f>H148/(100-BE148)*100</f>
        <v>0</v>
      </c>
      <c r="BE148" s="68">
        <v>0</v>
      </c>
      <c r="BF148" s="68">
        <f>M148</f>
        <v>0.0001</v>
      </c>
      <c r="BH148" s="52">
        <f>G148*AO148</f>
        <v>0</v>
      </c>
      <c r="BI148" s="52">
        <f>G148*AP148</f>
        <v>0</v>
      </c>
      <c r="BJ148" s="52">
        <f>G148*H148</f>
        <v>0</v>
      </c>
      <c r="BK148" s="52" t="s">
        <v>663</v>
      </c>
      <c r="BL148" s="68">
        <v>728</v>
      </c>
    </row>
    <row r="149" spans="1:64" ht="12.75">
      <c r="A149" s="83" t="s">
        <v>150</v>
      </c>
      <c r="B149" s="83"/>
      <c r="C149" s="83" t="s">
        <v>232</v>
      </c>
      <c r="D149" s="220" t="s">
        <v>486</v>
      </c>
      <c r="E149" s="221"/>
      <c r="F149" s="83" t="s">
        <v>595</v>
      </c>
      <c r="G149" s="88">
        <v>1</v>
      </c>
      <c r="H149" s="136"/>
      <c r="I149" s="88">
        <f>G149*AO149</f>
        <v>0</v>
      </c>
      <c r="J149" s="88">
        <f>G149*AP149</f>
        <v>0</v>
      </c>
      <c r="K149" s="88">
        <f>G149*H149</f>
        <v>0</v>
      </c>
      <c r="L149" s="88">
        <v>0</v>
      </c>
      <c r="M149" s="88">
        <f>G149*L149</f>
        <v>0</v>
      </c>
      <c r="N149" s="78" t="s">
        <v>232</v>
      </c>
      <c r="O149" s="80"/>
      <c r="Z149" s="68">
        <f>IF(AQ149="5",BJ149,0)</f>
        <v>0</v>
      </c>
      <c r="AB149" s="68">
        <f>IF(AQ149="1",BH149,0)</f>
        <v>0</v>
      </c>
      <c r="AC149" s="68">
        <f>IF(AQ149="1",BI149,0)</f>
        <v>0</v>
      </c>
      <c r="AD149" s="68">
        <f>IF(AQ149="7",BH149,0)</f>
        <v>0</v>
      </c>
      <c r="AE149" s="68">
        <f>IF(AQ149="7",BI149,0)</f>
        <v>0</v>
      </c>
      <c r="AF149" s="68">
        <f>IF(AQ149="2",BH149,0)</f>
        <v>0</v>
      </c>
      <c r="AG149" s="68">
        <f>IF(AQ149="2",BI149,0)</f>
        <v>0</v>
      </c>
      <c r="AH149" s="68">
        <f>IF(AQ149="0",BJ149,0)</f>
        <v>0</v>
      </c>
      <c r="AI149" s="60"/>
      <c r="AJ149" s="50">
        <f>IF(AN149=0,K149,0)</f>
        <v>0</v>
      </c>
      <c r="AK149" s="50">
        <f>IF(AN149=15,K149,0)</f>
        <v>0</v>
      </c>
      <c r="AL149" s="50">
        <f>IF(AN149=21,K149,0)</f>
        <v>0</v>
      </c>
      <c r="AN149" s="68">
        <v>15</v>
      </c>
      <c r="AO149" s="68">
        <f>H149*0</f>
        <v>0</v>
      </c>
      <c r="AP149" s="68">
        <f>H149*(1-0)</f>
        <v>0</v>
      </c>
      <c r="AQ149" s="69" t="s">
        <v>78</v>
      </c>
      <c r="AV149" s="68">
        <f>AW149+AX149</f>
        <v>0</v>
      </c>
      <c r="AW149" s="68">
        <f>G149*AO149</f>
        <v>0</v>
      </c>
      <c r="AX149" s="68">
        <f>G149*AP149</f>
        <v>0</v>
      </c>
      <c r="AY149" s="71" t="s">
        <v>635</v>
      </c>
      <c r="AZ149" s="71" t="s">
        <v>652</v>
      </c>
      <c r="BA149" s="60" t="s">
        <v>657</v>
      </c>
      <c r="BC149" s="68">
        <f>AW149+AX149</f>
        <v>0</v>
      </c>
      <c r="BD149" s="68">
        <f>H149/(100-BE149)*100</f>
        <v>0</v>
      </c>
      <c r="BE149" s="68">
        <v>0</v>
      </c>
      <c r="BF149" s="68">
        <f>M149</f>
        <v>0</v>
      </c>
      <c r="BH149" s="50">
        <f>G149*AO149</f>
        <v>0</v>
      </c>
      <c r="BI149" s="50">
        <f>G149*AP149</f>
        <v>0</v>
      </c>
      <c r="BJ149" s="50">
        <f>G149*H149</f>
        <v>0</v>
      </c>
      <c r="BK149" s="50" t="s">
        <v>662</v>
      </c>
      <c r="BL149" s="68">
        <v>728</v>
      </c>
    </row>
    <row r="150" spans="1:64" ht="12.75">
      <c r="A150" s="83" t="s">
        <v>151</v>
      </c>
      <c r="B150" s="83"/>
      <c r="C150" s="83" t="s">
        <v>293</v>
      </c>
      <c r="D150" s="220" t="s">
        <v>487</v>
      </c>
      <c r="E150" s="221"/>
      <c r="F150" s="83" t="s">
        <v>596</v>
      </c>
      <c r="G150" s="88">
        <v>0.01</v>
      </c>
      <c r="H150" s="136"/>
      <c r="I150" s="88">
        <f>G150*AO150</f>
        <v>0</v>
      </c>
      <c r="J150" s="88">
        <f>G150*AP150</f>
        <v>0</v>
      </c>
      <c r="K150" s="88">
        <f>G150*H150</f>
        <v>0</v>
      </c>
      <c r="L150" s="88">
        <v>0</v>
      </c>
      <c r="M150" s="88">
        <f>G150*L150</f>
        <v>0</v>
      </c>
      <c r="N150" s="78" t="s">
        <v>616</v>
      </c>
      <c r="O150" s="80"/>
      <c r="Z150" s="68">
        <f>IF(AQ150="5",BJ150,0)</f>
        <v>0</v>
      </c>
      <c r="AB150" s="68">
        <f>IF(AQ150="1",BH150,0)</f>
        <v>0</v>
      </c>
      <c r="AC150" s="68">
        <f>IF(AQ150="1",BI150,0)</f>
        <v>0</v>
      </c>
      <c r="AD150" s="68">
        <f>IF(AQ150="7",BH150,0)</f>
        <v>0</v>
      </c>
      <c r="AE150" s="68">
        <f>IF(AQ150="7",BI150,0)</f>
        <v>0</v>
      </c>
      <c r="AF150" s="68">
        <f>IF(AQ150="2",BH150,0)</f>
        <v>0</v>
      </c>
      <c r="AG150" s="68">
        <f>IF(AQ150="2",BI150,0)</f>
        <v>0</v>
      </c>
      <c r="AH150" s="68">
        <f>IF(AQ150="0",BJ150,0)</f>
        <v>0</v>
      </c>
      <c r="AI150" s="60"/>
      <c r="AJ150" s="50">
        <f>IF(AN150=0,K150,0)</f>
        <v>0</v>
      </c>
      <c r="AK150" s="50">
        <f>IF(AN150=15,K150,0)</f>
        <v>0</v>
      </c>
      <c r="AL150" s="50">
        <f>IF(AN150=21,K150,0)</f>
        <v>0</v>
      </c>
      <c r="AN150" s="68">
        <v>15</v>
      </c>
      <c r="AO150" s="68">
        <f>H150*0</f>
        <v>0</v>
      </c>
      <c r="AP150" s="68">
        <f>H150*(1-0)</f>
        <v>0</v>
      </c>
      <c r="AQ150" s="69" t="s">
        <v>78</v>
      </c>
      <c r="AV150" s="68">
        <f>AW150+AX150</f>
        <v>0</v>
      </c>
      <c r="AW150" s="68">
        <f>G150*AO150</f>
        <v>0</v>
      </c>
      <c r="AX150" s="68">
        <f>G150*AP150</f>
        <v>0</v>
      </c>
      <c r="AY150" s="71" t="s">
        <v>635</v>
      </c>
      <c r="AZ150" s="71" t="s">
        <v>652</v>
      </c>
      <c r="BA150" s="60" t="s">
        <v>657</v>
      </c>
      <c r="BC150" s="68">
        <f>AW150+AX150</f>
        <v>0</v>
      </c>
      <c r="BD150" s="68">
        <f>H150/(100-BE150)*100</f>
        <v>0</v>
      </c>
      <c r="BE150" s="68">
        <v>0</v>
      </c>
      <c r="BF150" s="68">
        <f>M150</f>
        <v>0</v>
      </c>
      <c r="BH150" s="50">
        <f>G150*AO150</f>
        <v>0</v>
      </c>
      <c r="BI150" s="50">
        <f>G150*AP150</f>
        <v>0</v>
      </c>
      <c r="BJ150" s="50">
        <f>G150*H150</f>
        <v>0</v>
      </c>
      <c r="BK150" s="50" t="s">
        <v>662</v>
      </c>
      <c r="BL150" s="68">
        <v>728</v>
      </c>
    </row>
    <row r="151" spans="1:47" ht="12.75">
      <c r="A151" s="96"/>
      <c r="B151" s="97"/>
      <c r="C151" s="97" t="s">
        <v>294</v>
      </c>
      <c r="D151" s="222" t="s">
        <v>488</v>
      </c>
      <c r="E151" s="223"/>
      <c r="F151" s="96" t="s">
        <v>73</v>
      </c>
      <c r="G151" s="96" t="s">
        <v>73</v>
      </c>
      <c r="H151" s="96" t="s">
        <v>73</v>
      </c>
      <c r="I151" s="98">
        <f>SUM(I152:I164)</f>
        <v>0</v>
      </c>
      <c r="J151" s="98">
        <f>SUM(J152:J164)</f>
        <v>0</v>
      </c>
      <c r="K151" s="98">
        <f>SUM(K152:K164)</f>
        <v>0</v>
      </c>
      <c r="L151" s="99"/>
      <c r="M151" s="98">
        <f>SUM(M152:M164)</f>
        <v>0.5762999999999999</v>
      </c>
      <c r="N151" s="95"/>
      <c r="O151" s="80"/>
      <c r="AI151" s="60"/>
      <c r="AS151" s="74">
        <f>SUM(AJ152:AJ164)</f>
        <v>0</v>
      </c>
      <c r="AT151" s="74">
        <f>SUM(AK152:AK164)</f>
        <v>0</v>
      </c>
      <c r="AU151" s="74">
        <f>SUM(AL152:AL164)</f>
        <v>0</v>
      </c>
    </row>
    <row r="152" spans="1:64" ht="12.75">
      <c r="A152" s="83" t="s">
        <v>152</v>
      </c>
      <c r="B152" s="83"/>
      <c r="C152" s="83" t="s">
        <v>295</v>
      </c>
      <c r="D152" s="220" t="s">
        <v>489</v>
      </c>
      <c r="E152" s="221"/>
      <c r="F152" s="83" t="s">
        <v>595</v>
      </c>
      <c r="G152" s="88">
        <v>4</v>
      </c>
      <c r="H152" s="136"/>
      <c r="I152" s="88">
        <f aca="true" t="shared" si="98" ref="I152:I164">G152*AO152</f>
        <v>0</v>
      </c>
      <c r="J152" s="88">
        <f aca="true" t="shared" si="99" ref="J152:J164">G152*AP152</f>
        <v>0</v>
      </c>
      <c r="K152" s="88">
        <f aca="true" t="shared" si="100" ref="K152:K164">G152*H152</f>
        <v>0</v>
      </c>
      <c r="L152" s="88">
        <v>0.0018</v>
      </c>
      <c r="M152" s="88">
        <f aca="true" t="shared" si="101" ref="M152:M164">G152*L152</f>
        <v>0.0072</v>
      </c>
      <c r="N152" s="78" t="s">
        <v>616</v>
      </c>
      <c r="O152" s="80"/>
      <c r="Z152" s="68">
        <f aca="true" t="shared" si="102" ref="Z152:Z164">IF(AQ152="5",BJ152,0)</f>
        <v>0</v>
      </c>
      <c r="AB152" s="68">
        <f aca="true" t="shared" si="103" ref="AB152:AB164">IF(AQ152="1",BH152,0)</f>
        <v>0</v>
      </c>
      <c r="AC152" s="68">
        <f aca="true" t="shared" si="104" ref="AC152:AC164">IF(AQ152="1",BI152,0)</f>
        <v>0</v>
      </c>
      <c r="AD152" s="68">
        <f aca="true" t="shared" si="105" ref="AD152:AD164">IF(AQ152="7",BH152,0)</f>
        <v>0</v>
      </c>
      <c r="AE152" s="68">
        <f aca="true" t="shared" si="106" ref="AE152:AE164">IF(AQ152="7",BI152,0)</f>
        <v>0</v>
      </c>
      <c r="AF152" s="68">
        <f aca="true" t="shared" si="107" ref="AF152:AF164">IF(AQ152="2",BH152,0)</f>
        <v>0</v>
      </c>
      <c r="AG152" s="68">
        <f aca="true" t="shared" si="108" ref="AG152:AG164">IF(AQ152="2",BI152,0)</f>
        <v>0</v>
      </c>
      <c r="AH152" s="68">
        <f aca="true" t="shared" si="109" ref="AH152:AH164">IF(AQ152="0",BJ152,0)</f>
        <v>0</v>
      </c>
      <c r="AI152" s="60"/>
      <c r="AJ152" s="50">
        <f aca="true" t="shared" si="110" ref="AJ152:AJ164">IF(AN152=0,K152,0)</f>
        <v>0</v>
      </c>
      <c r="AK152" s="50">
        <f aca="true" t="shared" si="111" ref="AK152:AK164">IF(AN152=15,K152,0)</f>
        <v>0</v>
      </c>
      <c r="AL152" s="50">
        <f aca="true" t="shared" si="112" ref="AL152:AL164">IF(AN152=21,K152,0)</f>
        <v>0</v>
      </c>
      <c r="AN152" s="68">
        <v>15</v>
      </c>
      <c r="AO152" s="68">
        <f>H152*0</f>
        <v>0</v>
      </c>
      <c r="AP152" s="68">
        <f>H152*(1-0)</f>
        <v>0</v>
      </c>
      <c r="AQ152" s="69" t="s">
        <v>80</v>
      </c>
      <c r="AV152" s="68">
        <f aca="true" t="shared" si="113" ref="AV152:AV164">AW152+AX152</f>
        <v>0</v>
      </c>
      <c r="AW152" s="68">
        <f aca="true" t="shared" si="114" ref="AW152:AW164">G152*AO152</f>
        <v>0</v>
      </c>
      <c r="AX152" s="68">
        <f aca="true" t="shared" si="115" ref="AX152:AX164">G152*AP152</f>
        <v>0</v>
      </c>
      <c r="AY152" s="71" t="s">
        <v>636</v>
      </c>
      <c r="AZ152" s="71" t="s">
        <v>653</v>
      </c>
      <c r="BA152" s="60" t="s">
        <v>657</v>
      </c>
      <c r="BC152" s="68">
        <f aca="true" t="shared" si="116" ref="BC152:BC164">AW152+AX152</f>
        <v>0</v>
      </c>
      <c r="BD152" s="68">
        <f aca="true" t="shared" si="117" ref="BD152:BD164">H152/(100-BE152)*100</f>
        <v>0</v>
      </c>
      <c r="BE152" s="68">
        <v>0</v>
      </c>
      <c r="BF152" s="68">
        <f aca="true" t="shared" si="118" ref="BF152:BF164">M152</f>
        <v>0.0072</v>
      </c>
      <c r="BH152" s="50">
        <f aca="true" t="shared" si="119" ref="BH152:BH164">G152*AO152</f>
        <v>0</v>
      </c>
      <c r="BI152" s="50">
        <f aca="true" t="shared" si="120" ref="BI152:BI164">G152*AP152</f>
        <v>0</v>
      </c>
      <c r="BJ152" s="50">
        <f aca="true" t="shared" si="121" ref="BJ152:BJ164">G152*H152</f>
        <v>0</v>
      </c>
      <c r="BK152" s="50" t="s">
        <v>662</v>
      </c>
      <c r="BL152" s="68">
        <v>766</v>
      </c>
    </row>
    <row r="153" spans="1:64" ht="12.75">
      <c r="A153" s="83" t="s">
        <v>153</v>
      </c>
      <c r="B153" s="83"/>
      <c r="C153" s="83" t="s">
        <v>296</v>
      </c>
      <c r="D153" s="220" t="s">
        <v>490</v>
      </c>
      <c r="E153" s="221"/>
      <c r="F153" s="83" t="s">
        <v>595</v>
      </c>
      <c r="G153" s="88">
        <v>1</v>
      </c>
      <c r="H153" s="136"/>
      <c r="I153" s="88">
        <f t="shared" si="98"/>
        <v>0</v>
      </c>
      <c r="J153" s="88">
        <f t="shared" si="99"/>
        <v>0</v>
      </c>
      <c r="K153" s="88">
        <f t="shared" si="100"/>
        <v>0</v>
      </c>
      <c r="L153" s="88">
        <v>0.174</v>
      </c>
      <c r="M153" s="88">
        <f t="shared" si="101"/>
        <v>0.174</v>
      </c>
      <c r="N153" s="78" t="s">
        <v>616</v>
      </c>
      <c r="O153" s="80"/>
      <c r="Z153" s="68">
        <f t="shared" si="102"/>
        <v>0</v>
      </c>
      <c r="AB153" s="68">
        <f t="shared" si="103"/>
        <v>0</v>
      </c>
      <c r="AC153" s="68">
        <f t="shared" si="104"/>
        <v>0</v>
      </c>
      <c r="AD153" s="68">
        <f t="shared" si="105"/>
        <v>0</v>
      </c>
      <c r="AE153" s="68">
        <f t="shared" si="106"/>
        <v>0</v>
      </c>
      <c r="AF153" s="68">
        <f t="shared" si="107"/>
        <v>0</v>
      </c>
      <c r="AG153" s="68">
        <f t="shared" si="108"/>
        <v>0</v>
      </c>
      <c r="AH153" s="68">
        <f t="shared" si="109"/>
        <v>0</v>
      </c>
      <c r="AI153" s="60"/>
      <c r="AJ153" s="50">
        <f t="shared" si="110"/>
        <v>0</v>
      </c>
      <c r="AK153" s="50">
        <f t="shared" si="111"/>
        <v>0</v>
      </c>
      <c r="AL153" s="50">
        <f t="shared" si="112"/>
        <v>0</v>
      </c>
      <c r="AN153" s="68">
        <v>15</v>
      </c>
      <c r="AO153" s="68">
        <f>H153*0</f>
        <v>0</v>
      </c>
      <c r="AP153" s="68">
        <f>H153*(1-0)</f>
        <v>0</v>
      </c>
      <c r="AQ153" s="69" t="s">
        <v>80</v>
      </c>
      <c r="AV153" s="68">
        <f t="shared" si="113"/>
        <v>0</v>
      </c>
      <c r="AW153" s="68">
        <f t="shared" si="114"/>
        <v>0</v>
      </c>
      <c r="AX153" s="68">
        <f t="shared" si="115"/>
        <v>0</v>
      </c>
      <c r="AY153" s="71" t="s">
        <v>636</v>
      </c>
      <c r="AZ153" s="71" t="s">
        <v>653</v>
      </c>
      <c r="BA153" s="60" t="s">
        <v>657</v>
      </c>
      <c r="BC153" s="68">
        <f t="shared" si="116"/>
        <v>0</v>
      </c>
      <c r="BD153" s="68">
        <f t="shared" si="117"/>
        <v>0</v>
      </c>
      <c r="BE153" s="68">
        <v>0</v>
      </c>
      <c r="BF153" s="68">
        <f t="shared" si="118"/>
        <v>0.174</v>
      </c>
      <c r="BH153" s="50">
        <f t="shared" si="119"/>
        <v>0</v>
      </c>
      <c r="BI153" s="50">
        <f t="shared" si="120"/>
        <v>0</v>
      </c>
      <c r="BJ153" s="50">
        <f t="shared" si="121"/>
        <v>0</v>
      </c>
      <c r="BK153" s="50" t="s">
        <v>662</v>
      </c>
      <c r="BL153" s="68">
        <v>766</v>
      </c>
    </row>
    <row r="154" spans="1:64" ht="12.75">
      <c r="A154" s="83" t="s">
        <v>154</v>
      </c>
      <c r="B154" s="83"/>
      <c r="C154" s="83" t="s">
        <v>297</v>
      </c>
      <c r="D154" s="220" t="s">
        <v>491</v>
      </c>
      <c r="E154" s="221"/>
      <c r="F154" s="83" t="s">
        <v>595</v>
      </c>
      <c r="G154" s="88">
        <v>3</v>
      </c>
      <c r="H154" s="136"/>
      <c r="I154" s="88">
        <f t="shared" si="98"/>
        <v>0</v>
      </c>
      <c r="J154" s="88">
        <f t="shared" si="99"/>
        <v>0</v>
      </c>
      <c r="K154" s="88">
        <f t="shared" si="100"/>
        <v>0</v>
      </c>
      <c r="L154" s="88">
        <v>0.1104</v>
      </c>
      <c r="M154" s="88">
        <f t="shared" si="101"/>
        <v>0.3312</v>
      </c>
      <c r="N154" s="78" t="s">
        <v>616</v>
      </c>
      <c r="O154" s="80"/>
      <c r="Z154" s="68">
        <f t="shared" si="102"/>
        <v>0</v>
      </c>
      <c r="AB154" s="68">
        <f t="shared" si="103"/>
        <v>0</v>
      </c>
      <c r="AC154" s="68">
        <f t="shared" si="104"/>
        <v>0</v>
      </c>
      <c r="AD154" s="68">
        <f t="shared" si="105"/>
        <v>0</v>
      </c>
      <c r="AE154" s="68">
        <f t="shared" si="106"/>
        <v>0</v>
      </c>
      <c r="AF154" s="68">
        <f t="shared" si="107"/>
        <v>0</v>
      </c>
      <c r="AG154" s="68">
        <f t="shared" si="108"/>
        <v>0</v>
      </c>
      <c r="AH154" s="68">
        <f t="shared" si="109"/>
        <v>0</v>
      </c>
      <c r="AI154" s="60"/>
      <c r="AJ154" s="50">
        <f t="shared" si="110"/>
        <v>0</v>
      </c>
      <c r="AK154" s="50">
        <f t="shared" si="111"/>
        <v>0</v>
      </c>
      <c r="AL154" s="50">
        <f t="shared" si="112"/>
        <v>0</v>
      </c>
      <c r="AN154" s="68">
        <v>15</v>
      </c>
      <c r="AO154" s="68">
        <f>H154*0</f>
        <v>0</v>
      </c>
      <c r="AP154" s="68">
        <f>H154*(1-0)</f>
        <v>0</v>
      </c>
      <c r="AQ154" s="69" t="s">
        <v>80</v>
      </c>
      <c r="AV154" s="68">
        <f t="shared" si="113"/>
        <v>0</v>
      </c>
      <c r="AW154" s="68">
        <f t="shared" si="114"/>
        <v>0</v>
      </c>
      <c r="AX154" s="68">
        <f t="shared" si="115"/>
        <v>0</v>
      </c>
      <c r="AY154" s="71" t="s">
        <v>636</v>
      </c>
      <c r="AZ154" s="71" t="s">
        <v>653</v>
      </c>
      <c r="BA154" s="60" t="s">
        <v>657</v>
      </c>
      <c r="BC154" s="68">
        <f t="shared" si="116"/>
        <v>0</v>
      </c>
      <c r="BD154" s="68">
        <f t="shared" si="117"/>
        <v>0</v>
      </c>
      <c r="BE154" s="68">
        <v>0</v>
      </c>
      <c r="BF154" s="68">
        <f t="shared" si="118"/>
        <v>0.3312</v>
      </c>
      <c r="BH154" s="50">
        <f t="shared" si="119"/>
        <v>0</v>
      </c>
      <c r="BI154" s="50">
        <f t="shared" si="120"/>
        <v>0</v>
      </c>
      <c r="BJ154" s="50">
        <f t="shared" si="121"/>
        <v>0</v>
      </c>
      <c r="BK154" s="50" t="s">
        <v>662</v>
      </c>
      <c r="BL154" s="68">
        <v>766</v>
      </c>
    </row>
    <row r="155" spans="1:64" ht="12.75">
      <c r="A155" s="83" t="s">
        <v>155</v>
      </c>
      <c r="B155" s="83"/>
      <c r="C155" s="83" t="s">
        <v>298</v>
      </c>
      <c r="D155" s="220" t="s">
        <v>492</v>
      </c>
      <c r="E155" s="221"/>
      <c r="F155" s="83" t="s">
        <v>595</v>
      </c>
      <c r="G155" s="88">
        <v>3</v>
      </c>
      <c r="H155" s="136"/>
      <c r="I155" s="88">
        <f t="shared" si="98"/>
        <v>0</v>
      </c>
      <c r="J155" s="88">
        <f t="shared" si="99"/>
        <v>0</v>
      </c>
      <c r="K155" s="88">
        <f t="shared" si="100"/>
        <v>0</v>
      </c>
      <c r="L155" s="88">
        <v>0</v>
      </c>
      <c r="M155" s="88">
        <f t="shared" si="101"/>
        <v>0</v>
      </c>
      <c r="N155" s="78" t="s">
        <v>616</v>
      </c>
      <c r="O155" s="80"/>
      <c r="Z155" s="68">
        <f t="shared" si="102"/>
        <v>0</v>
      </c>
      <c r="AB155" s="68">
        <f t="shared" si="103"/>
        <v>0</v>
      </c>
      <c r="AC155" s="68">
        <f t="shared" si="104"/>
        <v>0</v>
      </c>
      <c r="AD155" s="68">
        <f t="shared" si="105"/>
        <v>0</v>
      </c>
      <c r="AE155" s="68">
        <f t="shared" si="106"/>
        <v>0</v>
      </c>
      <c r="AF155" s="68">
        <f t="shared" si="107"/>
        <v>0</v>
      </c>
      <c r="AG155" s="68">
        <f t="shared" si="108"/>
        <v>0</v>
      </c>
      <c r="AH155" s="68">
        <f t="shared" si="109"/>
        <v>0</v>
      </c>
      <c r="AI155" s="60"/>
      <c r="AJ155" s="50">
        <f t="shared" si="110"/>
        <v>0</v>
      </c>
      <c r="AK155" s="50">
        <f t="shared" si="111"/>
        <v>0</v>
      </c>
      <c r="AL155" s="50">
        <f t="shared" si="112"/>
        <v>0</v>
      </c>
      <c r="AN155" s="68">
        <v>15</v>
      </c>
      <c r="AO155" s="68">
        <f>H155*0</f>
        <v>0</v>
      </c>
      <c r="AP155" s="68">
        <f>H155*(1-0)</f>
        <v>0</v>
      </c>
      <c r="AQ155" s="69" t="s">
        <v>80</v>
      </c>
      <c r="AV155" s="68">
        <f t="shared" si="113"/>
        <v>0</v>
      </c>
      <c r="AW155" s="68">
        <f t="shared" si="114"/>
        <v>0</v>
      </c>
      <c r="AX155" s="68">
        <f t="shared" si="115"/>
        <v>0</v>
      </c>
      <c r="AY155" s="71" t="s">
        <v>636</v>
      </c>
      <c r="AZ155" s="71" t="s">
        <v>653</v>
      </c>
      <c r="BA155" s="60" t="s">
        <v>657</v>
      </c>
      <c r="BC155" s="68">
        <f t="shared" si="116"/>
        <v>0</v>
      </c>
      <c r="BD155" s="68">
        <f t="shared" si="117"/>
        <v>0</v>
      </c>
      <c r="BE155" s="68">
        <v>0</v>
      </c>
      <c r="BF155" s="68">
        <f t="shared" si="118"/>
        <v>0</v>
      </c>
      <c r="BH155" s="50">
        <f t="shared" si="119"/>
        <v>0</v>
      </c>
      <c r="BI155" s="50">
        <f t="shared" si="120"/>
        <v>0</v>
      </c>
      <c r="BJ155" s="50">
        <f t="shared" si="121"/>
        <v>0</v>
      </c>
      <c r="BK155" s="50" t="s">
        <v>662</v>
      </c>
      <c r="BL155" s="68">
        <v>766</v>
      </c>
    </row>
    <row r="156" spans="1:64" ht="12.75">
      <c r="A156" s="101" t="s">
        <v>156</v>
      </c>
      <c r="B156" s="101"/>
      <c r="C156" s="101" t="s">
        <v>299</v>
      </c>
      <c r="D156" s="224" t="s">
        <v>493</v>
      </c>
      <c r="E156" s="225"/>
      <c r="F156" s="101" t="s">
        <v>595</v>
      </c>
      <c r="G156" s="102">
        <v>2</v>
      </c>
      <c r="H156" s="137"/>
      <c r="I156" s="102">
        <f t="shared" si="98"/>
        <v>0</v>
      </c>
      <c r="J156" s="102">
        <f t="shared" si="99"/>
        <v>0</v>
      </c>
      <c r="K156" s="102">
        <f t="shared" si="100"/>
        <v>0</v>
      </c>
      <c r="L156" s="102">
        <v>0.0205</v>
      </c>
      <c r="M156" s="102">
        <f t="shared" si="101"/>
        <v>0.041</v>
      </c>
      <c r="N156" s="100" t="s">
        <v>616</v>
      </c>
      <c r="O156" s="80"/>
      <c r="Z156" s="68">
        <f t="shared" si="102"/>
        <v>0</v>
      </c>
      <c r="AB156" s="68">
        <f t="shared" si="103"/>
        <v>0</v>
      </c>
      <c r="AC156" s="68">
        <f t="shared" si="104"/>
        <v>0</v>
      </c>
      <c r="AD156" s="68">
        <f t="shared" si="105"/>
        <v>0</v>
      </c>
      <c r="AE156" s="68">
        <f t="shared" si="106"/>
        <v>0</v>
      </c>
      <c r="AF156" s="68">
        <f t="shared" si="107"/>
        <v>0</v>
      </c>
      <c r="AG156" s="68">
        <f t="shared" si="108"/>
        <v>0</v>
      </c>
      <c r="AH156" s="68">
        <f t="shared" si="109"/>
        <v>0</v>
      </c>
      <c r="AI156" s="60"/>
      <c r="AJ156" s="52">
        <f t="shared" si="110"/>
        <v>0</v>
      </c>
      <c r="AK156" s="52">
        <f t="shared" si="111"/>
        <v>0</v>
      </c>
      <c r="AL156" s="52">
        <f t="shared" si="112"/>
        <v>0</v>
      </c>
      <c r="AN156" s="68">
        <v>15</v>
      </c>
      <c r="AO156" s="68">
        <f>H156*1</f>
        <v>0</v>
      </c>
      <c r="AP156" s="68">
        <f>H156*(1-1)</f>
        <v>0</v>
      </c>
      <c r="AQ156" s="70" t="s">
        <v>80</v>
      </c>
      <c r="AV156" s="68">
        <f t="shared" si="113"/>
        <v>0</v>
      </c>
      <c r="AW156" s="68">
        <f t="shared" si="114"/>
        <v>0</v>
      </c>
      <c r="AX156" s="68">
        <f t="shared" si="115"/>
        <v>0</v>
      </c>
      <c r="AY156" s="71" t="s">
        <v>636</v>
      </c>
      <c r="AZ156" s="71" t="s">
        <v>653</v>
      </c>
      <c r="BA156" s="60" t="s">
        <v>657</v>
      </c>
      <c r="BC156" s="68">
        <f t="shared" si="116"/>
        <v>0</v>
      </c>
      <c r="BD156" s="68">
        <f t="shared" si="117"/>
        <v>0</v>
      </c>
      <c r="BE156" s="68">
        <v>0</v>
      </c>
      <c r="BF156" s="68">
        <f t="shared" si="118"/>
        <v>0.041</v>
      </c>
      <c r="BH156" s="52">
        <f t="shared" si="119"/>
        <v>0</v>
      </c>
      <c r="BI156" s="52">
        <f t="shared" si="120"/>
        <v>0</v>
      </c>
      <c r="BJ156" s="52">
        <f t="shared" si="121"/>
        <v>0</v>
      </c>
      <c r="BK156" s="52" t="s">
        <v>663</v>
      </c>
      <c r="BL156" s="68">
        <v>766</v>
      </c>
    </row>
    <row r="157" spans="1:64" ht="12.75">
      <c r="A157" s="101" t="s">
        <v>157</v>
      </c>
      <c r="B157" s="101"/>
      <c r="C157" s="101" t="s">
        <v>232</v>
      </c>
      <c r="D157" s="224" t="s">
        <v>494</v>
      </c>
      <c r="E157" s="225"/>
      <c r="F157" s="101" t="s">
        <v>595</v>
      </c>
      <c r="G157" s="102">
        <v>1</v>
      </c>
      <c r="H157" s="137"/>
      <c r="I157" s="102">
        <f t="shared" si="98"/>
        <v>0</v>
      </c>
      <c r="J157" s="102">
        <f t="shared" si="99"/>
        <v>0</v>
      </c>
      <c r="K157" s="102">
        <f t="shared" si="100"/>
        <v>0</v>
      </c>
      <c r="L157" s="102">
        <v>0.0205</v>
      </c>
      <c r="M157" s="102">
        <f t="shared" si="101"/>
        <v>0.0205</v>
      </c>
      <c r="N157" s="100" t="s">
        <v>232</v>
      </c>
      <c r="O157" s="80"/>
      <c r="Z157" s="68">
        <f t="shared" si="102"/>
        <v>0</v>
      </c>
      <c r="AB157" s="68">
        <f t="shared" si="103"/>
        <v>0</v>
      </c>
      <c r="AC157" s="68">
        <f t="shared" si="104"/>
        <v>0</v>
      </c>
      <c r="AD157" s="68">
        <f t="shared" si="105"/>
        <v>0</v>
      </c>
      <c r="AE157" s="68">
        <f t="shared" si="106"/>
        <v>0</v>
      </c>
      <c r="AF157" s="68">
        <f t="shared" si="107"/>
        <v>0</v>
      </c>
      <c r="AG157" s="68">
        <f t="shared" si="108"/>
        <v>0</v>
      </c>
      <c r="AH157" s="68">
        <f t="shared" si="109"/>
        <v>0</v>
      </c>
      <c r="AI157" s="60"/>
      <c r="AJ157" s="52">
        <f t="shared" si="110"/>
        <v>0</v>
      </c>
      <c r="AK157" s="52">
        <f t="shared" si="111"/>
        <v>0</v>
      </c>
      <c r="AL157" s="52">
        <f t="shared" si="112"/>
        <v>0</v>
      </c>
      <c r="AN157" s="68">
        <v>15</v>
      </c>
      <c r="AO157" s="68">
        <f>H157*1</f>
        <v>0</v>
      </c>
      <c r="AP157" s="68">
        <f>H157*(1-1)</f>
        <v>0</v>
      </c>
      <c r="AQ157" s="70" t="s">
        <v>80</v>
      </c>
      <c r="AV157" s="68">
        <f t="shared" si="113"/>
        <v>0</v>
      </c>
      <c r="AW157" s="68">
        <f t="shared" si="114"/>
        <v>0</v>
      </c>
      <c r="AX157" s="68">
        <f t="shared" si="115"/>
        <v>0</v>
      </c>
      <c r="AY157" s="71" t="s">
        <v>636</v>
      </c>
      <c r="AZ157" s="71" t="s">
        <v>653</v>
      </c>
      <c r="BA157" s="60" t="s">
        <v>657</v>
      </c>
      <c r="BC157" s="68">
        <f t="shared" si="116"/>
        <v>0</v>
      </c>
      <c r="BD157" s="68">
        <f t="shared" si="117"/>
        <v>0</v>
      </c>
      <c r="BE157" s="68">
        <v>0</v>
      </c>
      <c r="BF157" s="68">
        <f t="shared" si="118"/>
        <v>0.0205</v>
      </c>
      <c r="BH157" s="52">
        <f t="shared" si="119"/>
        <v>0</v>
      </c>
      <c r="BI157" s="52">
        <f t="shared" si="120"/>
        <v>0</v>
      </c>
      <c r="BJ157" s="52">
        <f t="shared" si="121"/>
        <v>0</v>
      </c>
      <c r="BK157" s="52" t="s">
        <v>663</v>
      </c>
      <c r="BL157" s="68">
        <v>766</v>
      </c>
    </row>
    <row r="158" spans="1:64" ht="12.75">
      <c r="A158" s="76" t="s">
        <v>158</v>
      </c>
      <c r="B158" s="76"/>
      <c r="C158" s="76" t="s">
        <v>300</v>
      </c>
      <c r="D158" s="230" t="s">
        <v>495</v>
      </c>
      <c r="E158" s="231"/>
      <c r="F158" s="76" t="s">
        <v>595</v>
      </c>
      <c r="G158" s="77">
        <v>2</v>
      </c>
      <c r="H158" s="139"/>
      <c r="I158" s="77">
        <f t="shared" si="98"/>
        <v>0</v>
      </c>
      <c r="J158" s="77">
        <f t="shared" si="99"/>
        <v>0</v>
      </c>
      <c r="K158" s="77">
        <f t="shared" si="100"/>
        <v>0</v>
      </c>
      <c r="L158" s="77">
        <v>0</v>
      </c>
      <c r="M158" s="77">
        <f t="shared" si="101"/>
        <v>0</v>
      </c>
      <c r="N158" s="79" t="s">
        <v>616</v>
      </c>
      <c r="O158" s="80"/>
      <c r="Z158" s="68">
        <f t="shared" si="102"/>
        <v>0</v>
      </c>
      <c r="AB158" s="68">
        <f t="shared" si="103"/>
        <v>0</v>
      </c>
      <c r="AC158" s="68">
        <f t="shared" si="104"/>
        <v>0</v>
      </c>
      <c r="AD158" s="68">
        <f t="shared" si="105"/>
        <v>0</v>
      </c>
      <c r="AE158" s="68">
        <f t="shared" si="106"/>
        <v>0</v>
      </c>
      <c r="AF158" s="68">
        <f t="shared" si="107"/>
        <v>0</v>
      </c>
      <c r="AG158" s="68">
        <f t="shared" si="108"/>
        <v>0</v>
      </c>
      <c r="AH158" s="68">
        <f t="shared" si="109"/>
        <v>0</v>
      </c>
      <c r="AI158" s="60"/>
      <c r="AJ158" s="50">
        <f t="shared" si="110"/>
        <v>0</v>
      </c>
      <c r="AK158" s="50">
        <f t="shared" si="111"/>
        <v>0</v>
      </c>
      <c r="AL158" s="50">
        <f t="shared" si="112"/>
        <v>0</v>
      </c>
      <c r="AN158" s="68">
        <v>15</v>
      </c>
      <c r="AO158" s="68">
        <f>H158*0</f>
        <v>0</v>
      </c>
      <c r="AP158" s="68">
        <f>H158*(1-0)</f>
        <v>0</v>
      </c>
      <c r="AQ158" s="69" t="s">
        <v>80</v>
      </c>
      <c r="AV158" s="68">
        <f t="shared" si="113"/>
        <v>0</v>
      </c>
      <c r="AW158" s="68">
        <f t="shared" si="114"/>
        <v>0</v>
      </c>
      <c r="AX158" s="68">
        <f t="shared" si="115"/>
        <v>0</v>
      </c>
      <c r="AY158" s="71" t="s">
        <v>636</v>
      </c>
      <c r="AZ158" s="71" t="s">
        <v>653</v>
      </c>
      <c r="BA158" s="60" t="s">
        <v>657</v>
      </c>
      <c r="BC158" s="68">
        <f t="shared" si="116"/>
        <v>0</v>
      </c>
      <c r="BD158" s="68">
        <f t="shared" si="117"/>
        <v>0</v>
      </c>
      <c r="BE158" s="68">
        <v>0</v>
      </c>
      <c r="BF158" s="68">
        <f t="shared" si="118"/>
        <v>0</v>
      </c>
      <c r="BH158" s="50">
        <f t="shared" si="119"/>
        <v>0</v>
      </c>
      <c r="BI158" s="50">
        <f t="shared" si="120"/>
        <v>0</v>
      </c>
      <c r="BJ158" s="50">
        <f t="shared" si="121"/>
        <v>0</v>
      </c>
      <c r="BK158" s="50" t="s">
        <v>662</v>
      </c>
      <c r="BL158" s="68">
        <v>766</v>
      </c>
    </row>
    <row r="159" spans="1:64" ht="12.75">
      <c r="A159" s="35" t="s">
        <v>159</v>
      </c>
      <c r="B159" s="42"/>
      <c r="C159" s="42" t="s">
        <v>301</v>
      </c>
      <c r="D159" s="232" t="s">
        <v>496</v>
      </c>
      <c r="E159" s="233"/>
      <c r="F159" s="42" t="s">
        <v>595</v>
      </c>
      <c r="G159" s="52">
        <v>2</v>
      </c>
      <c r="H159" s="140"/>
      <c r="I159" s="52">
        <f t="shared" si="98"/>
        <v>0</v>
      </c>
      <c r="J159" s="52">
        <f t="shared" si="99"/>
        <v>0</v>
      </c>
      <c r="K159" s="52">
        <f t="shared" si="100"/>
        <v>0</v>
      </c>
      <c r="L159" s="52">
        <v>0.00075</v>
      </c>
      <c r="M159" s="52">
        <f t="shared" si="101"/>
        <v>0.0015</v>
      </c>
      <c r="N159" s="66" t="s">
        <v>616</v>
      </c>
      <c r="O159" s="17"/>
      <c r="Z159" s="68">
        <f t="shared" si="102"/>
        <v>0</v>
      </c>
      <c r="AB159" s="68">
        <f t="shared" si="103"/>
        <v>0</v>
      </c>
      <c r="AC159" s="68">
        <f t="shared" si="104"/>
        <v>0</v>
      </c>
      <c r="AD159" s="68">
        <f t="shared" si="105"/>
        <v>0</v>
      </c>
      <c r="AE159" s="68">
        <f t="shared" si="106"/>
        <v>0</v>
      </c>
      <c r="AF159" s="68">
        <f t="shared" si="107"/>
        <v>0</v>
      </c>
      <c r="AG159" s="68">
        <f t="shared" si="108"/>
        <v>0</v>
      </c>
      <c r="AH159" s="68">
        <f t="shared" si="109"/>
        <v>0</v>
      </c>
      <c r="AI159" s="60"/>
      <c r="AJ159" s="52">
        <f t="shared" si="110"/>
        <v>0</v>
      </c>
      <c r="AK159" s="52">
        <f t="shared" si="111"/>
        <v>0</v>
      </c>
      <c r="AL159" s="52">
        <f t="shared" si="112"/>
        <v>0</v>
      </c>
      <c r="AN159" s="68">
        <v>15</v>
      </c>
      <c r="AO159" s="68">
        <f>H159*1</f>
        <v>0</v>
      </c>
      <c r="AP159" s="68">
        <f>H159*(1-1)</f>
        <v>0</v>
      </c>
      <c r="AQ159" s="70" t="s">
        <v>80</v>
      </c>
      <c r="AV159" s="68">
        <f t="shared" si="113"/>
        <v>0</v>
      </c>
      <c r="AW159" s="68">
        <f t="shared" si="114"/>
        <v>0</v>
      </c>
      <c r="AX159" s="68">
        <f t="shared" si="115"/>
        <v>0</v>
      </c>
      <c r="AY159" s="71" t="s">
        <v>636</v>
      </c>
      <c r="AZ159" s="71" t="s">
        <v>653</v>
      </c>
      <c r="BA159" s="60" t="s">
        <v>657</v>
      </c>
      <c r="BC159" s="68">
        <f t="shared" si="116"/>
        <v>0</v>
      </c>
      <c r="BD159" s="68">
        <f t="shared" si="117"/>
        <v>0</v>
      </c>
      <c r="BE159" s="68">
        <v>0</v>
      </c>
      <c r="BF159" s="68">
        <f t="shared" si="118"/>
        <v>0.0015</v>
      </c>
      <c r="BH159" s="52">
        <f t="shared" si="119"/>
        <v>0</v>
      </c>
      <c r="BI159" s="52">
        <f t="shared" si="120"/>
        <v>0</v>
      </c>
      <c r="BJ159" s="52">
        <f t="shared" si="121"/>
        <v>0</v>
      </c>
      <c r="BK159" s="52" t="s">
        <v>663</v>
      </c>
      <c r="BL159" s="68">
        <v>766</v>
      </c>
    </row>
    <row r="160" spans="1:64" ht="12.75">
      <c r="A160" s="101" t="s">
        <v>160</v>
      </c>
      <c r="B160" s="101"/>
      <c r="C160" s="101" t="s">
        <v>302</v>
      </c>
      <c r="D160" s="224" t="s">
        <v>497</v>
      </c>
      <c r="E160" s="225"/>
      <c r="F160" s="101" t="s">
        <v>595</v>
      </c>
      <c r="G160" s="102">
        <v>2</v>
      </c>
      <c r="H160" s="137"/>
      <c r="I160" s="102">
        <f t="shared" si="98"/>
        <v>0</v>
      </c>
      <c r="J160" s="102">
        <f t="shared" si="99"/>
        <v>0</v>
      </c>
      <c r="K160" s="102">
        <f t="shared" si="100"/>
        <v>0</v>
      </c>
      <c r="L160" s="102">
        <v>0.00045</v>
      </c>
      <c r="M160" s="102">
        <f t="shared" si="101"/>
        <v>0.0009</v>
      </c>
      <c r="N160" s="100" t="s">
        <v>616</v>
      </c>
      <c r="O160" s="80"/>
      <c r="Z160" s="68">
        <f t="shared" si="102"/>
        <v>0</v>
      </c>
      <c r="AB160" s="68">
        <f t="shared" si="103"/>
        <v>0</v>
      </c>
      <c r="AC160" s="68">
        <f t="shared" si="104"/>
        <v>0</v>
      </c>
      <c r="AD160" s="68">
        <f t="shared" si="105"/>
        <v>0</v>
      </c>
      <c r="AE160" s="68">
        <f t="shared" si="106"/>
        <v>0</v>
      </c>
      <c r="AF160" s="68">
        <f t="shared" si="107"/>
        <v>0</v>
      </c>
      <c r="AG160" s="68">
        <f t="shared" si="108"/>
        <v>0</v>
      </c>
      <c r="AH160" s="68">
        <f t="shared" si="109"/>
        <v>0</v>
      </c>
      <c r="AI160" s="60"/>
      <c r="AJ160" s="52">
        <f t="shared" si="110"/>
        <v>0</v>
      </c>
      <c r="AK160" s="52">
        <f t="shared" si="111"/>
        <v>0</v>
      </c>
      <c r="AL160" s="52">
        <f t="shared" si="112"/>
        <v>0</v>
      </c>
      <c r="AN160" s="68">
        <v>15</v>
      </c>
      <c r="AO160" s="68">
        <f>H160*1</f>
        <v>0</v>
      </c>
      <c r="AP160" s="68">
        <f>H160*(1-1)</f>
        <v>0</v>
      </c>
      <c r="AQ160" s="70" t="s">
        <v>80</v>
      </c>
      <c r="AV160" s="68">
        <f t="shared" si="113"/>
        <v>0</v>
      </c>
      <c r="AW160" s="68">
        <f t="shared" si="114"/>
        <v>0</v>
      </c>
      <c r="AX160" s="68">
        <f t="shared" si="115"/>
        <v>0</v>
      </c>
      <c r="AY160" s="71" t="s">
        <v>636</v>
      </c>
      <c r="AZ160" s="71" t="s">
        <v>653</v>
      </c>
      <c r="BA160" s="60" t="s">
        <v>657</v>
      </c>
      <c r="BC160" s="68">
        <f t="shared" si="116"/>
        <v>0</v>
      </c>
      <c r="BD160" s="68">
        <f t="shared" si="117"/>
        <v>0</v>
      </c>
      <c r="BE160" s="68">
        <v>0</v>
      </c>
      <c r="BF160" s="68">
        <f t="shared" si="118"/>
        <v>0.0009</v>
      </c>
      <c r="BH160" s="52">
        <f t="shared" si="119"/>
        <v>0</v>
      </c>
      <c r="BI160" s="52">
        <f t="shared" si="120"/>
        <v>0</v>
      </c>
      <c r="BJ160" s="52">
        <f t="shared" si="121"/>
        <v>0</v>
      </c>
      <c r="BK160" s="52" t="s">
        <v>663</v>
      </c>
      <c r="BL160" s="68">
        <v>766</v>
      </c>
    </row>
    <row r="161" spans="1:64" ht="12.75">
      <c r="A161" s="83" t="s">
        <v>161</v>
      </c>
      <c r="B161" s="83"/>
      <c r="C161" s="83" t="s">
        <v>303</v>
      </c>
      <c r="D161" s="220" t="s">
        <v>498</v>
      </c>
      <c r="E161" s="221"/>
      <c r="F161" s="83" t="s">
        <v>595</v>
      </c>
      <c r="G161" s="88">
        <v>3</v>
      </c>
      <c r="H161" s="136"/>
      <c r="I161" s="88">
        <f t="shared" si="98"/>
        <v>0</v>
      </c>
      <c r="J161" s="88">
        <f t="shared" si="99"/>
        <v>0</v>
      </c>
      <c r="K161" s="88">
        <f t="shared" si="100"/>
        <v>0</v>
      </c>
      <c r="L161" s="88">
        <v>0</v>
      </c>
      <c r="M161" s="88">
        <f t="shared" si="101"/>
        <v>0</v>
      </c>
      <c r="N161" s="78" t="s">
        <v>616</v>
      </c>
      <c r="O161" s="80"/>
      <c r="Z161" s="68">
        <f t="shared" si="102"/>
        <v>0</v>
      </c>
      <c r="AB161" s="68">
        <f t="shared" si="103"/>
        <v>0</v>
      </c>
      <c r="AC161" s="68">
        <f t="shared" si="104"/>
        <v>0</v>
      </c>
      <c r="AD161" s="68">
        <f t="shared" si="105"/>
        <v>0</v>
      </c>
      <c r="AE161" s="68">
        <f t="shared" si="106"/>
        <v>0</v>
      </c>
      <c r="AF161" s="68">
        <f t="shared" si="107"/>
        <v>0</v>
      </c>
      <c r="AG161" s="68">
        <f t="shared" si="108"/>
        <v>0</v>
      </c>
      <c r="AH161" s="68">
        <f t="shared" si="109"/>
        <v>0</v>
      </c>
      <c r="AI161" s="60"/>
      <c r="AJ161" s="50">
        <f t="shared" si="110"/>
        <v>0</v>
      </c>
      <c r="AK161" s="50">
        <f t="shared" si="111"/>
        <v>0</v>
      </c>
      <c r="AL161" s="50">
        <f t="shared" si="112"/>
        <v>0</v>
      </c>
      <c r="AN161" s="68">
        <v>15</v>
      </c>
      <c r="AO161" s="68">
        <f>H161*0</f>
        <v>0</v>
      </c>
      <c r="AP161" s="68">
        <f>H161*(1-0)</f>
        <v>0</v>
      </c>
      <c r="AQ161" s="69" t="s">
        <v>80</v>
      </c>
      <c r="AV161" s="68">
        <f t="shared" si="113"/>
        <v>0</v>
      </c>
      <c r="AW161" s="68">
        <f t="shared" si="114"/>
        <v>0</v>
      </c>
      <c r="AX161" s="68">
        <f t="shared" si="115"/>
        <v>0</v>
      </c>
      <c r="AY161" s="71" t="s">
        <v>636</v>
      </c>
      <c r="AZ161" s="71" t="s">
        <v>653</v>
      </c>
      <c r="BA161" s="60" t="s">
        <v>657</v>
      </c>
      <c r="BC161" s="68">
        <f t="shared" si="116"/>
        <v>0</v>
      </c>
      <c r="BD161" s="68">
        <f t="shared" si="117"/>
        <v>0</v>
      </c>
      <c r="BE161" s="68">
        <v>0</v>
      </c>
      <c r="BF161" s="68">
        <f t="shared" si="118"/>
        <v>0</v>
      </c>
      <c r="BH161" s="50">
        <f t="shared" si="119"/>
        <v>0</v>
      </c>
      <c r="BI161" s="50">
        <f t="shared" si="120"/>
        <v>0</v>
      </c>
      <c r="BJ161" s="50">
        <f t="shared" si="121"/>
        <v>0</v>
      </c>
      <c r="BK161" s="50" t="s">
        <v>662</v>
      </c>
      <c r="BL161" s="68">
        <v>766</v>
      </c>
    </row>
    <row r="162" spans="1:64" ht="12.75">
      <c r="A162" s="83" t="s">
        <v>162</v>
      </c>
      <c r="B162" s="83"/>
      <c r="C162" s="83" t="s">
        <v>304</v>
      </c>
      <c r="D162" s="220" t="s">
        <v>499</v>
      </c>
      <c r="E162" s="221"/>
      <c r="F162" s="83" t="s">
        <v>595</v>
      </c>
      <c r="G162" s="88">
        <v>1</v>
      </c>
      <c r="H162" s="136"/>
      <c r="I162" s="88">
        <f t="shared" si="98"/>
        <v>0</v>
      </c>
      <c r="J162" s="88">
        <f t="shared" si="99"/>
        <v>0</v>
      </c>
      <c r="K162" s="88">
        <f t="shared" si="100"/>
        <v>0</v>
      </c>
      <c r="L162" s="88">
        <v>0</v>
      </c>
      <c r="M162" s="88">
        <f t="shared" si="101"/>
        <v>0</v>
      </c>
      <c r="N162" s="78" t="s">
        <v>616</v>
      </c>
      <c r="O162" s="80"/>
      <c r="Z162" s="68">
        <f t="shared" si="102"/>
        <v>0</v>
      </c>
      <c r="AB162" s="68">
        <f t="shared" si="103"/>
        <v>0</v>
      </c>
      <c r="AC162" s="68">
        <f t="shared" si="104"/>
        <v>0</v>
      </c>
      <c r="AD162" s="68">
        <f t="shared" si="105"/>
        <v>0</v>
      </c>
      <c r="AE162" s="68">
        <f t="shared" si="106"/>
        <v>0</v>
      </c>
      <c r="AF162" s="68">
        <f t="shared" si="107"/>
        <v>0</v>
      </c>
      <c r="AG162" s="68">
        <f t="shared" si="108"/>
        <v>0</v>
      </c>
      <c r="AH162" s="68">
        <f t="shared" si="109"/>
        <v>0</v>
      </c>
      <c r="AI162" s="60"/>
      <c r="AJ162" s="50">
        <f t="shared" si="110"/>
        <v>0</v>
      </c>
      <c r="AK162" s="50">
        <f t="shared" si="111"/>
        <v>0</v>
      </c>
      <c r="AL162" s="50">
        <f t="shared" si="112"/>
        <v>0</v>
      </c>
      <c r="AN162" s="68">
        <v>15</v>
      </c>
      <c r="AO162" s="68">
        <f>H162*0</f>
        <v>0</v>
      </c>
      <c r="AP162" s="68">
        <f>H162*(1-0)</f>
        <v>0</v>
      </c>
      <c r="AQ162" s="69" t="s">
        <v>80</v>
      </c>
      <c r="AV162" s="68">
        <f t="shared" si="113"/>
        <v>0</v>
      </c>
      <c r="AW162" s="68">
        <f t="shared" si="114"/>
        <v>0</v>
      </c>
      <c r="AX162" s="68">
        <f t="shared" si="115"/>
        <v>0</v>
      </c>
      <c r="AY162" s="71" t="s">
        <v>636</v>
      </c>
      <c r="AZ162" s="71" t="s">
        <v>653</v>
      </c>
      <c r="BA162" s="60" t="s">
        <v>657</v>
      </c>
      <c r="BC162" s="68">
        <f t="shared" si="116"/>
        <v>0</v>
      </c>
      <c r="BD162" s="68">
        <f t="shared" si="117"/>
        <v>0</v>
      </c>
      <c r="BE162" s="68">
        <v>0</v>
      </c>
      <c r="BF162" s="68">
        <f t="shared" si="118"/>
        <v>0</v>
      </c>
      <c r="BH162" s="50">
        <f t="shared" si="119"/>
        <v>0</v>
      </c>
      <c r="BI162" s="50">
        <f t="shared" si="120"/>
        <v>0</v>
      </c>
      <c r="BJ162" s="50">
        <f t="shared" si="121"/>
        <v>0</v>
      </c>
      <c r="BK162" s="50" t="s">
        <v>662</v>
      </c>
      <c r="BL162" s="68">
        <v>766</v>
      </c>
    </row>
    <row r="163" spans="1:64" ht="12.75">
      <c r="A163" s="101" t="s">
        <v>163</v>
      </c>
      <c r="B163" s="101"/>
      <c r="C163" s="101" t="s">
        <v>232</v>
      </c>
      <c r="D163" s="224" t="s">
        <v>500</v>
      </c>
      <c r="E163" s="225"/>
      <c r="F163" s="101" t="s">
        <v>599</v>
      </c>
      <c r="G163" s="102">
        <v>1</v>
      </c>
      <c r="H163" s="137"/>
      <c r="I163" s="102">
        <f t="shared" si="98"/>
        <v>0</v>
      </c>
      <c r="J163" s="102">
        <f t="shared" si="99"/>
        <v>0</v>
      </c>
      <c r="K163" s="102">
        <f t="shared" si="100"/>
        <v>0</v>
      </c>
      <c r="L163" s="102">
        <v>0</v>
      </c>
      <c r="M163" s="102">
        <f t="shared" si="101"/>
        <v>0</v>
      </c>
      <c r="N163" s="100" t="s">
        <v>232</v>
      </c>
      <c r="O163" s="80"/>
      <c r="Z163" s="68">
        <f t="shared" si="102"/>
        <v>0</v>
      </c>
      <c r="AB163" s="68">
        <f t="shared" si="103"/>
        <v>0</v>
      </c>
      <c r="AC163" s="68">
        <f t="shared" si="104"/>
        <v>0</v>
      </c>
      <c r="AD163" s="68">
        <f t="shared" si="105"/>
        <v>0</v>
      </c>
      <c r="AE163" s="68">
        <f t="shared" si="106"/>
        <v>0</v>
      </c>
      <c r="AF163" s="68">
        <f t="shared" si="107"/>
        <v>0</v>
      </c>
      <c r="AG163" s="68">
        <f t="shared" si="108"/>
        <v>0</v>
      </c>
      <c r="AH163" s="68">
        <f t="shared" si="109"/>
        <v>0</v>
      </c>
      <c r="AI163" s="60"/>
      <c r="AJ163" s="52">
        <f t="shared" si="110"/>
        <v>0</v>
      </c>
      <c r="AK163" s="52">
        <f t="shared" si="111"/>
        <v>0</v>
      </c>
      <c r="AL163" s="52">
        <f t="shared" si="112"/>
        <v>0</v>
      </c>
      <c r="AN163" s="68">
        <v>15</v>
      </c>
      <c r="AO163" s="68">
        <f>H163*1</f>
        <v>0</v>
      </c>
      <c r="AP163" s="68">
        <f>H163*(1-1)</f>
        <v>0</v>
      </c>
      <c r="AQ163" s="70" t="s">
        <v>80</v>
      </c>
      <c r="AV163" s="68">
        <f t="shared" si="113"/>
        <v>0</v>
      </c>
      <c r="AW163" s="68">
        <f t="shared" si="114"/>
        <v>0</v>
      </c>
      <c r="AX163" s="68">
        <f t="shared" si="115"/>
        <v>0</v>
      </c>
      <c r="AY163" s="71" t="s">
        <v>636</v>
      </c>
      <c r="AZ163" s="71" t="s">
        <v>653</v>
      </c>
      <c r="BA163" s="60" t="s">
        <v>657</v>
      </c>
      <c r="BC163" s="68">
        <f t="shared" si="116"/>
        <v>0</v>
      </c>
      <c r="BD163" s="68">
        <f t="shared" si="117"/>
        <v>0</v>
      </c>
      <c r="BE163" s="68">
        <v>0</v>
      </c>
      <c r="BF163" s="68">
        <f t="shared" si="118"/>
        <v>0</v>
      </c>
      <c r="BH163" s="52">
        <f t="shared" si="119"/>
        <v>0</v>
      </c>
      <c r="BI163" s="52">
        <f t="shared" si="120"/>
        <v>0</v>
      </c>
      <c r="BJ163" s="52">
        <f t="shared" si="121"/>
        <v>0</v>
      </c>
      <c r="BK163" s="52" t="s">
        <v>663</v>
      </c>
      <c r="BL163" s="68">
        <v>766</v>
      </c>
    </row>
    <row r="164" spans="1:64" ht="12.75">
      <c r="A164" s="83" t="s">
        <v>164</v>
      </c>
      <c r="B164" s="83"/>
      <c r="C164" s="83" t="s">
        <v>305</v>
      </c>
      <c r="D164" s="220" t="s">
        <v>501</v>
      </c>
      <c r="E164" s="221"/>
      <c r="F164" s="83" t="s">
        <v>596</v>
      </c>
      <c r="G164" s="88">
        <v>0.6</v>
      </c>
      <c r="H164" s="136"/>
      <c r="I164" s="88">
        <f t="shared" si="98"/>
        <v>0</v>
      </c>
      <c r="J164" s="88">
        <f t="shared" si="99"/>
        <v>0</v>
      </c>
      <c r="K164" s="88">
        <f t="shared" si="100"/>
        <v>0</v>
      </c>
      <c r="L164" s="88">
        <v>0</v>
      </c>
      <c r="M164" s="88">
        <f t="shared" si="101"/>
        <v>0</v>
      </c>
      <c r="N164" s="78" t="s">
        <v>616</v>
      </c>
      <c r="O164" s="80"/>
      <c r="Z164" s="68">
        <f t="shared" si="102"/>
        <v>0</v>
      </c>
      <c r="AB164" s="68">
        <f t="shared" si="103"/>
        <v>0</v>
      </c>
      <c r="AC164" s="68">
        <f t="shared" si="104"/>
        <v>0</v>
      </c>
      <c r="AD164" s="68">
        <f t="shared" si="105"/>
        <v>0</v>
      </c>
      <c r="AE164" s="68">
        <f t="shared" si="106"/>
        <v>0</v>
      </c>
      <c r="AF164" s="68">
        <f t="shared" si="107"/>
        <v>0</v>
      </c>
      <c r="AG164" s="68">
        <f t="shared" si="108"/>
        <v>0</v>
      </c>
      <c r="AH164" s="68">
        <f t="shared" si="109"/>
        <v>0</v>
      </c>
      <c r="AI164" s="60"/>
      <c r="AJ164" s="50">
        <f t="shared" si="110"/>
        <v>0</v>
      </c>
      <c r="AK164" s="50">
        <f t="shared" si="111"/>
        <v>0</v>
      </c>
      <c r="AL164" s="50">
        <f t="shared" si="112"/>
        <v>0</v>
      </c>
      <c r="AN164" s="68">
        <v>15</v>
      </c>
      <c r="AO164" s="68">
        <f>H164*0</f>
        <v>0</v>
      </c>
      <c r="AP164" s="68">
        <f>H164*(1-0)</f>
        <v>0</v>
      </c>
      <c r="AQ164" s="69" t="s">
        <v>78</v>
      </c>
      <c r="AV164" s="68">
        <f t="shared" si="113"/>
        <v>0</v>
      </c>
      <c r="AW164" s="68">
        <f t="shared" si="114"/>
        <v>0</v>
      </c>
      <c r="AX164" s="68">
        <f t="shared" si="115"/>
        <v>0</v>
      </c>
      <c r="AY164" s="71" t="s">
        <v>636</v>
      </c>
      <c r="AZ164" s="71" t="s">
        <v>653</v>
      </c>
      <c r="BA164" s="60" t="s">
        <v>657</v>
      </c>
      <c r="BC164" s="68">
        <f t="shared" si="116"/>
        <v>0</v>
      </c>
      <c r="BD164" s="68">
        <f t="shared" si="117"/>
        <v>0</v>
      </c>
      <c r="BE164" s="68">
        <v>0</v>
      </c>
      <c r="BF164" s="68">
        <f t="shared" si="118"/>
        <v>0</v>
      </c>
      <c r="BH164" s="50">
        <f t="shared" si="119"/>
        <v>0</v>
      </c>
      <c r="BI164" s="50">
        <f t="shared" si="120"/>
        <v>0</v>
      </c>
      <c r="BJ164" s="50">
        <f t="shared" si="121"/>
        <v>0</v>
      </c>
      <c r="BK164" s="50" t="s">
        <v>662</v>
      </c>
      <c r="BL164" s="68">
        <v>766</v>
      </c>
    </row>
    <row r="165" spans="1:47" ht="12.75">
      <c r="A165" s="96"/>
      <c r="B165" s="97"/>
      <c r="C165" s="97" t="s">
        <v>306</v>
      </c>
      <c r="D165" s="222" t="s">
        <v>502</v>
      </c>
      <c r="E165" s="223"/>
      <c r="F165" s="96" t="s">
        <v>73</v>
      </c>
      <c r="G165" s="96" t="s">
        <v>73</v>
      </c>
      <c r="H165" s="96" t="s">
        <v>73</v>
      </c>
      <c r="I165" s="98">
        <f>SUM(I166:I175)</f>
        <v>0</v>
      </c>
      <c r="J165" s="98">
        <f>SUM(J166:J175)</f>
        <v>0</v>
      </c>
      <c r="K165" s="98">
        <f>SUM(K166:K175)</f>
        <v>0</v>
      </c>
      <c r="L165" s="99"/>
      <c r="M165" s="98">
        <f>SUM(M166:M175)</f>
        <v>0.140537964</v>
      </c>
      <c r="N165" s="95"/>
      <c r="O165" s="80"/>
      <c r="AI165" s="60"/>
      <c r="AS165" s="74">
        <f>SUM(AJ166:AJ175)</f>
        <v>0</v>
      </c>
      <c r="AT165" s="74">
        <f>SUM(AK166:AK175)</f>
        <v>0</v>
      </c>
      <c r="AU165" s="74">
        <f>SUM(AL166:AL175)</f>
        <v>0</v>
      </c>
    </row>
    <row r="166" spans="1:64" ht="12.75">
      <c r="A166" s="83" t="s">
        <v>165</v>
      </c>
      <c r="B166" s="83"/>
      <c r="C166" s="83" t="s">
        <v>307</v>
      </c>
      <c r="D166" s="220" t="s">
        <v>503</v>
      </c>
      <c r="E166" s="221"/>
      <c r="F166" s="83" t="s">
        <v>593</v>
      </c>
      <c r="G166" s="88">
        <v>5.37225</v>
      </c>
      <c r="H166" s="136"/>
      <c r="I166" s="88">
        <f>G166*AO166</f>
        <v>0</v>
      </c>
      <c r="J166" s="88">
        <f>G166*AP166</f>
        <v>0</v>
      </c>
      <c r="K166" s="88">
        <f>G166*H166</f>
        <v>0</v>
      </c>
      <c r="L166" s="88">
        <v>0.00483</v>
      </c>
      <c r="M166" s="88">
        <f>G166*L166</f>
        <v>0.025947967500000002</v>
      </c>
      <c r="N166" s="78" t="s">
        <v>616</v>
      </c>
      <c r="O166" s="80"/>
      <c r="Z166" s="68">
        <f>IF(AQ166="5",BJ166,0)</f>
        <v>0</v>
      </c>
      <c r="AB166" s="68">
        <f>IF(AQ166="1",BH166,0)</f>
        <v>0</v>
      </c>
      <c r="AC166" s="68">
        <f>IF(AQ166="1",BI166,0)</f>
        <v>0</v>
      </c>
      <c r="AD166" s="68">
        <f>IF(AQ166="7",BH166,0)</f>
        <v>0</v>
      </c>
      <c r="AE166" s="68">
        <f>IF(AQ166="7",BI166,0)</f>
        <v>0</v>
      </c>
      <c r="AF166" s="68">
        <f>IF(AQ166="2",BH166,0)</f>
        <v>0</v>
      </c>
      <c r="AG166" s="68">
        <f>IF(AQ166="2",BI166,0)</f>
        <v>0</v>
      </c>
      <c r="AH166" s="68">
        <f>IF(AQ166="0",BJ166,0)</f>
        <v>0</v>
      </c>
      <c r="AI166" s="60"/>
      <c r="AJ166" s="50">
        <f>IF(AN166=0,K166,0)</f>
        <v>0</v>
      </c>
      <c r="AK166" s="50">
        <f>IF(AN166=15,K166,0)</f>
        <v>0</v>
      </c>
      <c r="AL166" s="50">
        <f>IF(AN166=21,K166,0)</f>
        <v>0</v>
      </c>
      <c r="AN166" s="68">
        <v>15</v>
      </c>
      <c r="AO166" s="68">
        <f>H166*0.159916415732851</f>
        <v>0</v>
      </c>
      <c r="AP166" s="68">
        <f>H166*(1-0.159916415732851)</f>
        <v>0</v>
      </c>
      <c r="AQ166" s="69" t="s">
        <v>80</v>
      </c>
      <c r="AV166" s="68">
        <f>AW166+AX166</f>
        <v>0</v>
      </c>
      <c r="AW166" s="68">
        <f>G166*AO166</f>
        <v>0</v>
      </c>
      <c r="AX166" s="68">
        <f>G166*AP166</f>
        <v>0</v>
      </c>
      <c r="AY166" s="71" t="s">
        <v>637</v>
      </c>
      <c r="AZ166" s="71" t="s">
        <v>654</v>
      </c>
      <c r="BA166" s="60" t="s">
        <v>657</v>
      </c>
      <c r="BC166" s="68">
        <f>AW166+AX166</f>
        <v>0</v>
      </c>
      <c r="BD166" s="68">
        <f>H166/(100-BE166)*100</f>
        <v>0</v>
      </c>
      <c r="BE166" s="68">
        <v>0</v>
      </c>
      <c r="BF166" s="68">
        <f>M166</f>
        <v>0.025947967500000002</v>
      </c>
      <c r="BH166" s="50">
        <f>G166*AO166</f>
        <v>0</v>
      </c>
      <c r="BI166" s="50">
        <f>G166*AP166</f>
        <v>0</v>
      </c>
      <c r="BJ166" s="50">
        <f>G166*H166</f>
        <v>0</v>
      </c>
      <c r="BK166" s="50" t="s">
        <v>662</v>
      </c>
      <c r="BL166" s="68">
        <v>771</v>
      </c>
    </row>
    <row r="167" spans="1:15" ht="12.75">
      <c r="A167" s="90"/>
      <c r="B167" s="91"/>
      <c r="C167" s="91"/>
      <c r="D167" s="92" t="s">
        <v>504</v>
      </c>
      <c r="E167" s="93"/>
      <c r="F167" s="91"/>
      <c r="G167" s="94">
        <v>0</v>
      </c>
      <c r="H167" s="91"/>
      <c r="I167" s="91"/>
      <c r="J167" s="91"/>
      <c r="K167" s="91"/>
      <c r="L167" s="91"/>
      <c r="M167" s="91"/>
      <c r="N167" s="81"/>
      <c r="O167" s="80"/>
    </row>
    <row r="168" spans="1:15" ht="12.75">
      <c r="A168" s="90"/>
      <c r="B168" s="91"/>
      <c r="C168" s="91"/>
      <c r="D168" s="92" t="s">
        <v>381</v>
      </c>
      <c r="E168" s="93"/>
      <c r="F168" s="91"/>
      <c r="G168" s="94">
        <v>5.37225</v>
      </c>
      <c r="H168" s="91"/>
      <c r="I168" s="91"/>
      <c r="J168" s="91"/>
      <c r="K168" s="91"/>
      <c r="L168" s="91"/>
      <c r="M168" s="91"/>
      <c r="N168" s="81"/>
      <c r="O168" s="80"/>
    </row>
    <row r="169" spans="1:64" ht="12.75">
      <c r="A169" s="83" t="s">
        <v>166</v>
      </c>
      <c r="B169" s="83"/>
      <c r="C169" s="83" t="s">
        <v>308</v>
      </c>
      <c r="D169" s="220" t="s">
        <v>505</v>
      </c>
      <c r="E169" s="221"/>
      <c r="F169" s="83" t="s">
        <v>593</v>
      </c>
      <c r="G169" s="88">
        <v>5.37225</v>
      </c>
      <c r="H169" s="136"/>
      <c r="I169" s="88">
        <f>G169*AO169</f>
        <v>0</v>
      </c>
      <c r="J169" s="88">
        <f>G169*AP169</f>
        <v>0</v>
      </c>
      <c r="K169" s="88">
        <f>G169*H169</f>
        <v>0</v>
      </c>
      <c r="L169" s="88">
        <v>0</v>
      </c>
      <c r="M169" s="88">
        <f>G169*L169</f>
        <v>0</v>
      </c>
      <c r="N169" s="78" t="s">
        <v>616</v>
      </c>
      <c r="O169" s="80"/>
      <c r="Z169" s="68">
        <f>IF(AQ169="5",BJ169,0)</f>
        <v>0</v>
      </c>
      <c r="AB169" s="68">
        <f>IF(AQ169="1",BH169,0)</f>
        <v>0</v>
      </c>
      <c r="AC169" s="68">
        <f>IF(AQ169="1",BI169,0)</f>
        <v>0</v>
      </c>
      <c r="AD169" s="68">
        <f>IF(AQ169="7",BH169,0)</f>
        <v>0</v>
      </c>
      <c r="AE169" s="68">
        <f>IF(AQ169="7",BI169,0)</f>
        <v>0</v>
      </c>
      <c r="AF169" s="68">
        <f>IF(AQ169="2",BH169,0)</f>
        <v>0</v>
      </c>
      <c r="AG169" s="68">
        <f>IF(AQ169="2",BI169,0)</f>
        <v>0</v>
      </c>
      <c r="AH169" s="68">
        <f>IF(AQ169="0",BJ169,0)</f>
        <v>0</v>
      </c>
      <c r="AI169" s="60"/>
      <c r="AJ169" s="50">
        <f>IF(AN169=0,K169,0)</f>
        <v>0</v>
      </c>
      <c r="AK169" s="50">
        <f>IF(AN169=15,K169,0)</f>
        <v>0</v>
      </c>
      <c r="AL169" s="50">
        <f>IF(AN169=21,K169,0)</f>
        <v>0</v>
      </c>
      <c r="AN169" s="68">
        <v>15</v>
      </c>
      <c r="AO169" s="68">
        <f>H169*0</f>
        <v>0</v>
      </c>
      <c r="AP169" s="68">
        <f>H169*(1-0)</f>
        <v>0</v>
      </c>
      <c r="AQ169" s="69" t="s">
        <v>80</v>
      </c>
      <c r="AV169" s="68">
        <f>AW169+AX169</f>
        <v>0</v>
      </c>
      <c r="AW169" s="68">
        <f>G169*AO169</f>
        <v>0</v>
      </c>
      <c r="AX169" s="68">
        <f>G169*AP169</f>
        <v>0</v>
      </c>
      <c r="AY169" s="71" t="s">
        <v>637</v>
      </c>
      <c r="AZ169" s="71" t="s">
        <v>654</v>
      </c>
      <c r="BA169" s="60" t="s">
        <v>657</v>
      </c>
      <c r="BC169" s="68">
        <f>AW169+AX169</f>
        <v>0</v>
      </c>
      <c r="BD169" s="68">
        <f>H169/(100-BE169)*100</f>
        <v>0</v>
      </c>
      <c r="BE169" s="68">
        <v>0</v>
      </c>
      <c r="BF169" s="68">
        <f>M169</f>
        <v>0</v>
      </c>
      <c r="BH169" s="50">
        <f>G169*AO169</f>
        <v>0</v>
      </c>
      <c r="BI169" s="50">
        <f>G169*AP169</f>
        <v>0</v>
      </c>
      <c r="BJ169" s="50">
        <f>G169*H169</f>
        <v>0</v>
      </c>
      <c r="BK169" s="50" t="s">
        <v>662</v>
      </c>
      <c r="BL169" s="68">
        <v>771</v>
      </c>
    </row>
    <row r="170" spans="1:64" ht="12.75">
      <c r="A170" s="83" t="s">
        <v>167</v>
      </c>
      <c r="B170" s="83"/>
      <c r="C170" s="83" t="s">
        <v>309</v>
      </c>
      <c r="D170" s="220" t="s">
        <v>506</v>
      </c>
      <c r="E170" s="221"/>
      <c r="F170" s="83" t="s">
        <v>593</v>
      </c>
      <c r="G170" s="88">
        <v>5.37225</v>
      </c>
      <c r="H170" s="136"/>
      <c r="I170" s="88">
        <f>G170*AO170</f>
        <v>0</v>
      </c>
      <c r="J170" s="88">
        <f>G170*AP170</f>
        <v>0</v>
      </c>
      <c r="K170" s="88">
        <f>G170*H170</f>
        <v>0</v>
      </c>
      <c r="L170" s="88">
        <v>0</v>
      </c>
      <c r="M170" s="88">
        <f>G170*L170</f>
        <v>0</v>
      </c>
      <c r="N170" s="78" t="s">
        <v>616</v>
      </c>
      <c r="O170" s="80"/>
      <c r="Z170" s="68">
        <f>IF(AQ170="5",BJ170,0)</f>
        <v>0</v>
      </c>
      <c r="AB170" s="68">
        <f>IF(AQ170="1",BH170,0)</f>
        <v>0</v>
      </c>
      <c r="AC170" s="68">
        <f>IF(AQ170="1",BI170,0)</f>
        <v>0</v>
      </c>
      <c r="AD170" s="68">
        <f>IF(AQ170="7",BH170,0)</f>
        <v>0</v>
      </c>
      <c r="AE170" s="68">
        <f>IF(AQ170="7",BI170,0)</f>
        <v>0</v>
      </c>
      <c r="AF170" s="68">
        <f>IF(AQ170="2",BH170,0)</f>
        <v>0</v>
      </c>
      <c r="AG170" s="68">
        <f>IF(AQ170="2",BI170,0)</f>
        <v>0</v>
      </c>
      <c r="AH170" s="68">
        <f>IF(AQ170="0",BJ170,0)</f>
        <v>0</v>
      </c>
      <c r="AI170" s="60"/>
      <c r="AJ170" s="50">
        <f>IF(AN170=0,K170,0)</f>
        <v>0</v>
      </c>
      <c r="AK170" s="50">
        <f>IF(AN170=15,K170,0)</f>
        <v>0</v>
      </c>
      <c r="AL170" s="50">
        <f>IF(AN170=21,K170,0)</f>
        <v>0</v>
      </c>
      <c r="AN170" s="68">
        <v>15</v>
      </c>
      <c r="AO170" s="68">
        <f>H170*0</f>
        <v>0</v>
      </c>
      <c r="AP170" s="68">
        <f>H170*(1-0)</f>
        <v>0</v>
      </c>
      <c r="AQ170" s="69" t="s">
        <v>80</v>
      </c>
      <c r="AV170" s="68">
        <f>AW170+AX170</f>
        <v>0</v>
      </c>
      <c r="AW170" s="68">
        <f>G170*AO170</f>
        <v>0</v>
      </c>
      <c r="AX170" s="68">
        <f>G170*AP170</f>
        <v>0</v>
      </c>
      <c r="AY170" s="71" t="s">
        <v>637</v>
      </c>
      <c r="AZ170" s="71" t="s">
        <v>654</v>
      </c>
      <c r="BA170" s="60" t="s">
        <v>657</v>
      </c>
      <c r="BC170" s="68">
        <f>AW170+AX170</f>
        <v>0</v>
      </c>
      <c r="BD170" s="68">
        <f>H170/(100-BE170)*100</f>
        <v>0</v>
      </c>
      <c r="BE170" s="68">
        <v>0</v>
      </c>
      <c r="BF170" s="68">
        <f>M170</f>
        <v>0</v>
      </c>
      <c r="BH170" s="50">
        <f>G170*AO170</f>
        <v>0</v>
      </c>
      <c r="BI170" s="50">
        <f>G170*AP170</f>
        <v>0</v>
      </c>
      <c r="BJ170" s="50">
        <f>G170*H170</f>
        <v>0</v>
      </c>
      <c r="BK170" s="50" t="s">
        <v>662</v>
      </c>
      <c r="BL170" s="68">
        <v>771</v>
      </c>
    </row>
    <row r="171" spans="1:64" ht="12.75">
      <c r="A171" s="83" t="s">
        <v>168</v>
      </c>
      <c r="B171" s="83"/>
      <c r="C171" s="83" t="s">
        <v>310</v>
      </c>
      <c r="D171" s="220" t="s">
        <v>507</v>
      </c>
      <c r="E171" s="221"/>
      <c r="F171" s="83" t="s">
        <v>593</v>
      </c>
      <c r="G171" s="88">
        <v>5.37225</v>
      </c>
      <c r="H171" s="136"/>
      <c r="I171" s="88">
        <f>G171*AO171</f>
        <v>0</v>
      </c>
      <c r="J171" s="88">
        <f>G171*AP171</f>
        <v>0</v>
      </c>
      <c r="K171" s="88">
        <f>G171*H171</f>
        <v>0</v>
      </c>
      <c r="L171" s="88">
        <v>0</v>
      </c>
      <c r="M171" s="88">
        <f>G171*L171</f>
        <v>0</v>
      </c>
      <c r="N171" s="78" t="s">
        <v>616</v>
      </c>
      <c r="O171" s="80"/>
      <c r="Z171" s="68">
        <f>IF(AQ171="5",BJ171,0)</f>
        <v>0</v>
      </c>
      <c r="AB171" s="68">
        <f>IF(AQ171="1",BH171,0)</f>
        <v>0</v>
      </c>
      <c r="AC171" s="68">
        <f>IF(AQ171="1",BI171,0)</f>
        <v>0</v>
      </c>
      <c r="AD171" s="68">
        <f>IF(AQ171="7",BH171,0)</f>
        <v>0</v>
      </c>
      <c r="AE171" s="68">
        <f>IF(AQ171="7",BI171,0)</f>
        <v>0</v>
      </c>
      <c r="AF171" s="68">
        <f>IF(AQ171="2",BH171,0)</f>
        <v>0</v>
      </c>
      <c r="AG171" s="68">
        <f>IF(AQ171="2",BI171,0)</f>
        <v>0</v>
      </c>
      <c r="AH171" s="68">
        <f>IF(AQ171="0",BJ171,0)</f>
        <v>0</v>
      </c>
      <c r="AI171" s="60"/>
      <c r="AJ171" s="50">
        <f>IF(AN171=0,K171,0)</f>
        <v>0</v>
      </c>
      <c r="AK171" s="50">
        <f>IF(AN171=15,K171,0)</f>
        <v>0</v>
      </c>
      <c r="AL171" s="50">
        <f>IF(AN171=21,K171,0)</f>
        <v>0</v>
      </c>
      <c r="AN171" s="68">
        <v>15</v>
      </c>
      <c r="AO171" s="68">
        <f>H171*0</f>
        <v>0</v>
      </c>
      <c r="AP171" s="68">
        <f>H171*(1-0)</f>
        <v>0</v>
      </c>
      <c r="AQ171" s="69" t="s">
        <v>80</v>
      </c>
      <c r="AV171" s="68">
        <f>AW171+AX171</f>
        <v>0</v>
      </c>
      <c r="AW171" s="68">
        <f>G171*AO171</f>
        <v>0</v>
      </c>
      <c r="AX171" s="68">
        <f>G171*AP171</f>
        <v>0</v>
      </c>
      <c r="AY171" s="71" t="s">
        <v>637</v>
      </c>
      <c r="AZ171" s="71" t="s">
        <v>654</v>
      </c>
      <c r="BA171" s="60" t="s">
        <v>657</v>
      </c>
      <c r="BC171" s="68">
        <f>AW171+AX171</f>
        <v>0</v>
      </c>
      <c r="BD171" s="68">
        <f>H171/(100-BE171)*100</f>
        <v>0</v>
      </c>
      <c r="BE171" s="68">
        <v>0</v>
      </c>
      <c r="BF171" s="68">
        <f>M171</f>
        <v>0</v>
      </c>
      <c r="BH171" s="50">
        <f>G171*AO171</f>
        <v>0</v>
      </c>
      <c r="BI171" s="50">
        <f>G171*AP171</f>
        <v>0</v>
      </c>
      <c r="BJ171" s="50">
        <f>G171*H171</f>
        <v>0</v>
      </c>
      <c r="BK171" s="50" t="s">
        <v>662</v>
      </c>
      <c r="BL171" s="68">
        <v>771</v>
      </c>
    </row>
    <row r="172" spans="1:64" ht="12.75">
      <c r="A172" s="83" t="s">
        <v>169</v>
      </c>
      <c r="B172" s="83"/>
      <c r="C172" s="83" t="s">
        <v>311</v>
      </c>
      <c r="D172" s="220" t="s">
        <v>508</v>
      </c>
      <c r="E172" s="221"/>
      <c r="F172" s="83" t="s">
        <v>593</v>
      </c>
      <c r="G172" s="88">
        <v>5.37225</v>
      </c>
      <c r="H172" s="136"/>
      <c r="I172" s="88">
        <f>G172*AO172</f>
        <v>0</v>
      </c>
      <c r="J172" s="88">
        <f>G172*AP172</f>
        <v>0</v>
      </c>
      <c r="K172" s="88">
        <f>G172*H172</f>
        <v>0</v>
      </c>
      <c r="L172" s="88">
        <v>0.00021</v>
      </c>
      <c r="M172" s="88">
        <f>G172*L172</f>
        <v>0.0011281725000000002</v>
      </c>
      <c r="N172" s="78" t="s">
        <v>616</v>
      </c>
      <c r="O172" s="80"/>
      <c r="Z172" s="68">
        <f>IF(AQ172="5",BJ172,0)</f>
        <v>0</v>
      </c>
      <c r="AB172" s="68">
        <f>IF(AQ172="1",BH172,0)</f>
        <v>0</v>
      </c>
      <c r="AC172" s="68">
        <f>IF(AQ172="1",BI172,0)</f>
        <v>0</v>
      </c>
      <c r="AD172" s="68">
        <f>IF(AQ172="7",BH172,0)</f>
        <v>0</v>
      </c>
      <c r="AE172" s="68">
        <f>IF(AQ172="7",BI172,0)</f>
        <v>0</v>
      </c>
      <c r="AF172" s="68">
        <f>IF(AQ172="2",BH172,0)</f>
        <v>0</v>
      </c>
      <c r="AG172" s="68">
        <f>IF(AQ172="2",BI172,0)</f>
        <v>0</v>
      </c>
      <c r="AH172" s="68">
        <f>IF(AQ172="0",BJ172,0)</f>
        <v>0</v>
      </c>
      <c r="AI172" s="60"/>
      <c r="AJ172" s="50">
        <f>IF(AN172=0,K172,0)</f>
        <v>0</v>
      </c>
      <c r="AK172" s="50">
        <f>IF(AN172=15,K172,0)</f>
        <v>0</v>
      </c>
      <c r="AL172" s="50">
        <f>IF(AN172=21,K172,0)</f>
        <v>0</v>
      </c>
      <c r="AN172" s="68">
        <v>15</v>
      </c>
      <c r="AO172" s="68">
        <f>H172*0.506654619930639</f>
        <v>0</v>
      </c>
      <c r="AP172" s="68">
        <f>H172*(1-0.506654619930639)</f>
        <v>0</v>
      </c>
      <c r="AQ172" s="69" t="s">
        <v>80</v>
      </c>
      <c r="AV172" s="68">
        <f>AW172+AX172</f>
        <v>0</v>
      </c>
      <c r="AW172" s="68">
        <f>G172*AO172</f>
        <v>0</v>
      </c>
      <c r="AX172" s="68">
        <f>G172*AP172</f>
        <v>0</v>
      </c>
      <c r="AY172" s="71" t="s">
        <v>637</v>
      </c>
      <c r="AZ172" s="71" t="s">
        <v>654</v>
      </c>
      <c r="BA172" s="60" t="s">
        <v>657</v>
      </c>
      <c r="BC172" s="68">
        <f>AW172+AX172</f>
        <v>0</v>
      </c>
      <c r="BD172" s="68">
        <f>H172/(100-BE172)*100</f>
        <v>0</v>
      </c>
      <c r="BE172" s="68">
        <v>0</v>
      </c>
      <c r="BF172" s="68">
        <f>M172</f>
        <v>0.0011281725000000002</v>
      </c>
      <c r="BH172" s="50">
        <f>G172*AO172</f>
        <v>0</v>
      </c>
      <c r="BI172" s="50">
        <f>G172*AP172</f>
        <v>0</v>
      </c>
      <c r="BJ172" s="50">
        <f>G172*H172</f>
        <v>0</v>
      </c>
      <c r="BK172" s="50" t="s">
        <v>662</v>
      </c>
      <c r="BL172" s="68">
        <v>771</v>
      </c>
    </row>
    <row r="173" spans="1:64" ht="12.75">
      <c r="A173" s="101" t="s">
        <v>170</v>
      </c>
      <c r="B173" s="101"/>
      <c r="C173" s="101" t="s">
        <v>312</v>
      </c>
      <c r="D173" s="224" t="s">
        <v>509</v>
      </c>
      <c r="E173" s="225"/>
      <c r="F173" s="101" t="s">
        <v>593</v>
      </c>
      <c r="G173" s="102">
        <v>5.90947</v>
      </c>
      <c r="H173" s="137"/>
      <c r="I173" s="102">
        <f>G173*AO173</f>
        <v>0</v>
      </c>
      <c r="J173" s="102">
        <f>G173*AP173</f>
        <v>0</v>
      </c>
      <c r="K173" s="102">
        <f>G173*H173</f>
        <v>0</v>
      </c>
      <c r="L173" s="102">
        <v>0.0192</v>
      </c>
      <c r="M173" s="102">
        <f>G173*L173</f>
        <v>0.11346182399999999</v>
      </c>
      <c r="N173" s="100" t="s">
        <v>616</v>
      </c>
      <c r="O173" s="80"/>
      <c r="Z173" s="68">
        <f>IF(AQ173="5",BJ173,0)</f>
        <v>0</v>
      </c>
      <c r="AB173" s="68">
        <f>IF(AQ173="1",BH173,0)</f>
        <v>0</v>
      </c>
      <c r="AC173" s="68">
        <f>IF(AQ173="1",BI173,0)</f>
        <v>0</v>
      </c>
      <c r="AD173" s="68">
        <f>IF(AQ173="7",BH173,0)</f>
        <v>0</v>
      </c>
      <c r="AE173" s="68">
        <f>IF(AQ173="7",BI173,0)</f>
        <v>0</v>
      </c>
      <c r="AF173" s="68">
        <f>IF(AQ173="2",BH173,0)</f>
        <v>0</v>
      </c>
      <c r="AG173" s="68">
        <f>IF(AQ173="2",BI173,0)</f>
        <v>0</v>
      </c>
      <c r="AH173" s="68">
        <f>IF(AQ173="0",BJ173,0)</f>
        <v>0</v>
      </c>
      <c r="AI173" s="60"/>
      <c r="AJ173" s="52">
        <f>IF(AN173=0,K173,0)</f>
        <v>0</v>
      </c>
      <c r="AK173" s="52">
        <f>IF(AN173=15,K173,0)</f>
        <v>0</v>
      </c>
      <c r="AL173" s="52">
        <f>IF(AN173=21,K173,0)</f>
        <v>0</v>
      </c>
      <c r="AN173" s="68">
        <v>15</v>
      </c>
      <c r="AO173" s="68">
        <f>H173*1</f>
        <v>0</v>
      </c>
      <c r="AP173" s="68">
        <f>H173*(1-1)</f>
        <v>0</v>
      </c>
      <c r="AQ173" s="70" t="s">
        <v>80</v>
      </c>
      <c r="AV173" s="68">
        <f>AW173+AX173</f>
        <v>0</v>
      </c>
      <c r="AW173" s="68">
        <f>G173*AO173</f>
        <v>0</v>
      </c>
      <c r="AX173" s="68">
        <f>G173*AP173</f>
        <v>0</v>
      </c>
      <c r="AY173" s="71" t="s">
        <v>637</v>
      </c>
      <c r="AZ173" s="71" t="s">
        <v>654</v>
      </c>
      <c r="BA173" s="60" t="s">
        <v>657</v>
      </c>
      <c r="BC173" s="68">
        <f>AW173+AX173</f>
        <v>0</v>
      </c>
      <c r="BD173" s="68">
        <f>H173/(100-BE173)*100</f>
        <v>0</v>
      </c>
      <c r="BE173" s="68">
        <v>0</v>
      </c>
      <c r="BF173" s="68">
        <f>M173</f>
        <v>0.11346182399999999</v>
      </c>
      <c r="BH173" s="52">
        <f>G173*AO173</f>
        <v>0</v>
      </c>
      <c r="BI173" s="52">
        <f>G173*AP173</f>
        <v>0</v>
      </c>
      <c r="BJ173" s="52">
        <f>G173*H173</f>
        <v>0</v>
      </c>
      <c r="BK173" s="52" t="s">
        <v>663</v>
      </c>
      <c r="BL173" s="68">
        <v>771</v>
      </c>
    </row>
    <row r="174" spans="1:15" ht="12.75">
      <c r="A174" s="90"/>
      <c r="B174" s="91"/>
      <c r="C174" s="91"/>
      <c r="D174" s="92" t="s">
        <v>510</v>
      </c>
      <c r="E174" s="93"/>
      <c r="F174" s="91"/>
      <c r="G174" s="94">
        <v>5.90947</v>
      </c>
      <c r="H174" s="91"/>
      <c r="I174" s="91"/>
      <c r="J174" s="91"/>
      <c r="K174" s="91"/>
      <c r="L174" s="91"/>
      <c r="M174" s="91"/>
      <c r="N174" s="81"/>
      <c r="O174" s="80"/>
    </row>
    <row r="175" spans="1:64" ht="12.75">
      <c r="A175" s="83" t="s">
        <v>171</v>
      </c>
      <c r="B175" s="83"/>
      <c r="C175" s="83" t="s">
        <v>313</v>
      </c>
      <c r="D175" s="220" t="s">
        <v>511</v>
      </c>
      <c r="E175" s="221"/>
      <c r="F175" s="83" t="s">
        <v>596</v>
      </c>
      <c r="G175" s="88">
        <v>0.1</v>
      </c>
      <c r="H175" s="136"/>
      <c r="I175" s="88">
        <f>G175*AO175</f>
        <v>0</v>
      </c>
      <c r="J175" s="88">
        <f>G175*AP175</f>
        <v>0</v>
      </c>
      <c r="K175" s="88">
        <f>G175*H175</f>
        <v>0</v>
      </c>
      <c r="L175" s="88">
        <v>0</v>
      </c>
      <c r="M175" s="88">
        <f>G175*L175</f>
        <v>0</v>
      </c>
      <c r="N175" s="78" t="s">
        <v>616</v>
      </c>
      <c r="O175" s="80"/>
      <c r="Z175" s="68">
        <f>IF(AQ175="5",BJ175,0)</f>
        <v>0</v>
      </c>
      <c r="AB175" s="68">
        <f>IF(AQ175="1",BH175,0)</f>
        <v>0</v>
      </c>
      <c r="AC175" s="68">
        <f>IF(AQ175="1",BI175,0)</f>
        <v>0</v>
      </c>
      <c r="AD175" s="68">
        <f>IF(AQ175="7",BH175,0)</f>
        <v>0</v>
      </c>
      <c r="AE175" s="68">
        <f>IF(AQ175="7",BI175,0)</f>
        <v>0</v>
      </c>
      <c r="AF175" s="68">
        <f>IF(AQ175="2",BH175,0)</f>
        <v>0</v>
      </c>
      <c r="AG175" s="68">
        <f>IF(AQ175="2",BI175,0)</f>
        <v>0</v>
      </c>
      <c r="AH175" s="68">
        <f>IF(AQ175="0",BJ175,0)</f>
        <v>0</v>
      </c>
      <c r="AI175" s="60"/>
      <c r="AJ175" s="50">
        <f>IF(AN175=0,K175,0)</f>
        <v>0</v>
      </c>
      <c r="AK175" s="50">
        <f>IF(AN175=15,K175,0)</f>
        <v>0</v>
      </c>
      <c r="AL175" s="50">
        <f>IF(AN175=21,K175,0)</f>
        <v>0</v>
      </c>
      <c r="AN175" s="68">
        <v>15</v>
      </c>
      <c r="AO175" s="68">
        <f>H175*0</f>
        <v>0</v>
      </c>
      <c r="AP175" s="68">
        <f>H175*(1-0)</f>
        <v>0</v>
      </c>
      <c r="AQ175" s="69" t="s">
        <v>78</v>
      </c>
      <c r="AV175" s="68">
        <f>AW175+AX175</f>
        <v>0</v>
      </c>
      <c r="AW175" s="68">
        <f>G175*AO175</f>
        <v>0</v>
      </c>
      <c r="AX175" s="68">
        <f>G175*AP175</f>
        <v>0</v>
      </c>
      <c r="AY175" s="71" t="s">
        <v>637</v>
      </c>
      <c r="AZ175" s="71" t="s">
        <v>654</v>
      </c>
      <c r="BA175" s="60" t="s">
        <v>657</v>
      </c>
      <c r="BC175" s="68">
        <f>AW175+AX175</f>
        <v>0</v>
      </c>
      <c r="BD175" s="68">
        <f>H175/(100-BE175)*100</f>
        <v>0</v>
      </c>
      <c r="BE175" s="68">
        <v>0</v>
      </c>
      <c r="BF175" s="68">
        <f>M175</f>
        <v>0</v>
      </c>
      <c r="BH175" s="50">
        <f>G175*AO175</f>
        <v>0</v>
      </c>
      <c r="BI175" s="50">
        <f>G175*AP175</f>
        <v>0</v>
      </c>
      <c r="BJ175" s="50">
        <f>G175*H175</f>
        <v>0</v>
      </c>
      <c r="BK175" s="50" t="s">
        <v>662</v>
      </c>
      <c r="BL175" s="68">
        <v>771</v>
      </c>
    </row>
    <row r="176" spans="1:47" ht="12.75">
      <c r="A176" s="122"/>
      <c r="B176" s="123"/>
      <c r="C176" s="123" t="s">
        <v>314</v>
      </c>
      <c r="D176" s="234" t="s">
        <v>512</v>
      </c>
      <c r="E176" s="223"/>
      <c r="F176" s="122" t="s">
        <v>73</v>
      </c>
      <c r="G176" s="122" t="s">
        <v>73</v>
      </c>
      <c r="H176" s="122" t="s">
        <v>73</v>
      </c>
      <c r="I176" s="124">
        <f>SUM(I177:I210)</f>
        <v>0</v>
      </c>
      <c r="J176" s="124">
        <f>SUM(J177:J210)</f>
        <v>0</v>
      </c>
      <c r="K176" s="124">
        <f>SUM(K177:K210)</f>
        <v>0</v>
      </c>
      <c r="L176" s="125"/>
      <c r="M176" s="124">
        <f>SUM(M177:M210)</f>
        <v>0.13613613800000002</v>
      </c>
      <c r="N176" s="121"/>
      <c r="O176" s="80"/>
      <c r="AI176" s="60"/>
      <c r="AS176" s="74">
        <f>SUM(AJ177:AJ210)</f>
        <v>0</v>
      </c>
      <c r="AT176" s="74">
        <f>SUM(AK177:AK210)</f>
        <v>0</v>
      </c>
      <c r="AU176" s="74">
        <f>SUM(AL177:AL210)</f>
        <v>0</v>
      </c>
    </row>
    <row r="177" spans="1:64" ht="12.75">
      <c r="A177" s="83" t="s">
        <v>172</v>
      </c>
      <c r="B177" s="83"/>
      <c r="C177" s="83" t="s">
        <v>315</v>
      </c>
      <c r="D177" s="220" t="s">
        <v>513</v>
      </c>
      <c r="E177" s="221"/>
      <c r="F177" s="83" t="s">
        <v>594</v>
      </c>
      <c r="G177" s="88">
        <v>42.18</v>
      </c>
      <c r="H177" s="136"/>
      <c r="I177" s="88">
        <f>G177*AO177</f>
        <v>0</v>
      </c>
      <c r="J177" s="88">
        <f>G177*AP177</f>
        <v>0</v>
      </c>
      <c r="K177" s="88">
        <f>G177*H177</f>
        <v>0</v>
      </c>
      <c r="L177" s="88">
        <v>8E-05</v>
      </c>
      <c r="M177" s="88">
        <f>G177*L177</f>
        <v>0.0033744</v>
      </c>
      <c r="N177" s="78" t="s">
        <v>616</v>
      </c>
      <c r="O177" s="80"/>
      <c r="Z177" s="68">
        <f>IF(AQ177="5",BJ177,0)</f>
        <v>0</v>
      </c>
      <c r="AB177" s="68">
        <f>IF(AQ177="1",BH177,0)</f>
        <v>0</v>
      </c>
      <c r="AC177" s="68">
        <f>IF(AQ177="1",BI177,0)</f>
        <v>0</v>
      </c>
      <c r="AD177" s="68">
        <f>IF(AQ177="7",BH177,0)</f>
        <v>0</v>
      </c>
      <c r="AE177" s="68">
        <f>IF(AQ177="7",BI177,0)</f>
        <v>0</v>
      </c>
      <c r="AF177" s="68">
        <f>IF(AQ177="2",BH177,0)</f>
        <v>0</v>
      </c>
      <c r="AG177" s="68">
        <f>IF(AQ177="2",BI177,0)</f>
        <v>0</v>
      </c>
      <c r="AH177" s="68">
        <f>IF(AQ177="0",BJ177,0)</f>
        <v>0</v>
      </c>
      <c r="AI177" s="60"/>
      <c r="AJ177" s="50">
        <f>IF(AN177=0,K177,0)</f>
        <v>0</v>
      </c>
      <c r="AK177" s="50">
        <f>IF(AN177=15,K177,0)</f>
        <v>0</v>
      </c>
      <c r="AL177" s="50">
        <f>IF(AN177=21,K177,0)</f>
        <v>0</v>
      </c>
      <c r="AN177" s="68">
        <v>15</v>
      </c>
      <c r="AO177" s="68">
        <f>H177*0</f>
        <v>0</v>
      </c>
      <c r="AP177" s="68">
        <f>H177*(1-0)</f>
        <v>0</v>
      </c>
      <c r="AQ177" s="69" t="s">
        <v>80</v>
      </c>
      <c r="AV177" s="68">
        <f>AW177+AX177</f>
        <v>0</v>
      </c>
      <c r="AW177" s="68">
        <f>G177*AO177</f>
        <v>0</v>
      </c>
      <c r="AX177" s="68">
        <f>G177*AP177</f>
        <v>0</v>
      </c>
      <c r="AY177" s="71" t="s">
        <v>638</v>
      </c>
      <c r="AZ177" s="71" t="s">
        <v>654</v>
      </c>
      <c r="BA177" s="60" t="s">
        <v>657</v>
      </c>
      <c r="BC177" s="68">
        <f>AW177+AX177</f>
        <v>0</v>
      </c>
      <c r="BD177" s="68">
        <f>H177/(100-BE177)*100</f>
        <v>0</v>
      </c>
      <c r="BE177" s="68">
        <v>0</v>
      </c>
      <c r="BF177" s="68">
        <f>M177</f>
        <v>0.0033744</v>
      </c>
      <c r="BH177" s="50">
        <f>G177*AO177</f>
        <v>0</v>
      </c>
      <c r="BI177" s="50">
        <f>G177*AP177</f>
        <v>0</v>
      </c>
      <c r="BJ177" s="50">
        <f>G177*H177</f>
        <v>0</v>
      </c>
      <c r="BK177" s="50" t="s">
        <v>662</v>
      </c>
      <c r="BL177" s="68">
        <v>776</v>
      </c>
    </row>
    <row r="178" spans="1:15" ht="12.75">
      <c r="A178" s="90"/>
      <c r="B178" s="91"/>
      <c r="C178" s="91"/>
      <c r="D178" s="92" t="s">
        <v>378</v>
      </c>
      <c r="E178" s="93"/>
      <c r="F178" s="91"/>
      <c r="G178" s="94">
        <v>0</v>
      </c>
      <c r="H178" s="91"/>
      <c r="I178" s="91"/>
      <c r="J178" s="91"/>
      <c r="K178" s="91"/>
      <c r="L178" s="91"/>
      <c r="M178" s="91"/>
      <c r="N178" s="81"/>
      <c r="O178" s="80"/>
    </row>
    <row r="179" spans="1:15" ht="12.75">
      <c r="A179" s="90"/>
      <c r="B179" s="91"/>
      <c r="C179" s="91"/>
      <c r="D179" s="92" t="s">
        <v>514</v>
      </c>
      <c r="E179" s="93"/>
      <c r="F179" s="91"/>
      <c r="G179" s="94">
        <v>11.36</v>
      </c>
      <c r="H179" s="91"/>
      <c r="I179" s="91"/>
      <c r="J179" s="91"/>
      <c r="K179" s="91"/>
      <c r="L179" s="91"/>
      <c r="M179" s="91"/>
      <c r="N179" s="81"/>
      <c r="O179" s="80"/>
    </row>
    <row r="180" spans="1:15" ht="12.75">
      <c r="A180" s="90"/>
      <c r="B180" s="91"/>
      <c r="C180" s="91"/>
      <c r="D180" s="92" t="s">
        <v>515</v>
      </c>
      <c r="E180" s="93"/>
      <c r="F180" s="91"/>
      <c r="G180" s="94">
        <v>0</v>
      </c>
      <c r="H180" s="91"/>
      <c r="I180" s="91"/>
      <c r="J180" s="91"/>
      <c r="K180" s="91"/>
      <c r="L180" s="91"/>
      <c r="M180" s="91"/>
      <c r="N180" s="81"/>
      <c r="O180" s="80"/>
    </row>
    <row r="181" spans="1:15" ht="12.75">
      <c r="A181" s="90"/>
      <c r="B181" s="91"/>
      <c r="C181" s="91"/>
      <c r="D181" s="92" t="s">
        <v>516</v>
      </c>
      <c r="E181" s="93"/>
      <c r="F181" s="91"/>
      <c r="G181" s="94">
        <v>12.37</v>
      </c>
      <c r="H181" s="91"/>
      <c r="I181" s="91"/>
      <c r="J181" s="91"/>
      <c r="K181" s="91"/>
      <c r="L181" s="91"/>
      <c r="M181" s="91"/>
      <c r="N181" s="81"/>
      <c r="O181" s="80"/>
    </row>
    <row r="182" spans="1:15" ht="12.75">
      <c r="A182" s="90"/>
      <c r="B182" s="91"/>
      <c r="C182" s="91"/>
      <c r="D182" s="92" t="s">
        <v>384</v>
      </c>
      <c r="E182" s="93"/>
      <c r="F182" s="91"/>
      <c r="G182" s="94">
        <v>0</v>
      </c>
      <c r="H182" s="91"/>
      <c r="I182" s="91"/>
      <c r="J182" s="91"/>
      <c r="K182" s="91"/>
      <c r="L182" s="91"/>
      <c r="M182" s="91"/>
      <c r="N182" s="81"/>
      <c r="O182" s="80"/>
    </row>
    <row r="183" spans="1:15" ht="12.75">
      <c r="A183" s="90"/>
      <c r="B183" s="91"/>
      <c r="C183" s="91"/>
      <c r="D183" s="92" t="s">
        <v>517</v>
      </c>
      <c r="E183" s="93"/>
      <c r="F183" s="91"/>
      <c r="G183" s="94">
        <v>18.45</v>
      </c>
      <c r="H183" s="91"/>
      <c r="I183" s="91"/>
      <c r="J183" s="91"/>
      <c r="K183" s="91"/>
      <c r="L183" s="91"/>
      <c r="M183" s="91"/>
      <c r="N183" s="81"/>
      <c r="O183" s="80"/>
    </row>
    <row r="184" spans="1:64" ht="12.75">
      <c r="A184" s="83" t="s">
        <v>173</v>
      </c>
      <c r="B184" s="83"/>
      <c r="C184" s="83" t="s">
        <v>232</v>
      </c>
      <c r="D184" s="220" t="s">
        <v>518</v>
      </c>
      <c r="E184" s="221"/>
      <c r="F184" s="83" t="s">
        <v>593</v>
      </c>
      <c r="G184" s="88">
        <v>38</v>
      </c>
      <c r="H184" s="136"/>
      <c r="I184" s="88">
        <f>G184*AO184</f>
        <v>0</v>
      </c>
      <c r="J184" s="88">
        <f>G184*AP184</f>
        <v>0</v>
      </c>
      <c r="K184" s="88">
        <f>G184*H184</f>
        <v>0</v>
      </c>
      <c r="L184" s="88">
        <v>0</v>
      </c>
      <c r="M184" s="88">
        <f>G184*L184</f>
        <v>0</v>
      </c>
      <c r="N184" s="83" t="s">
        <v>232</v>
      </c>
      <c r="O184" s="80"/>
      <c r="Z184" s="68">
        <f>IF(AQ184="5",BJ184,0)</f>
        <v>0</v>
      </c>
      <c r="AB184" s="68">
        <f>IF(AQ184="1",BH184,0)</f>
        <v>0</v>
      </c>
      <c r="AC184" s="68">
        <f>IF(AQ184="1",BI184,0)</f>
        <v>0</v>
      </c>
      <c r="AD184" s="68">
        <f>IF(AQ184="7",BH184,0)</f>
        <v>0</v>
      </c>
      <c r="AE184" s="68">
        <f>IF(AQ184="7",BI184,0)</f>
        <v>0</v>
      </c>
      <c r="AF184" s="68">
        <f>IF(AQ184="2",BH184,0)</f>
        <v>0</v>
      </c>
      <c r="AG184" s="68">
        <f>IF(AQ184="2",BI184,0)</f>
        <v>0</v>
      </c>
      <c r="AH184" s="68">
        <f>IF(AQ184="0",BJ184,0)</f>
        <v>0</v>
      </c>
      <c r="AI184" s="60"/>
      <c r="AJ184" s="50">
        <f>IF(AN184=0,K184,0)</f>
        <v>0</v>
      </c>
      <c r="AK184" s="50">
        <f>IF(AN184=15,K184,0)</f>
        <v>0</v>
      </c>
      <c r="AL184" s="50">
        <f>IF(AN184=21,K184,0)</f>
        <v>0</v>
      </c>
      <c r="AN184" s="68">
        <v>15</v>
      </c>
      <c r="AO184" s="68">
        <f>H184*0.285411764705882</f>
        <v>0</v>
      </c>
      <c r="AP184" s="68">
        <f>H184*(1-0.285411764705882)</f>
        <v>0</v>
      </c>
      <c r="AQ184" s="69" t="s">
        <v>80</v>
      </c>
      <c r="AV184" s="68">
        <f>AW184+AX184</f>
        <v>0</v>
      </c>
      <c r="AW184" s="68">
        <f>G184*AO184</f>
        <v>0</v>
      </c>
      <c r="AX184" s="68">
        <f>G184*AP184</f>
        <v>0</v>
      </c>
      <c r="AY184" s="71" t="s">
        <v>638</v>
      </c>
      <c r="AZ184" s="71" t="s">
        <v>654</v>
      </c>
      <c r="BA184" s="60" t="s">
        <v>657</v>
      </c>
      <c r="BC184" s="68">
        <f>AW184+AX184</f>
        <v>0</v>
      </c>
      <c r="BD184" s="68">
        <f>H184/(100-BE184)*100</f>
        <v>0</v>
      </c>
      <c r="BE184" s="68">
        <v>0</v>
      </c>
      <c r="BF184" s="68">
        <f>M184</f>
        <v>0</v>
      </c>
      <c r="BH184" s="50">
        <f>G184*AO184</f>
        <v>0</v>
      </c>
      <c r="BI184" s="50">
        <f>G184*AP184</f>
        <v>0</v>
      </c>
      <c r="BJ184" s="50">
        <f>G184*H184</f>
        <v>0</v>
      </c>
      <c r="BK184" s="50" t="s">
        <v>662</v>
      </c>
      <c r="BL184" s="68">
        <v>776</v>
      </c>
    </row>
    <row r="185" spans="1:64" ht="12.75">
      <c r="A185" s="83" t="s">
        <v>174</v>
      </c>
      <c r="B185" s="83"/>
      <c r="C185" s="83" t="s">
        <v>316</v>
      </c>
      <c r="D185" s="220" t="s">
        <v>519</v>
      </c>
      <c r="E185" s="221"/>
      <c r="F185" s="83" t="s">
        <v>593</v>
      </c>
      <c r="G185" s="88">
        <v>38.0086</v>
      </c>
      <c r="H185" s="136"/>
      <c r="I185" s="88">
        <f>G185*AO185</f>
        <v>0</v>
      </c>
      <c r="J185" s="88">
        <f>G185*AP185</f>
        <v>0</v>
      </c>
      <c r="K185" s="88">
        <f>G185*H185</f>
        <v>0</v>
      </c>
      <c r="L185" s="88">
        <v>0.001</v>
      </c>
      <c r="M185" s="88">
        <f>G185*L185</f>
        <v>0.038008600000000003</v>
      </c>
      <c r="N185" s="78" t="s">
        <v>616</v>
      </c>
      <c r="O185" s="80"/>
      <c r="Z185" s="68">
        <f>IF(AQ185="5",BJ185,0)</f>
        <v>0</v>
      </c>
      <c r="AB185" s="68">
        <f>IF(AQ185="1",BH185,0)</f>
        <v>0</v>
      </c>
      <c r="AC185" s="68">
        <f>IF(AQ185="1",BI185,0)</f>
        <v>0</v>
      </c>
      <c r="AD185" s="68">
        <f>IF(AQ185="7",BH185,0)</f>
        <v>0</v>
      </c>
      <c r="AE185" s="68">
        <f>IF(AQ185="7",BI185,0)</f>
        <v>0</v>
      </c>
      <c r="AF185" s="68">
        <f>IF(AQ185="2",BH185,0)</f>
        <v>0</v>
      </c>
      <c r="AG185" s="68">
        <f>IF(AQ185="2",BI185,0)</f>
        <v>0</v>
      </c>
      <c r="AH185" s="68">
        <f>IF(AQ185="0",BJ185,0)</f>
        <v>0</v>
      </c>
      <c r="AI185" s="60"/>
      <c r="AJ185" s="50">
        <f>IF(AN185=0,K185,0)</f>
        <v>0</v>
      </c>
      <c r="AK185" s="50">
        <f>IF(AN185=15,K185,0)</f>
        <v>0</v>
      </c>
      <c r="AL185" s="50">
        <f>IF(AN185=21,K185,0)</f>
        <v>0</v>
      </c>
      <c r="AN185" s="68">
        <v>15</v>
      </c>
      <c r="AO185" s="68">
        <f>H185*0</f>
        <v>0</v>
      </c>
      <c r="AP185" s="68">
        <f>H185*(1-0)</f>
        <v>0</v>
      </c>
      <c r="AQ185" s="69" t="s">
        <v>80</v>
      </c>
      <c r="AV185" s="68">
        <f>AW185+AX185</f>
        <v>0</v>
      </c>
      <c r="AW185" s="68">
        <f>G185*AO185</f>
        <v>0</v>
      </c>
      <c r="AX185" s="68">
        <f>G185*AP185</f>
        <v>0</v>
      </c>
      <c r="AY185" s="71" t="s">
        <v>638</v>
      </c>
      <c r="AZ185" s="71" t="s">
        <v>654</v>
      </c>
      <c r="BA185" s="60" t="s">
        <v>657</v>
      </c>
      <c r="BC185" s="68">
        <f>AW185+AX185</f>
        <v>0</v>
      </c>
      <c r="BD185" s="68">
        <f>H185/(100-BE185)*100</f>
        <v>0</v>
      </c>
      <c r="BE185" s="68">
        <v>0</v>
      </c>
      <c r="BF185" s="68">
        <f>M185</f>
        <v>0.038008600000000003</v>
      </c>
      <c r="BH185" s="50">
        <f>G185*AO185</f>
        <v>0</v>
      </c>
      <c r="BI185" s="50">
        <f>G185*AP185</f>
        <v>0</v>
      </c>
      <c r="BJ185" s="50">
        <f>G185*H185</f>
        <v>0</v>
      </c>
      <c r="BK185" s="50" t="s">
        <v>662</v>
      </c>
      <c r="BL185" s="68">
        <v>776</v>
      </c>
    </row>
    <row r="186" spans="1:15" ht="12.75">
      <c r="A186" s="90"/>
      <c r="B186" s="91"/>
      <c r="C186" s="91"/>
      <c r="D186" s="92" t="s">
        <v>378</v>
      </c>
      <c r="E186" s="93"/>
      <c r="F186" s="91"/>
      <c r="G186" s="94">
        <v>0</v>
      </c>
      <c r="H186" s="91"/>
      <c r="I186" s="91"/>
      <c r="J186" s="91"/>
      <c r="K186" s="91"/>
      <c r="L186" s="91"/>
      <c r="M186" s="91"/>
      <c r="N186" s="81"/>
      <c r="O186" s="80"/>
    </row>
    <row r="187" spans="1:15" ht="12.75">
      <c r="A187" s="90"/>
      <c r="B187" s="91"/>
      <c r="C187" s="91"/>
      <c r="D187" s="92" t="s">
        <v>520</v>
      </c>
      <c r="E187" s="93"/>
      <c r="F187" s="91"/>
      <c r="G187" s="94">
        <v>7.337</v>
      </c>
      <c r="H187" s="91"/>
      <c r="I187" s="91"/>
      <c r="J187" s="91"/>
      <c r="K187" s="91"/>
      <c r="L187" s="91"/>
      <c r="M187" s="91"/>
      <c r="N187" s="81"/>
      <c r="O187" s="80"/>
    </row>
    <row r="188" spans="1:15" ht="12.75">
      <c r="A188" s="90"/>
      <c r="B188" s="91"/>
      <c r="C188" s="91"/>
      <c r="D188" s="92" t="s">
        <v>515</v>
      </c>
      <c r="E188" s="93"/>
      <c r="F188" s="91"/>
      <c r="G188" s="94">
        <v>0</v>
      </c>
      <c r="H188" s="91"/>
      <c r="I188" s="91"/>
      <c r="J188" s="91"/>
      <c r="K188" s="91"/>
      <c r="L188" s="91"/>
      <c r="M188" s="91"/>
      <c r="N188" s="81"/>
      <c r="O188" s="80"/>
    </row>
    <row r="189" spans="1:15" ht="12.75">
      <c r="A189" s="90"/>
      <c r="B189" s="91"/>
      <c r="C189" s="91"/>
      <c r="D189" s="92" t="s">
        <v>521</v>
      </c>
      <c r="E189" s="93"/>
      <c r="F189" s="91"/>
      <c r="G189" s="94">
        <v>9.6127</v>
      </c>
      <c r="H189" s="91"/>
      <c r="I189" s="91"/>
      <c r="J189" s="91"/>
      <c r="K189" s="91"/>
      <c r="L189" s="91"/>
      <c r="M189" s="91"/>
      <c r="N189" s="81"/>
      <c r="O189" s="80"/>
    </row>
    <row r="190" spans="1:15" ht="12.75">
      <c r="A190" s="90"/>
      <c r="B190" s="91"/>
      <c r="C190" s="91"/>
      <c r="D190" s="92" t="s">
        <v>384</v>
      </c>
      <c r="E190" s="93"/>
      <c r="F190" s="91"/>
      <c r="G190" s="94">
        <v>0</v>
      </c>
      <c r="H190" s="91"/>
      <c r="I190" s="91"/>
      <c r="J190" s="91"/>
      <c r="K190" s="91"/>
      <c r="L190" s="91"/>
      <c r="M190" s="91"/>
      <c r="N190" s="81"/>
      <c r="O190" s="80"/>
    </row>
    <row r="191" spans="1:15" ht="12.75">
      <c r="A191" s="90"/>
      <c r="B191" s="91"/>
      <c r="C191" s="91"/>
      <c r="D191" s="92" t="s">
        <v>522</v>
      </c>
      <c r="E191" s="93"/>
      <c r="F191" s="91"/>
      <c r="G191" s="94">
        <v>21.0589</v>
      </c>
      <c r="H191" s="91"/>
      <c r="I191" s="91"/>
      <c r="J191" s="91"/>
      <c r="K191" s="91"/>
      <c r="L191" s="91"/>
      <c r="M191" s="91"/>
      <c r="N191" s="81"/>
      <c r="O191" s="80"/>
    </row>
    <row r="192" spans="1:64" ht="12.75">
      <c r="A192" s="83" t="s">
        <v>175</v>
      </c>
      <c r="B192" s="83"/>
      <c r="C192" s="83" t="s">
        <v>317</v>
      </c>
      <c r="D192" s="220" t="s">
        <v>523</v>
      </c>
      <c r="E192" s="221"/>
      <c r="F192" s="83" t="s">
        <v>594</v>
      </c>
      <c r="G192" s="88">
        <v>36.7</v>
      </c>
      <c r="H192" s="136"/>
      <c r="I192" s="88">
        <f>G192*AO192</f>
        <v>0</v>
      </c>
      <c r="J192" s="88">
        <f>G192*AP192</f>
        <v>0</v>
      </c>
      <c r="K192" s="88">
        <f>G192*H192</f>
        <v>0</v>
      </c>
      <c r="L192" s="88">
        <v>8E-05</v>
      </c>
      <c r="M192" s="88">
        <f>G192*L192</f>
        <v>0.0029360000000000007</v>
      </c>
      <c r="N192" s="78" t="s">
        <v>616</v>
      </c>
      <c r="O192" s="80"/>
      <c r="Z192" s="68">
        <f>IF(AQ192="5",BJ192,0)</f>
        <v>0</v>
      </c>
      <c r="AB192" s="68">
        <f>IF(AQ192="1",BH192,0)</f>
        <v>0</v>
      </c>
      <c r="AC192" s="68">
        <f>IF(AQ192="1",BI192,0)</f>
        <v>0</v>
      </c>
      <c r="AD192" s="68">
        <f>IF(AQ192="7",BH192,0)</f>
        <v>0</v>
      </c>
      <c r="AE192" s="68">
        <f>IF(AQ192="7",BI192,0)</f>
        <v>0</v>
      </c>
      <c r="AF192" s="68">
        <f>IF(AQ192="2",BH192,0)</f>
        <v>0</v>
      </c>
      <c r="AG192" s="68">
        <f>IF(AQ192="2",BI192,0)</f>
        <v>0</v>
      </c>
      <c r="AH192" s="68">
        <f>IF(AQ192="0",BJ192,0)</f>
        <v>0</v>
      </c>
      <c r="AI192" s="60"/>
      <c r="AJ192" s="50">
        <f>IF(AN192=0,K192,0)</f>
        <v>0</v>
      </c>
      <c r="AK192" s="50">
        <f>IF(AN192=15,K192,0)</f>
        <v>0</v>
      </c>
      <c r="AL192" s="50">
        <f>IF(AN192=21,K192,0)</f>
        <v>0</v>
      </c>
      <c r="AN192" s="68">
        <v>15</v>
      </c>
      <c r="AO192" s="68">
        <f>H192*0.322</f>
        <v>0</v>
      </c>
      <c r="AP192" s="68">
        <f>H192*(1-0.322)</f>
        <v>0</v>
      </c>
      <c r="AQ192" s="69" t="s">
        <v>80</v>
      </c>
      <c r="AV192" s="68">
        <f>AW192+AX192</f>
        <v>0</v>
      </c>
      <c r="AW192" s="68">
        <f>G192*AO192</f>
        <v>0</v>
      </c>
      <c r="AX192" s="68">
        <f>G192*AP192</f>
        <v>0</v>
      </c>
      <c r="AY192" s="71" t="s">
        <v>638</v>
      </c>
      <c r="AZ192" s="71" t="s">
        <v>654</v>
      </c>
      <c r="BA192" s="60" t="s">
        <v>657</v>
      </c>
      <c r="BC192" s="68">
        <f>AW192+AX192</f>
        <v>0</v>
      </c>
      <c r="BD192" s="68">
        <f>H192/(100-BE192)*100</f>
        <v>0</v>
      </c>
      <c r="BE192" s="68">
        <v>0</v>
      </c>
      <c r="BF192" s="68">
        <f>M192</f>
        <v>0.0029360000000000007</v>
      </c>
      <c r="BH192" s="50">
        <f>G192*AO192</f>
        <v>0</v>
      </c>
      <c r="BI192" s="50">
        <f>G192*AP192</f>
        <v>0</v>
      </c>
      <c r="BJ192" s="50">
        <f>G192*H192</f>
        <v>0</v>
      </c>
      <c r="BK192" s="50" t="s">
        <v>662</v>
      </c>
      <c r="BL192" s="68">
        <v>776</v>
      </c>
    </row>
    <row r="193" spans="1:15" ht="12.75">
      <c r="A193" s="90"/>
      <c r="B193" s="91"/>
      <c r="C193" s="91"/>
      <c r="D193" s="92" t="s">
        <v>378</v>
      </c>
      <c r="E193" s="93"/>
      <c r="F193" s="91"/>
      <c r="G193" s="94">
        <v>0</v>
      </c>
      <c r="H193" s="91"/>
      <c r="I193" s="91"/>
      <c r="J193" s="91"/>
      <c r="K193" s="91"/>
      <c r="L193" s="91"/>
      <c r="M193" s="91"/>
      <c r="N193" s="81"/>
      <c r="O193" s="80"/>
    </row>
    <row r="194" spans="1:15" ht="12.75">
      <c r="A194" s="90"/>
      <c r="B194" s="91"/>
      <c r="C194" s="91"/>
      <c r="D194" s="92" t="s">
        <v>524</v>
      </c>
      <c r="E194" s="93"/>
      <c r="F194" s="91"/>
      <c r="G194" s="94">
        <v>5.3</v>
      </c>
      <c r="H194" s="91"/>
      <c r="I194" s="91"/>
      <c r="J194" s="91"/>
      <c r="K194" s="91"/>
      <c r="L194" s="91"/>
      <c r="M194" s="91"/>
      <c r="N194" s="81"/>
      <c r="O194" s="80"/>
    </row>
    <row r="195" spans="1:15" ht="12.75">
      <c r="A195" s="90"/>
      <c r="B195" s="91"/>
      <c r="C195" s="91"/>
      <c r="D195" s="92" t="s">
        <v>382</v>
      </c>
      <c r="E195" s="93"/>
      <c r="F195" s="91"/>
      <c r="G195" s="94">
        <v>0</v>
      </c>
      <c r="H195" s="91"/>
      <c r="I195" s="91"/>
      <c r="J195" s="91"/>
      <c r="K195" s="91"/>
      <c r="L195" s="91"/>
      <c r="M195" s="91"/>
      <c r="N195" s="81"/>
      <c r="O195" s="80"/>
    </row>
    <row r="196" spans="1:15" ht="12.75">
      <c r="A196" s="90"/>
      <c r="B196" s="91"/>
      <c r="C196" s="91"/>
      <c r="D196" s="92" t="s">
        <v>525</v>
      </c>
      <c r="E196" s="93"/>
      <c r="F196" s="91"/>
      <c r="G196" s="94">
        <v>12.15</v>
      </c>
      <c r="H196" s="91"/>
      <c r="I196" s="91"/>
      <c r="J196" s="91"/>
      <c r="K196" s="91"/>
      <c r="L196" s="91"/>
      <c r="M196" s="91"/>
      <c r="N196" s="81"/>
      <c r="O196" s="80"/>
    </row>
    <row r="197" spans="1:15" ht="12.75">
      <c r="A197" s="90"/>
      <c r="B197" s="91"/>
      <c r="C197" s="91"/>
      <c r="D197" s="92" t="s">
        <v>384</v>
      </c>
      <c r="E197" s="93"/>
      <c r="F197" s="91"/>
      <c r="G197" s="94">
        <v>0</v>
      </c>
      <c r="H197" s="91"/>
      <c r="I197" s="91"/>
      <c r="J197" s="91"/>
      <c r="K197" s="91"/>
      <c r="L197" s="91"/>
      <c r="M197" s="91"/>
      <c r="N197" s="81"/>
      <c r="O197" s="80"/>
    </row>
    <row r="198" spans="1:15" ht="12.75">
      <c r="A198" s="90"/>
      <c r="B198" s="91"/>
      <c r="C198" s="91"/>
      <c r="D198" s="92" t="s">
        <v>526</v>
      </c>
      <c r="E198" s="93"/>
      <c r="F198" s="91"/>
      <c r="G198" s="94">
        <v>19.25</v>
      </c>
      <c r="H198" s="91"/>
      <c r="I198" s="91"/>
      <c r="J198" s="91"/>
      <c r="K198" s="91"/>
      <c r="L198" s="91"/>
      <c r="M198" s="91"/>
      <c r="N198" s="81"/>
      <c r="O198" s="80"/>
    </row>
    <row r="199" spans="1:64" ht="12.75">
      <c r="A199" s="83" t="s">
        <v>176</v>
      </c>
      <c r="B199" s="83"/>
      <c r="C199" s="83" t="s">
        <v>318</v>
      </c>
      <c r="D199" s="220" t="s">
        <v>527</v>
      </c>
      <c r="E199" s="221"/>
      <c r="F199" s="83" t="s">
        <v>593</v>
      </c>
      <c r="G199" s="88">
        <v>35.5846</v>
      </c>
      <c r="H199" s="136"/>
      <c r="I199" s="88">
        <f>G199*AO199</f>
        <v>0</v>
      </c>
      <c r="J199" s="88">
        <f>G199*AP199</f>
        <v>0</v>
      </c>
      <c r="K199" s="88">
        <f>G199*H199</f>
        <v>0</v>
      </c>
      <c r="L199" s="88">
        <v>0.00053</v>
      </c>
      <c r="M199" s="88">
        <f>G199*L199</f>
        <v>0.018859838</v>
      </c>
      <c r="N199" s="78" t="s">
        <v>616</v>
      </c>
      <c r="O199" s="80"/>
      <c r="Z199" s="68">
        <f>IF(AQ199="5",BJ199,0)</f>
        <v>0</v>
      </c>
      <c r="AB199" s="68">
        <f>IF(AQ199="1",BH199,0)</f>
        <v>0</v>
      </c>
      <c r="AC199" s="68">
        <f>IF(AQ199="1",BI199,0)</f>
        <v>0</v>
      </c>
      <c r="AD199" s="68">
        <f>IF(AQ199="7",BH199,0)</f>
        <v>0</v>
      </c>
      <c r="AE199" s="68">
        <f>IF(AQ199="7",BI199,0)</f>
        <v>0</v>
      </c>
      <c r="AF199" s="68">
        <f>IF(AQ199="2",BH199,0)</f>
        <v>0</v>
      </c>
      <c r="AG199" s="68">
        <f>IF(AQ199="2",BI199,0)</f>
        <v>0</v>
      </c>
      <c r="AH199" s="68">
        <f>IF(AQ199="0",BJ199,0)</f>
        <v>0</v>
      </c>
      <c r="AI199" s="60"/>
      <c r="AJ199" s="50">
        <f>IF(AN199=0,K199,0)</f>
        <v>0</v>
      </c>
      <c r="AK199" s="50">
        <f>IF(AN199=15,K199,0)</f>
        <v>0</v>
      </c>
      <c r="AL199" s="50">
        <f>IF(AN199=21,K199,0)</f>
        <v>0</v>
      </c>
      <c r="AN199" s="68">
        <v>15</v>
      </c>
      <c r="AO199" s="68">
        <f>H199*0.410991053421741</f>
        <v>0</v>
      </c>
      <c r="AP199" s="68">
        <f>H199*(1-0.410991053421741)</f>
        <v>0</v>
      </c>
      <c r="AQ199" s="69" t="s">
        <v>80</v>
      </c>
      <c r="AV199" s="68">
        <f>AW199+AX199</f>
        <v>0</v>
      </c>
      <c r="AW199" s="68">
        <f>G199*AO199</f>
        <v>0</v>
      </c>
      <c r="AX199" s="68">
        <f>G199*AP199</f>
        <v>0</v>
      </c>
      <c r="AY199" s="71" t="s">
        <v>638</v>
      </c>
      <c r="AZ199" s="71" t="s">
        <v>654</v>
      </c>
      <c r="BA199" s="60" t="s">
        <v>657</v>
      </c>
      <c r="BC199" s="68">
        <f>AW199+AX199</f>
        <v>0</v>
      </c>
      <c r="BD199" s="68">
        <f>H199/(100-BE199)*100</f>
        <v>0</v>
      </c>
      <c r="BE199" s="68">
        <v>0</v>
      </c>
      <c r="BF199" s="68">
        <f>M199</f>
        <v>0.018859838</v>
      </c>
      <c r="BH199" s="50">
        <f>G199*AO199</f>
        <v>0</v>
      </c>
      <c r="BI199" s="50">
        <f>G199*AP199</f>
        <v>0</v>
      </c>
      <c r="BJ199" s="50">
        <f>G199*H199</f>
        <v>0</v>
      </c>
      <c r="BK199" s="50" t="s">
        <v>662</v>
      </c>
      <c r="BL199" s="68">
        <v>776</v>
      </c>
    </row>
    <row r="200" spans="1:15" ht="12.75">
      <c r="A200" s="90"/>
      <c r="B200" s="91"/>
      <c r="C200" s="91"/>
      <c r="D200" s="92" t="s">
        <v>528</v>
      </c>
      <c r="E200" s="93"/>
      <c r="F200" s="91"/>
      <c r="G200" s="94">
        <v>0</v>
      </c>
      <c r="H200" s="91"/>
      <c r="I200" s="91"/>
      <c r="J200" s="91"/>
      <c r="K200" s="91"/>
      <c r="L200" s="91"/>
      <c r="M200" s="91"/>
      <c r="N200" s="81"/>
      <c r="O200" s="80"/>
    </row>
    <row r="201" spans="1:15" ht="12.75">
      <c r="A201" s="90"/>
      <c r="B201" s="91"/>
      <c r="C201" s="91"/>
      <c r="D201" s="92" t="s">
        <v>379</v>
      </c>
      <c r="E201" s="93"/>
      <c r="F201" s="91"/>
      <c r="G201" s="94">
        <v>3.99</v>
      </c>
      <c r="H201" s="91"/>
      <c r="I201" s="91"/>
      <c r="J201" s="91"/>
      <c r="K201" s="91"/>
      <c r="L201" s="91"/>
      <c r="M201" s="91"/>
      <c r="N201" s="81"/>
      <c r="O201" s="80"/>
    </row>
    <row r="202" spans="1:15" ht="12.75">
      <c r="A202" s="90"/>
      <c r="B202" s="91"/>
      <c r="C202" s="91"/>
      <c r="D202" s="92" t="s">
        <v>515</v>
      </c>
      <c r="E202" s="93"/>
      <c r="F202" s="91"/>
      <c r="G202" s="94">
        <v>0</v>
      </c>
      <c r="H202" s="91"/>
      <c r="I202" s="91"/>
      <c r="J202" s="91"/>
      <c r="K202" s="91"/>
      <c r="L202" s="91"/>
      <c r="M202" s="91"/>
      <c r="N202" s="81"/>
      <c r="O202" s="80"/>
    </row>
    <row r="203" spans="1:15" ht="12.75">
      <c r="A203" s="90"/>
      <c r="B203" s="91"/>
      <c r="C203" s="91"/>
      <c r="D203" s="92" t="s">
        <v>529</v>
      </c>
      <c r="E203" s="93"/>
      <c r="F203" s="91"/>
      <c r="G203" s="94">
        <v>10.4319</v>
      </c>
      <c r="H203" s="91"/>
      <c r="I203" s="91"/>
      <c r="J203" s="91"/>
      <c r="K203" s="91"/>
      <c r="L203" s="91"/>
      <c r="M203" s="91"/>
      <c r="N203" s="81"/>
      <c r="O203" s="80"/>
    </row>
    <row r="204" spans="1:15" ht="12.75">
      <c r="A204" s="90"/>
      <c r="B204" s="91"/>
      <c r="C204" s="91"/>
      <c r="D204" s="92" t="s">
        <v>384</v>
      </c>
      <c r="E204" s="93"/>
      <c r="F204" s="91"/>
      <c r="G204" s="94">
        <v>0</v>
      </c>
      <c r="H204" s="91"/>
      <c r="I204" s="91"/>
      <c r="J204" s="91"/>
      <c r="K204" s="91"/>
      <c r="L204" s="91"/>
      <c r="M204" s="91"/>
      <c r="N204" s="81"/>
      <c r="O204" s="80"/>
    </row>
    <row r="205" spans="1:15" ht="12.75">
      <c r="A205" s="90"/>
      <c r="B205" s="91"/>
      <c r="C205" s="91"/>
      <c r="D205" s="92" t="s">
        <v>530</v>
      </c>
      <c r="E205" s="93"/>
      <c r="F205" s="91"/>
      <c r="G205" s="94">
        <v>21.1627</v>
      </c>
      <c r="H205" s="91"/>
      <c r="I205" s="91"/>
      <c r="J205" s="91"/>
      <c r="K205" s="91"/>
      <c r="L205" s="91"/>
      <c r="M205" s="91"/>
      <c r="N205" s="81"/>
      <c r="O205" s="80"/>
    </row>
    <row r="206" spans="1:64" ht="12.75">
      <c r="A206" s="101" t="s">
        <v>177</v>
      </c>
      <c r="B206" s="101"/>
      <c r="C206" s="101" t="s">
        <v>319</v>
      </c>
      <c r="D206" s="224" t="s">
        <v>531</v>
      </c>
      <c r="E206" s="225"/>
      <c r="F206" s="101" t="s">
        <v>593</v>
      </c>
      <c r="G206" s="102">
        <v>39.138</v>
      </c>
      <c r="H206" s="137"/>
      <c r="I206" s="102">
        <f>G206*AO206</f>
        <v>0</v>
      </c>
      <c r="J206" s="102">
        <f>G206*AP206</f>
        <v>0</v>
      </c>
      <c r="K206" s="102">
        <f>G206*H206</f>
        <v>0</v>
      </c>
      <c r="L206" s="102">
        <v>0.00185</v>
      </c>
      <c r="M206" s="102">
        <f>G206*L206</f>
        <v>0.0724053</v>
      </c>
      <c r="N206" s="100" t="s">
        <v>616</v>
      </c>
      <c r="O206" s="80"/>
      <c r="Z206" s="68">
        <f>IF(AQ206="5",BJ206,0)</f>
        <v>0</v>
      </c>
      <c r="AB206" s="68">
        <f>IF(AQ206="1",BH206,0)</f>
        <v>0</v>
      </c>
      <c r="AC206" s="68">
        <f>IF(AQ206="1",BI206,0)</f>
        <v>0</v>
      </c>
      <c r="AD206" s="68">
        <f>IF(AQ206="7",BH206,0)</f>
        <v>0</v>
      </c>
      <c r="AE206" s="68">
        <f>IF(AQ206="7",BI206,0)</f>
        <v>0</v>
      </c>
      <c r="AF206" s="68">
        <f>IF(AQ206="2",BH206,0)</f>
        <v>0</v>
      </c>
      <c r="AG206" s="68">
        <f>IF(AQ206="2",BI206,0)</f>
        <v>0</v>
      </c>
      <c r="AH206" s="68">
        <f>IF(AQ206="0",BJ206,0)</f>
        <v>0</v>
      </c>
      <c r="AI206" s="60"/>
      <c r="AJ206" s="52">
        <f>IF(AN206=0,K206,0)</f>
        <v>0</v>
      </c>
      <c r="AK206" s="52">
        <f>IF(AN206=15,K206,0)</f>
        <v>0</v>
      </c>
      <c r="AL206" s="52">
        <f>IF(AN206=21,K206,0)</f>
        <v>0</v>
      </c>
      <c r="AN206" s="68">
        <v>15</v>
      </c>
      <c r="AO206" s="68">
        <f>H206*1</f>
        <v>0</v>
      </c>
      <c r="AP206" s="68">
        <f>H206*(1-1)</f>
        <v>0</v>
      </c>
      <c r="AQ206" s="70" t="s">
        <v>80</v>
      </c>
      <c r="AV206" s="68">
        <f>AW206+AX206</f>
        <v>0</v>
      </c>
      <c r="AW206" s="68">
        <f>G206*AO206</f>
        <v>0</v>
      </c>
      <c r="AX206" s="68">
        <f>G206*AP206</f>
        <v>0</v>
      </c>
      <c r="AY206" s="71" t="s">
        <v>638</v>
      </c>
      <c r="AZ206" s="71" t="s">
        <v>654</v>
      </c>
      <c r="BA206" s="60" t="s">
        <v>657</v>
      </c>
      <c r="BC206" s="68">
        <f>AW206+AX206</f>
        <v>0</v>
      </c>
      <c r="BD206" s="68">
        <f>H206/(100-BE206)*100</f>
        <v>0</v>
      </c>
      <c r="BE206" s="68">
        <v>0</v>
      </c>
      <c r="BF206" s="68">
        <f>M206</f>
        <v>0.0724053</v>
      </c>
      <c r="BH206" s="52">
        <f>G206*AO206</f>
        <v>0</v>
      </c>
      <c r="BI206" s="52">
        <f>G206*AP206</f>
        <v>0</v>
      </c>
      <c r="BJ206" s="52">
        <f>G206*H206</f>
        <v>0</v>
      </c>
      <c r="BK206" s="52" t="s">
        <v>663</v>
      </c>
      <c r="BL206" s="68">
        <v>776</v>
      </c>
    </row>
    <row r="207" spans="1:15" ht="12.75">
      <c r="A207" s="90"/>
      <c r="B207" s="91"/>
      <c r="C207" s="91"/>
      <c r="D207" s="92" t="s">
        <v>532</v>
      </c>
      <c r="E207" s="93"/>
      <c r="F207" s="91"/>
      <c r="G207" s="94">
        <v>39.138</v>
      </c>
      <c r="H207" s="91"/>
      <c r="I207" s="91"/>
      <c r="J207" s="91"/>
      <c r="K207" s="91"/>
      <c r="L207" s="91"/>
      <c r="M207" s="91"/>
      <c r="N207" s="81"/>
      <c r="O207" s="80"/>
    </row>
    <row r="208" spans="1:64" ht="12.75">
      <c r="A208" s="83" t="s">
        <v>178</v>
      </c>
      <c r="B208" s="83"/>
      <c r="C208" s="83" t="s">
        <v>320</v>
      </c>
      <c r="D208" s="220" t="s">
        <v>533</v>
      </c>
      <c r="E208" s="221"/>
      <c r="F208" s="83" t="s">
        <v>594</v>
      </c>
      <c r="G208" s="88">
        <v>2.4</v>
      </c>
      <c r="H208" s="136"/>
      <c r="I208" s="88">
        <f>G208*AO208</f>
        <v>0</v>
      </c>
      <c r="J208" s="88">
        <f>G208*AP208</f>
        <v>0</v>
      </c>
      <c r="K208" s="88">
        <f>G208*H208</f>
        <v>0</v>
      </c>
      <c r="L208" s="88">
        <v>0</v>
      </c>
      <c r="M208" s="88">
        <f>G208*L208</f>
        <v>0</v>
      </c>
      <c r="N208" s="78" t="s">
        <v>616</v>
      </c>
      <c r="O208" s="80"/>
      <c r="Z208" s="68">
        <f>IF(AQ208="5",BJ208,0)</f>
        <v>0</v>
      </c>
      <c r="AB208" s="68">
        <f>IF(AQ208="1",BH208,0)</f>
        <v>0</v>
      </c>
      <c r="AC208" s="68">
        <f>IF(AQ208="1",BI208,0)</f>
        <v>0</v>
      </c>
      <c r="AD208" s="68">
        <f>IF(AQ208="7",BH208,0)</f>
        <v>0</v>
      </c>
      <c r="AE208" s="68">
        <f>IF(AQ208="7",BI208,0)</f>
        <v>0</v>
      </c>
      <c r="AF208" s="68">
        <f>IF(AQ208="2",BH208,0)</f>
        <v>0</v>
      </c>
      <c r="AG208" s="68">
        <f>IF(AQ208="2",BI208,0)</f>
        <v>0</v>
      </c>
      <c r="AH208" s="68">
        <f>IF(AQ208="0",BJ208,0)</f>
        <v>0</v>
      </c>
      <c r="AI208" s="60"/>
      <c r="AJ208" s="50">
        <f>IF(AN208=0,K208,0)</f>
        <v>0</v>
      </c>
      <c r="AK208" s="50">
        <f>IF(AN208=15,K208,0)</f>
        <v>0</v>
      </c>
      <c r="AL208" s="50">
        <f>IF(AN208=21,K208,0)</f>
        <v>0</v>
      </c>
      <c r="AN208" s="68">
        <v>15</v>
      </c>
      <c r="AO208" s="68">
        <f>H208*0</f>
        <v>0</v>
      </c>
      <c r="AP208" s="68">
        <f>H208*(1-0)</f>
        <v>0</v>
      </c>
      <c r="AQ208" s="69" t="s">
        <v>80</v>
      </c>
      <c r="AV208" s="68">
        <f>AW208+AX208</f>
        <v>0</v>
      </c>
      <c r="AW208" s="68">
        <f>G208*AO208</f>
        <v>0</v>
      </c>
      <c r="AX208" s="68">
        <f>G208*AP208</f>
        <v>0</v>
      </c>
      <c r="AY208" s="71" t="s">
        <v>638</v>
      </c>
      <c r="AZ208" s="71" t="s">
        <v>654</v>
      </c>
      <c r="BA208" s="60" t="s">
        <v>657</v>
      </c>
      <c r="BC208" s="68">
        <f>AW208+AX208</f>
        <v>0</v>
      </c>
      <c r="BD208" s="68">
        <f>H208/(100-BE208)*100</f>
        <v>0</v>
      </c>
      <c r="BE208" s="68">
        <v>0</v>
      </c>
      <c r="BF208" s="68">
        <f>M208</f>
        <v>0</v>
      </c>
      <c r="BH208" s="50">
        <f>G208*AO208</f>
        <v>0</v>
      </c>
      <c r="BI208" s="50">
        <f>G208*AP208</f>
        <v>0</v>
      </c>
      <c r="BJ208" s="50">
        <f>G208*H208</f>
        <v>0</v>
      </c>
      <c r="BK208" s="50" t="s">
        <v>662</v>
      </c>
      <c r="BL208" s="68">
        <v>776</v>
      </c>
    </row>
    <row r="209" spans="1:64" ht="12.75">
      <c r="A209" s="83" t="s">
        <v>179</v>
      </c>
      <c r="B209" s="83"/>
      <c r="C209" s="83" t="s">
        <v>321</v>
      </c>
      <c r="D209" s="220" t="s">
        <v>534</v>
      </c>
      <c r="E209" s="221"/>
      <c r="F209" s="83" t="s">
        <v>594</v>
      </c>
      <c r="G209" s="88">
        <v>2.4</v>
      </c>
      <c r="H209" s="136"/>
      <c r="I209" s="88">
        <f>G209*AO209</f>
        <v>0</v>
      </c>
      <c r="J209" s="88">
        <f>G209*AP209</f>
        <v>0</v>
      </c>
      <c r="K209" s="88">
        <f>G209*H209</f>
        <v>0</v>
      </c>
      <c r="L209" s="88">
        <v>0.00023</v>
      </c>
      <c r="M209" s="88">
        <f>G209*L209</f>
        <v>0.000552</v>
      </c>
      <c r="N209" s="78" t="s">
        <v>616</v>
      </c>
      <c r="O209" s="80"/>
      <c r="Z209" s="68">
        <f>IF(AQ209="5",BJ209,0)</f>
        <v>0</v>
      </c>
      <c r="AB209" s="68">
        <f>IF(AQ209="1",BH209,0)</f>
        <v>0</v>
      </c>
      <c r="AC209" s="68">
        <f>IF(AQ209="1",BI209,0)</f>
        <v>0</v>
      </c>
      <c r="AD209" s="68">
        <f>IF(AQ209="7",BH209,0)</f>
        <v>0</v>
      </c>
      <c r="AE209" s="68">
        <f>IF(AQ209="7",BI209,0)</f>
        <v>0</v>
      </c>
      <c r="AF209" s="68">
        <f>IF(AQ209="2",BH209,0)</f>
        <v>0</v>
      </c>
      <c r="AG209" s="68">
        <f>IF(AQ209="2",BI209,0)</f>
        <v>0</v>
      </c>
      <c r="AH209" s="68">
        <f>IF(AQ209="0",BJ209,0)</f>
        <v>0</v>
      </c>
      <c r="AI209" s="60"/>
      <c r="AJ209" s="50">
        <f>IF(AN209=0,K209,0)</f>
        <v>0</v>
      </c>
      <c r="AK209" s="50">
        <f>IF(AN209=15,K209,0)</f>
        <v>0</v>
      </c>
      <c r="AL209" s="50">
        <f>IF(AN209=21,K209,0)</f>
        <v>0</v>
      </c>
      <c r="AN209" s="68">
        <v>15</v>
      </c>
      <c r="AO209" s="68">
        <f>H209*0.597506925207756</f>
        <v>0</v>
      </c>
      <c r="AP209" s="68">
        <f>H209*(1-0.597506925207756)</f>
        <v>0</v>
      </c>
      <c r="AQ209" s="69" t="s">
        <v>80</v>
      </c>
      <c r="AV209" s="68">
        <f>AW209+AX209</f>
        <v>0</v>
      </c>
      <c r="AW209" s="68">
        <f>G209*AO209</f>
        <v>0</v>
      </c>
      <c r="AX209" s="68">
        <f>G209*AP209</f>
        <v>0</v>
      </c>
      <c r="AY209" s="71" t="s">
        <v>638</v>
      </c>
      <c r="AZ209" s="71" t="s">
        <v>654</v>
      </c>
      <c r="BA209" s="60" t="s">
        <v>657</v>
      </c>
      <c r="BC209" s="68">
        <f>AW209+AX209</f>
        <v>0</v>
      </c>
      <c r="BD209" s="68">
        <f>H209/(100-BE209)*100</f>
        <v>0</v>
      </c>
      <c r="BE209" s="68">
        <v>0</v>
      </c>
      <c r="BF209" s="68">
        <f>M209</f>
        <v>0.000552</v>
      </c>
      <c r="BH209" s="50">
        <f>G209*AO209</f>
        <v>0</v>
      </c>
      <c r="BI209" s="50">
        <f>G209*AP209</f>
        <v>0</v>
      </c>
      <c r="BJ209" s="50">
        <f>G209*H209</f>
        <v>0</v>
      </c>
      <c r="BK209" s="50" t="s">
        <v>662</v>
      </c>
      <c r="BL209" s="68">
        <v>776</v>
      </c>
    </row>
    <row r="210" spans="1:64" ht="12.75">
      <c r="A210" s="83" t="s">
        <v>180</v>
      </c>
      <c r="B210" s="83"/>
      <c r="C210" s="83" t="s">
        <v>322</v>
      </c>
      <c r="D210" s="220" t="s">
        <v>535</v>
      </c>
      <c r="E210" s="221"/>
      <c r="F210" s="83" t="s">
        <v>596</v>
      </c>
      <c r="G210" s="88">
        <v>0.1</v>
      </c>
      <c r="H210" s="136"/>
      <c r="I210" s="88">
        <f>G210*AO210</f>
        <v>0</v>
      </c>
      <c r="J210" s="88">
        <f>G210*AP210</f>
        <v>0</v>
      </c>
      <c r="K210" s="88">
        <f>G210*H210</f>
        <v>0</v>
      </c>
      <c r="L210" s="88">
        <v>0</v>
      </c>
      <c r="M210" s="88">
        <f>G210*L210</f>
        <v>0</v>
      </c>
      <c r="N210" s="78" t="s">
        <v>616</v>
      </c>
      <c r="O210" s="80"/>
      <c r="Z210" s="68">
        <f>IF(AQ210="5",BJ210,0)</f>
        <v>0</v>
      </c>
      <c r="AB210" s="68">
        <f>IF(AQ210="1",BH210,0)</f>
        <v>0</v>
      </c>
      <c r="AC210" s="68">
        <f>IF(AQ210="1",BI210,0)</f>
        <v>0</v>
      </c>
      <c r="AD210" s="68">
        <f>IF(AQ210="7",BH210,0)</f>
        <v>0</v>
      </c>
      <c r="AE210" s="68">
        <f>IF(AQ210="7",BI210,0)</f>
        <v>0</v>
      </c>
      <c r="AF210" s="68">
        <f>IF(AQ210="2",BH210,0)</f>
        <v>0</v>
      </c>
      <c r="AG210" s="68">
        <f>IF(AQ210="2",BI210,0)</f>
        <v>0</v>
      </c>
      <c r="AH210" s="68">
        <f>IF(AQ210="0",BJ210,0)</f>
        <v>0</v>
      </c>
      <c r="AI210" s="60"/>
      <c r="AJ210" s="50">
        <f>IF(AN210=0,K210,0)</f>
        <v>0</v>
      </c>
      <c r="AK210" s="50">
        <f>IF(AN210=15,K210,0)</f>
        <v>0</v>
      </c>
      <c r="AL210" s="50">
        <f>IF(AN210=21,K210,0)</f>
        <v>0</v>
      </c>
      <c r="AN210" s="68">
        <v>15</v>
      </c>
      <c r="AO210" s="68">
        <f>H210*0</f>
        <v>0</v>
      </c>
      <c r="AP210" s="68">
        <f>H210*(1-0)</f>
        <v>0</v>
      </c>
      <c r="AQ210" s="69" t="s">
        <v>78</v>
      </c>
      <c r="AV210" s="68">
        <f>AW210+AX210</f>
        <v>0</v>
      </c>
      <c r="AW210" s="68">
        <f>G210*AO210</f>
        <v>0</v>
      </c>
      <c r="AX210" s="68">
        <f>G210*AP210</f>
        <v>0</v>
      </c>
      <c r="AY210" s="71" t="s">
        <v>638</v>
      </c>
      <c r="AZ210" s="71" t="s">
        <v>654</v>
      </c>
      <c r="BA210" s="60" t="s">
        <v>657</v>
      </c>
      <c r="BC210" s="68">
        <f>AW210+AX210</f>
        <v>0</v>
      </c>
      <c r="BD210" s="68">
        <f>H210/(100-BE210)*100</f>
        <v>0</v>
      </c>
      <c r="BE210" s="68">
        <v>0</v>
      </c>
      <c r="BF210" s="68">
        <f>M210</f>
        <v>0</v>
      </c>
      <c r="BH210" s="50">
        <f>G210*AO210</f>
        <v>0</v>
      </c>
      <c r="BI210" s="50">
        <f>G210*AP210</f>
        <v>0</v>
      </c>
      <c r="BJ210" s="50">
        <f>G210*H210</f>
        <v>0</v>
      </c>
      <c r="BK210" s="50" t="s">
        <v>662</v>
      </c>
      <c r="BL210" s="68">
        <v>776</v>
      </c>
    </row>
    <row r="211" spans="1:47" ht="12.75">
      <c r="A211" s="96"/>
      <c r="B211" s="97"/>
      <c r="C211" s="97" t="s">
        <v>323</v>
      </c>
      <c r="D211" s="222" t="s">
        <v>536</v>
      </c>
      <c r="E211" s="223"/>
      <c r="F211" s="96" t="s">
        <v>73</v>
      </c>
      <c r="G211" s="96" t="s">
        <v>73</v>
      </c>
      <c r="H211" s="96" t="s">
        <v>73</v>
      </c>
      <c r="I211" s="98">
        <f>SUM(I212:I229)</f>
        <v>0</v>
      </c>
      <c r="J211" s="98">
        <f>SUM(J212:J229)</f>
        <v>0</v>
      </c>
      <c r="K211" s="98">
        <f>SUM(K212:K229)</f>
        <v>0</v>
      </c>
      <c r="L211" s="99"/>
      <c r="M211" s="98">
        <f>SUM(M212:M229)</f>
        <v>0.42407094</v>
      </c>
      <c r="N211" s="95"/>
      <c r="O211" s="80"/>
      <c r="AI211" s="60"/>
      <c r="AS211" s="74">
        <f>SUM(AJ212:AJ229)</f>
        <v>0</v>
      </c>
      <c r="AT211" s="74">
        <f>SUM(AK212:AK229)</f>
        <v>0</v>
      </c>
      <c r="AU211" s="74">
        <f>SUM(AL212:AL229)</f>
        <v>0</v>
      </c>
    </row>
    <row r="212" spans="1:64" ht="12.75">
      <c r="A212" s="83" t="s">
        <v>181</v>
      </c>
      <c r="B212" s="83"/>
      <c r="C212" s="83" t="s">
        <v>324</v>
      </c>
      <c r="D212" s="220" t="s">
        <v>537</v>
      </c>
      <c r="E212" s="221"/>
      <c r="F212" s="83" t="s">
        <v>593</v>
      </c>
      <c r="G212" s="88">
        <v>25.076</v>
      </c>
      <c r="H212" s="136"/>
      <c r="I212" s="88">
        <f>G212*AO212</f>
        <v>0</v>
      </c>
      <c r="J212" s="88">
        <f>G212*AP212</f>
        <v>0</v>
      </c>
      <c r="K212" s="88">
        <f>G212*H212</f>
        <v>0</v>
      </c>
      <c r="L212" s="88">
        <v>0.00318</v>
      </c>
      <c r="M212" s="88">
        <f>G212*L212</f>
        <v>0.07974168000000001</v>
      </c>
      <c r="N212" s="78" t="s">
        <v>616</v>
      </c>
      <c r="O212" s="80"/>
      <c r="Z212" s="68">
        <f>IF(AQ212="5",BJ212,0)</f>
        <v>0</v>
      </c>
      <c r="AB212" s="68">
        <f>IF(AQ212="1",BH212,0)</f>
        <v>0</v>
      </c>
      <c r="AC212" s="68">
        <f>IF(AQ212="1",BI212,0)</f>
        <v>0</v>
      </c>
      <c r="AD212" s="68">
        <f>IF(AQ212="7",BH212,0)</f>
        <v>0</v>
      </c>
      <c r="AE212" s="68">
        <f>IF(AQ212="7",BI212,0)</f>
        <v>0</v>
      </c>
      <c r="AF212" s="68">
        <f>IF(AQ212="2",BH212,0)</f>
        <v>0</v>
      </c>
      <c r="AG212" s="68">
        <f>IF(AQ212="2",BI212,0)</f>
        <v>0</v>
      </c>
      <c r="AH212" s="68">
        <f>IF(AQ212="0",BJ212,0)</f>
        <v>0</v>
      </c>
      <c r="AI212" s="60"/>
      <c r="AJ212" s="50">
        <f>IF(AN212=0,K212,0)</f>
        <v>0</v>
      </c>
      <c r="AK212" s="50">
        <f>IF(AN212=15,K212,0)</f>
        <v>0</v>
      </c>
      <c r="AL212" s="50">
        <f>IF(AN212=21,K212,0)</f>
        <v>0</v>
      </c>
      <c r="AN212" s="68">
        <v>15</v>
      </c>
      <c r="AO212" s="68">
        <f>H212*0.101417865723317</f>
        <v>0</v>
      </c>
      <c r="AP212" s="68">
        <f>H212*(1-0.101417865723317)</f>
        <v>0</v>
      </c>
      <c r="AQ212" s="69" t="s">
        <v>80</v>
      </c>
      <c r="AV212" s="68">
        <f>AW212+AX212</f>
        <v>0</v>
      </c>
      <c r="AW212" s="68">
        <f>G212*AO212</f>
        <v>0</v>
      </c>
      <c r="AX212" s="68">
        <f>G212*AP212</f>
        <v>0</v>
      </c>
      <c r="AY212" s="71" t="s">
        <v>639</v>
      </c>
      <c r="AZ212" s="71" t="s">
        <v>655</v>
      </c>
      <c r="BA212" s="60" t="s">
        <v>657</v>
      </c>
      <c r="BC212" s="68">
        <f>AW212+AX212</f>
        <v>0</v>
      </c>
      <c r="BD212" s="68">
        <f>H212/(100-BE212)*100</f>
        <v>0</v>
      </c>
      <c r="BE212" s="68">
        <v>0</v>
      </c>
      <c r="BF212" s="68">
        <f>M212</f>
        <v>0.07974168000000001</v>
      </c>
      <c r="BH212" s="50">
        <f>G212*AO212</f>
        <v>0</v>
      </c>
      <c r="BI212" s="50">
        <f>G212*AP212</f>
        <v>0</v>
      </c>
      <c r="BJ212" s="50">
        <f>G212*H212</f>
        <v>0</v>
      </c>
      <c r="BK212" s="50" t="s">
        <v>662</v>
      </c>
      <c r="BL212" s="68">
        <v>781</v>
      </c>
    </row>
    <row r="213" spans="1:15" ht="12.75">
      <c r="A213" s="90"/>
      <c r="B213" s="91"/>
      <c r="C213" s="91"/>
      <c r="D213" s="92" t="s">
        <v>380</v>
      </c>
      <c r="E213" s="93"/>
      <c r="F213" s="91"/>
      <c r="G213" s="94">
        <v>0</v>
      </c>
      <c r="H213" s="91"/>
      <c r="I213" s="91"/>
      <c r="J213" s="91"/>
      <c r="K213" s="91"/>
      <c r="L213" s="91"/>
      <c r="M213" s="91"/>
      <c r="N213" s="81"/>
      <c r="O213" s="80"/>
    </row>
    <row r="214" spans="1:15" ht="12.75">
      <c r="A214" s="90"/>
      <c r="B214" s="91"/>
      <c r="C214" s="91"/>
      <c r="D214" s="92" t="s">
        <v>538</v>
      </c>
      <c r="E214" s="93"/>
      <c r="F214" s="91"/>
      <c r="G214" s="94">
        <v>19.737</v>
      </c>
      <c r="H214" s="91"/>
      <c r="I214" s="91"/>
      <c r="J214" s="91"/>
      <c r="K214" s="91"/>
      <c r="L214" s="91"/>
      <c r="M214" s="91"/>
      <c r="N214" s="81"/>
      <c r="O214" s="80"/>
    </row>
    <row r="215" spans="1:15" ht="12.75">
      <c r="A215" s="90"/>
      <c r="B215" s="91"/>
      <c r="C215" s="91"/>
      <c r="D215" s="92" t="s">
        <v>539</v>
      </c>
      <c r="E215" s="93"/>
      <c r="F215" s="91"/>
      <c r="G215" s="94">
        <v>0.35</v>
      </c>
      <c r="H215" s="91"/>
      <c r="I215" s="91"/>
      <c r="J215" s="91"/>
      <c r="K215" s="91"/>
      <c r="L215" s="91"/>
      <c r="M215" s="91"/>
      <c r="N215" s="81"/>
      <c r="O215" s="80"/>
    </row>
    <row r="216" spans="1:15" ht="12.75">
      <c r="A216" s="90"/>
      <c r="B216" s="91"/>
      <c r="C216" s="91"/>
      <c r="D216" s="92" t="s">
        <v>382</v>
      </c>
      <c r="E216" s="93"/>
      <c r="F216" s="91"/>
      <c r="G216" s="94">
        <v>0</v>
      </c>
      <c r="H216" s="91"/>
      <c r="I216" s="91"/>
      <c r="J216" s="91"/>
      <c r="K216" s="91"/>
      <c r="L216" s="91"/>
      <c r="M216" s="91"/>
      <c r="N216" s="81"/>
      <c r="O216" s="80"/>
    </row>
    <row r="217" spans="1:15" ht="12.75">
      <c r="A217" s="90"/>
      <c r="B217" s="91"/>
      <c r="C217" s="91"/>
      <c r="D217" s="92" t="s">
        <v>540</v>
      </c>
      <c r="E217" s="93"/>
      <c r="F217" s="91"/>
      <c r="G217" s="94">
        <v>4.989</v>
      </c>
      <c r="H217" s="91"/>
      <c r="I217" s="91"/>
      <c r="J217" s="91"/>
      <c r="K217" s="91"/>
      <c r="L217" s="91"/>
      <c r="M217" s="91"/>
      <c r="N217" s="81"/>
      <c r="O217" s="80"/>
    </row>
    <row r="218" spans="1:64" ht="12.75">
      <c r="A218" s="83" t="s">
        <v>182</v>
      </c>
      <c r="B218" s="83"/>
      <c r="C218" s="83" t="s">
        <v>325</v>
      </c>
      <c r="D218" s="220" t="s">
        <v>541</v>
      </c>
      <c r="E218" s="221"/>
      <c r="F218" s="83" t="s">
        <v>593</v>
      </c>
      <c r="G218" s="88">
        <v>25.076</v>
      </c>
      <c r="H218" s="136"/>
      <c r="I218" s="88">
        <f>G218*AO218</f>
        <v>0</v>
      </c>
      <c r="J218" s="88">
        <f>G218*AP218</f>
        <v>0</v>
      </c>
      <c r="K218" s="88">
        <f>G218*H218</f>
        <v>0</v>
      </c>
      <c r="L218" s="88">
        <v>0</v>
      </c>
      <c r="M218" s="88">
        <f>G218*L218</f>
        <v>0</v>
      </c>
      <c r="N218" s="78" t="s">
        <v>616</v>
      </c>
      <c r="O218" s="80"/>
      <c r="Z218" s="68">
        <f>IF(AQ218="5",BJ218,0)</f>
        <v>0</v>
      </c>
      <c r="AB218" s="68">
        <f>IF(AQ218="1",BH218,0)</f>
        <v>0</v>
      </c>
      <c r="AC218" s="68">
        <f>IF(AQ218="1",BI218,0)</f>
        <v>0</v>
      </c>
      <c r="AD218" s="68">
        <f>IF(AQ218="7",BH218,0)</f>
        <v>0</v>
      </c>
      <c r="AE218" s="68">
        <f>IF(AQ218="7",BI218,0)</f>
        <v>0</v>
      </c>
      <c r="AF218" s="68">
        <f>IF(AQ218="2",BH218,0)</f>
        <v>0</v>
      </c>
      <c r="AG218" s="68">
        <f>IF(AQ218="2",BI218,0)</f>
        <v>0</v>
      </c>
      <c r="AH218" s="68">
        <f>IF(AQ218="0",BJ218,0)</f>
        <v>0</v>
      </c>
      <c r="AI218" s="60"/>
      <c r="AJ218" s="50">
        <f>IF(AN218=0,K218,0)</f>
        <v>0</v>
      </c>
      <c r="AK218" s="50">
        <f>IF(AN218=15,K218,0)</f>
        <v>0</v>
      </c>
      <c r="AL218" s="50">
        <f>IF(AN218=21,K218,0)</f>
        <v>0</v>
      </c>
      <c r="AN218" s="68">
        <v>15</v>
      </c>
      <c r="AO218" s="68">
        <f>H218*0</f>
        <v>0</v>
      </c>
      <c r="AP218" s="68">
        <f>H218*(1-0)</f>
        <v>0</v>
      </c>
      <c r="AQ218" s="69" t="s">
        <v>80</v>
      </c>
      <c r="AV218" s="68">
        <f>AW218+AX218</f>
        <v>0</v>
      </c>
      <c r="AW218" s="68">
        <f>G218*AO218</f>
        <v>0</v>
      </c>
      <c r="AX218" s="68">
        <f>G218*AP218</f>
        <v>0</v>
      </c>
      <c r="AY218" s="71" t="s">
        <v>639</v>
      </c>
      <c r="AZ218" s="71" t="s">
        <v>655</v>
      </c>
      <c r="BA218" s="60" t="s">
        <v>657</v>
      </c>
      <c r="BC218" s="68">
        <f>AW218+AX218</f>
        <v>0</v>
      </c>
      <c r="BD218" s="68">
        <f>H218/(100-BE218)*100</f>
        <v>0</v>
      </c>
      <c r="BE218" s="68">
        <v>0</v>
      </c>
      <c r="BF218" s="68">
        <f>M218</f>
        <v>0</v>
      </c>
      <c r="BH218" s="50">
        <f>G218*AO218</f>
        <v>0</v>
      </c>
      <c r="BI218" s="50">
        <f>G218*AP218</f>
        <v>0</v>
      </c>
      <c r="BJ218" s="50">
        <f>G218*H218</f>
        <v>0</v>
      </c>
      <c r="BK218" s="50" t="s">
        <v>662</v>
      </c>
      <c r="BL218" s="68">
        <v>781</v>
      </c>
    </row>
    <row r="219" spans="1:64" ht="12.75">
      <c r="A219" s="83" t="s">
        <v>183</v>
      </c>
      <c r="B219" s="83"/>
      <c r="C219" s="83" t="s">
        <v>326</v>
      </c>
      <c r="D219" s="220" t="s">
        <v>542</v>
      </c>
      <c r="E219" s="221"/>
      <c r="F219" s="83" t="s">
        <v>593</v>
      </c>
      <c r="G219" s="88">
        <v>25.076</v>
      </c>
      <c r="H219" s="136"/>
      <c r="I219" s="88">
        <f>G219*AO219</f>
        <v>0</v>
      </c>
      <c r="J219" s="88">
        <f>G219*AP219</f>
        <v>0</v>
      </c>
      <c r="K219" s="88">
        <f>G219*H219</f>
        <v>0</v>
      </c>
      <c r="L219" s="88">
        <v>0</v>
      </c>
      <c r="M219" s="88">
        <f>G219*L219</f>
        <v>0</v>
      </c>
      <c r="N219" s="78" t="s">
        <v>616</v>
      </c>
      <c r="O219" s="80"/>
      <c r="Z219" s="68">
        <f>IF(AQ219="5",BJ219,0)</f>
        <v>0</v>
      </c>
      <c r="AB219" s="68">
        <f>IF(AQ219="1",BH219,0)</f>
        <v>0</v>
      </c>
      <c r="AC219" s="68">
        <f>IF(AQ219="1",BI219,0)</f>
        <v>0</v>
      </c>
      <c r="AD219" s="68">
        <f>IF(AQ219="7",BH219,0)</f>
        <v>0</v>
      </c>
      <c r="AE219" s="68">
        <f>IF(AQ219="7",BI219,0)</f>
        <v>0</v>
      </c>
      <c r="AF219" s="68">
        <f>IF(AQ219="2",BH219,0)</f>
        <v>0</v>
      </c>
      <c r="AG219" s="68">
        <f>IF(AQ219="2",BI219,0)</f>
        <v>0</v>
      </c>
      <c r="AH219" s="68">
        <f>IF(AQ219="0",BJ219,0)</f>
        <v>0</v>
      </c>
      <c r="AI219" s="60"/>
      <c r="AJ219" s="50">
        <f>IF(AN219=0,K219,0)</f>
        <v>0</v>
      </c>
      <c r="AK219" s="50">
        <f>IF(AN219=15,K219,0)</f>
        <v>0</v>
      </c>
      <c r="AL219" s="50">
        <f>IF(AN219=21,K219,0)</f>
        <v>0</v>
      </c>
      <c r="AN219" s="68">
        <v>15</v>
      </c>
      <c r="AO219" s="68">
        <f>H219*0</f>
        <v>0</v>
      </c>
      <c r="AP219" s="68">
        <f>H219*(1-0)</f>
        <v>0</v>
      </c>
      <c r="AQ219" s="69" t="s">
        <v>80</v>
      </c>
      <c r="AV219" s="68">
        <f>AW219+AX219</f>
        <v>0</v>
      </c>
      <c r="AW219" s="68">
        <f>G219*AO219</f>
        <v>0</v>
      </c>
      <c r="AX219" s="68">
        <f>G219*AP219</f>
        <v>0</v>
      </c>
      <c r="AY219" s="71" t="s">
        <v>639</v>
      </c>
      <c r="AZ219" s="71" t="s">
        <v>655</v>
      </c>
      <c r="BA219" s="60" t="s">
        <v>657</v>
      </c>
      <c r="BC219" s="68">
        <f>AW219+AX219</f>
        <v>0</v>
      </c>
      <c r="BD219" s="68">
        <f>H219/(100-BE219)*100</f>
        <v>0</v>
      </c>
      <c r="BE219" s="68">
        <v>0</v>
      </c>
      <c r="BF219" s="68">
        <f>M219</f>
        <v>0</v>
      </c>
      <c r="BH219" s="50">
        <f>G219*AO219</f>
        <v>0</v>
      </c>
      <c r="BI219" s="50">
        <f>G219*AP219</f>
        <v>0</v>
      </c>
      <c r="BJ219" s="50">
        <f>G219*H219</f>
        <v>0</v>
      </c>
      <c r="BK219" s="50" t="s">
        <v>662</v>
      </c>
      <c r="BL219" s="68">
        <v>781</v>
      </c>
    </row>
    <row r="220" spans="1:64" ht="12.75">
      <c r="A220" s="101" t="s">
        <v>184</v>
      </c>
      <c r="B220" s="101"/>
      <c r="C220" s="101" t="s">
        <v>327</v>
      </c>
      <c r="D220" s="224" t="s">
        <v>543</v>
      </c>
      <c r="E220" s="225"/>
      <c r="F220" s="101" t="s">
        <v>593</v>
      </c>
      <c r="G220" s="102">
        <v>27.5836</v>
      </c>
      <c r="H220" s="137"/>
      <c r="I220" s="102">
        <f>G220*AO220</f>
        <v>0</v>
      </c>
      <c r="J220" s="102">
        <f>G220*AP220</f>
        <v>0</v>
      </c>
      <c r="K220" s="102">
        <f>G220*H220</f>
        <v>0</v>
      </c>
      <c r="L220" s="102">
        <v>0.0122</v>
      </c>
      <c r="M220" s="102">
        <f>G220*L220</f>
        <v>0.33651992000000003</v>
      </c>
      <c r="N220" s="100" t="s">
        <v>616</v>
      </c>
      <c r="O220" s="80"/>
      <c r="Z220" s="68">
        <f>IF(AQ220="5",BJ220,0)</f>
        <v>0</v>
      </c>
      <c r="AB220" s="68">
        <f>IF(AQ220="1",BH220,0)</f>
        <v>0</v>
      </c>
      <c r="AC220" s="68">
        <f>IF(AQ220="1",BI220,0)</f>
        <v>0</v>
      </c>
      <c r="AD220" s="68">
        <f>IF(AQ220="7",BH220,0)</f>
        <v>0</v>
      </c>
      <c r="AE220" s="68">
        <f>IF(AQ220="7",BI220,0)</f>
        <v>0</v>
      </c>
      <c r="AF220" s="68">
        <f>IF(AQ220="2",BH220,0)</f>
        <v>0</v>
      </c>
      <c r="AG220" s="68">
        <f>IF(AQ220="2",BI220,0)</f>
        <v>0</v>
      </c>
      <c r="AH220" s="68">
        <f>IF(AQ220="0",BJ220,0)</f>
        <v>0</v>
      </c>
      <c r="AI220" s="60"/>
      <c r="AJ220" s="52">
        <f>IF(AN220=0,K220,0)</f>
        <v>0</v>
      </c>
      <c r="AK220" s="52">
        <f>IF(AN220=15,K220,0)</f>
        <v>0</v>
      </c>
      <c r="AL220" s="52">
        <f>IF(AN220=21,K220,0)</f>
        <v>0</v>
      </c>
      <c r="AN220" s="68">
        <v>15</v>
      </c>
      <c r="AO220" s="68">
        <f>H220*1</f>
        <v>0</v>
      </c>
      <c r="AP220" s="68">
        <f>H220*(1-1)</f>
        <v>0</v>
      </c>
      <c r="AQ220" s="70" t="s">
        <v>80</v>
      </c>
      <c r="AV220" s="68">
        <f>AW220+AX220</f>
        <v>0</v>
      </c>
      <c r="AW220" s="68">
        <f>G220*AO220</f>
        <v>0</v>
      </c>
      <c r="AX220" s="68">
        <f>G220*AP220</f>
        <v>0</v>
      </c>
      <c r="AY220" s="71" t="s">
        <v>639</v>
      </c>
      <c r="AZ220" s="71" t="s">
        <v>655</v>
      </c>
      <c r="BA220" s="60" t="s">
        <v>657</v>
      </c>
      <c r="BC220" s="68">
        <f>AW220+AX220</f>
        <v>0</v>
      </c>
      <c r="BD220" s="68">
        <f>H220/(100-BE220)*100</f>
        <v>0</v>
      </c>
      <c r="BE220" s="68">
        <v>0</v>
      </c>
      <c r="BF220" s="68">
        <f>M220</f>
        <v>0.33651992000000003</v>
      </c>
      <c r="BH220" s="52">
        <f>G220*AO220</f>
        <v>0</v>
      </c>
      <c r="BI220" s="52">
        <f>G220*AP220</f>
        <v>0</v>
      </c>
      <c r="BJ220" s="52">
        <f>G220*H220</f>
        <v>0</v>
      </c>
      <c r="BK220" s="52" t="s">
        <v>663</v>
      </c>
      <c r="BL220" s="68">
        <v>781</v>
      </c>
    </row>
    <row r="221" spans="1:15" ht="12.75">
      <c r="A221" s="90"/>
      <c r="B221" s="91"/>
      <c r="C221" s="91"/>
      <c r="D221" s="92" t="s">
        <v>544</v>
      </c>
      <c r="E221" s="93"/>
      <c r="F221" s="91"/>
      <c r="G221" s="94">
        <v>27.5836</v>
      </c>
      <c r="H221" s="91"/>
      <c r="I221" s="91"/>
      <c r="J221" s="91"/>
      <c r="K221" s="91"/>
      <c r="L221" s="91"/>
      <c r="M221" s="91"/>
      <c r="N221" s="81"/>
      <c r="O221" s="80"/>
    </row>
    <row r="222" spans="1:64" ht="12.75">
      <c r="A222" s="83" t="s">
        <v>185</v>
      </c>
      <c r="B222" s="83"/>
      <c r="C222" s="83" t="s">
        <v>328</v>
      </c>
      <c r="D222" s="220" t="s">
        <v>545</v>
      </c>
      <c r="E222" s="221"/>
      <c r="F222" s="83" t="s">
        <v>594</v>
      </c>
      <c r="G222" s="88">
        <v>8</v>
      </c>
      <c r="H222" s="136"/>
      <c r="I222" s="88">
        <f>G222*AO222</f>
        <v>0</v>
      </c>
      <c r="J222" s="88">
        <f>G222*AP222</f>
        <v>0</v>
      </c>
      <c r="K222" s="88">
        <f>G222*H222</f>
        <v>0</v>
      </c>
      <c r="L222" s="88">
        <v>0</v>
      </c>
      <c r="M222" s="88">
        <f>G222*L222</f>
        <v>0</v>
      </c>
      <c r="N222" s="78" t="s">
        <v>616</v>
      </c>
      <c r="O222" s="80"/>
      <c r="Z222" s="68">
        <f>IF(AQ222="5",BJ222,0)</f>
        <v>0</v>
      </c>
      <c r="AB222" s="68">
        <f>IF(AQ222="1",BH222,0)</f>
        <v>0</v>
      </c>
      <c r="AC222" s="68">
        <f>IF(AQ222="1",BI222,0)</f>
        <v>0</v>
      </c>
      <c r="AD222" s="68">
        <f>IF(AQ222="7",BH222,0)</f>
        <v>0</v>
      </c>
      <c r="AE222" s="68">
        <f>IF(AQ222="7",BI222,0)</f>
        <v>0</v>
      </c>
      <c r="AF222" s="68">
        <f>IF(AQ222="2",BH222,0)</f>
        <v>0</v>
      </c>
      <c r="AG222" s="68">
        <f>IF(AQ222="2",BI222,0)</f>
        <v>0</v>
      </c>
      <c r="AH222" s="68">
        <f>IF(AQ222="0",BJ222,0)</f>
        <v>0</v>
      </c>
      <c r="AI222" s="60"/>
      <c r="AJ222" s="50">
        <f>IF(AN222=0,K222,0)</f>
        <v>0</v>
      </c>
      <c r="AK222" s="50">
        <f>IF(AN222=15,K222,0)</f>
        <v>0</v>
      </c>
      <c r="AL222" s="50">
        <f>IF(AN222=21,K222,0)</f>
        <v>0</v>
      </c>
      <c r="AN222" s="68">
        <v>15</v>
      </c>
      <c r="AO222" s="68">
        <f>H222*0.0560496380558428</f>
        <v>0</v>
      </c>
      <c r="AP222" s="68">
        <f>H222*(1-0.0560496380558428)</f>
        <v>0</v>
      </c>
      <c r="AQ222" s="69" t="s">
        <v>80</v>
      </c>
      <c r="AV222" s="68">
        <f>AW222+AX222</f>
        <v>0</v>
      </c>
      <c r="AW222" s="68">
        <f>G222*AO222</f>
        <v>0</v>
      </c>
      <c r="AX222" s="68">
        <f>G222*AP222</f>
        <v>0</v>
      </c>
      <c r="AY222" s="71" t="s">
        <v>639</v>
      </c>
      <c r="AZ222" s="71" t="s">
        <v>655</v>
      </c>
      <c r="BA222" s="60" t="s">
        <v>657</v>
      </c>
      <c r="BC222" s="68">
        <f>AW222+AX222</f>
        <v>0</v>
      </c>
      <c r="BD222" s="68">
        <f>H222/(100-BE222)*100</f>
        <v>0</v>
      </c>
      <c r="BE222" s="68">
        <v>0</v>
      </c>
      <c r="BF222" s="68">
        <f>M222</f>
        <v>0</v>
      </c>
      <c r="BH222" s="50">
        <f>G222*AO222</f>
        <v>0</v>
      </c>
      <c r="BI222" s="50">
        <f>G222*AP222</f>
        <v>0</v>
      </c>
      <c r="BJ222" s="50">
        <f>G222*H222</f>
        <v>0</v>
      </c>
      <c r="BK222" s="50" t="s">
        <v>662</v>
      </c>
      <c r="BL222" s="68">
        <v>781</v>
      </c>
    </row>
    <row r="223" spans="1:64" ht="12.75">
      <c r="A223" s="83" t="s">
        <v>186</v>
      </c>
      <c r="B223" s="83"/>
      <c r="C223" s="83" t="s">
        <v>329</v>
      </c>
      <c r="D223" s="220" t="s">
        <v>546</v>
      </c>
      <c r="E223" s="221"/>
      <c r="F223" s="83" t="s">
        <v>595</v>
      </c>
      <c r="G223" s="88">
        <v>7</v>
      </c>
      <c r="H223" s="136"/>
      <c r="I223" s="88">
        <f>G223*AO223</f>
        <v>0</v>
      </c>
      <c r="J223" s="88">
        <f>G223*AP223</f>
        <v>0</v>
      </c>
      <c r="K223" s="88">
        <f>G223*H223</f>
        <v>0</v>
      </c>
      <c r="L223" s="88">
        <v>0</v>
      </c>
      <c r="M223" s="88">
        <f>G223*L223</f>
        <v>0</v>
      </c>
      <c r="N223" s="78" t="s">
        <v>616</v>
      </c>
      <c r="O223" s="80"/>
      <c r="Z223" s="68">
        <f>IF(AQ223="5",BJ223,0)</f>
        <v>0</v>
      </c>
      <c r="AB223" s="68">
        <f>IF(AQ223="1",BH223,0)</f>
        <v>0</v>
      </c>
      <c r="AC223" s="68">
        <f>IF(AQ223="1",BI223,0)</f>
        <v>0</v>
      </c>
      <c r="AD223" s="68">
        <f>IF(AQ223="7",BH223,0)</f>
        <v>0</v>
      </c>
      <c r="AE223" s="68">
        <f>IF(AQ223="7",BI223,0)</f>
        <v>0</v>
      </c>
      <c r="AF223" s="68">
        <f>IF(AQ223="2",BH223,0)</f>
        <v>0</v>
      </c>
      <c r="AG223" s="68">
        <f>IF(AQ223="2",BI223,0)</f>
        <v>0</v>
      </c>
      <c r="AH223" s="68">
        <f>IF(AQ223="0",BJ223,0)</f>
        <v>0</v>
      </c>
      <c r="AI223" s="60"/>
      <c r="AJ223" s="50">
        <f>IF(AN223=0,K223,0)</f>
        <v>0</v>
      </c>
      <c r="AK223" s="50">
        <f>IF(AN223=15,K223,0)</f>
        <v>0</v>
      </c>
      <c r="AL223" s="50">
        <f>IF(AN223=21,K223,0)</f>
        <v>0</v>
      </c>
      <c r="AN223" s="68">
        <v>15</v>
      </c>
      <c r="AO223" s="68">
        <f>H223*0.0627257799671593</f>
        <v>0</v>
      </c>
      <c r="AP223" s="68">
        <f>H223*(1-0.0627257799671593)</f>
        <v>0</v>
      </c>
      <c r="AQ223" s="69" t="s">
        <v>80</v>
      </c>
      <c r="AV223" s="68">
        <f>AW223+AX223</f>
        <v>0</v>
      </c>
      <c r="AW223" s="68">
        <f>G223*AO223</f>
        <v>0</v>
      </c>
      <c r="AX223" s="68">
        <f>G223*AP223</f>
        <v>0</v>
      </c>
      <c r="AY223" s="71" t="s">
        <v>639</v>
      </c>
      <c r="AZ223" s="71" t="s">
        <v>655</v>
      </c>
      <c r="BA223" s="60" t="s">
        <v>657</v>
      </c>
      <c r="BC223" s="68">
        <f>AW223+AX223</f>
        <v>0</v>
      </c>
      <c r="BD223" s="68">
        <f>H223/(100-BE223)*100</f>
        <v>0</v>
      </c>
      <c r="BE223" s="68">
        <v>0</v>
      </c>
      <c r="BF223" s="68">
        <f>M223</f>
        <v>0</v>
      </c>
      <c r="BH223" s="50">
        <f>G223*AO223</f>
        <v>0</v>
      </c>
      <c r="BI223" s="50">
        <f>G223*AP223</f>
        <v>0</v>
      </c>
      <c r="BJ223" s="50">
        <f>G223*H223</f>
        <v>0</v>
      </c>
      <c r="BK223" s="50" t="s">
        <v>662</v>
      </c>
      <c r="BL223" s="68">
        <v>781</v>
      </c>
    </row>
    <row r="224" spans="1:64" ht="12.75">
      <c r="A224" s="83" t="s">
        <v>187</v>
      </c>
      <c r="B224" s="83"/>
      <c r="C224" s="83" t="s">
        <v>330</v>
      </c>
      <c r="D224" s="220" t="s">
        <v>547</v>
      </c>
      <c r="E224" s="221"/>
      <c r="F224" s="83" t="s">
        <v>594</v>
      </c>
      <c r="G224" s="88">
        <v>32.27</v>
      </c>
      <c r="H224" s="136"/>
      <c r="I224" s="88">
        <f>G224*AO224</f>
        <v>0</v>
      </c>
      <c r="J224" s="88">
        <f>G224*AP224</f>
        <v>0</v>
      </c>
      <c r="K224" s="88">
        <f>G224*H224</f>
        <v>0</v>
      </c>
      <c r="L224" s="88">
        <v>0</v>
      </c>
      <c r="M224" s="88">
        <f>G224*L224</f>
        <v>0</v>
      </c>
      <c r="N224" s="78" t="s">
        <v>616</v>
      </c>
      <c r="O224" s="80"/>
      <c r="Z224" s="68">
        <f>IF(AQ224="5",BJ224,0)</f>
        <v>0</v>
      </c>
      <c r="AB224" s="68">
        <f>IF(AQ224="1",BH224,0)</f>
        <v>0</v>
      </c>
      <c r="AC224" s="68">
        <f>IF(AQ224="1",BI224,0)</f>
        <v>0</v>
      </c>
      <c r="AD224" s="68">
        <f>IF(AQ224="7",BH224,0)</f>
        <v>0</v>
      </c>
      <c r="AE224" s="68">
        <f>IF(AQ224="7",BI224,0)</f>
        <v>0</v>
      </c>
      <c r="AF224" s="68">
        <f>IF(AQ224="2",BH224,0)</f>
        <v>0</v>
      </c>
      <c r="AG224" s="68">
        <f>IF(AQ224="2",BI224,0)</f>
        <v>0</v>
      </c>
      <c r="AH224" s="68">
        <f>IF(AQ224="0",BJ224,0)</f>
        <v>0</v>
      </c>
      <c r="AI224" s="60"/>
      <c r="AJ224" s="50">
        <f>IF(AN224=0,K224,0)</f>
        <v>0</v>
      </c>
      <c r="AK224" s="50">
        <f>IF(AN224=15,K224,0)</f>
        <v>0</v>
      </c>
      <c r="AL224" s="50">
        <f>IF(AN224=21,K224,0)</f>
        <v>0</v>
      </c>
      <c r="AN224" s="68">
        <v>15</v>
      </c>
      <c r="AO224" s="68">
        <f>H224*0</f>
        <v>0</v>
      </c>
      <c r="AP224" s="68">
        <f>H224*(1-0)</f>
        <v>0</v>
      </c>
      <c r="AQ224" s="69" t="s">
        <v>80</v>
      </c>
      <c r="AV224" s="68">
        <f>AW224+AX224</f>
        <v>0</v>
      </c>
      <c r="AW224" s="68">
        <f>G224*AO224</f>
        <v>0</v>
      </c>
      <c r="AX224" s="68">
        <f>G224*AP224</f>
        <v>0</v>
      </c>
      <c r="AY224" s="71" t="s">
        <v>639</v>
      </c>
      <c r="AZ224" s="71" t="s">
        <v>655</v>
      </c>
      <c r="BA224" s="60" t="s">
        <v>657</v>
      </c>
      <c r="BC224" s="68">
        <f>AW224+AX224</f>
        <v>0</v>
      </c>
      <c r="BD224" s="68">
        <f>H224/(100-BE224)*100</f>
        <v>0</v>
      </c>
      <c r="BE224" s="68">
        <v>0</v>
      </c>
      <c r="BF224" s="68">
        <f>M224</f>
        <v>0</v>
      </c>
      <c r="BH224" s="50">
        <f>G224*AO224</f>
        <v>0</v>
      </c>
      <c r="BI224" s="50">
        <f>G224*AP224</f>
        <v>0</v>
      </c>
      <c r="BJ224" s="50">
        <f>G224*H224</f>
        <v>0</v>
      </c>
      <c r="BK224" s="50" t="s">
        <v>662</v>
      </c>
      <c r="BL224" s="68">
        <v>781</v>
      </c>
    </row>
    <row r="225" spans="1:15" ht="12.75">
      <c r="A225" s="90"/>
      <c r="B225" s="91"/>
      <c r="C225" s="91"/>
      <c r="D225" s="92" t="s">
        <v>425</v>
      </c>
      <c r="E225" s="93"/>
      <c r="F225" s="91"/>
      <c r="G225" s="94">
        <v>9.17</v>
      </c>
      <c r="H225" s="91"/>
      <c r="I225" s="91"/>
      <c r="J225" s="91"/>
      <c r="K225" s="91"/>
      <c r="L225" s="91"/>
      <c r="M225" s="91"/>
      <c r="N225" s="81"/>
      <c r="O225" s="80"/>
    </row>
    <row r="226" spans="1:15" ht="12.75">
      <c r="A226" s="90"/>
      <c r="B226" s="91"/>
      <c r="C226" s="91"/>
      <c r="D226" s="92" t="s">
        <v>548</v>
      </c>
      <c r="E226" s="93"/>
      <c r="F226" s="91"/>
      <c r="G226" s="94">
        <v>23.1</v>
      </c>
      <c r="H226" s="91"/>
      <c r="I226" s="91"/>
      <c r="J226" s="91"/>
      <c r="K226" s="91"/>
      <c r="L226" s="91"/>
      <c r="M226" s="91"/>
      <c r="N226" s="81"/>
      <c r="O226" s="80"/>
    </row>
    <row r="227" spans="1:64" ht="12.75">
      <c r="A227" s="101" t="s">
        <v>188</v>
      </c>
      <c r="B227" s="101"/>
      <c r="C227" s="101" t="s">
        <v>331</v>
      </c>
      <c r="D227" s="224" t="s">
        <v>549</v>
      </c>
      <c r="E227" s="225"/>
      <c r="F227" s="101" t="s">
        <v>594</v>
      </c>
      <c r="G227" s="102">
        <v>35.497</v>
      </c>
      <c r="H227" s="137"/>
      <c r="I227" s="102">
        <f>G227*AO227</f>
        <v>0</v>
      </c>
      <c r="J227" s="102">
        <f>G227*AP227</f>
        <v>0</v>
      </c>
      <c r="K227" s="102">
        <f>G227*H227</f>
        <v>0</v>
      </c>
      <c r="L227" s="102">
        <v>0.00022</v>
      </c>
      <c r="M227" s="102">
        <f>G227*L227</f>
        <v>0.0078093400000000006</v>
      </c>
      <c r="N227" s="100" t="s">
        <v>616</v>
      </c>
      <c r="O227" s="80"/>
      <c r="Z227" s="68">
        <f>IF(AQ227="5",BJ227,0)</f>
        <v>0</v>
      </c>
      <c r="AB227" s="68">
        <f>IF(AQ227="1",BH227,0)</f>
        <v>0</v>
      </c>
      <c r="AC227" s="68">
        <f>IF(AQ227="1",BI227,0)</f>
        <v>0</v>
      </c>
      <c r="AD227" s="68">
        <f>IF(AQ227="7",BH227,0)</f>
        <v>0</v>
      </c>
      <c r="AE227" s="68">
        <f>IF(AQ227="7",BI227,0)</f>
        <v>0</v>
      </c>
      <c r="AF227" s="68">
        <f>IF(AQ227="2",BH227,0)</f>
        <v>0</v>
      </c>
      <c r="AG227" s="68">
        <f>IF(AQ227="2",BI227,0)</f>
        <v>0</v>
      </c>
      <c r="AH227" s="68">
        <f>IF(AQ227="0",BJ227,0)</f>
        <v>0</v>
      </c>
      <c r="AI227" s="60"/>
      <c r="AJ227" s="52">
        <f>IF(AN227=0,K227,0)</f>
        <v>0</v>
      </c>
      <c r="AK227" s="52">
        <f>IF(AN227=15,K227,0)</f>
        <v>0</v>
      </c>
      <c r="AL227" s="52">
        <f>IF(AN227=21,K227,0)</f>
        <v>0</v>
      </c>
      <c r="AN227" s="68">
        <v>15</v>
      </c>
      <c r="AO227" s="68">
        <f>H227*1</f>
        <v>0</v>
      </c>
      <c r="AP227" s="68">
        <f>H227*(1-1)</f>
        <v>0</v>
      </c>
      <c r="AQ227" s="70" t="s">
        <v>80</v>
      </c>
      <c r="AV227" s="68">
        <f>AW227+AX227</f>
        <v>0</v>
      </c>
      <c r="AW227" s="68">
        <f>G227*AO227</f>
        <v>0</v>
      </c>
      <c r="AX227" s="68">
        <f>G227*AP227</f>
        <v>0</v>
      </c>
      <c r="AY227" s="71" t="s">
        <v>639</v>
      </c>
      <c r="AZ227" s="71" t="s">
        <v>655</v>
      </c>
      <c r="BA227" s="60" t="s">
        <v>657</v>
      </c>
      <c r="BC227" s="68">
        <f>AW227+AX227</f>
        <v>0</v>
      </c>
      <c r="BD227" s="68">
        <f>H227/(100-BE227)*100</f>
        <v>0</v>
      </c>
      <c r="BE227" s="68">
        <v>0</v>
      </c>
      <c r="BF227" s="68">
        <f>M227</f>
        <v>0.0078093400000000006</v>
      </c>
      <c r="BH227" s="52">
        <f>G227*AO227</f>
        <v>0</v>
      </c>
      <c r="BI227" s="52">
        <f>G227*AP227</f>
        <v>0</v>
      </c>
      <c r="BJ227" s="52">
        <f>G227*H227</f>
        <v>0</v>
      </c>
      <c r="BK227" s="52" t="s">
        <v>663</v>
      </c>
      <c r="BL227" s="68">
        <v>781</v>
      </c>
    </row>
    <row r="228" spans="1:15" ht="12.75">
      <c r="A228" s="90"/>
      <c r="B228" s="91"/>
      <c r="C228" s="91"/>
      <c r="D228" s="92" t="s">
        <v>550</v>
      </c>
      <c r="E228" s="93"/>
      <c r="F228" s="91"/>
      <c r="G228" s="94">
        <v>35.497</v>
      </c>
      <c r="H228" s="91"/>
      <c r="I228" s="91"/>
      <c r="J228" s="91"/>
      <c r="K228" s="91"/>
      <c r="L228" s="91"/>
      <c r="M228" s="91"/>
      <c r="N228" s="81"/>
      <c r="O228" s="80"/>
    </row>
    <row r="229" spans="1:64" ht="12.75">
      <c r="A229" s="83" t="s">
        <v>189</v>
      </c>
      <c r="B229" s="83"/>
      <c r="C229" s="83" t="s">
        <v>332</v>
      </c>
      <c r="D229" s="220" t="s">
        <v>551</v>
      </c>
      <c r="E229" s="221"/>
      <c r="F229" s="83" t="s">
        <v>596</v>
      </c>
      <c r="G229" s="88">
        <v>0.4</v>
      </c>
      <c r="H229" s="136"/>
      <c r="I229" s="88">
        <f>G229*AO229</f>
        <v>0</v>
      </c>
      <c r="J229" s="88">
        <f>G229*AP229</f>
        <v>0</v>
      </c>
      <c r="K229" s="88">
        <f>G229*H229</f>
        <v>0</v>
      </c>
      <c r="L229" s="88">
        <v>0</v>
      </c>
      <c r="M229" s="88">
        <f>G229*L229</f>
        <v>0</v>
      </c>
      <c r="N229" s="78" t="s">
        <v>616</v>
      </c>
      <c r="O229" s="80"/>
      <c r="Z229" s="68">
        <f>IF(AQ229="5",BJ229,0)</f>
        <v>0</v>
      </c>
      <c r="AB229" s="68">
        <f>IF(AQ229="1",BH229,0)</f>
        <v>0</v>
      </c>
      <c r="AC229" s="68">
        <f>IF(AQ229="1",BI229,0)</f>
        <v>0</v>
      </c>
      <c r="AD229" s="68">
        <f>IF(AQ229="7",BH229,0)</f>
        <v>0</v>
      </c>
      <c r="AE229" s="68">
        <f>IF(AQ229="7",BI229,0)</f>
        <v>0</v>
      </c>
      <c r="AF229" s="68">
        <f>IF(AQ229="2",BH229,0)</f>
        <v>0</v>
      </c>
      <c r="AG229" s="68">
        <f>IF(AQ229="2",BI229,0)</f>
        <v>0</v>
      </c>
      <c r="AH229" s="68">
        <f>IF(AQ229="0",BJ229,0)</f>
        <v>0</v>
      </c>
      <c r="AI229" s="60"/>
      <c r="AJ229" s="50">
        <f>IF(AN229=0,K229,0)</f>
        <v>0</v>
      </c>
      <c r="AK229" s="50">
        <f>IF(AN229=15,K229,0)</f>
        <v>0</v>
      </c>
      <c r="AL229" s="50">
        <f>IF(AN229=21,K229,0)</f>
        <v>0</v>
      </c>
      <c r="AN229" s="68">
        <v>15</v>
      </c>
      <c r="AO229" s="68">
        <f>H229*0</f>
        <v>0</v>
      </c>
      <c r="AP229" s="68">
        <f>H229*(1-0)</f>
        <v>0</v>
      </c>
      <c r="AQ229" s="69" t="s">
        <v>78</v>
      </c>
      <c r="AV229" s="68">
        <f>AW229+AX229</f>
        <v>0</v>
      </c>
      <c r="AW229" s="68">
        <f>G229*AO229</f>
        <v>0</v>
      </c>
      <c r="AX229" s="68">
        <f>G229*AP229</f>
        <v>0</v>
      </c>
      <c r="AY229" s="71" t="s">
        <v>639</v>
      </c>
      <c r="AZ229" s="71" t="s">
        <v>655</v>
      </c>
      <c r="BA229" s="60" t="s">
        <v>657</v>
      </c>
      <c r="BC229" s="68">
        <f>AW229+AX229</f>
        <v>0</v>
      </c>
      <c r="BD229" s="68">
        <f>H229/(100-BE229)*100</f>
        <v>0</v>
      </c>
      <c r="BE229" s="68">
        <v>0</v>
      </c>
      <c r="BF229" s="68">
        <f>M229</f>
        <v>0</v>
      </c>
      <c r="BH229" s="50">
        <f>G229*AO229</f>
        <v>0</v>
      </c>
      <c r="BI229" s="50">
        <f>G229*AP229</f>
        <v>0</v>
      </c>
      <c r="BJ229" s="50">
        <f>G229*H229</f>
        <v>0</v>
      </c>
      <c r="BK229" s="50" t="s">
        <v>662</v>
      </c>
      <c r="BL229" s="68">
        <v>781</v>
      </c>
    </row>
    <row r="230" spans="1:47" ht="12.75">
      <c r="A230" s="96"/>
      <c r="B230" s="97"/>
      <c r="C230" s="97" t="s">
        <v>333</v>
      </c>
      <c r="D230" s="222" t="s">
        <v>552</v>
      </c>
      <c r="E230" s="223"/>
      <c r="F230" s="96" t="s">
        <v>73</v>
      </c>
      <c r="G230" s="96" t="s">
        <v>73</v>
      </c>
      <c r="H230" s="96" t="s">
        <v>73</v>
      </c>
      <c r="I230" s="98">
        <f>SUM(I231:I235)</f>
        <v>0</v>
      </c>
      <c r="J230" s="98">
        <f>SUM(J231:J235)</f>
        <v>0</v>
      </c>
      <c r="K230" s="98">
        <f>SUM(K231:K235)</f>
        <v>0</v>
      </c>
      <c r="L230" s="99"/>
      <c r="M230" s="98">
        <f>SUM(M231:M235)</f>
        <v>0.004236</v>
      </c>
      <c r="N230" s="95"/>
      <c r="O230" s="80"/>
      <c r="AI230" s="60"/>
      <c r="AS230" s="74">
        <f>SUM(AJ231:AJ235)</f>
        <v>0</v>
      </c>
      <c r="AT230" s="74">
        <f>SUM(AK231:AK235)</f>
        <v>0</v>
      </c>
      <c r="AU230" s="74">
        <f>SUM(AL231:AL235)</f>
        <v>0</v>
      </c>
    </row>
    <row r="231" spans="1:64" ht="12.75">
      <c r="A231" s="83" t="s">
        <v>190</v>
      </c>
      <c r="B231" s="83"/>
      <c r="C231" s="83" t="s">
        <v>334</v>
      </c>
      <c r="D231" s="220" t="s">
        <v>553</v>
      </c>
      <c r="E231" s="221"/>
      <c r="F231" s="83" t="s">
        <v>593</v>
      </c>
      <c r="G231" s="88">
        <v>4.8</v>
      </c>
      <c r="H231" s="136"/>
      <c r="I231" s="88">
        <f>G231*AO231</f>
        <v>0</v>
      </c>
      <c r="J231" s="88">
        <f>G231*AP231</f>
        <v>0</v>
      </c>
      <c r="K231" s="88">
        <f>G231*H231</f>
        <v>0</v>
      </c>
      <c r="L231" s="88">
        <v>0.00031</v>
      </c>
      <c r="M231" s="88">
        <f>G231*L231</f>
        <v>0.001488</v>
      </c>
      <c r="N231" s="78" t="s">
        <v>616</v>
      </c>
      <c r="O231" s="80"/>
      <c r="Z231" s="68">
        <f>IF(AQ231="5",BJ231,0)</f>
        <v>0</v>
      </c>
      <c r="AB231" s="68">
        <f>IF(AQ231="1",BH231,0)</f>
        <v>0</v>
      </c>
      <c r="AC231" s="68">
        <f>IF(AQ231="1",BI231,0)</f>
        <v>0</v>
      </c>
      <c r="AD231" s="68">
        <f>IF(AQ231="7",BH231,0)</f>
        <v>0</v>
      </c>
      <c r="AE231" s="68">
        <f>IF(AQ231="7",BI231,0)</f>
        <v>0</v>
      </c>
      <c r="AF231" s="68">
        <f>IF(AQ231="2",BH231,0)</f>
        <v>0</v>
      </c>
      <c r="AG231" s="68">
        <f>IF(AQ231="2",BI231,0)</f>
        <v>0</v>
      </c>
      <c r="AH231" s="68">
        <f>IF(AQ231="0",BJ231,0)</f>
        <v>0</v>
      </c>
      <c r="AI231" s="60"/>
      <c r="AJ231" s="50">
        <f>IF(AN231=0,K231,0)</f>
        <v>0</v>
      </c>
      <c r="AK231" s="50">
        <f>IF(AN231=15,K231,0)</f>
        <v>0</v>
      </c>
      <c r="AL231" s="50">
        <f>IF(AN231=21,K231,0)</f>
        <v>0</v>
      </c>
      <c r="AN231" s="68">
        <v>15</v>
      </c>
      <c r="AO231" s="68">
        <f>H231*0.176714579055441</f>
        <v>0</v>
      </c>
      <c r="AP231" s="68">
        <f>H231*(1-0.176714579055441)</f>
        <v>0</v>
      </c>
      <c r="AQ231" s="69" t="s">
        <v>80</v>
      </c>
      <c r="AV231" s="68">
        <f>AW231+AX231</f>
        <v>0</v>
      </c>
      <c r="AW231" s="68">
        <f>G231*AO231</f>
        <v>0</v>
      </c>
      <c r="AX231" s="68">
        <f>G231*AP231</f>
        <v>0</v>
      </c>
      <c r="AY231" s="71" t="s">
        <v>640</v>
      </c>
      <c r="AZ231" s="71" t="s">
        <v>655</v>
      </c>
      <c r="BA231" s="60" t="s">
        <v>657</v>
      </c>
      <c r="BC231" s="68">
        <f>AW231+AX231</f>
        <v>0</v>
      </c>
      <c r="BD231" s="68">
        <f>H231/(100-BE231)*100</f>
        <v>0</v>
      </c>
      <c r="BE231" s="68">
        <v>0</v>
      </c>
      <c r="BF231" s="68">
        <f>M231</f>
        <v>0.001488</v>
      </c>
      <c r="BH231" s="50">
        <f>G231*AO231</f>
        <v>0</v>
      </c>
      <c r="BI231" s="50">
        <f>G231*AP231</f>
        <v>0</v>
      </c>
      <c r="BJ231" s="50">
        <f>G231*H231</f>
        <v>0</v>
      </c>
      <c r="BK231" s="50" t="s">
        <v>662</v>
      </c>
      <c r="BL231" s="68">
        <v>783</v>
      </c>
    </row>
    <row r="232" spans="1:15" ht="12.75">
      <c r="A232" s="90"/>
      <c r="B232" s="91"/>
      <c r="C232" s="91"/>
      <c r="D232" s="92" t="s">
        <v>554</v>
      </c>
      <c r="E232" s="93"/>
      <c r="F232" s="91"/>
      <c r="G232" s="94">
        <v>4.8</v>
      </c>
      <c r="H232" s="91"/>
      <c r="I232" s="91"/>
      <c r="J232" s="91"/>
      <c r="K232" s="91"/>
      <c r="L232" s="91"/>
      <c r="M232" s="91"/>
      <c r="N232" s="81"/>
      <c r="O232" s="80"/>
    </row>
    <row r="233" spans="1:64" ht="12.75">
      <c r="A233" s="83" t="s">
        <v>191</v>
      </c>
      <c r="B233" s="83"/>
      <c r="C233" s="83" t="s">
        <v>335</v>
      </c>
      <c r="D233" s="220" t="s">
        <v>555</v>
      </c>
      <c r="E233" s="221"/>
      <c r="F233" s="83" t="s">
        <v>593</v>
      </c>
      <c r="G233" s="88">
        <v>4.8</v>
      </c>
      <c r="H233" s="136"/>
      <c r="I233" s="88">
        <f>G233*AO233</f>
        <v>0</v>
      </c>
      <c r="J233" s="88">
        <f>G233*AP233</f>
        <v>0</v>
      </c>
      <c r="K233" s="88">
        <f>G233*H233</f>
        <v>0</v>
      </c>
      <c r="L233" s="88">
        <v>1E-05</v>
      </c>
      <c r="M233" s="88">
        <f>G233*L233</f>
        <v>4.8E-05</v>
      </c>
      <c r="N233" s="78" t="s">
        <v>616</v>
      </c>
      <c r="O233" s="80"/>
      <c r="Z233" s="68">
        <f>IF(AQ233="5",BJ233,0)</f>
        <v>0</v>
      </c>
      <c r="AB233" s="68">
        <f>IF(AQ233="1",BH233,0)</f>
        <v>0</v>
      </c>
      <c r="AC233" s="68">
        <f>IF(AQ233="1",BI233,0)</f>
        <v>0</v>
      </c>
      <c r="AD233" s="68">
        <f>IF(AQ233="7",BH233,0)</f>
        <v>0</v>
      </c>
      <c r="AE233" s="68">
        <f>IF(AQ233="7",BI233,0)</f>
        <v>0</v>
      </c>
      <c r="AF233" s="68">
        <f>IF(AQ233="2",BH233,0)</f>
        <v>0</v>
      </c>
      <c r="AG233" s="68">
        <f>IF(AQ233="2",BI233,0)</f>
        <v>0</v>
      </c>
      <c r="AH233" s="68">
        <f>IF(AQ233="0",BJ233,0)</f>
        <v>0</v>
      </c>
      <c r="AI233" s="60"/>
      <c r="AJ233" s="50">
        <f>IF(AN233=0,K233,0)</f>
        <v>0</v>
      </c>
      <c r="AK233" s="50">
        <f>IF(AN233=15,K233,0)</f>
        <v>0</v>
      </c>
      <c r="AL233" s="50">
        <f>IF(AN233=21,K233,0)</f>
        <v>0</v>
      </c>
      <c r="AN233" s="68">
        <v>15</v>
      </c>
      <c r="AO233" s="68">
        <f>H233*0.0262806236080178</f>
        <v>0</v>
      </c>
      <c r="AP233" s="68">
        <f>H233*(1-0.0262806236080178)</f>
        <v>0</v>
      </c>
      <c r="AQ233" s="69" t="s">
        <v>80</v>
      </c>
      <c r="AV233" s="68">
        <f>AW233+AX233</f>
        <v>0</v>
      </c>
      <c r="AW233" s="68">
        <f>G233*AO233</f>
        <v>0</v>
      </c>
      <c r="AX233" s="68">
        <f>G233*AP233</f>
        <v>0</v>
      </c>
      <c r="AY233" s="71" t="s">
        <v>640</v>
      </c>
      <c r="AZ233" s="71" t="s">
        <v>655</v>
      </c>
      <c r="BA233" s="60" t="s">
        <v>657</v>
      </c>
      <c r="BC233" s="68">
        <f>AW233+AX233</f>
        <v>0</v>
      </c>
      <c r="BD233" s="68">
        <f>H233/(100-BE233)*100</f>
        <v>0</v>
      </c>
      <c r="BE233" s="68">
        <v>0</v>
      </c>
      <c r="BF233" s="68">
        <f>M233</f>
        <v>4.8E-05</v>
      </c>
      <c r="BH233" s="50">
        <f>G233*AO233</f>
        <v>0</v>
      </c>
      <c r="BI233" s="50">
        <f>G233*AP233</f>
        <v>0</v>
      </c>
      <c r="BJ233" s="50">
        <f>G233*H233</f>
        <v>0</v>
      </c>
      <c r="BK233" s="50" t="s">
        <v>662</v>
      </c>
      <c r="BL233" s="68">
        <v>783</v>
      </c>
    </row>
    <row r="234" spans="1:64" ht="12.75">
      <c r="A234" s="83" t="s">
        <v>192</v>
      </c>
      <c r="B234" s="83"/>
      <c r="C234" s="83" t="s">
        <v>336</v>
      </c>
      <c r="D234" s="220" t="s">
        <v>556</v>
      </c>
      <c r="E234" s="221"/>
      <c r="F234" s="83" t="s">
        <v>593</v>
      </c>
      <c r="G234" s="88">
        <v>6</v>
      </c>
      <c r="H234" s="136"/>
      <c r="I234" s="88">
        <f>G234*AO234</f>
        <v>0</v>
      </c>
      <c r="J234" s="88">
        <f>G234*AP234</f>
        <v>0</v>
      </c>
      <c r="K234" s="88">
        <f>G234*H234</f>
        <v>0</v>
      </c>
      <c r="L234" s="88">
        <v>0.00045</v>
      </c>
      <c r="M234" s="88">
        <f>G234*L234</f>
        <v>0.0027</v>
      </c>
      <c r="N234" s="78" t="s">
        <v>616</v>
      </c>
      <c r="O234" s="80"/>
      <c r="Z234" s="68">
        <f>IF(AQ234="5",BJ234,0)</f>
        <v>0</v>
      </c>
      <c r="AB234" s="68">
        <f>IF(AQ234="1",BH234,0)</f>
        <v>0</v>
      </c>
      <c r="AC234" s="68">
        <f>IF(AQ234="1",BI234,0)</f>
        <v>0</v>
      </c>
      <c r="AD234" s="68">
        <f>IF(AQ234="7",BH234,0)</f>
        <v>0</v>
      </c>
      <c r="AE234" s="68">
        <f>IF(AQ234="7",BI234,0)</f>
        <v>0</v>
      </c>
      <c r="AF234" s="68">
        <f>IF(AQ234="2",BH234,0)</f>
        <v>0</v>
      </c>
      <c r="AG234" s="68">
        <f>IF(AQ234="2",BI234,0)</f>
        <v>0</v>
      </c>
      <c r="AH234" s="68">
        <f>IF(AQ234="0",BJ234,0)</f>
        <v>0</v>
      </c>
      <c r="AI234" s="60"/>
      <c r="AJ234" s="50">
        <f>IF(AN234=0,K234,0)</f>
        <v>0</v>
      </c>
      <c r="AK234" s="50">
        <f>IF(AN234=15,K234,0)</f>
        <v>0</v>
      </c>
      <c r="AL234" s="50">
        <f>IF(AN234=21,K234,0)</f>
        <v>0</v>
      </c>
      <c r="AN234" s="68">
        <v>15</v>
      </c>
      <c r="AO234" s="68">
        <f>H234*0.505542191406066</f>
        <v>0</v>
      </c>
      <c r="AP234" s="68">
        <f>H234*(1-0.505542191406066)</f>
        <v>0</v>
      </c>
      <c r="AQ234" s="69" t="s">
        <v>80</v>
      </c>
      <c r="AV234" s="68">
        <f>AW234+AX234</f>
        <v>0</v>
      </c>
      <c r="AW234" s="68">
        <f>G234*AO234</f>
        <v>0</v>
      </c>
      <c r="AX234" s="68">
        <f>G234*AP234</f>
        <v>0</v>
      </c>
      <c r="AY234" s="71" t="s">
        <v>640</v>
      </c>
      <c r="AZ234" s="71" t="s">
        <v>655</v>
      </c>
      <c r="BA234" s="60" t="s">
        <v>657</v>
      </c>
      <c r="BC234" s="68">
        <f>AW234+AX234</f>
        <v>0</v>
      </c>
      <c r="BD234" s="68">
        <f>H234/(100-BE234)*100</f>
        <v>0</v>
      </c>
      <c r="BE234" s="68">
        <v>0</v>
      </c>
      <c r="BF234" s="68">
        <f>M234</f>
        <v>0.0027</v>
      </c>
      <c r="BH234" s="50">
        <f>G234*AO234</f>
        <v>0</v>
      </c>
      <c r="BI234" s="50">
        <f>G234*AP234</f>
        <v>0</v>
      </c>
      <c r="BJ234" s="50">
        <f>G234*H234</f>
        <v>0</v>
      </c>
      <c r="BK234" s="50" t="s">
        <v>662</v>
      </c>
      <c r="BL234" s="68">
        <v>783</v>
      </c>
    </row>
    <row r="235" spans="1:64" ht="12.75">
      <c r="A235" s="83" t="s">
        <v>193</v>
      </c>
      <c r="B235" s="83"/>
      <c r="C235" s="83" t="s">
        <v>335</v>
      </c>
      <c r="D235" s="220" t="s">
        <v>557</v>
      </c>
      <c r="E235" s="221"/>
      <c r="F235" s="83" t="s">
        <v>593</v>
      </c>
      <c r="G235" s="88">
        <v>6</v>
      </c>
      <c r="H235" s="136"/>
      <c r="I235" s="88">
        <f>G235*AO235</f>
        <v>0</v>
      </c>
      <c r="J235" s="88">
        <f>G235*AP235</f>
        <v>0</v>
      </c>
      <c r="K235" s="88">
        <f>G235*H235</f>
        <v>0</v>
      </c>
      <c r="L235" s="88">
        <v>0</v>
      </c>
      <c r="M235" s="88">
        <f>G235*L235</f>
        <v>0</v>
      </c>
      <c r="N235" s="78" t="s">
        <v>616</v>
      </c>
      <c r="O235" s="80"/>
      <c r="Z235" s="68">
        <f>IF(AQ235="5",BJ235,0)</f>
        <v>0</v>
      </c>
      <c r="AB235" s="68">
        <f>IF(AQ235="1",BH235,0)</f>
        <v>0</v>
      </c>
      <c r="AC235" s="68">
        <f>IF(AQ235="1",BI235,0)</f>
        <v>0</v>
      </c>
      <c r="AD235" s="68">
        <f>IF(AQ235="7",BH235,0)</f>
        <v>0</v>
      </c>
      <c r="AE235" s="68">
        <f>IF(AQ235="7",BI235,0)</f>
        <v>0</v>
      </c>
      <c r="AF235" s="68">
        <f>IF(AQ235="2",BH235,0)</f>
        <v>0</v>
      </c>
      <c r="AG235" s="68">
        <f>IF(AQ235="2",BI235,0)</f>
        <v>0</v>
      </c>
      <c r="AH235" s="68">
        <f>IF(AQ235="0",BJ235,0)</f>
        <v>0</v>
      </c>
      <c r="AI235" s="60"/>
      <c r="AJ235" s="50">
        <f>IF(AN235=0,K235,0)</f>
        <v>0</v>
      </c>
      <c r="AK235" s="50">
        <f>IF(AN235=15,K235,0)</f>
        <v>0</v>
      </c>
      <c r="AL235" s="50">
        <f>IF(AN235=21,K235,0)</f>
        <v>0</v>
      </c>
      <c r="AN235" s="68">
        <v>15</v>
      </c>
      <c r="AO235" s="68">
        <f>H235*0.0262806236080178</f>
        <v>0</v>
      </c>
      <c r="AP235" s="68">
        <f>H235*(1-0.0262806236080178)</f>
        <v>0</v>
      </c>
      <c r="AQ235" s="69" t="s">
        <v>80</v>
      </c>
      <c r="AV235" s="68">
        <f>AW235+AX235</f>
        <v>0</v>
      </c>
      <c r="AW235" s="68">
        <f>G235*AO235</f>
        <v>0</v>
      </c>
      <c r="AX235" s="68">
        <f>G235*AP235</f>
        <v>0</v>
      </c>
      <c r="AY235" s="71" t="s">
        <v>640</v>
      </c>
      <c r="AZ235" s="71" t="s">
        <v>655</v>
      </c>
      <c r="BA235" s="60" t="s">
        <v>657</v>
      </c>
      <c r="BC235" s="68">
        <f>AW235+AX235</f>
        <v>0</v>
      </c>
      <c r="BD235" s="68">
        <f>H235/(100-BE235)*100</f>
        <v>0</v>
      </c>
      <c r="BE235" s="68">
        <v>0</v>
      </c>
      <c r="BF235" s="68">
        <f>M235</f>
        <v>0</v>
      </c>
      <c r="BH235" s="50">
        <f>G235*AO235</f>
        <v>0</v>
      </c>
      <c r="BI235" s="50">
        <f>G235*AP235</f>
        <v>0</v>
      </c>
      <c r="BJ235" s="50">
        <f>G235*H235</f>
        <v>0</v>
      </c>
      <c r="BK235" s="50" t="s">
        <v>662</v>
      </c>
      <c r="BL235" s="68">
        <v>783</v>
      </c>
    </row>
    <row r="236" spans="1:47" ht="12.75">
      <c r="A236" s="96"/>
      <c r="B236" s="97"/>
      <c r="C236" s="97" t="s">
        <v>337</v>
      </c>
      <c r="D236" s="222" t="s">
        <v>558</v>
      </c>
      <c r="E236" s="223"/>
      <c r="F236" s="96" t="s">
        <v>73</v>
      </c>
      <c r="G236" s="96" t="s">
        <v>73</v>
      </c>
      <c r="H236" s="96" t="s">
        <v>73</v>
      </c>
      <c r="I236" s="98">
        <f>SUM(I237:I239)</f>
        <v>0</v>
      </c>
      <c r="J236" s="98">
        <f>SUM(J237:J239)</f>
        <v>0</v>
      </c>
      <c r="K236" s="98">
        <f>SUM(K237:K239)</f>
        <v>0</v>
      </c>
      <c r="L236" s="99"/>
      <c r="M236" s="98">
        <f>SUM(M237:M239)</f>
        <v>0.025576787</v>
      </c>
      <c r="N236" s="95"/>
      <c r="O236" s="80"/>
      <c r="AI236" s="60"/>
      <c r="AS236" s="74">
        <f>SUM(AJ237:AJ239)</f>
        <v>0</v>
      </c>
      <c r="AT236" s="74">
        <f>SUM(AK237:AK239)</f>
        <v>0</v>
      </c>
      <c r="AU236" s="74">
        <f>SUM(AL237:AL239)</f>
        <v>0</v>
      </c>
    </row>
    <row r="237" spans="1:64" ht="12.75">
      <c r="A237" s="83" t="s">
        <v>194</v>
      </c>
      <c r="B237" s="83"/>
      <c r="C237" s="83" t="s">
        <v>338</v>
      </c>
      <c r="D237" s="220" t="s">
        <v>559</v>
      </c>
      <c r="E237" s="221"/>
      <c r="F237" s="83" t="s">
        <v>593</v>
      </c>
      <c r="G237" s="88">
        <v>128.138</v>
      </c>
      <c r="H237" s="136"/>
      <c r="I237" s="88">
        <f>G237*AO237</f>
        <v>0</v>
      </c>
      <c r="J237" s="88">
        <f>G237*AP237</f>
        <v>0</v>
      </c>
      <c r="K237" s="88">
        <f>G237*H237</f>
        <v>0</v>
      </c>
      <c r="L237" s="88">
        <v>0</v>
      </c>
      <c r="M237" s="88">
        <f>G237*L237</f>
        <v>0</v>
      </c>
      <c r="N237" s="78" t="s">
        <v>616</v>
      </c>
      <c r="O237" s="80"/>
      <c r="Z237" s="68">
        <f>IF(AQ237="5",BJ237,0)</f>
        <v>0</v>
      </c>
      <c r="AB237" s="68">
        <f>IF(AQ237="1",BH237,0)</f>
        <v>0</v>
      </c>
      <c r="AC237" s="68">
        <f>IF(AQ237="1",BI237,0)</f>
        <v>0</v>
      </c>
      <c r="AD237" s="68">
        <f>IF(AQ237="7",BH237,0)</f>
        <v>0</v>
      </c>
      <c r="AE237" s="68">
        <f>IF(AQ237="7",BI237,0)</f>
        <v>0</v>
      </c>
      <c r="AF237" s="68">
        <f>IF(AQ237="2",BH237,0)</f>
        <v>0</v>
      </c>
      <c r="AG237" s="68">
        <f>IF(AQ237="2",BI237,0)</f>
        <v>0</v>
      </c>
      <c r="AH237" s="68">
        <f>IF(AQ237="0",BJ237,0)</f>
        <v>0</v>
      </c>
      <c r="AI237" s="60"/>
      <c r="AJ237" s="50">
        <f>IF(AN237=0,K237,0)</f>
        <v>0</v>
      </c>
      <c r="AK237" s="50">
        <f>IF(AN237=15,K237,0)</f>
        <v>0</v>
      </c>
      <c r="AL237" s="50">
        <f>IF(AN237=21,K237,0)</f>
        <v>0</v>
      </c>
      <c r="AN237" s="68">
        <v>15</v>
      </c>
      <c r="AO237" s="68">
        <f>H237*0.00257732186855735</f>
        <v>0</v>
      </c>
      <c r="AP237" s="68">
        <f>H237*(1-0.00257732186855735)</f>
        <v>0</v>
      </c>
      <c r="AQ237" s="69" t="s">
        <v>80</v>
      </c>
      <c r="AV237" s="68">
        <f>AW237+AX237</f>
        <v>0</v>
      </c>
      <c r="AW237" s="68">
        <f>G237*AO237</f>
        <v>0</v>
      </c>
      <c r="AX237" s="68">
        <f>G237*AP237</f>
        <v>0</v>
      </c>
      <c r="AY237" s="71" t="s">
        <v>641</v>
      </c>
      <c r="AZ237" s="71" t="s">
        <v>655</v>
      </c>
      <c r="BA237" s="60" t="s">
        <v>657</v>
      </c>
      <c r="BC237" s="68">
        <f>AW237+AX237</f>
        <v>0</v>
      </c>
      <c r="BD237" s="68">
        <f>H237/(100-BE237)*100</f>
        <v>0</v>
      </c>
      <c r="BE237" s="68">
        <v>0</v>
      </c>
      <c r="BF237" s="68">
        <f>M237</f>
        <v>0</v>
      </c>
      <c r="BH237" s="50">
        <f>G237*AO237</f>
        <v>0</v>
      </c>
      <c r="BI237" s="50">
        <f>G237*AP237</f>
        <v>0</v>
      </c>
      <c r="BJ237" s="50">
        <f>G237*H237</f>
        <v>0</v>
      </c>
      <c r="BK237" s="50" t="s">
        <v>662</v>
      </c>
      <c r="BL237" s="68">
        <v>784</v>
      </c>
    </row>
    <row r="238" spans="1:64" ht="12.75">
      <c r="A238" s="83" t="s">
        <v>195</v>
      </c>
      <c r="B238" s="83"/>
      <c r="C238" s="83" t="s">
        <v>339</v>
      </c>
      <c r="D238" s="220" t="s">
        <v>560</v>
      </c>
      <c r="E238" s="221"/>
      <c r="F238" s="83" t="s">
        <v>593</v>
      </c>
      <c r="G238" s="88">
        <v>150.45</v>
      </c>
      <c r="H238" s="136"/>
      <c r="I238" s="88">
        <f>G238*AO238</f>
        <v>0</v>
      </c>
      <c r="J238" s="88">
        <f>G238*AP238</f>
        <v>0</v>
      </c>
      <c r="K238" s="88">
        <f>G238*H238</f>
        <v>0</v>
      </c>
      <c r="L238" s="88">
        <v>3E-05</v>
      </c>
      <c r="M238" s="88">
        <f>G238*L238</f>
        <v>0.0045135</v>
      </c>
      <c r="N238" s="78" t="s">
        <v>616</v>
      </c>
      <c r="O238" s="80"/>
      <c r="Z238" s="68">
        <f>IF(AQ238="5",BJ238,0)</f>
        <v>0</v>
      </c>
      <c r="AB238" s="68">
        <f>IF(AQ238="1",BH238,0)</f>
        <v>0</v>
      </c>
      <c r="AC238" s="68">
        <f>IF(AQ238="1",BI238,0)</f>
        <v>0</v>
      </c>
      <c r="AD238" s="68">
        <f>IF(AQ238="7",BH238,0)</f>
        <v>0</v>
      </c>
      <c r="AE238" s="68">
        <f>IF(AQ238="7",BI238,0)</f>
        <v>0</v>
      </c>
      <c r="AF238" s="68">
        <f>IF(AQ238="2",BH238,0)</f>
        <v>0</v>
      </c>
      <c r="AG238" s="68">
        <f>IF(AQ238="2",BI238,0)</f>
        <v>0</v>
      </c>
      <c r="AH238" s="68">
        <f>IF(AQ238="0",BJ238,0)</f>
        <v>0</v>
      </c>
      <c r="AI238" s="60"/>
      <c r="AJ238" s="50">
        <f>IF(AN238=0,K238,0)</f>
        <v>0</v>
      </c>
      <c r="AK238" s="50">
        <f>IF(AN238=15,K238,0)</f>
        <v>0</v>
      </c>
      <c r="AL238" s="50">
        <f>IF(AN238=21,K238,0)</f>
        <v>0</v>
      </c>
      <c r="AN238" s="68">
        <v>15</v>
      </c>
      <c r="AO238" s="68">
        <f>H238*0.0902701081079139</f>
        <v>0</v>
      </c>
      <c r="AP238" s="68">
        <f>H238*(1-0.0902701081079139)</f>
        <v>0</v>
      </c>
      <c r="AQ238" s="69" t="s">
        <v>80</v>
      </c>
      <c r="AV238" s="68">
        <f>AW238+AX238</f>
        <v>0</v>
      </c>
      <c r="AW238" s="68">
        <f>G238*AO238</f>
        <v>0</v>
      </c>
      <c r="AX238" s="68">
        <f>G238*AP238</f>
        <v>0</v>
      </c>
      <c r="AY238" s="71" t="s">
        <v>641</v>
      </c>
      <c r="AZ238" s="71" t="s">
        <v>655</v>
      </c>
      <c r="BA238" s="60" t="s">
        <v>657</v>
      </c>
      <c r="BC238" s="68">
        <f>AW238+AX238</f>
        <v>0</v>
      </c>
      <c r="BD238" s="68">
        <f>H238/(100-BE238)*100</f>
        <v>0</v>
      </c>
      <c r="BE238" s="68">
        <v>0</v>
      </c>
      <c r="BF238" s="68">
        <f>M238</f>
        <v>0.0045135</v>
      </c>
      <c r="BH238" s="50">
        <f>G238*AO238</f>
        <v>0</v>
      </c>
      <c r="BI238" s="50">
        <f>G238*AP238</f>
        <v>0</v>
      </c>
      <c r="BJ238" s="50">
        <f>G238*H238</f>
        <v>0</v>
      </c>
      <c r="BK238" s="50" t="s">
        <v>662</v>
      </c>
      <c r="BL238" s="68">
        <v>784</v>
      </c>
    </row>
    <row r="239" spans="1:64" ht="12.75">
      <c r="A239" s="83" t="s">
        <v>196</v>
      </c>
      <c r="B239" s="83"/>
      <c r="C239" s="83" t="s">
        <v>340</v>
      </c>
      <c r="D239" s="220" t="s">
        <v>561</v>
      </c>
      <c r="E239" s="221"/>
      <c r="F239" s="83" t="s">
        <v>593</v>
      </c>
      <c r="G239" s="88">
        <v>150.45205</v>
      </c>
      <c r="H239" s="136"/>
      <c r="I239" s="88">
        <f>G239*AO239</f>
        <v>0</v>
      </c>
      <c r="J239" s="88">
        <f>G239*AP239</f>
        <v>0</v>
      </c>
      <c r="K239" s="88">
        <f>G239*H239</f>
        <v>0</v>
      </c>
      <c r="L239" s="88">
        <v>0.00014</v>
      </c>
      <c r="M239" s="88">
        <f>G239*L239</f>
        <v>0.021063287</v>
      </c>
      <c r="N239" s="78" t="s">
        <v>616</v>
      </c>
      <c r="O239" s="80"/>
      <c r="Z239" s="68">
        <f>IF(AQ239="5",BJ239,0)</f>
        <v>0</v>
      </c>
      <c r="AB239" s="68">
        <f>IF(AQ239="1",BH239,0)</f>
        <v>0</v>
      </c>
      <c r="AC239" s="68">
        <f>IF(AQ239="1",BI239,0)</f>
        <v>0</v>
      </c>
      <c r="AD239" s="68">
        <f>IF(AQ239="7",BH239,0)</f>
        <v>0</v>
      </c>
      <c r="AE239" s="68">
        <f>IF(AQ239="7",BI239,0)</f>
        <v>0</v>
      </c>
      <c r="AF239" s="68">
        <f>IF(AQ239="2",BH239,0)</f>
        <v>0</v>
      </c>
      <c r="AG239" s="68">
        <f>IF(AQ239="2",BI239,0)</f>
        <v>0</v>
      </c>
      <c r="AH239" s="68">
        <f>IF(AQ239="0",BJ239,0)</f>
        <v>0</v>
      </c>
      <c r="AI239" s="60"/>
      <c r="AJ239" s="50">
        <f>IF(AN239=0,K239,0)</f>
        <v>0</v>
      </c>
      <c r="AK239" s="50">
        <f>IF(AN239=15,K239,0)</f>
        <v>0</v>
      </c>
      <c r="AL239" s="50">
        <f>IF(AN239=21,K239,0)</f>
        <v>0</v>
      </c>
      <c r="AN239" s="68">
        <v>15</v>
      </c>
      <c r="AO239" s="68">
        <f>H239*0.0737303153602513</f>
        <v>0</v>
      </c>
      <c r="AP239" s="68">
        <f>H239*(1-0.0737303153602513)</f>
        <v>0</v>
      </c>
      <c r="AQ239" s="69" t="s">
        <v>80</v>
      </c>
      <c r="AV239" s="68">
        <f>AW239+AX239</f>
        <v>0</v>
      </c>
      <c r="AW239" s="68">
        <f>G239*AO239</f>
        <v>0</v>
      </c>
      <c r="AX239" s="68">
        <f>G239*AP239</f>
        <v>0</v>
      </c>
      <c r="AY239" s="71" t="s">
        <v>641</v>
      </c>
      <c r="AZ239" s="71" t="s">
        <v>655</v>
      </c>
      <c r="BA239" s="60" t="s">
        <v>657</v>
      </c>
      <c r="BC239" s="68">
        <f>AW239+AX239</f>
        <v>0</v>
      </c>
      <c r="BD239" s="68">
        <f>H239/(100-BE239)*100</f>
        <v>0</v>
      </c>
      <c r="BE239" s="68">
        <v>0</v>
      </c>
      <c r="BF239" s="68">
        <f>M239</f>
        <v>0.021063287</v>
      </c>
      <c r="BH239" s="50">
        <f>G239*AO239</f>
        <v>0</v>
      </c>
      <c r="BI239" s="50">
        <f>G239*AP239</f>
        <v>0</v>
      </c>
      <c r="BJ239" s="50">
        <f>G239*H239</f>
        <v>0</v>
      </c>
      <c r="BK239" s="50" t="s">
        <v>662</v>
      </c>
      <c r="BL239" s="68">
        <v>784</v>
      </c>
    </row>
    <row r="240" spans="1:15" ht="12.75">
      <c r="A240" s="90"/>
      <c r="B240" s="91"/>
      <c r="C240" s="91"/>
      <c r="D240" s="92" t="s">
        <v>562</v>
      </c>
      <c r="E240" s="93"/>
      <c r="F240" s="91"/>
      <c r="G240" s="94">
        <v>0</v>
      </c>
      <c r="H240" s="91"/>
      <c r="I240" s="91"/>
      <c r="J240" s="91"/>
      <c r="K240" s="91"/>
      <c r="L240" s="91"/>
      <c r="M240" s="91"/>
      <c r="N240" s="81"/>
      <c r="O240" s="80"/>
    </row>
    <row r="241" spans="1:15" ht="12.75">
      <c r="A241" s="90"/>
      <c r="B241" s="91"/>
      <c r="C241" s="91"/>
      <c r="D241" s="92" t="s">
        <v>563</v>
      </c>
      <c r="E241" s="93"/>
      <c r="F241" s="91"/>
      <c r="G241" s="94">
        <v>40.43305</v>
      </c>
      <c r="H241" s="91"/>
      <c r="I241" s="91"/>
      <c r="J241" s="91"/>
      <c r="K241" s="91"/>
      <c r="L241" s="91"/>
      <c r="M241" s="91"/>
      <c r="N241" s="81"/>
      <c r="O241" s="80"/>
    </row>
    <row r="242" spans="1:15" ht="12.75">
      <c r="A242" s="90"/>
      <c r="B242" s="91"/>
      <c r="C242" s="91"/>
      <c r="D242" s="92" t="s">
        <v>422</v>
      </c>
      <c r="E242" s="93"/>
      <c r="F242" s="91"/>
      <c r="G242" s="94">
        <v>0</v>
      </c>
      <c r="H242" s="91"/>
      <c r="I242" s="91"/>
      <c r="J242" s="91"/>
      <c r="K242" s="91"/>
      <c r="L242" s="91"/>
      <c r="M242" s="91"/>
      <c r="N242" s="81"/>
      <c r="O242" s="80"/>
    </row>
    <row r="243" spans="1:15" ht="12.75">
      <c r="A243" s="84"/>
      <c r="B243" s="85"/>
      <c r="C243" s="85"/>
      <c r="D243" s="86" t="s">
        <v>564</v>
      </c>
      <c r="E243" s="87"/>
      <c r="F243" s="85"/>
      <c r="G243" s="89">
        <v>110.019</v>
      </c>
      <c r="H243" s="85"/>
      <c r="I243" s="85"/>
      <c r="J243" s="85"/>
      <c r="K243" s="85"/>
      <c r="L243" s="85"/>
      <c r="M243" s="85"/>
      <c r="N243" s="82"/>
      <c r="O243" s="80"/>
    </row>
    <row r="244" spans="1:47" ht="12.75">
      <c r="A244" s="33"/>
      <c r="B244" s="40"/>
      <c r="C244" s="40" t="s">
        <v>163</v>
      </c>
      <c r="D244" s="216" t="s">
        <v>565</v>
      </c>
      <c r="E244" s="217"/>
      <c r="F244" s="48" t="s">
        <v>73</v>
      </c>
      <c r="G244" s="48" t="s">
        <v>73</v>
      </c>
      <c r="H244" s="48" t="s">
        <v>73</v>
      </c>
      <c r="I244" s="74">
        <f>SUM(I245:I245)</f>
        <v>0</v>
      </c>
      <c r="J244" s="74">
        <f>SUM(J245:J245)</f>
        <v>0</v>
      </c>
      <c r="K244" s="74">
        <f>SUM(K245:K245)</f>
        <v>0</v>
      </c>
      <c r="L244" s="60"/>
      <c r="M244" s="74">
        <f>SUM(M245:M245)</f>
        <v>0</v>
      </c>
      <c r="N244" s="64"/>
      <c r="O244" s="17"/>
      <c r="AI244" s="60"/>
      <c r="AS244" s="74">
        <f>SUM(AJ245:AJ245)</f>
        <v>0</v>
      </c>
      <c r="AT244" s="74">
        <f>SUM(AK245:AK245)</f>
        <v>0</v>
      </c>
      <c r="AU244" s="74">
        <f>SUM(AL245:AL245)</f>
        <v>0</v>
      </c>
    </row>
    <row r="245" spans="1:64" ht="12.75">
      <c r="A245" s="34" t="s">
        <v>197</v>
      </c>
      <c r="B245" s="41"/>
      <c r="C245" s="41" t="s">
        <v>341</v>
      </c>
      <c r="D245" s="218" t="s">
        <v>566</v>
      </c>
      <c r="E245" s="219"/>
      <c r="F245" s="41" t="s">
        <v>600</v>
      </c>
      <c r="G245" s="50">
        <v>2.5</v>
      </c>
      <c r="H245" s="135"/>
      <c r="I245" s="50">
        <f>G245*AO245</f>
        <v>0</v>
      </c>
      <c r="J245" s="50">
        <f>G245*AP245</f>
        <v>0</v>
      </c>
      <c r="K245" s="50">
        <f>G245*H245</f>
        <v>0</v>
      </c>
      <c r="L245" s="50">
        <v>0</v>
      </c>
      <c r="M245" s="50">
        <f>G245*L245</f>
        <v>0</v>
      </c>
      <c r="N245" s="65" t="s">
        <v>616</v>
      </c>
      <c r="O245" s="17"/>
      <c r="Z245" s="68">
        <f>IF(AQ245="5",BJ245,0)</f>
        <v>0</v>
      </c>
      <c r="AB245" s="68">
        <f>IF(AQ245="1",BH245,0)</f>
        <v>0</v>
      </c>
      <c r="AC245" s="68">
        <f>IF(AQ245="1",BI245,0)</f>
        <v>0</v>
      </c>
      <c r="AD245" s="68">
        <f>IF(AQ245="7",BH245,0)</f>
        <v>0</v>
      </c>
      <c r="AE245" s="68">
        <f>IF(AQ245="7",BI245,0)</f>
        <v>0</v>
      </c>
      <c r="AF245" s="68">
        <f>IF(AQ245="2",BH245,0)</f>
        <v>0</v>
      </c>
      <c r="AG245" s="68">
        <f>IF(AQ245="2",BI245,0)</f>
        <v>0</v>
      </c>
      <c r="AH245" s="68">
        <f>IF(AQ245="0",BJ245,0)</f>
        <v>0</v>
      </c>
      <c r="AI245" s="60"/>
      <c r="AJ245" s="50">
        <f>IF(AN245=0,K245,0)</f>
        <v>0</v>
      </c>
      <c r="AK245" s="50">
        <f>IF(AN245=15,K245,0)</f>
        <v>0</v>
      </c>
      <c r="AL245" s="50">
        <f>IF(AN245=21,K245,0)</f>
        <v>0</v>
      </c>
      <c r="AN245" s="68">
        <v>15</v>
      </c>
      <c r="AO245" s="68">
        <f>H245*0</f>
        <v>0</v>
      </c>
      <c r="AP245" s="68">
        <f>H245*(1-0)</f>
        <v>0</v>
      </c>
      <c r="AQ245" s="69" t="s">
        <v>74</v>
      </c>
      <c r="AV245" s="68">
        <f>AW245+AX245</f>
        <v>0</v>
      </c>
      <c r="AW245" s="68">
        <f>G245*AO245</f>
        <v>0</v>
      </c>
      <c r="AX245" s="68">
        <f>G245*AP245</f>
        <v>0</v>
      </c>
      <c r="AY245" s="71" t="s">
        <v>642</v>
      </c>
      <c r="AZ245" s="71" t="s">
        <v>656</v>
      </c>
      <c r="BA245" s="60" t="s">
        <v>657</v>
      </c>
      <c r="BC245" s="68">
        <f>AW245+AX245</f>
        <v>0</v>
      </c>
      <c r="BD245" s="68">
        <f>H245/(100-BE245)*100</f>
        <v>0</v>
      </c>
      <c r="BE245" s="68">
        <v>0</v>
      </c>
      <c r="BF245" s="68">
        <f>M245</f>
        <v>0</v>
      </c>
      <c r="BH245" s="50">
        <f>G245*AO245</f>
        <v>0</v>
      </c>
      <c r="BI245" s="50">
        <f>G245*AP245</f>
        <v>0</v>
      </c>
      <c r="BJ245" s="50">
        <f>G245*H245</f>
        <v>0</v>
      </c>
      <c r="BK245" s="50" t="s">
        <v>662</v>
      </c>
      <c r="BL245" s="68">
        <v>90</v>
      </c>
    </row>
    <row r="246" spans="1:47" ht="12.75">
      <c r="A246" s="96"/>
      <c r="B246" s="97"/>
      <c r="C246" s="97" t="s">
        <v>167</v>
      </c>
      <c r="D246" s="222" t="s">
        <v>567</v>
      </c>
      <c r="E246" s="223"/>
      <c r="F246" s="96" t="s">
        <v>73</v>
      </c>
      <c r="G246" s="96" t="s">
        <v>73</v>
      </c>
      <c r="H246" s="96" t="s">
        <v>73</v>
      </c>
      <c r="I246" s="98">
        <f>SUM(I247:I247)</f>
        <v>0</v>
      </c>
      <c r="J246" s="98">
        <f>SUM(J247:J247)</f>
        <v>0</v>
      </c>
      <c r="K246" s="98">
        <f>SUM(K247:K247)</f>
        <v>0</v>
      </c>
      <c r="L246" s="99"/>
      <c r="M246" s="98">
        <f>SUM(M247:M247)</f>
        <v>0.06388414</v>
      </c>
      <c r="N246" s="95"/>
      <c r="O246" s="80"/>
      <c r="AI246" s="60"/>
      <c r="AS246" s="74">
        <f>SUM(AJ247:AJ247)</f>
        <v>0</v>
      </c>
      <c r="AT246" s="74">
        <f>SUM(AK247:AK247)</f>
        <v>0</v>
      </c>
      <c r="AU246" s="74">
        <f>SUM(AL247:AL247)</f>
        <v>0</v>
      </c>
    </row>
    <row r="247" spans="1:64" ht="12.75">
      <c r="A247" s="83" t="s">
        <v>198</v>
      </c>
      <c r="B247" s="83"/>
      <c r="C247" s="83" t="s">
        <v>342</v>
      </c>
      <c r="D247" s="220" t="s">
        <v>568</v>
      </c>
      <c r="E247" s="221"/>
      <c r="F247" s="83" t="s">
        <v>593</v>
      </c>
      <c r="G247" s="88">
        <v>40.433</v>
      </c>
      <c r="H247" s="136"/>
      <c r="I247" s="88">
        <f>G247*AO247</f>
        <v>0</v>
      </c>
      <c r="J247" s="88">
        <f>G247*AP247</f>
        <v>0</v>
      </c>
      <c r="K247" s="88">
        <f>G247*H247</f>
        <v>0</v>
      </c>
      <c r="L247" s="88">
        <v>0.00158</v>
      </c>
      <c r="M247" s="88">
        <f>G247*L247</f>
        <v>0.06388414</v>
      </c>
      <c r="N247" s="78" t="s">
        <v>616</v>
      </c>
      <c r="O247" s="80"/>
      <c r="Z247" s="68">
        <f>IF(AQ247="5",BJ247,0)</f>
        <v>0</v>
      </c>
      <c r="AB247" s="68">
        <f>IF(AQ247="1",BH247,0)</f>
        <v>0</v>
      </c>
      <c r="AC247" s="68">
        <f>IF(AQ247="1",BI247,0)</f>
        <v>0</v>
      </c>
      <c r="AD247" s="68">
        <f>IF(AQ247="7",BH247,0)</f>
        <v>0</v>
      </c>
      <c r="AE247" s="68">
        <f>IF(AQ247="7",BI247,0)</f>
        <v>0</v>
      </c>
      <c r="AF247" s="68">
        <f>IF(AQ247="2",BH247,0)</f>
        <v>0</v>
      </c>
      <c r="AG247" s="68">
        <f>IF(AQ247="2",BI247,0)</f>
        <v>0</v>
      </c>
      <c r="AH247" s="68">
        <f>IF(AQ247="0",BJ247,0)</f>
        <v>0</v>
      </c>
      <c r="AI247" s="60"/>
      <c r="AJ247" s="50">
        <f>IF(AN247=0,K247,0)</f>
        <v>0</v>
      </c>
      <c r="AK247" s="50">
        <f>IF(AN247=15,K247,0)</f>
        <v>0</v>
      </c>
      <c r="AL247" s="50">
        <f>IF(AN247=21,K247,0)</f>
        <v>0</v>
      </c>
      <c r="AN247" s="68">
        <v>15</v>
      </c>
      <c r="AO247" s="68">
        <f>H247*0.348243246860394</f>
        <v>0</v>
      </c>
      <c r="AP247" s="68">
        <f>H247*(1-0.348243246860394)</f>
        <v>0</v>
      </c>
      <c r="AQ247" s="69" t="s">
        <v>74</v>
      </c>
      <c r="AV247" s="68">
        <f>AW247+AX247</f>
        <v>0</v>
      </c>
      <c r="AW247" s="68">
        <f>G247*AO247</f>
        <v>0</v>
      </c>
      <c r="AX247" s="68">
        <f>G247*AP247</f>
        <v>0</v>
      </c>
      <c r="AY247" s="71" t="s">
        <v>643</v>
      </c>
      <c r="AZ247" s="71" t="s">
        <v>656</v>
      </c>
      <c r="BA247" s="60" t="s">
        <v>657</v>
      </c>
      <c r="BC247" s="68">
        <f>AW247+AX247</f>
        <v>0</v>
      </c>
      <c r="BD247" s="68">
        <f>H247/(100-BE247)*100</f>
        <v>0</v>
      </c>
      <c r="BE247" s="68">
        <v>0</v>
      </c>
      <c r="BF247" s="68">
        <f>M247</f>
        <v>0.06388414</v>
      </c>
      <c r="BH247" s="50">
        <f>G247*AO247</f>
        <v>0</v>
      </c>
      <c r="BI247" s="50">
        <f>G247*AP247</f>
        <v>0</v>
      </c>
      <c r="BJ247" s="50">
        <f>G247*H247</f>
        <v>0</v>
      </c>
      <c r="BK247" s="50" t="s">
        <v>662</v>
      </c>
      <c r="BL247" s="68">
        <v>94</v>
      </c>
    </row>
    <row r="248" spans="1:47" ht="12.75">
      <c r="A248" s="96"/>
      <c r="B248" s="97"/>
      <c r="C248" s="97" t="s">
        <v>168</v>
      </c>
      <c r="D248" s="222" t="s">
        <v>569</v>
      </c>
      <c r="E248" s="223"/>
      <c r="F248" s="96" t="s">
        <v>73</v>
      </c>
      <c r="G248" s="96" t="s">
        <v>73</v>
      </c>
      <c r="H248" s="96" t="s">
        <v>73</v>
      </c>
      <c r="I248" s="98">
        <f>SUM(I249:I249)</f>
        <v>0</v>
      </c>
      <c r="J248" s="98">
        <f>SUM(J249:J249)</f>
        <v>0</v>
      </c>
      <c r="K248" s="98">
        <f>SUM(K249:K249)</f>
        <v>0</v>
      </c>
      <c r="L248" s="99"/>
      <c r="M248" s="98">
        <f>SUM(M249:M249)</f>
        <v>0.0016173200000000002</v>
      </c>
      <c r="N248" s="95"/>
      <c r="O248" s="80"/>
      <c r="AI248" s="60"/>
      <c r="AS248" s="74">
        <f>SUM(AJ249:AJ249)</f>
        <v>0</v>
      </c>
      <c r="AT248" s="74">
        <f>SUM(AK249:AK249)</f>
        <v>0</v>
      </c>
      <c r="AU248" s="74">
        <f>SUM(AL249:AL249)</f>
        <v>0</v>
      </c>
    </row>
    <row r="249" spans="1:64" ht="12.75">
      <c r="A249" s="83" t="s">
        <v>199</v>
      </c>
      <c r="B249" s="83"/>
      <c r="C249" s="83" t="s">
        <v>343</v>
      </c>
      <c r="D249" s="220" t="s">
        <v>570</v>
      </c>
      <c r="E249" s="221"/>
      <c r="F249" s="83" t="s">
        <v>593</v>
      </c>
      <c r="G249" s="88">
        <v>40.433</v>
      </c>
      <c r="H249" s="136"/>
      <c r="I249" s="88">
        <f>G249*AO249</f>
        <v>0</v>
      </c>
      <c r="J249" s="88">
        <f>G249*AP249</f>
        <v>0</v>
      </c>
      <c r="K249" s="88">
        <f>G249*H249</f>
        <v>0</v>
      </c>
      <c r="L249" s="88">
        <v>4E-05</v>
      </c>
      <c r="M249" s="88">
        <f>G249*L249</f>
        <v>0.0016173200000000002</v>
      </c>
      <c r="N249" s="78" t="s">
        <v>616</v>
      </c>
      <c r="O249" s="80"/>
      <c r="Z249" s="68">
        <f>IF(AQ249="5",BJ249,0)</f>
        <v>0</v>
      </c>
      <c r="AB249" s="68">
        <f>IF(AQ249="1",BH249,0)</f>
        <v>0</v>
      </c>
      <c r="AC249" s="68">
        <f>IF(AQ249="1",BI249,0)</f>
        <v>0</v>
      </c>
      <c r="AD249" s="68">
        <f>IF(AQ249="7",BH249,0)</f>
        <v>0</v>
      </c>
      <c r="AE249" s="68">
        <f>IF(AQ249="7",BI249,0)</f>
        <v>0</v>
      </c>
      <c r="AF249" s="68">
        <f>IF(AQ249="2",BH249,0)</f>
        <v>0</v>
      </c>
      <c r="AG249" s="68">
        <f>IF(AQ249="2",BI249,0)</f>
        <v>0</v>
      </c>
      <c r="AH249" s="68">
        <f>IF(AQ249="0",BJ249,0)</f>
        <v>0</v>
      </c>
      <c r="AI249" s="60"/>
      <c r="AJ249" s="50">
        <f>IF(AN249=0,K249,0)</f>
        <v>0</v>
      </c>
      <c r="AK249" s="50">
        <f>IF(AN249=15,K249,0)</f>
        <v>0</v>
      </c>
      <c r="AL249" s="50">
        <f>IF(AN249=21,K249,0)</f>
        <v>0</v>
      </c>
      <c r="AN249" s="68">
        <v>15</v>
      </c>
      <c r="AO249" s="68">
        <f>H249*0.0120784255151585</f>
        <v>0</v>
      </c>
      <c r="AP249" s="68">
        <f>H249*(1-0.0120784255151585)</f>
        <v>0</v>
      </c>
      <c r="AQ249" s="69" t="s">
        <v>74</v>
      </c>
      <c r="AV249" s="68">
        <f>AW249+AX249</f>
        <v>0</v>
      </c>
      <c r="AW249" s="68">
        <f>G249*AO249</f>
        <v>0</v>
      </c>
      <c r="AX249" s="68">
        <f>G249*AP249</f>
        <v>0</v>
      </c>
      <c r="AY249" s="71" t="s">
        <v>644</v>
      </c>
      <c r="AZ249" s="71" t="s">
        <v>656</v>
      </c>
      <c r="BA249" s="60" t="s">
        <v>657</v>
      </c>
      <c r="BC249" s="68">
        <f>AW249+AX249</f>
        <v>0</v>
      </c>
      <c r="BD249" s="68">
        <f>H249/(100-BE249)*100</f>
        <v>0</v>
      </c>
      <c r="BE249" s="68">
        <v>0</v>
      </c>
      <c r="BF249" s="68">
        <f>M249</f>
        <v>0.0016173200000000002</v>
      </c>
      <c r="BH249" s="50">
        <f>G249*AO249</f>
        <v>0</v>
      </c>
      <c r="BI249" s="50">
        <f>G249*AP249</f>
        <v>0</v>
      </c>
      <c r="BJ249" s="50">
        <f>G249*H249</f>
        <v>0</v>
      </c>
      <c r="BK249" s="50" t="s">
        <v>662</v>
      </c>
      <c r="BL249" s="68">
        <v>95</v>
      </c>
    </row>
    <row r="250" spans="1:47" ht="12.75">
      <c r="A250" s="96"/>
      <c r="B250" s="97"/>
      <c r="C250" s="97" t="s">
        <v>169</v>
      </c>
      <c r="D250" s="222" t="s">
        <v>571</v>
      </c>
      <c r="E250" s="223"/>
      <c r="F250" s="96" t="s">
        <v>73</v>
      </c>
      <c r="G250" s="96" t="s">
        <v>73</v>
      </c>
      <c r="H250" s="96" t="s">
        <v>73</v>
      </c>
      <c r="I250" s="98">
        <f>SUM(I251:I253)</f>
        <v>0</v>
      </c>
      <c r="J250" s="98">
        <f>SUM(J251:J253)</f>
        <v>0</v>
      </c>
      <c r="K250" s="98">
        <f>SUM(K251:K253)</f>
        <v>0</v>
      </c>
      <c r="L250" s="99"/>
      <c r="M250" s="98">
        <f>SUM(M251:M253)</f>
        <v>2.9254103</v>
      </c>
      <c r="N250" s="95"/>
      <c r="O250" s="80"/>
      <c r="AI250" s="60"/>
      <c r="AS250" s="74">
        <f>SUM(AJ251:AJ253)</f>
        <v>0</v>
      </c>
      <c r="AT250" s="74">
        <f>SUM(AK251:AK253)</f>
        <v>0</v>
      </c>
      <c r="AU250" s="74">
        <f>SUM(AL251:AL253)</f>
        <v>0</v>
      </c>
    </row>
    <row r="251" spans="1:64" ht="12.75">
      <c r="A251" s="83" t="s">
        <v>200</v>
      </c>
      <c r="B251" s="83"/>
      <c r="C251" s="83" t="s">
        <v>344</v>
      </c>
      <c r="D251" s="220" t="s">
        <v>572</v>
      </c>
      <c r="E251" s="221"/>
      <c r="F251" s="83" t="s">
        <v>595</v>
      </c>
      <c r="G251" s="88">
        <v>4</v>
      </c>
      <c r="H251" s="136"/>
      <c r="I251" s="88">
        <f>G251*AO251</f>
        <v>0</v>
      </c>
      <c r="J251" s="88">
        <f>G251*AP251</f>
        <v>0</v>
      </c>
      <c r="K251" s="88">
        <f>G251*H251</f>
        <v>0</v>
      </c>
      <c r="L251" s="88">
        <v>0</v>
      </c>
      <c r="M251" s="88">
        <f>G251*L251</f>
        <v>0</v>
      </c>
      <c r="N251" s="78" t="s">
        <v>616</v>
      </c>
      <c r="O251" s="80"/>
      <c r="Z251" s="68">
        <f>IF(AQ251="5",BJ251,0)</f>
        <v>0</v>
      </c>
      <c r="AB251" s="68">
        <f>IF(AQ251="1",BH251,0)</f>
        <v>0</v>
      </c>
      <c r="AC251" s="68">
        <f>IF(AQ251="1",BI251,0)</f>
        <v>0</v>
      </c>
      <c r="AD251" s="68">
        <f>IF(AQ251="7",BH251,0)</f>
        <v>0</v>
      </c>
      <c r="AE251" s="68">
        <f>IF(AQ251="7",BI251,0)</f>
        <v>0</v>
      </c>
      <c r="AF251" s="68">
        <f>IF(AQ251="2",BH251,0)</f>
        <v>0</v>
      </c>
      <c r="AG251" s="68">
        <f>IF(AQ251="2",BI251,0)</f>
        <v>0</v>
      </c>
      <c r="AH251" s="68">
        <f>IF(AQ251="0",BJ251,0)</f>
        <v>0</v>
      </c>
      <c r="AI251" s="60"/>
      <c r="AJ251" s="50">
        <f>IF(AN251=0,K251,0)</f>
        <v>0</v>
      </c>
      <c r="AK251" s="50">
        <f>IF(AN251=15,K251,0)</f>
        <v>0</v>
      </c>
      <c r="AL251" s="50">
        <f>IF(AN251=21,K251,0)</f>
        <v>0</v>
      </c>
      <c r="AN251" s="68">
        <v>15</v>
      </c>
      <c r="AO251" s="68">
        <f>H251*0</f>
        <v>0</v>
      </c>
      <c r="AP251" s="68">
        <f>H251*(1-0)</f>
        <v>0</v>
      </c>
      <c r="AQ251" s="69" t="s">
        <v>74</v>
      </c>
      <c r="AV251" s="68">
        <f>AW251+AX251</f>
        <v>0</v>
      </c>
      <c r="AW251" s="68">
        <f>G251*AO251</f>
        <v>0</v>
      </c>
      <c r="AX251" s="68">
        <f>G251*AP251</f>
        <v>0</v>
      </c>
      <c r="AY251" s="71" t="s">
        <v>645</v>
      </c>
      <c r="AZ251" s="71" t="s">
        <v>656</v>
      </c>
      <c r="BA251" s="60" t="s">
        <v>657</v>
      </c>
      <c r="BC251" s="68">
        <f>AW251+AX251</f>
        <v>0</v>
      </c>
      <c r="BD251" s="68">
        <f>H251/(100-BE251)*100</f>
        <v>0</v>
      </c>
      <c r="BE251" s="68">
        <v>0</v>
      </c>
      <c r="BF251" s="68">
        <f>M251</f>
        <v>0</v>
      </c>
      <c r="BH251" s="50">
        <f>G251*AO251</f>
        <v>0</v>
      </c>
      <c r="BI251" s="50">
        <f>G251*AP251</f>
        <v>0</v>
      </c>
      <c r="BJ251" s="50">
        <f>G251*H251</f>
        <v>0</v>
      </c>
      <c r="BK251" s="50" t="s">
        <v>662</v>
      </c>
      <c r="BL251" s="68">
        <v>96</v>
      </c>
    </row>
    <row r="252" spans="1:64" ht="12.75">
      <c r="A252" s="83" t="s">
        <v>201</v>
      </c>
      <c r="B252" s="83"/>
      <c r="C252" s="83" t="s">
        <v>345</v>
      </c>
      <c r="D252" s="220" t="s">
        <v>573</v>
      </c>
      <c r="E252" s="221"/>
      <c r="F252" s="83" t="s">
        <v>593</v>
      </c>
      <c r="G252" s="88">
        <v>4.44</v>
      </c>
      <c r="H252" s="136"/>
      <c r="I252" s="88">
        <f>G252*AO252</f>
        <v>0</v>
      </c>
      <c r="J252" s="88">
        <f>G252*AP252</f>
        <v>0</v>
      </c>
      <c r="K252" s="88">
        <f>G252*H252</f>
        <v>0</v>
      </c>
      <c r="L252" s="88">
        <v>0.09</v>
      </c>
      <c r="M252" s="88">
        <f>G252*L252</f>
        <v>0.3996</v>
      </c>
      <c r="N252" s="78" t="s">
        <v>616</v>
      </c>
      <c r="O252" s="80"/>
      <c r="Z252" s="68">
        <f>IF(AQ252="5",BJ252,0)</f>
        <v>0</v>
      </c>
      <c r="AB252" s="68">
        <f>IF(AQ252="1",BH252,0)</f>
        <v>0</v>
      </c>
      <c r="AC252" s="68">
        <f>IF(AQ252="1",BI252,0)</f>
        <v>0</v>
      </c>
      <c r="AD252" s="68">
        <f>IF(AQ252="7",BH252,0)</f>
        <v>0</v>
      </c>
      <c r="AE252" s="68">
        <f>IF(AQ252="7",BI252,0)</f>
        <v>0</v>
      </c>
      <c r="AF252" s="68">
        <f>IF(AQ252="2",BH252,0)</f>
        <v>0</v>
      </c>
      <c r="AG252" s="68">
        <f>IF(AQ252="2",BI252,0)</f>
        <v>0</v>
      </c>
      <c r="AH252" s="68">
        <f>IF(AQ252="0",BJ252,0)</f>
        <v>0</v>
      </c>
      <c r="AI252" s="60"/>
      <c r="AJ252" s="50">
        <f>IF(AN252=0,K252,0)</f>
        <v>0</v>
      </c>
      <c r="AK252" s="50">
        <f>IF(AN252=15,K252,0)</f>
        <v>0</v>
      </c>
      <c r="AL252" s="50">
        <f>IF(AN252=21,K252,0)</f>
        <v>0</v>
      </c>
      <c r="AN252" s="68">
        <v>15</v>
      </c>
      <c r="AO252" s="68">
        <f>H252*0</f>
        <v>0</v>
      </c>
      <c r="AP252" s="68">
        <f>H252*(1-0)</f>
        <v>0</v>
      </c>
      <c r="AQ252" s="69" t="s">
        <v>74</v>
      </c>
      <c r="AV252" s="68">
        <f>AW252+AX252</f>
        <v>0</v>
      </c>
      <c r="AW252" s="68">
        <f>G252*AO252</f>
        <v>0</v>
      </c>
      <c r="AX252" s="68">
        <f>G252*AP252</f>
        <v>0</v>
      </c>
      <c r="AY252" s="71" t="s">
        <v>645</v>
      </c>
      <c r="AZ252" s="71" t="s">
        <v>656</v>
      </c>
      <c r="BA252" s="60" t="s">
        <v>657</v>
      </c>
      <c r="BC252" s="68">
        <f>AW252+AX252</f>
        <v>0</v>
      </c>
      <c r="BD252" s="68">
        <f>H252/(100-BE252)*100</f>
        <v>0</v>
      </c>
      <c r="BE252" s="68">
        <v>0</v>
      </c>
      <c r="BF252" s="68">
        <f>M252</f>
        <v>0.3996</v>
      </c>
      <c r="BH252" s="50">
        <f>G252*AO252</f>
        <v>0</v>
      </c>
      <c r="BI252" s="50">
        <f>G252*AP252</f>
        <v>0</v>
      </c>
      <c r="BJ252" s="50">
        <f>G252*H252</f>
        <v>0</v>
      </c>
      <c r="BK252" s="50" t="s">
        <v>662</v>
      </c>
      <c r="BL252" s="68">
        <v>96</v>
      </c>
    </row>
    <row r="253" spans="1:64" ht="12.75">
      <c r="A253" s="83" t="s">
        <v>202</v>
      </c>
      <c r="B253" s="83"/>
      <c r="C253" s="83" t="s">
        <v>346</v>
      </c>
      <c r="D253" s="220" t="s">
        <v>574</v>
      </c>
      <c r="E253" s="221"/>
      <c r="F253" s="83" t="s">
        <v>593</v>
      </c>
      <c r="G253" s="88">
        <v>25.09</v>
      </c>
      <c r="H253" s="136"/>
      <c r="I253" s="88">
        <f>G253*AO253</f>
        <v>0</v>
      </c>
      <c r="J253" s="88">
        <f>G253*AP253</f>
        <v>0</v>
      </c>
      <c r="K253" s="88">
        <f>G253*H253</f>
        <v>0</v>
      </c>
      <c r="L253" s="88">
        <v>0.10067</v>
      </c>
      <c r="M253" s="88">
        <f>G253*L253</f>
        <v>2.5258103</v>
      </c>
      <c r="N253" s="78" t="s">
        <v>616</v>
      </c>
      <c r="O253" s="80"/>
      <c r="Z253" s="68">
        <f>IF(AQ253="5",BJ253,0)</f>
        <v>0</v>
      </c>
      <c r="AB253" s="68">
        <f>IF(AQ253="1",BH253,0)</f>
        <v>0</v>
      </c>
      <c r="AC253" s="68">
        <f>IF(AQ253="1",BI253,0)</f>
        <v>0</v>
      </c>
      <c r="AD253" s="68">
        <f>IF(AQ253="7",BH253,0)</f>
        <v>0</v>
      </c>
      <c r="AE253" s="68">
        <f>IF(AQ253="7",BI253,0)</f>
        <v>0</v>
      </c>
      <c r="AF253" s="68">
        <f>IF(AQ253="2",BH253,0)</f>
        <v>0</v>
      </c>
      <c r="AG253" s="68">
        <f>IF(AQ253="2",BI253,0)</f>
        <v>0</v>
      </c>
      <c r="AH253" s="68">
        <f>IF(AQ253="0",BJ253,0)</f>
        <v>0</v>
      </c>
      <c r="AI253" s="60"/>
      <c r="AJ253" s="50">
        <f>IF(AN253=0,K253,0)</f>
        <v>0</v>
      </c>
      <c r="AK253" s="50">
        <f>IF(AN253=15,K253,0)</f>
        <v>0</v>
      </c>
      <c r="AL253" s="50">
        <f>IF(AN253=21,K253,0)</f>
        <v>0</v>
      </c>
      <c r="AN253" s="68">
        <v>15</v>
      </c>
      <c r="AO253" s="68">
        <f>H253*0.151746418357713</f>
        <v>0</v>
      </c>
      <c r="AP253" s="68">
        <f>H253*(1-0.151746418357713)</f>
        <v>0</v>
      </c>
      <c r="AQ253" s="69" t="s">
        <v>74</v>
      </c>
      <c r="AV253" s="68">
        <f>AW253+AX253</f>
        <v>0</v>
      </c>
      <c r="AW253" s="68">
        <f>G253*AO253</f>
        <v>0</v>
      </c>
      <c r="AX253" s="68">
        <f>G253*AP253</f>
        <v>0</v>
      </c>
      <c r="AY253" s="71" t="s">
        <v>645</v>
      </c>
      <c r="AZ253" s="71" t="s">
        <v>656</v>
      </c>
      <c r="BA253" s="60" t="s">
        <v>657</v>
      </c>
      <c r="BC253" s="68">
        <f>AW253+AX253</f>
        <v>0</v>
      </c>
      <c r="BD253" s="68">
        <f>H253/(100-BE253)*100</f>
        <v>0</v>
      </c>
      <c r="BE253" s="68">
        <v>0</v>
      </c>
      <c r="BF253" s="68">
        <f>M253</f>
        <v>2.5258103</v>
      </c>
      <c r="BH253" s="50">
        <f>G253*AO253</f>
        <v>0</v>
      </c>
      <c r="BI253" s="50">
        <f>G253*AP253</f>
        <v>0</v>
      </c>
      <c r="BJ253" s="50">
        <f>G253*H253</f>
        <v>0</v>
      </c>
      <c r="BK253" s="50" t="s">
        <v>662</v>
      </c>
      <c r="BL253" s="68">
        <v>96</v>
      </c>
    </row>
    <row r="254" spans="1:47" ht="12.75">
      <c r="A254" s="96"/>
      <c r="B254" s="97"/>
      <c r="C254" s="97" t="s">
        <v>347</v>
      </c>
      <c r="D254" s="222" t="s">
        <v>575</v>
      </c>
      <c r="E254" s="223"/>
      <c r="F254" s="96" t="s">
        <v>73</v>
      </c>
      <c r="G254" s="96" t="s">
        <v>73</v>
      </c>
      <c r="H254" s="96" t="s">
        <v>73</v>
      </c>
      <c r="I254" s="98">
        <f>SUM(I255:I255)</f>
        <v>0</v>
      </c>
      <c r="J254" s="98">
        <f>SUM(J255:J255)</f>
        <v>0</v>
      </c>
      <c r="K254" s="98">
        <f>SUM(K255:K255)</f>
        <v>0</v>
      </c>
      <c r="L254" s="99"/>
      <c r="M254" s="98">
        <f>SUM(M255:M255)</f>
        <v>0</v>
      </c>
      <c r="N254" s="95"/>
      <c r="O254" s="80"/>
      <c r="AI254" s="60"/>
      <c r="AS254" s="74">
        <f>SUM(AJ255:AJ255)</f>
        <v>0</v>
      </c>
      <c r="AT254" s="74">
        <f>SUM(AK255:AK255)</f>
        <v>0</v>
      </c>
      <c r="AU254" s="74">
        <f>SUM(AL255:AL255)</f>
        <v>0</v>
      </c>
    </row>
    <row r="255" spans="1:64" ht="12.75">
      <c r="A255" s="83" t="s">
        <v>203</v>
      </c>
      <c r="B255" s="83"/>
      <c r="C255" s="83" t="s">
        <v>348</v>
      </c>
      <c r="D255" s="220" t="s">
        <v>576</v>
      </c>
      <c r="E255" s="221"/>
      <c r="F255" s="83" t="s">
        <v>596</v>
      </c>
      <c r="G255" s="88">
        <v>4.5</v>
      </c>
      <c r="H255" s="136"/>
      <c r="I255" s="88">
        <f>G255*AO255</f>
        <v>0</v>
      </c>
      <c r="J255" s="88">
        <f>G255*AP255</f>
        <v>0</v>
      </c>
      <c r="K255" s="88">
        <f>G255*H255</f>
        <v>0</v>
      </c>
      <c r="L255" s="88">
        <v>0</v>
      </c>
      <c r="M255" s="88">
        <f>G255*L255</f>
        <v>0</v>
      </c>
      <c r="N255" s="78" t="s">
        <v>616</v>
      </c>
      <c r="O255" s="80"/>
      <c r="Z255" s="68">
        <f>IF(AQ255="5",BJ255,0)</f>
        <v>0</v>
      </c>
      <c r="AB255" s="68">
        <f>IF(AQ255="1",BH255,0)</f>
        <v>0</v>
      </c>
      <c r="AC255" s="68">
        <f>IF(AQ255="1",BI255,0)</f>
        <v>0</v>
      </c>
      <c r="AD255" s="68">
        <f>IF(AQ255="7",BH255,0)</f>
        <v>0</v>
      </c>
      <c r="AE255" s="68">
        <f>IF(AQ255="7",BI255,0)</f>
        <v>0</v>
      </c>
      <c r="AF255" s="68">
        <f>IF(AQ255="2",BH255,0)</f>
        <v>0</v>
      </c>
      <c r="AG255" s="68">
        <f>IF(AQ255="2",BI255,0)</f>
        <v>0</v>
      </c>
      <c r="AH255" s="68">
        <f>IF(AQ255="0",BJ255,0)</f>
        <v>0</v>
      </c>
      <c r="AI255" s="60"/>
      <c r="AJ255" s="50">
        <f>IF(AN255=0,K255,0)</f>
        <v>0</v>
      </c>
      <c r="AK255" s="50">
        <f>IF(AN255=15,K255,0)</f>
        <v>0</v>
      </c>
      <c r="AL255" s="50">
        <f>IF(AN255=21,K255,0)</f>
        <v>0</v>
      </c>
      <c r="AN255" s="68">
        <v>15</v>
      </c>
      <c r="AO255" s="68">
        <f>H255*0</f>
        <v>0</v>
      </c>
      <c r="AP255" s="68">
        <f>H255*(1-0)</f>
        <v>0</v>
      </c>
      <c r="AQ255" s="69" t="s">
        <v>78</v>
      </c>
      <c r="AV255" s="68">
        <f>AW255+AX255</f>
        <v>0</v>
      </c>
      <c r="AW255" s="68">
        <f>G255*AO255</f>
        <v>0</v>
      </c>
      <c r="AX255" s="68">
        <f>G255*AP255</f>
        <v>0</v>
      </c>
      <c r="AY255" s="71" t="s">
        <v>646</v>
      </c>
      <c r="AZ255" s="71" t="s">
        <v>656</v>
      </c>
      <c r="BA255" s="60" t="s">
        <v>657</v>
      </c>
      <c r="BC255" s="68">
        <f>AW255+AX255</f>
        <v>0</v>
      </c>
      <c r="BD255" s="68">
        <f>H255/(100-BE255)*100</f>
        <v>0</v>
      </c>
      <c r="BE255" s="68">
        <v>0</v>
      </c>
      <c r="BF255" s="68">
        <f>M255</f>
        <v>0</v>
      </c>
      <c r="BH255" s="50">
        <f>G255*AO255</f>
        <v>0</v>
      </c>
      <c r="BI255" s="50">
        <f>G255*AP255</f>
        <v>0</v>
      </c>
      <c r="BJ255" s="50">
        <f>G255*H255</f>
        <v>0</v>
      </c>
      <c r="BK255" s="50" t="s">
        <v>662</v>
      </c>
      <c r="BL255" s="68" t="s">
        <v>347</v>
      </c>
    </row>
    <row r="256" spans="1:47" ht="12.75">
      <c r="A256" s="127"/>
      <c r="B256" s="128"/>
      <c r="C256" s="128" t="s">
        <v>349</v>
      </c>
      <c r="D256" s="235" t="s">
        <v>577</v>
      </c>
      <c r="E256" s="223"/>
      <c r="F256" s="127" t="s">
        <v>73</v>
      </c>
      <c r="G256" s="127" t="s">
        <v>73</v>
      </c>
      <c r="H256" s="127" t="s">
        <v>73</v>
      </c>
      <c r="I256" s="129">
        <f>SUM(I257:I259)</f>
        <v>0</v>
      </c>
      <c r="J256" s="129">
        <f>SUM(J257:J259)</f>
        <v>0</v>
      </c>
      <c r="K256" s="129">
        <f>SUM(K257:K259)</f>
        <v>0</v>
      </c>
      <c r="L256" s="130"/>
      <c r="M256" s="129">
        <f>SUM(M257:M259)</f>
        <v>0</v>
      </c>
      <c r="N256" s="126"/>
      <c r="O256" s="80"/>
      <c r="AI256" s="60"/>
      <c r="AS256" s="74">
        <f>SUM(AJ257:AJ259)</f>
        <v>0</v>
      </c>
      <c r="AT256" s="74">
        <f>SUM(AK257:AK259)</f>
        <v>0</v>
      </c>
      <c r="AU256" s="74">
        <f>SUM(AL257:AL259)</f>
        <v>0</v>
      </c>
    </row>
    <row r="257" spans="1:64" ht="12.75">
      <c r="A257" s="83" t="s">
        <v>204</v>
      </c>
      <c r="B257" s="83"/>
      <c r="C257" s="83" t="s">
        <v>232</v>
      </c>
      <c r="D257" s="220" t="s">
        <v>578</v>
      </c>
      <c r="E257" s="221"/>
      <c r="F257" s="83" t="s">
        <v>599</v>
      </c>
      <c r="G257" s="88">
        <v>1</v>
      </c>
      <c r="H257" s="136"/>
      <c r="I257" s="88">
        <f>G257*AO257</f>
        <v>0</v>
      </c>
      <c r="J257" s="88">
        <f>G257*AP257</f>
        <v>0</v>
      </c>
      <c r="K257" s="88">
        <f>G257*H257</f>
        <v>0</v>
      </c>
      <c r="L257" s="88">
        <v>0</v>
      </c>
      <c r="M257" s="88">
        <f>G257*L257</f>
        <v>0</v>
      </c>
      <c r="N257" s="78" t="s">
        <v>232</v>
      </c>
      <c r="O257" s="80"/>
      <c r="Z257" s="68">
        <f>IF(AQ257="5",BJ257,0)</f>
        <v>0</v>
      </c>
      <c r="AB257" s="68">
        <f>IF(AQ257="1",BH257,0)</f>
        <v>0</v>
      </c>
      <c r="AC257" s="68">
        <f>IF(AQ257="1",BI257,0)</f>
        <v>0</v>
      </c>
      <c r="AD257" s="68">
        <f>IF(AQ257="7",BH257,0)</f>
        <v>0</v>
      </c>
      <c r="AE257" s="68">
        <f>IF(AQ257="7",BI257,0)</f>
        <v>0</v>
      </c>
      <c r="AF257" s="68">
        <f>IF(AQ257="2",BH257,0)</f>
        <v>0</v>
      </c>
      <c r="AG257" s="68">
        <f>IF(AQ257="2",BI257,0)</f>
        <v>0</v>
      </c>
      <c r="AH257" s="68">
        <f>IF(AQ257="0",BJ257,0)</f>
        <v>0</v>
      </c>
      <c r="AI257" s="60"/>
      <c r="AJ257" s="50">
        <f>IF(AN257=0,K257,0)</f>
        <v>0</v>
      </c>
      <c r="AK257" s="50">
        <f>IF(AN257=15,K257,0)</f>
        <v>0</v>
      </c>
      <c r="AL257" s="50">
        <f>IF(AN257=21,K257,0)</f>
        <v>0</v>
      </c>
      <c r="AN257" s="68">
        <v>15</v>
      </c>
      <c r="AO257" s="68">
        <f>H257*0</f>
        <v>0</v>
      </c>
      <c r="AP257" s="68">
        <f>H257*(1-0)</f>
        <v>0</v>
      </c>
      <c r="AQ257" s="69" t="s">
        <v>78</v>
      </c>
      <c r="AV257" s="68">
        <f>AW257+AX257</f>
        <v>0</v>
      </c>
      <c r="AW257" s="68">
        <f>G257*AO257</f>
        <v>0</v>
      </c>
      <c r="AX257" s="68">
        <f>G257*AP257</f>
        <v>0</v>
      </c>
      <c r="AY257" s="71" t="s">
        <v>647</v>
      </c>
      <c r="AZ257" s="71" t="s">
        <v>656</v>
      </c>
      <c r="BA257" s="60" t="s">
        <v>657</v>
      </c>
      <c r="BC257" s="68">
        <f>AW257+AX257</f>
        <v>0</v>
      </c>
      <c r="BD257" s="68">
        <f>H257/(100-BE257)*100</f>
        <v>0</v>
      </c>
      <c r="BE257" s="68">
        <v>0</v>
      </c>
      <c r="BF257" s="68">
        <f>M257</f>
        <v>0</v>
      </c>
      <c r="BH257" s="50">
        <f>G257*AO257</f>
        <v>0</v>
      </c>
      <c r="BI257" s="50">
        <f>G257*AP257</f>
        <v>0</v>
      </c>
      <c r="BJ257" s="50">
        <f>G257*H257</f>
        <v>0</v>
      </c>
      <c r="BK257" s="50" t="s">
        <v>662</v>
      </c>
      <c r="BL257" s="68" t="s">
        <v>349</v>
      </c>
    </row>
    <row r="258" spans="1:64" ht="12.75">
      <c r="A258" s="132" t="s">
        <v>205</v>
      </c>
      <c r="B258" s="132"/>
      <c r="C258" s="132" t="s">
        <v>232</v>
      </c>
      <c r="D258" s="236" t="s">
        <v>579</v>
      </c>
      <c r="E258" s="221"/>
      <c r="F258" s="132" t="s">
        <v>599</v>
      </c>
      <c r="G258" s="133">
        <v>1</v>
      </c>
      <c r="H258" s="141"/>
      <c r="I258" s="133">
        <f>G258*AO258</f>
        <v>0</v>
      </c>
      <c r="J258" s="133">
        <f>G258*AP258</f>
        <v>0</v>
      </c>
      <c r="K258" s="133">
        <f>G258*H258</f>
        <v>0</v>
      </c>
      <c r="L258" s="133">
        <v>0</v>
      </c>
      <c r="M258" s="133">
        <f>G258*L258</f>
        <v>0</v>
      </c>
      <c r="N258" s="131" t="s">
        <v>232</v>
      </c>
      <c r="O258" s="80"/>
      <c r="Z258" s="68">
        <f>IF(AQ258="5",BJ258,0)</f>
        <v>0</v>
      </c>
      <c r="AB258" s="68">
        <f>IF(AQ258="1",BH258,0)</f>
        <v>0</v>
      </c>
      <c r="AC258" s="68">
        <f>IF(AQ258="1",BI258,0)</f>
        <v>0</v>
      </c>
      <c r="AD258" s="68">
        <f>IF(AQ258="7",BH258,0)</f>
        <v>0</v>
      </c>
      <c r="AE258" s="68">
        <f>IF(AQ258="7",BI258,0)</f>
        <v>0</v>
      </c>
      <c r="AF258" s="68">
        <f>IF(AQ258="2",BH258,0)</f>
        <v>0</v>
      </c>
      <c r="AG258" s="68">
        <f>IF(AQ258="2",BI258,0)</f>
        <v>0</v>
      </c>
      <c r="AH258" s="68">
        <f>IF(AQ258="0",BJ258,0)</f>
        <v>0</v>
      </c>
      <c r="AI258" s="60"/>
      <c r="AJ258" s="50">
        <f>IF(AN258=0,K258,0)</f>
        <v>0</v>
      </c>
      <c r="AK258" s="50">
        <f>IF(AN258=15,K258,0)</f>
        <v>0</v>
      </c>
      <c r="AL258" s="50">
        <f>IF(AN258=21,K258,0)</f>
        <v>0</v>
      </c>
      <c r="AN258" s="68">
        <v>15</v>
      </c>
      <c r="AO258" s="68">
        <f>H258*0</f>
        <v>0</v>
      </c>
      <c r="AP258" s="68">
        <f>H258*(1-0)</f>
        <v>0</v>
      </c>
      <c r="AQ258" s="69" t="s">
        <v>78</v>
      </c>
      <c r="AV258" s="68">
        <f>AW258+AX258</f>
        <v>0</v>
      </c>
      <c r="AW258" s="68">
        <f>G258*AO258</f>
        <v>0</v>
      </c>
      <c r="AX258" s="68">
        <f>G258*AP258</f>
        <v>0</v>
      </c>
      <c r="AY258" s="71" t="s">
        <v>647</v>
      </c>
      <c r="AZ258" s="71" t="s">
        <v>656</v>
      </c>
      <c r="BA258" s="60" t="s">
        <v>657</v>
      </c>
      <c r="BC258" s="68">
        <f>AW258+AX258</f>
        <v>0</v>
      </c>
      <c r="BD258" s="68">
        <f>H258/(100-BE258)*100</f>
        <v>0</v>
      </c>
      <c r="BE258" s="68">
        <v>0</v>
      </c>
      <c r="BF258" s="68">
        <f>M258</f>
        <v>0</v>
      </c>
      <c r="BH258" s="50">
        <f>G258*AO258</f>
        <v>0</v>
      </c>
      <c r="BI258" s="50">
        <f>G258*AP258</f>
        <v>0</v>
      </c>
      <c r="BJ258" s="50">
        <f>G258*H258</f>
        <v>0</v>
      </c>
      <c r="BK258" s="50" t="s">
        <v>662</v>
      </c>
      <c r="BL258" s="68" t="s">
        <v>349</v>
      </c>
    </row>
    <row r="259" spans="1:64" ht="12.75">
      <c r="A259" s="83" t="s">
        <v>206</v>
      </c>
      <c r="B259" s="83"/>
      <c r="C259" s="83" t="s">
        <v>232</v>
      </c>
      <c r="D259" s="220" t="s">
        <v>580</v>
      </c>
      <c r="E259" s="221"/>
      <c r="F259" s="83" t="s">
        <v>665</v>
      </c>
      <c r="G259" s="88">
        <v>1</v>
      </c>
      <c r="H259" s="136"/>
      <c r="I259" s="88">
        <f>G259*AO259</f>
        <v>0</v>
      </c>
      <c r="J259" s="88">
        <f>G259*AP259</f>
        <v>0</v>
      </c>
      <c r="K259" s="88">
        <f>G259*H259</f>
        <v>0</v>
      </c>
      <c r="L259" s="88">
        <v>0</v>
      </c>
      <c r="M259" s="88">
        <f>G259*L259</f>
        <v>0</v>
      </c>
      <c r="N259" s="78" t="s">
        <v>232</v>
      </c>
      <c r="O259" s="80"/>
      <c r="Z259" s="68">
        <f>IF(AQ259="5",BJ259,0)</f>
        <v>0</v>
      </c>
      <c r="AB259" s="68">
        <f>IF(AQ259="1",BH259,0)</f>
        <v>0</v>
      </c>
      <c r="AC259" s="68">
        <f>IF(AQ259="1",BI259,0)</f>
        <v>0</v>
      </c>
      <c r="AD259" s="68">
        <f>IF(AQ259="7",BH259,0)</f>
        <v>0</v>
      </c>
      <c r="AE259" s="68">
        <f>IF(AQ259="7",BI259,0)</f>
        <v>0</v>
      </c>
      <c r="AF259" s="68">
        <f>IF(AQ259="2",BH259,0)</f>
        <v>0</v>
      </c>
      <c r="AG259" s="68">
        <f>IF(AQ259="2",BI259,0)</f>
        <v>0</v>
      </c>
      <c r="AH259" s="68">
        <f>IF(AQ259="0",BJ259,0)</f>
        <v>0</v>
      </c>
      <c r="AI259" s="60"/>
      <c r="AJ259" s="50">
        <f>IF(AN259=0,K259,0)</f>
        <v>0</v>
      </c>
      <c r="AK259" s="50">
        <f>IF(AN259=15,K259,0)</f>
        <v>0</v>
      </c>
      <c r="AL259" s="50">
        <f>IF(AN259=21,K259,0)</f>
        <v>0</v>
      </c>
      <c r="AN259" s="68">
        <v>15</v>
      </c>
      <c r="AO259" s="68">
        <f>H259*0</f>
        <v>0</v>
      </c>
      <c r="AP259" s="68">
        <f>H259*(1-0)</f>
        <v>0</v>
      </c>
      <c r="AQ259" s="69" t="s">
        <v>78</v>
      </c>
      <c r="AV259" s="68">
        <f>AW259+AX259</f>
        <v>0</v>
      </c>
      <c r="AW259" s="68">
        <f>G259*AO259</f>
        <v>0</v>
      </c>
      <c r="AX259" s="68">
        <f>G259*AP259</f>
        <v>0</v>
      </c>
      <c r="AY259" s="71" t="s">
        <v>647</v>
      </c>
      <c r="AZ259" s="71" t="s">
        <v>656</v>
      </c>
      <c r="BA259" s="60" t="s">
        <v>657</v>
      </c>
      <c r="BC259" s="68">
        <f>AW259+AX259</f>
        <v>0</v>
      </c>
      <c r="BD259" s="68">
        <f>H259/(100-BE259)*100</f>
        <v>0</v>
      </c>
      <c r="BE259" s="68">
        <v>0</v>
      </c>
      <c r="BF259" s="68">
        <f>M259</f>
        <v>0</v>
      </c>
      <c r="BH259" s="50">
        <f>G259*AO259</f>
        <v>0</v>
      </c>
      <c r="BI259" s="50">
        <f>G259*AP259</f>
        <v>0</v>
      </c>
      <c r="BJ259" s="50">
        <f>G259*H259</f>
        <v>0</v>
      </c>
      <c r="BK259" s="50" t="s">
        <v>662</v>
      </c>
      <c r="BL259" s="68" t="s">
        <v>349</v>
      </c>
    </row>
    <row r="260" spans="1:47" ht="12.75">
      <c r="A260" s="96"/>
      <c r="B260" s="97"/>
      <c r="C260" s="97" t="s">
        <v>350</v>
      </c>
      <c r="D260" s="222" t="s">
        <v>581</v>
      </c>
      <c r="E260" s="223"/>
      <c r="F260" s="96" t="s">
        <v>73</v>
      </c>
      <c r="G260" s="96" t="s">
        <v>73</v>
      </c>
      <c r="H260" s="96" t="s">
        <v>73</v>
      </c>
      <c r="I260" s="98">
        <f>SUM(I261:I268)</f>
        <v>0</v>
      </c>
      <c r="J260" s="98">
        <f>SUM(J261:J268)</f>
        <v>0</v>
      </c>
      <c r="K260" s="98">
        <f>SUM(K261:K268)</f>
        <v>0</v>
      </c>
      <c r="L260" s="99"/>
      <c r="M260" s="98">
        <f>SUM(M261:M268)</f>
        <v>0</v>
      </c>
      <c r="N260" s="95"/>
      <c r="O260" s="80"/>
      <c r="AI260" s="60"/>
      <c r="AS260" s="74">
        <f>SUM(AJ261:AJ268)</f>
        <v>0</v>
      </c>
      <c r="AT260" s="74">
        <f>SUM(AK261:AK268)</f>
        <v>0</v>
      </c>
      <c r="AU260" s="74">
        <f>SUM(AL261:AL268)</f>
        <v>0</v>
      </c>
    </row>
    <row r="261" spans="1:64" ht="12.75">
      <c r="A261" s="83" t="s">
        <v>207</v>
      </c>
      <c r="B261" s="83"/>
      <c r="C261" s="83" t="s">
        <v>351</v>
      </c>
      <c r="D261" s="220" t="s">
        <v>582</v>
      </c>
      <c r="E261" s="221"/>
      <c r="F261" s="83" t="s">
        <v>596</v>
      </c>
      <c r="G261" s="88">
        <v>3.43786</v>
      </c>
      <c r="H261" s="136"/>
      <c r="I261" s="88">
        <f>G261*AO261</f>
        <v>0</v>
      </c>
      <c r="J261" s="88">
        <f>G261*AP261</f>
        <v>0</v>
      </c>
      <c r="K261" s="88">
        <f>G261*H261</f>
        <v>0</v>
      </c>
      <c r="L261" s="88">
        <v>0</v>
      </c>
      <c r="M261" s="88">
        <f>G261*L261</f>
        <v>0</v>
      </c>
      <c r="N261" s="78" t="s">
        <v>616</v>
      </c>
      <c r="O261" s="80"/>
      <c r="Z261" s="68">
        <f>IF(AQ261="5",BJ261,0)</f>
        <v>0</v>
      </c>
      <c r="AB261" s="68">
        <f>IF(AQ261="1",BH261,0)</f>
        <v>0</v>
      </c>
      <c r="AC261" s="68">
        <f>IF(AQ261="1",BI261,0)</f>
        <v>0</v>
      </c>
      <c r="AD261" s="68">
        <f>IF(AQ261="7",BH261,0)</f>
        <v>0</v>
      </c>
      <c r="AE261" s="68">
        <f>IF(AQ261="7",BI261,0)</f>
        <v>0</v>
      </c>
      <c r="AF261" s="68">
        <f>IF(AQ261="2",BH261,0)</f>
        <v>0</v>
      </c>
      <c r="AG261" s="68">
        <f>IF(AQ261="2",BI261,0)</f>
        <v>0</v>
      </c>
      <c r="AH261" s="68">
        <f>IF(AQ261="0",BJ261,0)</f>
        <v>0</v>
      </c>
      <c r="AI261" s="60"/>
      <c r="AJ261" s="50">
        <f>IF(AN261=0,K261,0)</f>
        <v>0</v>
      </c>
      <c r="AK261" s="50">
        <f>IF(AN261=15,K261,0)</f>
        <v>0</v>
      </c>
      <c r="AL261" s="50">
        <f>IF(AN261=21,K261,0)</f>
        <v>0</v>
      </c>
      <c r="AN261" s="68">
        <v>15</v>
      </c>
      <c r="AO261" s="68">
        <f>H261*0</f>
        <v>0</v>
      </c>
      <c r="AP261" s="68">
        <f>H261*(1-0)</f>
        <v>0</v>
      </c>
      <c r="AQ261" s="69" t="s">
        <v>78</v>
      </c>
      <c r="AV261" s="68">
        <f>AW261+AX261</f>
        <v>0</v>
      </c>
      <c r="AW261" s="68">
        <f>G261*AO261</f>
        <v>0</v>
      </c>
      <c r="AX261" s="68">
        <f>G261*AP261</f>
        <v>0</v>
      </c>
      <c r="AY261" s="71" t="s">
        <v>648</v>
      </c>
      <c r="AZ261" s="71" t="s">
        <v>656</v>
      </c>
      <c r="BA261" s="60" t="s">
        <v>657</v>
      </c>
      <c r="BC261" s="68">
        <f>AW261+AX261</f>
        <v>0</v>
      </c>
      <c r="BD261" s="68">
        <f>H261/(100-BE261)*100</f>
        <v>0</v>
      </c>
      <c r="BE261" s="68">
        <v>0</v>
      </c>
      <c r="BF261" s="68">
        <f>M261</f>
        <v>0</v>
      </c>
      <c r="BH261" s="50">
        <f>G261*AO261</f>
        <v>0</v>
      </c>
      <c r="BI261" s="50">
        <f>G261*AP261</f>
        <v>0</v>
      </c>
      <c r="BJ261" s="50">
        <f>G261*H261</f>
        <v>0</v>
      </c>
      <c r="BK261" s="50" t="s">
        <v>662</v>
      </c>
      <c r="BL261" s="68" t="s">
        <v>350</v>
      </c>
    </row>
    <row r="262" spans="1:64" ht="12.75">
      <c r="A262" s="83" t="s">
        <v>208</v>
      </c>
      <c r="B262" s="83"/>
      <c r="C262" s="83" t="s">
        <v>352</v>
      </c>
      <c r="D262" s="220" t="s">
        <v>583</v>
      </c>
      <c r="E262" s="221"/>
      <c r="F262" s="83" t="s">
        <v>596</v>
      </c>
      <c r="G262" s="88">
        <v>34.4</v>
      </c>
      <c r="H262" s="136"/>
      <c r="I262" s="88">
        <f>G262*AO262</f>
        <v>0</v>
      </c>
      <c r="J262" s="88">
        <f>G262*AP262</f>
        <v>0</v>
      </c>
      <c r="K262" s="88">
        <f>G262*H262</f>
        <v>0</v>
      </c>
      <c r="L262" s="88">
        <v>0</v>
      </c>
      <c r="M262" s="88">
        <f>G262*L262</f>
        <v>0</v>
      </c>
      <c r="N262" s="78" t="s">
        <v>616</v>
      </c>
      <c r="O262" s="80"/>
      <c r="Z262" s="68">
        <f>IF(AQ262="5",BJ262,0)</f>
        <v>0</v>
      </c>
      <c r="AB262" s="68">
        <f>IF(AQ262="1",BH262,0)</f>
        <v>0</v>
      </c>
      <c r="AC262" s="68">
        <f>IF(AQ262="1",BI262,0)</f>
        <v>0</v>
      </c>
      <c r="AD262" s="68">
        <f>IF(AQ262="7",BH262,0)</f>
        <v>0</v>
      </c>
      <c r="AE262" s="68">
        <f>IF(AQ262="7",BI262,0)</f>
        <v>0</v>
      </c>
      <c r="AF262" s="68">
        <f>IF(AQ262="2",BH262,0)</f>
        <v>0</v>
      </c>
      <c r="AG262" s="68">
        <f>IF(AQ262="2",BI262,0)</f>
        <v>0</v>
      </c>
      <c r="AH262" s="68">
        <f>IF(AQ262="0",BJ262,0)</f>
        <v>0</v>
      </c>
      <c r="AI262" s="60"/>
      <c r="AJ262" s="50">
        <f>IF(AN262=0,K262,0)</f>
        <v>0</v>
      </c>
      <c r="AK262" s="50">
        <f>IF(AN262=15,K262,0)</f>
        <v>0</v>
      </c>
      <c r="AL262" s="50">
        <f>IF(AN262=21,K262,0)</f>
        <v>0</v>
      </c>
      <c r="AN262" s="68">
        <v>15</v>
      </c>
      <c r="AO262" s="68">
        <f>H262*0</f>
        <v>0</v>
      </c>
      <c r="AP262" s="68">
        <f>H262*(1-0)</f>
        <v>0</v>
      </c>
      <c r="AQ262" s="69" t="s">
        <v>78</v>
      </c>
      <c r="AV262" s="68">
        <f>AW262+AX262</f>
        <v>0</v>
      </c>
      <c r="AW262" s="68">
        <f>G262*AO262</f>
        <v>0</v>
      </c>
      <c r="AX262" s="68">
        <f>G262*AP262</f>
        <v>0</v>
      </c>
      <c r="AY262" s="71" t="s">
        <v>648</v>
      </c>
      <c r="AZ262" s="71" t="s">
        <v>656</v>
      </c>
      <c r="BA262" s="60" t="s">
        <v>657</v>
      </c>
      <c r="BC262" s="68">
        <f>AW262+AX262</f>
        <v>0</v>
      </c>
      <c r="BD262" s="68">
        <f>H262/(100-BE262)*100</f>
        <v>0</v>
      </c>
      <c r="BE262" s="68">
        <v>0</v>
      </c>
      <c r="BF262" s="68">
        <f>M262</f>
        <v>0</v>
      </c>
      <c r="BH262" s="50">
        <f>G262*AO262</f>
        <v>0</v>
      </c>
      <c r="BI262" s="50">
        <f>G262*AP262</f>
        <v>0</v>
      </c>
      <c r="BJ262" s="50">
        <f>G262*H262</f>
        <v>0</v>
      </c>
      <c r="BK262" s="50" t="s">
        <v>662</v>
      </c>
      <c r="BL262" s="68" t="s">
        <v>350</v>
      </c>
    </row>
    <row r="263" spans="1:15" ht="12.75">
      <c r="A263" s="90"/>
      <c r="B263" s="91"/>
      <c r="C263" s="91"/>
      <c r="D263" s="92" t="s">
        <v>584</v>
      </c>
      <c r="E263" s="93"/>
      <c r="F263" s="91"/>
      <c r="G263" s="94">
        <v>34.4</v>
      </c>
      <c r="H263" s="91"/>
      <c r="I263" s="91"/>
      <c r="J263" s="91"/>
      <c r="K263" s="91"/>
      <c r="L263" s="91"/>
      <c r="M263" s="91"/>
      <c r="N263" s="81"/>
      <c r="O263" s="80"/>
    </row>
    <row r="264" spans="1:64" ht="12.75">
      <c r="A264" s="83" t="s">
        <v>209</v>
      </c>
      <c r="B264" s="83"/>
      <c r="C264" s="83" t="s">
        <v>353</v>
      </c>
      <c r="D264" s="220" t="s">
        <v>585</v>
      </c>
      <c r="E264" s="221"/>
      <c r="F264" s="83" t="s">
        <v>596</v>
      </c>
      <c r="G264" s="88">
        <v>3.44</v>
      </c>
      <c r="H264" s="136"/>
      <c r="I264" s="88">
        <f>G264*AO264</f>
        <v>0</v>
      </c>
      <c r="J264" s="88">
        <f>G264*AP264</f>
        <v>0</v>
      </c>
      <c r="K264" s="88">
        <f>G264*H264</f>
        <v>0</v>
      </c>
      <c r="L264" s="88">
        <v>0</v>
      </c>
      <c r="M264" s="88">
        <f>G264*L264</f>
        <v>0</v>
      </c>
      <c r="N264" s="78" t="s">
        <v>616</v>
      </c>
      <c r="O264" s="80"/>
      <c r="Z264" s="68">
        <f>IF(AQ264="5",BJ264,0)</f>
        <v>0</v>
      </c>
      <c r="AB264" s="68">
        <f>IF(AQ264="1",BH264,0)</f>
        <v>0</v>
      </c>
      <c r="AC264" s="68">
        <f>IF(AQ264="1",BI264,0)</f>
        <v>0</v>
      </c>
      <c r="AD264" s="68">
        <f>IF(AQ264="7",BH264,0)</f>
        <v>0</v>
      </c>
      <c r="AE264" s="68">
        <f>IF(AQ264="7",BI264,0)</f>
        <v>0</v>
      </c>
      <c r="AF264" s="68">
        <f>IF(AQ264="2",BH264,0)</f>
        <v>0</v>
      </c>
      <c r="AG264" s="68">
        <f>IF(AQ264="2",BI264,0)</f>
        <v>0</v>
      </c>
      <c r="AH264" s="68">
        <f>IF(AQ264="0",BJ264,0)</f>
        <v>0</v>
      </c>
      <c r="AI264" s="60"/>
      <c r="AJ264" s="50">
        <f>IF(AN264=0,K264,0)</f>
        <v>0</v>
      </c>
      <c r="AK264" s="50">
        <f>IF(AN264=15,K264,0)</f>
        <v>0</v>
      </c>
      <c r="AL264" s="50">
        <f>IF(AN264=21,K264,0)</f>
        <v>0</v>
      </c>
      <c r="AN264" s="68">
        <v>15</v>
      </c>
      <c r="AO264" s="68">
        <f>H264*0</f>
        <v>0</v>
      </c>
      <c r="AP264" s="68">
        <f>H264*(1-0)</f>
        <v>0</v>
      </c>
      <c r="AQ264" s="69" t="s">
        <v>78</v>
      </c>
      <c r="AV264" s="68">
        <f>AW264+AX264</f>
        <v>0</v>
      </c>
      <c r="AW264" s="68">
        <f>G264*AO264</f>
        <v>0</v>
      </c>
      <c r="AX264" s="68">
        <f>G264*AP264</f>
        <v>0</v>
      </c>
      <c r="AY264" s="71" t="s">
        <v>648</v>
      </c>
      <c r="AZ264" s="71" t="s">
        <v>656</v>
      </c>
      <c r="BA264" s="60" t="s">
        <v>657</v>
      </c>
      <c r="BC264" s="68">
        <f>AW264+AX264</f>
        <v>0</v>
      </c>
      <c r="BD264" s="68">
        <f>H264/(100-BE264)*100</f>
        <v>0</v>
      </c>
      <c r="BE264" s="68">
        <v>0</v>
      </c>
      <c r="BF264" s="68">
        <f>M264</f>
        <v>0</v>
      </c>
      <c r="BH264" s="50">
        <f>G264*AO264</f>
        <v>0</v>
      </c>
      <c r="BI264" s="50">
        <f>G264*AP264</f>
        <v>0</v>
      </c>
      <c r="BJ264" s="50">
        <f>G264*H264</f>
        <v>0</v>
      </c>
      <c r="BK264" s="50" t="s">
        <v>662</v>
      </c>
      <c r="BL264" s="68" t="s">
        <v>350</v>
      </c>
    </row>
    <row r="265" spans="1:64" ht="12.75">
      <c r="A265" s="83" t="s">
        <v>210</v>
      </c>
      <c r="B265" s="83"/>
      <c r="C265" s="83" t="s">
        <v>354</v>
      </c>
      <c r="D265" s="220" t="s">
        <v>586</v>
      </c>
      <c r="E265" s="221"/>
      <c r="F265" s="83" t="s">
        <v>596</v>
      </c>
      <c r="G265" s="88">
        <v>0</v>
      </c>
      <c r="H265" s="136"/>
      <c r="I265" s="88">
        <f>G265*AO265</f>
        <v>0</v>
      </c>
      <c r="J265" s="88">
        <f>G265*AP265</f>
        <v>0</v>
      </c>
      <c r="K265" s="88">
        <f>G265*H265</f>
        <v>0</v>
      </c>
      <c r="L265" s="88">
        <v>0</v>
      </c>
      <c r="M265" s="88">
        <f>G265*L265</f>
        <v>0</v>
      </c>
      <c r="N265" s="78" t="s">
        <v>616</v>
      </c>
      <c r="O265" s="80"/>
      <c r="Z265" s="68">
        <f>IF(AQ265="5",BJ265,0)</f>
        <v>0</v>
      </c>
      <c r="AB265" s="68">
        <f>IF(AQ265="1",BH265,0)</f>
        <v>0</v>
      </c>
      <c r="AC265" s="68">
        <f>IF(AQ265="1",BI265,0)</f>
        <v>0</v>
      </c>
      <c r="AD265" s="68">
        <f>IF(AQ265="7",BH265,0)</f>
        <v>0</v>
      </c>
      <c r="AE265" s="68">
        <f>IF(AQ265="7",BI265,0)</f>
        <v>0</v>
      </c>
      <c r="AF265" s="68">
        <f>IF(AQ265="2",BH265,0)</f>
        <v>0</v>
      </c>
      <c r="AG265" s="68">
        <f>IF(AQ265="2",BI265,0)</f>
        <v>0</v>
      </c>
      <c r="AH265" s="68">
        <f>IF(AQ265="0",BJ265,0)</f>
        <v>0</v>
      </c>
      <c r="AI265" s="60"/>
      <c r="AJ265" s="50">
        <f>IF(AN265=0,K265,0)</f>
        <v>0</v>
      </c>
      <c r="AK265" s="50">
        <f>IF(AN265=15,K265,0)</f>
        <v>0</v>
      </c>
      <c r="AL265" s="50">
        <f>IF(AN265=21,K265,0)</f>
        <v>0</v>
      </c>
      <c r="AN265" s="68">
        <v>15</v>
      </c>
      <c r="AO265" s="68">
        <f>H265*0</f>
        <v>0</v>
      </c>
      <c r="AP265" s="68">
        <f>H265*(1-0)</f>
        <v>0</v>
      </c>
      <c r="AQ265" s="69" t="s">
        <v>78</v>
      </c>
      <c r="AV265" s="68">
        <f>AW265+AX265</f>
        <v>0</v>
      </c>
      <c r="AW265" s="68">
        <f>G265*AO265</f>
        <v>0</v>
      </c>
      <c r="AX265" s="68">
        <f>G265*AP265</f>
        <v>0</v>
      </c>
      <c r="AY265" s="71" t="s">
        <v>648</v>
      </c>
      <c r="AZ265" s="71" t="s">
        <v>656</v>
      </c>
      <c r="BA265" s="60" t="s">
        <v>657</v>
      </c>
      <c r="BC265" s="68">
        <f>AW265+AX265</f>
        <v>0</v>
      </c>
      <c r="BD265" s="68">
        <f>H265/(100-BE265)*100</f>
        <v>0</v>
      </c>
      <c r="BE265" s="68">
        <v>0</v>
      </c>
      <c r="BF265" s="68">
        <f>M265</f>
        <v>0</v>
      </c>
      <c r="BH265" s="50">
        <f>G265*AO265</f>
        <v>0</v>
      </c>
      <c r="BI265" s="50">
        <f>G265*AP265</f>
        <v>0</v>
      </c>
      <c r="BJ265" s="50">
        <f>G265*H265</f>
        <v>0</v>
      </c>
      <c r="BK265" s="50" t="s">
        <v>662</v>
      </c>
      <c r="BL265" s="68" t="s">
        <v>350</v>
      </c>
    </row>
    <row r="266" spans="1:64" ht="12.75">
      <c r="A266" s="83" t="s">
        <v>211</v>
      </c>
      <c r="B266" s="83"/>
      <c r="C266" s="83" t="s">
        <v>353</v>
      </c>
      <c r="D266" s="220" t="s">
        <v>585</v>
      </c>
      <c r="E266" s="221"/>
      <c r="F266" s="83" t="s">
        <v>596</v>
      </c>
      <c r="G266" s="88">
        <v>3.11</v>
      </c>
      <c r="H266" s="136"/>
      <c r="I266" s="88">
        <f>G266*AO266</f>
        <v>0</v>
      </c>
      <c r="J266" s="88">
        <f>G266*AP266</f>
        <v>0</v>
      </c>
      <c r="K266" s="88">
        <f>G266*H266</f>
        <v>0</v>
      </c>
      <c r="L266" s="88">
        <v>0</v>
      </c>
      <c r="M266" s="88">
        <f>G266*L266</f>
        <v>0</v>
      </c>
      <c r="N266" s="78" t="s">
        <v>616</v>
      </c>
      <c r="O266" s="80"/>
      <c r="Z266" s="68">
        <f>IF(AQ266="5",BJ266,0)</f>
        <v>0</v>
      </c>
      <c r="AB266" s="68">
        <f>IF(AQ266="1",BH266,0)</f>
        <v>0</v>
      </c>
      <c r="AC266" s="68">
        <f>IF(AQ266="1",BI266,0)</f>
        <v>0</v>
      </c>
      <c r="AD266" s="68">
        <f>IF(AQ266="7",BH266,0)</f>
        <v>0</v>
      </c>
      <c r="AE266" s="68">
        <f>IF(AQ266="7",BI266,0)</f>
        <v>0</v>
      </c>
      <c r="AF266" s="68">
        <f>IF(AQ266="2",BH266,0)</f>
        <v>0</v>
      </c>
      <c r="AG266" s="68">
        <f>IF(AQ266="2",BI266,0)</f>
        <v>0</v>
      </c>
      <c r="AH266" s="68">
        <f>IF(AQ266="0",BJ266,0)</f>
        <v>0</v>
      </c>
      <c r="AI266" s="60"/>
      <c r="AJ266" s="50">
        <f>IF(AN266=0,K266,0)</f>
        <v>0</v>
      </c>
      <c r="AK266" s="50">
        <f>IF(AN266=15,K266,0)</f>
        <v>0</v>
      </c>
      <c r="AL266" s="50">
        <f>IF(AN266=21,K266,0)</f>
        <v>0</v>
      </c>
      <c r="AN266" s="68">
        <v>15</v>
      </c>
      <c r="AO266" s="68">
        <f>H266*0</f>
        <v>0</v>
      </c>
      <c r="AP266" s="68">
        <f>H266*(1-0)</f>
        <v>0</v>
      </c>
      <c r="AQ266" s="69" t="s">
        <v>78</v>
      </c>
      <c r="AV266" s="68">
        <f>AW266+AX266</f>
        <v>0</v>
      </c>
      <c r="AW266" s="68">
        <f>G266*AO266</f>
        <v>0</v>
      </c>
      <c r="AX266" s="68">
        <f>G266*AP266</f>
        <v>0</v>
      </c>
      <c r="AY266" s="71" t="s">
        <v>648</v>
      </c>
      <c r="AZ266" s="71" t="s">
        <v>656</v>
      </c>
      <c r="BA266" s="60" t="s">
        <v>657</v>
      </c>
      <c r="BC266" s="68">
        <f>AW266+AX266</f>
        <v>0</v>
      </c>
      <c r="BD266" s="68">
        <f>H266/(100-BE266)*100</f>
        <v>0</v>
      </c>
      <c r="BE266" s="68">
        <v>0</v>
      </c>
      <c r="BF266" s="68">
        <f>M266</f>
        <v>0</v>
      </c>
      <c r="BH266" s="50">
        <f>G266*AO266</f>
        <v>0</v>
      </c>
      <c r="BI266" s="50">
        <f>G266*AP266</f>
        <v>0</v>
      </c>
      <c r="BJ266" s="50">
        <f>G266*H266</f>
        <v>0</v>
      </c>
      <c r="BK266" s="50" t="s">
        <v>662</v>
      </c>
      <c r="BL266" s="68" t="s">
        <v>350</v>
      </c>
    </row>
    <row r="267" spans="1:64" ht="12.75">
      <c r="A267" s="76" t="s">
        <v>212</v>
      </c>
      <c r="B267" s="76"/>
      <c r="C267" s="76" t="s">
        <v>355</v>
      </c>
      <c r="D267" s="230" t="s">
        <v>587</v>
      </c>
      <c r="E267" s="231"/>
      <c r="F267" s="76" t="s">
        <v>596</v>
      </c>
      <c r="G267" s="77">
        <v>0.01885</v>
      </c>
      <c r="H267" s="139"/>
      <c r="I267" s="77">
        <f>G267*AO267</f>
        <v>0</v>
      </c>
      <c r="J267" s="77">
        <f>G267*AP267</f>
        <v>0</v>
      </c>
      <c r="K267" s="77">
        <f>G267*H267</f>
        <v>0</v>
      </c>
      <c r="L267" s="77">
        <v>0</v>
      </c>
      <c r="M267" s="77">
        <f>G267*L267</f>
        <v>0</v>
      </c>
      <c r="N267" s="79" t="s">
        <v>616</v>
      </c>
      <c r="O267" s="80"/>
      <c r="Z267" s="68">
        <f>IF(AQ267="5",BJ267,0)</f>
        <v>0</v>
      </c>
      <c r="AB267" s="68">
        <f>IF(AQ267="1",BH267,0)</f>
        <v>0</v>
      </c>
      <c r="AC267" s="68">
        <f>IF(AQ267="1",BI267,0)</f>
        <v>0</v>
      </c>
      <c r="AD267" s="68">
        <f>IF(AQ267="7",BH267,0)</f>
        <v>0</v>
      </c>
      <c r="AE267" s="68">
        <f>IF(AQ267="7",BI267,0)</f>
        <v>0</v>
      </c>
      <c r="AF267" s="68">
        <f>IF(AQ267="2",BH267,0)</f>
        <v>0</v>
      </c>
      <c r="AG267" s="68">
        <f>IF(AQ267="2",BI267,0)</f>
        <v>0</v>
      </c>
      <c r="AH267" s="68">
        <f>IF(AQ267="0",BJ267,0)</f>
        <v>0</v>
      </c>
      <c r="AI267" s="60"/>
      <c r="AJ267" s="50">
        <f>IF(AN267=0,K267,0)</f>
        <v>0</v>
      </c>
      <c r="AK267" s="50">
        <f>IF(AN267=15,K267,0)</f>
        <v>0</v>
      </c>
      <c r="AL267" s="50">
        <f>IF(AN267=21,K267,0)</f>
        <v>0</v>
      </c>
      <c r="AN267" s="68">
        <v>15</v>
      </c>
      <c r="AO267" s="68">
        <f>H267*0</f>
        <v>0</v>
      </c>
      <c r="AP267" s="68">
        <f>H267*(1-0)</f>
        <v>0</v>
      </c>
      <c r="AQ267" s="69" t="s">
        <v>78</v>
      </c>
      <c r="AV267" s="68">
        <f>AW267+AX267</f>
        <v>0</v>
      </c>
      <c r="AW267" s="68">
        <f>G267*AO267</f>
        <v>0</v>
      </c>
      <c r="AX267" s="68">
        <f>G267*AP267</f>
        <v>0</v>
      </c>
      <c r="AY267" s="71" t="s">
        <v>648</v>
      </c>
      <c r="AZ267" s="71" t="s">
        <v>656</v>
      </c>
      <c r="BA267" s="60" t="s">
        <v>657</v>
      </c>
      <c r="BC267" s="68">
        <f>AW267+AX267</f>
        <v>0</v>
      </c>
      <c r="BD267" s="68">
        <f>H267/(100-BE267)*100</f>
        <v>0</v>
      </c>
      <c r="BE267" s="68">
        <v>0</v>
      </c>
      <c r="BF267" s="68">
        <f>M267</f>
        <v>0</v>
      </c>
      <c r="BH267" s="50">
        <f>G267*AO267</f>
        <v>0</v>
      </c>
      <c r="BI267" s="50">
        <f>G267*AP267</f>
        <v>0</v>
      </c>
      <c r="BJ267" s="50">
        <f>G267*H267</f>
        <v>0</v>
      </c>
      <c r="BK267" s="50" t="s">
        <v>662</v>
      </c>
      <c r="BL267" s="68" t="s">
        <v>350</v>
      </c>
    </row>
    <row r="268" spans="1:64" ht="12.75">
      <c r="A268" s="34" t="s">
        <v>58</v>
      </c>
      <c r="B268" s="41"/>
      <c r="C268" s="41" t="s">
        <v>356</v>
      </c>
      <c r="D268" s="218" t="s">
        <v>588</v>
      </c>
      <c r="E268" s="219"/>
      <c r="F268" s="41" t="s">
        <v>596</v>
      </c>
      <c r="G268" s="50">
        <v>3.41901</v>
      </c>
      <c r="H268" s="135"/>
      <c r="I268" s="50">
        <f>G268*AO268</f>
        <v>0</v>
      </c>
      <c r="J268" s="50">
        <f>G268*AP268</f>
        <v>0</v>
      </c>
      <c r="K268" s="50">
        <f>G268*H268</f>
        <v>0</v>
      </c>
      <c r="L268" s="50">
        <v>0</v>
      </c>
      <c r="M268" s="50">
        <f>G268*L268</f>
        <v>0</v>
      </c>
      <c r="N268" s="65" t="s">
        <v>616</v>
      </c>
      <c r="O268" s="17"/>
      <c r="Z268" s="68">
        <f>IF(AQ268="5",BJ268,0)</f>
        <v>0</v>
      </c>
      <c r="AB268" s="68">
        <f>IF(AQ268="1",BH268,0)</f>
        <v>0</v>
      </c>
      <c r="AC268" s="68">
        <f>IF(AQ268="1",BI268,0)</f>
        <v>0</v>
      </c>
      <c r="AD268" s="68">
        <f>IF(AQ268="7",BH268,0)</f>
        <v>0</v>
      </c>
      <c r="AE268" s="68">
        <f>IF(AQ268="7",BI268,0)</f>
        <v>0</v>
      </c>
      <c r="AF268" s="68">
        <f>IF(AQ268="2",BH268,0)</f>
        <v>0</v>
      </c>
      <c r="AG268" s="68">
        <f>IF(AQ268="2",BI268,0)</f>
        <v>0</v>
      </c>
      <c r="AH268" s="68">
        <f>IF(AQ268="0",BJ268,0)</f>
        <v>0</v>
      </c>
      <c r="AI268" s="60"/>
      <c r="AJ268" s="50">
        <f>IF(AN268=0,K268,0)</f>
        <v>0</v>
      </c>
      <c r="AK268" s="50">
        <f>IF(AN268=15,K268,0)</f>
        <v>0</v>
      </c>
      <c r="AL268" s="50">
        <f>IF(AN268=21,K268,0)</f>
        <v>0</v>
      </c>
      <c r="AN268" s="68">
        <v>15</v>
      </c>
      <c r="AO268" s="68">
        <f>H268*0</f>
        <v>0</v>
      </c>
      <c r="AP268" s="68">
        <f>H268*(1-0)</f>
        <v>0</v>
      </c>
      <c r="AQ268" s="69" t="s">
        <v>78</v>
      </c>
      <c r="AV268" s="68">
        <f>AW268+AX268</f>
        <v>0</v>
      </c>
      <c r="AW268" s="68">
        <f>G268*AO268</f>
        <v>0</v>
      </c>
      <c r="AX268" s="68">
        <f>G268*AP268</f>
        <v>0</v>
      </c>
      <c r="AY268" s="71" t="s">
        <v>648</v>
      </c>
      <c r="AZ268" s="71" t="s">
        <v>656</v>
      </c>
      <c r="BA268" s="60" t="s">
        <v>657</v>
      </c>
      <c r="BC268" s="68">
        <f>AW268+AX268</f>
        <v>0</v>
      </c>
      <c r="BD268" s="68">
        <f>H268/(100-BE268)*100</f>
        <v>0</v>
      </c>
      <c r="BE268" s="68">
        <v>0</v>
      </c>
      <c r="BF268" s="68">
        <f>M268</f>
        <v>0</v>
      </c>
      <c r="BH268" s="50">
        <f>G268*AO268</f>
        <v>0</v>
      </c>
      <c r="BI268" s="50">
        <f>G268*AP268</f>
        <v>0</v>
      </c>
      <c r="BJ268" s="50">
        <f>G268*H268</f>
        <v>0</v>
      </c>
      <c r="BK268" s="50" t="s">
        <v>662</v>
      </c>
      <c r="BL268" s="68" t="s">
        <v>350</v>
      </c>
    </row>
    <row r="269" spans="1:15" ht="12.75">
      <c r="A269" s="11"/>
      <c r="B269" s="1"/>
      <c r="C269" s="1"/>
      <c r="D269" s="44" t="s">
        <v>589</v>
      </c>
      <c r="E269" s="46"/>
      <c r="F269" s="1"/>
      <c r="G269" s="53">
        <v>3.41901</v>
      </c>
      <c r="H269" s="1"/>
      <c r="I269" s="1"/>
      <c r="J269" s="1"/>
      <c r="K269" s="1"/>
      <c r="L269" s="1"/>
      <c r="M269" s="1"/>
      <c r="N269" s="67"/>
      <c r="O269" s="17"/>
    </row>
    <row r="270" spans="1:14" ht="12.75">
      <c r="A270" s="5"/>
      <c r="B270" s="5"/>
      <c r="C270" s="5"/>
      <c r="D270" s="5"/>
      <c r="E270" s="5"/>
      <c r="F270" s="5"/>
      <c r="G270" s="5"/>
      <c r="H270" s="5"/>
      <c r="I270" s="237" t="s">
        <v>607</v>
      </c>
      <c r="J270" s="149"/>
      <c r="K270" s="75">
        <f>K13+K25+K67+K69+K74+K78+K89+K101+K113+K146+K151+K165+K176+K211+K230+K236+K244+K246+K248+K250+K254+K256+K260</f>
        <v>0</v>
      </c>
      <c r="L270" s="5"/>
      <c r="M270" s="5"/>
      <c r="N270" s="5"/>
    </row>
    <row r="271" ht="11.25" customHeight="1">
      <c r="A271" s="36" t="s">
        <v>18</v>
      </c>
    </row>
    <row r="272" spans="1:14" ht="12.75">
      <c r="A272" s="155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</row>
  </sheetData>
  <sheetProtection/>
  <mergeCells count="195">
    <mergeCell ref="I270:J270"/>
    <mergeCell ref="A272:N272"/>
    <mergeCell ref="D262:E262"/>
    <mergeCell ref="D264:E264"/>
    <mergeCell ref="D265:E265"/>
    <mergeCell ref="D266:E266"/>
    <mergeCell ref="D267:E267"/>
    <mergeCell ref="D268:E268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4:E244"/>
    <mergeCell ref="D245:E245"/>
    <mergeCell ref="D246:E246"/>
    <mergeCell ref="D247:E247"/>
    <mergeCell ref="D248:E248"/>
    <mergeCell ref="D249:E249"/>
    <mergeCell ref="D234:E234"/>
    <mergeCell ref="D235:E235"/>
    <mergeCell ref="D236:E236"/>
    <mergeCell ref="D237:E237"/>
    <mergeCell ref="D238:E238"/>
    <mergeCell ref="D239:E239"/>
    <mergeCell ref="D224:E224"/>
    <mergeCell ref="D227:E227"/>
    <mergeCell ref="D229:E229"/>
    <mergeCell ref="D230:E230"/>
    <mergeCell ref="D231:E231"/>
    <mergeCell ref="D233:E233"/>
    <mergeCell ref="D212:E212"/>
    <mergeCell ref="D218:E218"/>
    <mergeCell ref="D219:E219"/>
    <mergeCell ref="D220:E220"/>
    <mergeCell ref="D222:E222"/>
    <mergeCell ref="D223:E223"/>
    <mergeCell ref="D199:E199"/>
    <mergeCell ref="D206:E206"/>
    <mergeCell ref="D208:E208"/>
    <mergeCell ref="D209:E209"/>
    <mergeCell ref="D210:E210"/>
    <mergeCell ref="D211:E211"/>
    <mergeCell ref="D175:E175"/>
    <mergeCell ref="D176:E176"/>
    <mergeCell ref="D177:E177"/>
    <mergeCell ref="D184:E184"/>
    <mergeCell ref="D185:E185"/>
    <mergeCell ref="D192:E192"/>
    <mergeCell ref="D166:E166"/>
    <mergeCell ref="D169:E169"/>
    <mergeCell ref="D170:E170"/>
    <mergeCell ref="D171:E171"/>
    <mergeCell ref="D172:E172"/>
    <mergeCell ref="D173:E173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1:E121"/>
    <mergeCell ref="D125:E125"/>
    <mergeCell ref="D126:E126"/>
    <mergeCell ref="D127:E127"/>
    <mergeCell ref="D128:E128"/>
    <mergeCell ref="D129:E129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79:E79"/>
    <mergeCell ref="D85:E85"/>
    <mergeCell ref="D87:E87"/>
    <mergeCell ref="D88:E88"/>
    <mergeCell ref="D89:E89"/>
    <mergeCell ref="D90:E90"/>
    <mergeCell ref="D73:E73"/>
    <mergeCell ref="D74:E74"/>
    <mergeCell ref="D75:E75"/>
    <mergeCell ref="D76:E76"/>
    <mergeCell ref="D77:E77"/>
    <mergeCell ref="D78:E78"/>
    <mergeCell ref="D54:E54"/>
    <mergeCell ref="D66:E66"/>
    <mergeCell ref="D67:E67"/>
    <mergeCell ref="D68:E68"/>
    <mergeCell ref="D69:E69"/>
    <mergeCell ref="D70:E70"/>
    <mergeCell ref="D27:E27"/>
    <mergeCell ref="D28:E28"/>
    <mergeCell ref="D29:E29"/>
    <mergeCell ref="D38:E38"/>
    <mergeCell ref="D40:E40"/>
    <mergeCell ref="D46:E46"/>
    <mergeCell ref="D14:E14"/>
    <mergeCell ref="D17:E17"/>
    <mergeCell ref="D20:E20"/>
    <mergeCell ref="D23:E23"/>
    <mergeCell ref="D25:E25"/>
    <mergeCell ref="D26:E26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Milan Ing.</cp:lastModifiedBy>
  <dcterms:modified xsi:type="dcterms:W3CDTF">2022-09-19T13:09:26Z</dcterms:modified>
  <cp:category/>
  <cp:version/>
  <cp:contentType/>
  <cp:contentStatus/>
</cp:coreProperties>
</file>