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2"/>
  </bookViews>
  <sheets>
    <sheet name="Krycí list rozpočtu" sheetId="1" r:id="rId1"/>
    <sheet name="VORN" sheetId="2" r:id="rId2"/>
    <sheet name="Stavební rozpočet" sheetId="3" r:id="rId3"/>
  </sheets>
  <definedNames>
    <definedName name="vorn_sum">'VORN'!$I$36:$I$36</definedName>
  </definedNames>
  <calcPr fullCalcOnLoad="1"/>
</workbook>
</file>

<file path=xl/sharedStrings.xml><?xml version="1.0" encoding="utf-8"?>
<sst xmlns="http://schemas.openxmlformats.org/spreadsheetml/2006/main" count="1845" uniqueCount="685">
  <si>
    <t>Název stavby:</t>
  </si>
  <si>
    <t>Druh stavby:</t>
  </si>
  <si>
    <t>Lokalita:</t>
  </si>
  <si>
    <t>Začátek výstavby:</t>
  </si>
  <si>
    <t>JKSO:</t>
  </si>
  <si>
    <t>Rozpočtové náklady v Kč</t>
  </si>
  <si>
    <t>A</t>
  </si>
  <si>
    <t>HSV</t>
  </si>
  <si>
    <t>PSV</t>
  </si>
  <si>
    <t>"M"</t>
  </si>
  <si>
    <t>Ostatní materiál</t>
  </si>
  <si>
    <t>Přesun hmot a sutí</t>
  </si>
  <si>
    <t>ZRN celkem</t>
  </si>
  <si>
    <t>Základ 0%</t>
  </si>
  <si>
    <t>Základ 15%</t>
  </si>
  <si>
    <t>Základ 21%</t>
  </si>
  <si>
    <t>Projektant</t>
  </si>
  <si>
    <t>Datum, razítko a podpis</t>
  </si>
  <si>
    <t>Poznámka:</t>
  </si>
  <si>
    <t>Základní rozpočtové náklady</t>
  </si>
  <si>
    <t>Dodávky</t>
  </si>
  <si>
    <t>Montáž</t>
  </si>
  <si>
    <t>Krycí list rozpočtu</t>
  </si>
  <si>
    <t>B</t>
  </si>
  <si>
    <t>Práce přesčas</t>
  </si>
  <si>
    <t>Bez pevné podl.</t>
  </si>
  <si>
    <t>Kulturní památka</t>
  </si>
  <si>
    <t>DN celkem</t>
  </si>
  <si>
    <t>DN celkem z obj.</t>
  </si>
  <si>
    <t>DPH 15%</t>
  </si>
  <si>
    <t>DPH 21%</t>
  </si>
  <si>
    <t>Objednatel</t>
  </si>
  <si>
    <t>Objednatel:</t>
  </si>
  <si>
    <t>Projektant:</t>
  </si>
  <si>
    <t>Zhotovitel:</t>
  </si>
  <si>
    <t>Konec výstavby:</t>
  </si>
  <si>
    <t>Zpracoval:</t>
  </si>
  <si>
    <t>Doplňkové náklady</t>
  </si>
  <si>
    <t>C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</si>
  <si>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</si>
  <si>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</si>
  <si>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</si>
  <si>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</si>
  <si>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</si>
  <si>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</si>
  <si>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NUS celkem</t>
  </si>
  <si>
    <t>NUS celkem z obj.</t>
  </si>
  <si>
    <t>ORN celkem</t>
  </si>
  <si>
    <t>ORN celkem z obj.</t>
  </si>
  <si>
    <t>Celkem bez DPH</t>
  </si>
  <si>
    <t>Celkem včetně DPH</t>
  </si>
  <si>
    <t>Zhotovitel</t>
  </si>
  <si>
    <t>IČ/DIČ:</t>
  </si>
  <si>
    <t>Položek:</t>
  </si>
  <si>
    <t>Datum:</t>
  </si>
  <si>
    <t>Náklady na umístění stavby (NUS)</t>
  </si>
  <si>
    <t>00295841/CZ00295841</t>
  </si>
  <si>
    <t>45646597/</t>
  </si>
  <si>
    <t>143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</si>
  <si>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</si>
  <si>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</si>
  <si>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</si>
  <si>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</si>
  <si>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</si>
  <si>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</si>
  <si>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</si>
  <si>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</si>
  <si>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</si>
  <si>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</si>
  <si>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</si>
  <si>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</si>
  <si>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Stavební rozpočet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</si>
  <si>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</si>
  <si>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</si>
  <si>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</si>
  <si>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</si>
  <si>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</si>
  <si>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</si>
  <si>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</si>
  <si>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</si>
  <si>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</si>
  <si>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</si>
  <si>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</si>
  <si>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</si>
  <si>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</si>
  <si>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</si>
  <si>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</si>
  <si>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</si>
  <si>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</si>
  <si>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</si>
  <si>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</si>
  <si>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</si>
  <si>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</si>
  <si>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</si>
  <si>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</si>
  <si>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</si>
  <si>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</si>
  <si>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</si>
  <si>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</si>
  <si>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</si>
  <si>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</si>
  <si>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</si>
  <si>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</si>
  <si>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</si>
  <si>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</si>
  <si>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</si>
  <si>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</si>
  <si>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</si>
  <si>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</si>
  <si>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</si>
  <si>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</si>
  <si>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</si>
  <si>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</si>
  <si>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</si>
  <si>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</si>
  <si>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</si>
  <si>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</si>
  <si>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</si>
  <si>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</si>
  <si>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</si>
  <si>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</si>
  <si>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</si>
  <si>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</si>
  <si>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</si>
  <si>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</si>
  <si>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</si>
  <si>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</si>
  <si>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</si>
  <si>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</si>
  <si>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</si>
  <si>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</si>
  <si>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</si>
  <si>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</si>
  <si>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</si>
  <si>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</si>
  <si>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</si>
  <si>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</si>
  <si>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</si>
  <si>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</si>
  <si>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</si>
  <si>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</si>
  <si>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</si>
  <si>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</si>
  <si>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</si>
  <si>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</si>
  <si>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</si>
  <si>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</si>
  <si>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</si>
  <si>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</si>
  <si>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</si>
  <si>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</si>
  <si>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</si>
  <si>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</si>
  <si>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</si>
  <si>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</si>
  <si>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</si>
  <si>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</si>
  <si>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</si>
  <si>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</si>
  <si>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</si>
  <si>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</si>
  <si>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</si>
  <si>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</si>
  <si>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</si>
  <si>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</si>
  <si>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</si>
  <si>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</si>
  <si>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</si>
  <si>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</si>
  <si>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</si>
  <si>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</si>
  <si>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</si>
  <si>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</si>
  <si>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</si>
  <si>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</si>
  <si>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</si>
  <si>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</si>
  <si>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</si>
  <si>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</si>
  <si>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</si>
  <si>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</si>
  <si>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</si>
  <si>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</si>
  <si>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</si>
  <si>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</si>
  <si>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</si>
  <si>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</si>
  <si>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</si>
  <si>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</si>
  <si>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</si>
  <si>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</si>
  <si>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</si>
  <si>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</si>
  <si>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</si>
  <si>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</si>
  <si>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</si>
  <si>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</si>
  <si>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</si>
  <si>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</si>
  <si>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</si>
  <si>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</si>
  <si>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</si>
  <si>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</si>
  <si>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</si>
  <si>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</si>
  <si>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</si>
  <si>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</si>
  <si>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</si>
  <si>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</si>
  <si>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</si>
  <si>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</si>
  <si>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</si>
  <si>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</si>
  <si>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</si>
  <si>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</si>
  <si>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</si>
  <si>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Objekt</t>
  </si>
  <si>
    <t>Kód</t>
  </si>
  <si>
    <t>342270040RA0</t>
  </si>
  <si>
    <t>342270041RA0</t>
  </si>
  <si>
    <t>342270042RA0</t>
  </si>
  <si>
    <t>342668111R00</t>
  </si>
  <si>
    <t>342267111RT1</t>
  </si>
  <si>
    <t>416021123R00</t>
  </si>
  <si>
    <t>611401111R00</t>
  </si>
  <si>
    <t>611403399R00IM</t>
  </si>
  <si>
    <t>601011193R00</t>
  </si>
  <si>
    <t>601011141RT3</t>
  </si>
  <si>
    <t>602011193R00</t>
  </si>
  <si>
    <t>612421615R00</t>
  </si>
  <si>
    <t>612421637R00</t>
  </si>
  <si>
    <t>602011141RT1</t>
  </si>
  <si>
    <t>612403399R00</t>
  </si>
  <si>
    <t>620991111R00</t>
  </si>
  <si>
    <t>632451441R00</t>
  </si>
  <si>
    <t>632411105RT3</t>
  </si>
  <si>
    <t>641951111R00</t>
  </si>
  <si>
    <t>VLASTNÍ</t>
  </si>
  <si>
    <t>642942111RT4</t>
  </si>
  <si>
    <t>711</t>
  </si>
  <si>
    <t>711212012R00</t>
  </si>
  <si>
    <t>711212601RW1</t>
  </si>
  <si>
    <t>711212611RU1</t>
  </si>
  <si>
    <t>998711102R00</t>
  </si>
  <si>
    <t>721</t>
  </si>
  <si>
    <t>721140935R00</t>
  </si>
  <si>
    <t>721171803R00</t>
  </si>
  <si>
    <t>721176103R00</t>
  </si>
  <si>
    <t>721176105R00</t>
  </si>
  <si>
    <t>721176115R00</t>
  </si>
  <si>
    <t>721194105R00</t>
  </si>
  <si>
    <t>721194109R00</t>
  </si>
  <si>
    <t>230120046R00</t>
  </si>
  <si>
    <t>721290111R00</t>
  </si>
  <si>
    <t>721176212R00</t>
  </si>
  <si>
    <t>998721102R00</t>
  </si>
  <si>
    <t>722</t>
  </si>
  <si>
    <t>722130801R00IM</t>
  </si>
  <si>
    <t>722130913R00</t>
  </si>
  <si>
    <t>722260921R00</t>
  </si>
  <si>
    <t>722172631R00</t>
  </si>
  <si>
    <t>722220111R00</t>
  </si>
  <si>
    <t>722220121R00</t>
  </si>
  <si>
    <t>722181214RT8</t>
  </si>
  <si>
    <t>722190401R00</t>
  </si>
  <si>
    <t>722290234R00</t>
  </si>
  <si>
    <t>722280106R00</t>
  </si>
  <si>
    <t>998722102R00</t>
  </si>
  <si>
    <t>725</t>
  </si>
  <si>
    <t>725110811R00</t>
  </si>
  <si>
    <t>725210821R00</t>
  </si>
  <si>
    <t>725840850R00</t>
  </si>
  <si>
    <t>725820802R00</t>
  </si>
  <si>
    <t>725860811R00</t>
  </si>
  <si>
    <t>725220851R00</t>
  </si>
  <si>
    <t>725991811R00</t>
  </si>
  <si>
    <t>725219401R00</t>
  </si>
  <si>
    <t>725017153R00</t>
  </si>
  <si>
    <t>725860213R00</t>
  </si>
  <si>
    <t>725860107R00</t>
  </si>
  <si>
    <t>725829301R00</t>
  </si>
  <si>
    <t>725849201R00</t>
  </si>
  <si>
    <t>725860181RT1</t>
  </si>
  <si>
    <t>725860222R00</t>
  </si>
  <si>
    <t>725810402R00</t>
  </si>
  <si>
    <t>725823114RT1</t>
  </si>
  <si>
    <t>725845111R00</t>
  </si>
  <si>
    <t>725814125R00</t>
  </si>
  <si>
    <t>725119305R00</t>
  </si>
  <si>
    <t>725013128R00</t>
  </si>
  <si>
    <t>725291136R00</t>
  </si>
  <si>
    <t>725291113R00</t>
  </si>
  <si>
    <t>725291114R00</t>
  </si>
  <si>
    <t>55430012</t>
  </si>
  <si>
    <t>725590812R00</t>
  </si>
  <si>
    <t>728</t>
  </si>
  <si>
    <t>728415111R00</t>
  </si>
  <si>
    <t>429727810</t>
  </si>
  <si>
    <t>998728102R00</t>
  </si>
  <si>
    <t>766</t>
  </si>
  <si>
    <t>766662811R00</t>
  </si>
  <si>
    <t>766812840R00</t>
  </si>
  <si>
    <t>766825821R00</t>
  </si>
  <si>
    <t>766661112R00</t>
  </si>
  <si>
    <t>61160706</t>
  </si>
  <si>
    <t>766665921R00</t>
  </si>
  <si>
    <t>54914591</t>
  </si>
  <si>
    <t>54926043</t>
  </si>
  <si>
    <t>766664915R00</t>
  </si>
  <si>
    <t>766812114R00</t>
  </si>
  <si>
    <t>998766102R00</t>
  </si>
  <si>
    <t>771</t>
  </si>
  <si>
    <t>771575107R00</t>
  </si>
  <si>
    <t>771579791R00</t>
  </si>
  <si>
    <t>771579792R00</t>
  </si>
  <si>
    <t>771101116R00</t>
  </si>
  <si>
    <t>771101210R00</t>
  </si>
  <si>
    <t>59764231</t>
  </si>
  <si>
    <t>998771103R00</t>
  </si>
  <si>
    <t>776</t>
  </si>
  <si>
    <t>776401800R00</t>
  </si>
  <si>
    <t>776511810R00</t>
  </si>
  <si>
    <t>776421100RU1</t>
  </si>
  <si>
    <t>776541100RT1</t>
  </si>
  <si>
    <t>28412231</t>
  </si>
  <si>
    <t>776981101R00</t>
  </si>
  <si>
    <t>776981113RU1</t>
  </si>
  <si>
    <t>998776102R00</t>
  </si>
  <si>
    <t>781</t>
  </si>
  <si>
    <t>781415016RT5</t>
  </si>
  <si>
    <t>781419711R00</t>
  </si>
  <si>
    <t>781419701R00</t>
  </si>
  <si>
    <t>597813605</t>
  </si>
  <si>
    <t>781111111R00</t>
  </si>
  <si>
    <t>781111116R00</t>
  </si>
  <si>
    <t>781491001R00</t>
  </si>
  <si>
    <t>59760147.A</t>
  </si>
  <si>
    <t>998781102R00</t>
  </si>
  <si>
    <t>783</t>
  </si>
  <si>
    <t>783225100R00</t>
  </si>
  <si>
    <t>783601813R00</t>
  </si>
  <si>
    <t>783394140R00</t>
  </si>
  <si>
    <t>784</t>
  </si>
  <si>
    <t>784402801R00</t>
  </si>
  <si>
    <t>784161901R00</t>
  </si>
  <si>
    <t>784195112R00</t>
  </si>
  <si>
    <t>900      R01</t>
  </si>
  <si>
    <t>941955002R00</t>
  </si>
  <si>
    <t>952901111R00</t>
  </si>
  <si>
    <t>968061125R00</t>
  </si>
  <si>
    <t>965044121R00</t>
  </si>
  <si>
    <t>962084121R00</t>
  </si>
  <si>
    <t>963016111R00</t>
  </si>
  <si>
    <t>H99</t>
  </si>
  <si>
    <t>999281108R00</t>
  </si>
  <si>
    <t>M21</t>
  </si>
  <si>
    <t>S</t>
  </si>
  <si>
    <t>979081111R00</t>
  </si>
  <si>
    <t>979081121R00</t>
  </si>
  <si>
    <t>979082111R00</t>
  </si>
  <si>
    <t>979011111R00</t>
  </si>
  <si>
    <t>979990181R00</t>
  </si>
  <si>
    <t>979990107R00</t>
  </si>
  <si>
    <t>Oprava bytu Libušínská 11,13-velikost 1+1-bezbariérový</t>
  </si>
  <si>
    <t>Libušínská 13/65-1PP</t>
  </si>
  <si>
    <t>Zkrácený popis</t>
  </si>
  <si>
    <t>Rozměry</t>
  </si>
  <si>
    <t>Nezařazeno</t>
  </si>
  <si>
    <t>Stěny a příčky</t>
  </si>
  <si>
    <t>Příčka z desek pórobetonových hladkých, tloušťka 5 cm</t>
  </si>
  <si>
    <t>koupelna obezdění šachty</t>
  </si>
  <si>
    <t>(0,55+0,35+0,1)*2,6-0,3*0,3</t>
  </si>
  <si>
    <t>Příčka z desek pórobetonových hladkých, tloušťka 7,5 cm</t>
  </si>
  <si>
    <t>2,7</t>
  </si>
  <si>
    <t>0,2*2,6</t>
  </si>
  <si>
    <t>Příčka z desek pórobetonových hladkých, tloušťka 10 cm</t>
  </si>
  <si>
    <t>(3,46+2,85)*2,6-0,8*2*2</t>
  </si>
  <si>
    <t>(2,85-0,45)*1,1</t>
  </si>
  <si>
    <t>Ukotvení příček k cihelným konstrukcím plochými kotvami</t>
  </si>
  <si>
    <t>2,6*4+1,1</t>
  </si>
  <si>
    <t>Obklad trámů sádrokartonem dvoustranný do 0,5/0,5m</t>
  </si>
  <si>
    <t>obklad stoupačky dešťového svodu</t>
  </si>
  <si>
    <t>2,6</t>
  </si>
  <si>
    <t>Stropy a stropní konstrukce (pozemní stavby)</t>
  </si>
  <si>
    <t>Podhledy SDK, kovová.kce CD. 1x deska RBI 12,5 mm</t>
  </si>
  <si>
    <t>3,46*1,2</t>
  </si>
  <si>
    <t>3,43*0,4</t>
  </si>
  <si>
    <t>Úprava povrchů vnitřní</t>
  </si>
  <si>
    <t>Oprava omítky na stropech o ploše do 0,09 m2</t>
  </si>
  <si>
    <t>Hrubá výplň rýh maltou ve stropech</t>
  </si>
  <si>
    <t>Kontaktní nátěr pod omítky  bílý</t>
  </si>
  <si>
    <t>Štuk na stropech  ručně</t>
  </si>
  <si>
    <t>předsíň</t>
  </si>
  <si>
    <t>1,4*2,85</t>
  </si>
  <si>
    <t>koupelna</t>
  </si>
  <si>
    <t>1,885*2,85</t>
  </si>
  <si>
    <t>kuchyně</t>
  </si>
  <si>
    <t>3,46*3,015</t>
  </si>
  <si>
    <t>pokoj</t>
  </si>
  <si>
    <t>3,46*5,965</t>
  </si>
  <si>
    <t>Kontaktní nátěr pod omítky bílý</t>
  </si>
  <si>
    <t>22,336+79,094</t>
  </si>
  <si>
    <t>Omítka vnitřní zdiva, MVC, hrubá zatřená</t>
  </si>
  <si>
    <t>pod obklady-koupelna</t>
  </si>
  <si>
    <t>(1,885+2,85)*2*2,1+0,5*2,1-0,8*2,1</t>
  </si>
  <si>
    <t>(0,075*2+0,2)*2,6</t>
  </si>
  <si>
    <t>(3,015+0,6)*0,6</t>
  </si>
  <si>
    <t>Omítka vnitřní zdiva, MVC, štuková</t>
  </si>
  <si>
    <t>nové příčky</t>
  </si>
  <si>
    <t>(1,885+2,85)*2*0,5+0,5*0,5+(2,85-0,45)*1,1</t>
  </si>
  <si>
    <t>2,85*2,6-0,8*2+1,4*2,6-0,8*2</t>
  </si>
  <si>
    <t>3,46*2,6-0,8*2-0,6*0,6</t>
  </si>
  <si>
    <t>Štuk na stěnách vnitřní , ručně</t>
  </si>
  <si>
    <t>stávající příčky</t>
  </si>
  <si>
    <t>(1,4+2,85)*2,6-0,8*2*2</t>
  </si>
  <si>
    <t>(3,015+3,46+3,015)*2,6</t>
  </si>
  <si>
    <t>-2*1,65-(3,015+0,6)*0,6</t>
  </si>
  <si>
    <t>špalety oken</t>
  </si>
  <si>
    <t>0,2+(1,65*2+2)</t>
  </si>
  <si>
    <t>(3,46+5,965)*2*2,6-(0,8*0,8*2,4+1,65*1,3)</t>
  </si>
  <si>
    <t>0,2*(1,65+2+2,4)</t>
  </si>
  <si>
    <t>Hrubá výplň rýh ve stěnách maltou</t>
  </si>
  <si>
    <t>Úprava povrchů vnější</t>
  </si>
  <si>
    <t>Zakrývání spár panelů páskou</t>
  </si>
  <si>
    <t>Podlahy a podlahové konstrukce</t>
  </si>
  <si>
    <t>Doplnění potěru v ploše do 1 m2, tl.30-40 mm</t>
  </si>
  <si>
    <t>původní koupelna</t>
  </si>
  <si>
    <t>1,69*2,2</t>
  </si>
  <si>
    <t>Samonivelační stěrka  ruč.zpracování tl.5 mm</t>
  </si>
  <si>
    <t>Výplně otvorů</t>
  </si>
  <si>
    <t>Osazení rámů slepých, ocel, dřevo, plocha do 1 m2</t>
  </si>
  <si>
    <t>Dvířka  vodoměry+ do podhledu</t>
  </si>
  <si>
    <t>Osazení zárubní dveřních ocelových, pl. do 2,5 m2 včetně dodávky zárubně  80 x 197 x 11 cm</t>
  </si>
  <si>
    <t>Izolace proti vodě</t>
  </si>
  <si>
    <t>Hydroizolační povlak vyztužený tkaninou</t>
  </si>
  <si>
    <t>podlaha</t>
  </si>
  <si>
    <t>stěny</t>
  </si>
  <si>
    <t>1,2*2*2,1</t>
  </si>
  <si>
    <t>Těsnicí pás do spoje podlaha - stěna</t>
  </si>
  <si>
    <t>(1,885+2,85)*2+0,5-0,8</t>
  </si>
  <si>
    <t>Těsnicí pás do svislých koutů</t>
  </si>
  <si>
    <t>Přesun hmot pro izolace proti vodě, výšky do 12 m</t>
  </si>
  <si>
    <t>Vnitřní kanalizace</t>
  </si>
  <si>
    <t>Oprava - přechod z plastových trub na litinu DN100</t>
  </si>
  <si>
    <t>Demontáž potrubí z PVC do D 75 mm</t>
  </si>
  <si>
    <t>Potrubí HT připojovací D 50 x 1,8 mm</t>
  </si>
  <si>
    <t>Potrubí HT připojovací D 110 x 2,7 mm</t>
  </si>
  <si>
    <t>Potrubí HT odpadní svislé D 110 x 2,7 mm</t>
  </si>
  <si>
    <t>Vyvedení odpadních výpustek D 50 x 1,8</t>
  </si>
  <si>
    <t>Vyvedení odpadních výpustek D 110 x 2,3</t>
  </si>
  <si>
    <t>Čištění potrubí profukováním nebo proplach. DN 100</t>
  </si>
  <si>
    <t>Zkouška těsnosti kanalizace vodou DN 125</t>
  </si>
  <si>
    <t>Potrubí KG odpadní svislé D 110 x 3,2 mm</t>
  </si>
  <si>
    <t>Přesun hmot pro vnitřní kanalizaci, výšky do 12 m</t>
  </si>
  <si>
    <t>Vnitřní vodovod</t>
  </si>
  <si>
    <t>Demontáž potrubí ocelových závitových DN 25</t>
  </si>
  <si>
    <t>Oprava-přeřezání ocelové trubky DN 25</t>
  </si>
  <si>
    <t>Zpětná montáž vodoměrů závitových G 1/2</t>
  </si>
  <si>
    <t>Potrubí z PPR Instaplast, teplá, D 20x3,4 mm</t>
  </si>
  <si>
    <t>Nástěnka K 247, pro výtokový ventil G 1/2</t>
  </si>
  <si>
    <t>Nástěnka K 247, pro baterii G 1/2</t>
  </si>
  <si>
    <t>Izolace návleková tl. stěny 20 mm</t>
  </si>
  <si>
    <t>Vyvedení a upevnění výpustek DN 15</t>
  </si>
  <si>
    <t>Proplach a dezinfekce vodovod.potrubí DN 80</t>
  </si>
  <si>
    <t>Tlaková zkouška vodovodního potrubí DN 32</t>
  </si>
  <si>
    <t>Přesun hmot pro vnitřní vodovod, výšky do 12 m</t>
  </si>
  <si>
    <t>Zařizovací předměty</t>
  </si>
  <si>
    <t>Demontáž klozetů splachovacích</t>
  </si>
  <si>
    <t>Demontáž umyvadel bez výtokových armatur</t>
  </si>
  <si>
    <t>Demontáž baterie sprch.diferenciální G 3/4x1</t>
  </si>
  <si>
    <t>Demontáž baterie stojánkové do 1otvoru</t>
  </si>
  <si>
    <t>Demontáž uzávěrek zápachových jednoduchých</t>
  </si>
  <si>
    <t>Demontáž van včetně vybourání obezdezdívky</t>
  </si>
  <si>
    <t>Demontáž konzol jednoduchých</t>
  </si>
  <si>
    <t>konzola na závěs do sprchy</t>
  </si>
  <si>
    <t>boční pevná zástěna sprchy</t>
  </si>
  <si>
    <t>Montáž umyvadel na šrouby do zdiva</t>
  </si>
  <si>
    <t>Umyvadlo invalidní  64 x 55 cm, bílé</t>
  </si>
  <si>
    <t>Sifon umyvadlový HL132, D 32, 40 mm</t>
  </si>
  <si>
    <t>Uzávěrka zápachová umyvadlová T 1015,D 40</t>
  </si>
  <si>
    <t>Montáž baterie umyv.a dřezové stojánkové</t>
  </si>
  <si>
    <t>Montáž baterií sprchových, pevná výška</t>
  </si>
  <si>
    <t>Sifon pračkový , D 40/50 mm nerezový</t>
  </si>
  <si>
    <t>Sifon sprchový PP , D 40/50 mm</t>
  </si>
  <si>
    <t>Ventil rohový bez přípoj. trubičky TE 66 G 1/2</t>
  </si>
  <si>
    <t>Baterie dřezová stojánková ruční, bez otvír.odpadu</t>
  </si>
  <si>
    <t>Baterie sprchová nástěnná ruční</t>
  </si>
  <si>
    <t>Ventil pračkový  DN 20</t>
  </si>
  <si>
    <t>Montáž klozetových mís kombinovaných</t>
  </si>
  <si>
    <t>Kloz.kombi  ZTP,nádrž s arm.odpad svislý,bílý</t>
  </si>
  <si>
    <t>Madlo dvojité sklopné bílé  dl. 830 mm</t>
  </si>
  <si>
    <t>Madlo rovné bílé  dl. 500 mm</t>
  </si>
  <si>
    <t>Madlo rovné bílé  dl. 600 mm</t>
  </si>
  <si>
    <t>Sedátko sklápěcí s opěrnou nohou 44x45 cm</t>
  </si>
  <si>
    <t>Zrcadlo nerez výklopné  nerozbitné 600 x 400 mm</t>
  </si>
  <si>
    <t>Sprchový odtokový žlábek nerez dl. 500mm</t>
  </si>
  <si>
    <t>Přesun vybour.hmot, zařizovací předměty H 12 m</t>
  </si>
  <si>
    <t>Vzduchotechnika</t>
  </si>
  <si>
    <t>Montáž mřížky větrací nebo ventilační do 0,04 m2</t>
  </si>
  <si>
    <t>Mřížka kruhová PVC pr. 100 mm</t>
  </si>
  <si>
    <t>Vzduchotechnika- odtah od odsavače</t>
  </si>
  <si>
    <t>Přesun hmot pro vzduchotechniku, výšky do 12 m</t>
  </si>
  <si>
    <t>Konstrukce truhlářské</t>
  </si>
  <si>
    <t>Demontáž prahů dveří 1křídlových</t>
  </si>
  <si>
    <t>Demontáž kuchyňských linek do 2,1 m</t>
  </si>
  <si>
    <t>Demontáž vestavěných skříní 2křídlových</t>
  </si>
  <si>
    <t>Montáž dveří do zárubně,otevíravých 1kř.do 0,8 m</t>
  </si>
  <si>
    <t>Dveře vnitřní hladké 1kříd. 2/3sklo 80x197 lak A</t>
  </si>
  <si>
    <t>Dveře posuvné 800*2000mm dle PD vč. kování</t>
  </si>
  <si>
    <t>Zakování dveří 1křídlých kompletizovaných</t>
  </si>
  <si>
    <t>Kliky se štítem dveř.  804  klíč/90 Cr</t>
  </si>
  <si>
    <t>Zámek stavební vložkový typ 24026 (80 mm)  L</t>
  </si>
  <si>
    <t>Seříznutí dveřních křídel  kompletizovaných</t>
  </si>
  <si>
    <t>Montáž kuchyňských linek dřevěných linek š.do 2,1m</t>
  </si>
  <si>
    <t>Kuchyňská linka dle výpisu výrobků</t>
  </si>
  <si>
    <t>Přesun hmot pro truhlářské konstr., výšky do 12 m</t>
  </si>
  <si>
    <t>Podlahy z dlaždic</t>
  </si>
  <si>
    <t>Montáž podlah keram.,režné hladké, tmel, 20x20 cm</t>
  </si>
  <si>
    <t>m.č.2</t>
  </si>
  <si>
    <t>Příplatek za plochu podlah keram. do 5 m2 jednotl.</t>
  </si>
  <si>
    <t>Příplatek za podlahy keram.v omezeném prostoru</t>
  </si>
  <si>
    <t>Vyrovnání podkladů samonivel. hmotou tl. do 30 mm</t>
  </si>
  <si>
    <t>Penetrace podkladu pod dlažby</t>
  </si>
  <si>
    <t>Dlažba  reliéfní 300x300x9 mm</t>
  </si>
  <si>
    <t>1,1*5,37225</t>
  </si>
  <si>
    <t>Přesun hmot pro podlahy z dlaždic, výšky do 24 m</t>
  </si>
  <si>
    <t>Podlahy povlakové</t>
  </si>
  <si>
    <t>Demontáž soklíků nebo lišt, pryžových nebo z PVC</t>
  </si>
  <si>
    <t>3,46+1,2+2,2+2,45+1,3+3,65-0,6-0,7-0,8*2</t>
  </si>
  <si>
    <t>kuchyně+jídelna</t>
  </si>
  <si>
    <t>2,295+3,46+2,295+0,76+2,2+0,76+1,3-0,7</t>
  </si>
  <si>
    <t>(3,46+5,965)*2-0,8+0,2*2</t>
  </si>
  <si>
    <t>Úprava podkladu nášlapných ploch odbroušení lepidla, likvidace</t>
  </si>
  <si>
    <t>Odstranění PVC a koberců lepených bez podložky</t>
  </si>
  <si>
    <t>1,2*3,46+1,3*2,45</t>
  </si>
  <si>
    <t>3,46*2,295+2,2*0,76</t>
  </si>
  <si>
    <t>3,46*5,965+2,1*0,2</t>
  </si>
  <si>
    <t>Lepení podlahových soklíků z PVC a vinylu</t>
  </si>
  <si>
    <t>(1,4+2,85)*2-0,8*4</t>
  </si>
  <si>
    <t>(3,015+3,46)*2-0,8</t>
  </si>
  <si>
    <t>(3,46+5,965)*2+0,2*2</t>
  </si>
  <si>
    <t>Lepení podlah z izolačních plastů pouze položení - PVC ve specifikaci</t>
  </si>
  <si>
    <t>mč1-předsíň</t>
  </si>
  <si>
    <t>3,015*3,46</t>
  </si>
  <si>
    <t>5,995*3,46+2,1*0,2</t>
  </si>
  <si>
    <t>Podlahovina PVC tl. 1,7mm</t>
  </si>
  <si>
    <t>35,58*1,1</t>
  </si>
  <si>
    <t>Montáž přechodové, podlahové lišty samolepicí</t>
  </si>
  <si>
    <t>Lišta hliníková přechodová,různá výška povl.podlah</t>
  </si>
  <si>
    <t>Přesun hmot pro podlahy povlakové, výšky do 12 m</t>
  </si>
  <si>
    <t>Obklady (keramické)</t>
  </si>
  <si>
    <t>Montáž obkladů stěn, porovin.,tmel, nad 20x25 cm</t>
  </si>
  <si>
    <t>2,1*(1,885+2,85)*2+0,1*2*2-0,8*2+2,1*0,5</t>
  </si>
  <si>
    <t>(0,075*2+0,2)*1</t>
  </si>
  <si>
    <t>0,6*(3,015+0,8)+1,5*1,8</t>
  </si>
  <si>
    <t>Příplatek k obkladu stěn za plochu do 10 m2 jedntl</t>
  </si>
  <si>
    <t>Příplatek za práci v omez.prostoru,obkl.pórovinové</t>
  </si>
  <si>
    <t>Obkládačka 20x20 světle béžová lesk</t>
  </si>
  <si>
    <t>1,1*25,076</t>
  </si>
  <si>
    <t>Řezání obkladaček diamantovým kotoučem</t>
  </si>
  <si>
    <t>Otvor v obkladačce diamant.korunkou prům.do 90 mm</t>
  </si>
  <si>
    <t>Montáž lišt k obkladům</t>
  </si>
  <si>
    <t>2,1*11</t>
  </si>
  <si>
    <t>Lišta  plast do malt lože</t>
  </si>
  <si>
    <t>1,1*32,27</t>
  </si>
  <si>
    <t>Přesun hmot pro obklady keramické, výšky do 12 m</t>
  </si>
  <si>
    <t>Nátěry</t>
  </si>
  <si>
    <t>Nátěr syntetický kovových konstrukcí 2x + 1x email</t>
  </si>
  <si>
    <t>0,8*2*3</t>
  </si>
  <si>
    <t>Odstranění nátěrů truhlářských, dveří oškrábáním</t>
  </si>
  <si>
    <t>Nátěr disperzní litin. radiátorů Z + 1x + 1x email</t>
  </si>
  <si>
    <t>Očištění radiátoru před nátěrem</t>
  </si>
  <si>
    <t>Malby</t>
  </si>
  <si>
    <t>Odstranění malby oškrábáním v místnosti H do 3,8 m</t>
  </si>
  <si>
    <t>Penetrace podkladu   1 x</t>
  </si>
  <si>
    <t>Malba  bílá, bez penetrace, 2 x</t>
  </si>
  <si>
    <t>stropy</t>
  </si>
  <si>
    <t>1,4*2,85+1,885*2,85+3,46*3,015+5,965*3,46</t>
  </si>
  <si>
    <t>18,814+87,705+3,5</t>
  </si>
  <si>
    <t>Hodinové zúčtovací sazby (HZS)</t>
  </si>
  <si>
    <t>HZS</t>
  </si>
  <si>
    <t>Lešení a stavební výtahy</t>
  </si>
  <si>
    <t>Lešení lehké pomocné, výška podlahy do 1,9 m</t>
  </si>
  <si>
    <t>Různé dokončovací konstrukce a práce na pozemních stavbách</t>
  </si>
  <si>
    <t>Vyčištění budov o výšce podlaží do 4 m</t>
  </si>
  <si>
    <t>Bourání konstrukcí</t>
  </si>
  <si>
    <t>Vyvěšení dřevěných dveřních křídel pl. do 2 m2</t>
  </si>
  <si>
    <t>Bourání podkladů bet., tl. 4 cm, s rabic.pletivem</t>
  </si>
  <si>
    <t>Bourání příček deskových,sádrokartonových tl. 5 cm</t>
  </si>
  <si>
    <t>DMTZ podhledu lamino tl..12,5 mm</t>
  </si>
  <si>
    <t>předsíň podhled</t>
  </si>
  <si>
    <t>Ostatní přesuny hmot</t>
  </si>
  <si>
    <t>Přesun hmot pro opravy a údržbu do výšky 12 m</t>
  </si>
  <si>
    <t>Elektromontáže</t>
  </si>
  <si>
    <t>Montáž sporáku</t>
  </si>
  <si>
    <t>Sporák elektrický</t>
  </si>
  <si>
    <t>D+M elektroinstalace dle PD</t>
  </si>
  <si>
    <t>Přesuny sutí</t>
  </si>
  <si>
    <t>Odvoz suti a vybour. hmot na skládku do 1 km</t>
  </si>
  <si>
    <t>Příplatek k odvozu za každý další 1 km</t>
  </si>
  <si>
    <t>10*3,44</t>
  </si>
  <si>
    <t>Vnitrostaveništní doprava suti do 10 m</t>
  </si>
  <si>
    <t>Svislá doprava suti a vybour. hmot za 2.NP a 1.PP</t>
  </si>
  <si>
    <t>Poplatek za uložení suti - PVC podlahová krytina, skupina odpadu 200307</t>
  </si>
  <si>
    <t>Poplatek za uložení suti - směs betonu, cihel, dřeva, skupina odpadu 170904</t>
  </si>
  <si>
    <t>3,43786-0,01885</t>
  </si>
  <si>
    <t>Doba výstavby:</t>
  </si>
  <si>
    <t>Zpracováno dne:</t>
  </si>
  <si>
    <t>MJ</t>
  </si>
  <si>
    <t>m2</t>
  </si>
  <si>
    <t>m</t>
  </si>
  <si>
    <t>kus</t>
  </si>
  <si>
    <t>t</t>
  </si>
  <si>
    <t>pár</t>
  </si>
  <si>
    <t>soubor</t>
  </si>
  <si>
    <t>ks</t>
  </si>
  <si>
    <t>h</t>
  </si>
  <si>
    <t>Množství</t>
  </si>
  <si>
    <t>Cena/MJ</t>
  </si>
  <si>
    <t>(Kč)</t>
  </si>
  <si>
    <t>Náklady (Kč)</t>
  </si>
  <si>
    <t>Dodávka</t>
  </si>
  <si>
    <t>Celkem:</t>
  </si>
  <si>
    <t>Město Žďár nad Sázavou</t>
  </si>
  <si>
    <t>ing. Zbyněk Semerád</t>
  </si>
  <si>
    <t> </t>
  </si>
  <si>
    <t>Celkem</t>
  </si>
  <si>
    <t>Hmotnost (t)</t>
  </si>
  <si>
    <t>Jednot.</t>
  </si>
  <si>
    <t>Cenová</t>
  </si>
  <si>
    <t>soustava</t>
  </si>
  <si>
    <t>RTS I / 2022</t>
  </si>
  <si>
    <t>RTS II / 2020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</si>
  <si>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</si>
  <si>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</si>
  <si>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</si>
  <si>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</si>
  <si>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</si>
  <si>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</si>
  <si>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</si>
  <si>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</si>
  <si>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</si>
  <si>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34_</t>
  </si>
  <si>
    <t>41_</t>
  </si>
  <si>
    <t>61_</t>
  </si>
  <si>
    <t>62_</t>
  </si>
  <si>
    <t>63_</t>
  </si>
  <si>
    <t>64_</t>
  </si>
  <si>
    <t>711_</t>
  </si>
  <si>
    <t>721_</t>
  </si>
  <si>
    <t>722_</t>
  </si>
  <si>
    <t>725_</t>
  </si>
  <si>
    <t>728_</t>
  </si>
  <si>
    <t>766_</t>
  </si>
  <si>
    <t>771_</t>
  </si>
  <si>
    <t>776_</t>
  </si>
  <si>
    <t>781_</t>
  </si>
  <si>
    <t>783_</t>
  </si>
  <si>
    <t>784_</t>
  </si>
  <si>
    <t>90_</t>
  </si>
  <si>
    <t>94_</t>
  </si>
  <si>
    <t>95_</t>
  </si>
  <si>
    <t>96_</t>
  </si>
  <si>
    <t>H99_</t>
  </si>
  <si>
    <t>M21_</t>
  </si>
  <si>
    <t>S_</t>
  </si>
  <si>
    <t>_3_</t>
  </si>
  <si>
    <t>_4_</t>
  </si>
  <si>
    <t>_6_</t>
  </si>
  <si>
    <t>_71_</t>
  </si>
  <si>
    <t>_72_</t>
  </si>
  <si>
    <t>_76_</t>
  </si>
  <si>
    <t>_77_</t>
  </si>
  <si>
    <t>_78_</t>
  </si>
  <si>
    <t>_9_</t>
  </si>
  <si>
    <t>_</t>
  </si>
  <si>
    <t>MAT</t>
  </si>
  <si>
    <t>WORK</t>
  </si>
  <si>
    <t>CELK</t>
  </si>
  <si>
    <t>ISWORK</t>
  </si>
  <si>
    <t>P</t>
  </si>
  <si>
    <t>M</t>
  </si>
  <si>
    <t>GROUPCODE</t>
  </si>
  <si>
    <t>20.3.2022</t>
  </si>
  <si>
    <t>kompl.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</si>
</sst>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dd/mm/yy"/>
    <numFmt numFmtId="167" formatCode="dd\.mmmm\.yy"/>
  </numFmts>
  <fonts count="61">
    <font>
      <sz val="10"/>
      <name val="Arial"/>
      <family val="0"/>
    </font>
    <font>
      <sz val="10"/>
      <color indexed="8"/>
      <name val="Arial"/>
      <family val="0"/>
    </font>
    <font>
      <b/>
      <sz val="18"/>
      <color indexed="8"/>
      <name val="Arial"/>
      <family val="0"/>
    </font>
    <font>
      <b/>
      <sz val="2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i/>
      <sz val="8"/>
      <color indexed="8"/>
      <name val="Arial"/>
      <family val="0"/>
    </font>
    <font>
      <b/>
      <sz val="11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54"/>
      <name val="Arial"/>
      <family val="0"/>
    </font>
    <font>
      <b/>
      <sz val="10"/>
      <color indexed="56"/>
      <name val="Arial"/>
      <family val="0"/>
    </font>
    <font>
      <i/>
      <sz val="10"/>
      <color indexed="63"/>
      <name val="Arial"/>
      <family val="0"/>
    </font>
    <font>
      <i/>
      <sz val="10"/>
      <color indexed="50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8"/>
      <name val="Arial"/>
      <family val="0"/>
    </font>
    <font>
      <b/>
      <sz val="10"/>
      <color indexed="18"/>
      <name val="Arial"/>
      <family val="0"/>
    </font>
    <font>
      <sz val="10"/>
      <color indexed="48"/>
      <name val="Arial"/>
      <family val="0"/>
    </font>
    <font>
      <b/>
      <sz val="10"/>
      <color indexed="48"/>
      <name val="Arial"/>
      <family val="0"/>
    </font>
    <font>
      <sz val="10"/>
      <color indexed="12"/>
      <name val="Arial"/>
      <family val="0"/>
    </font>
    <font>
      <sz val="10"/>
      <color indexed="17"/>
      <name val="Arial"/>
      <family val="0"/>
    </font>
    <font>
      <b/>
      <sz val="10"/>
      <color indexed="17"/>
      <name val="Arial"/>
      <family val="0"/>
    </font>
    <font>
      <sz val="10"/>
      <color indexed="25"/>
      <name val="Arial"/>
      <family val="0"/>
    </font>
    <font>
      <b/>
      <sz val="10"/>
      <color indexed="2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b/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medium"/>
    </border>
    <border>
      <left/>
      <right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thin"/>
      <top/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165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47" fillId="20" borderId="0" applyNumberFormat="0" applyBorder="0" applyAlignment="0" applyProtection="0"/>
    <xf numFmtId="0" fontId="48" fillId="21" borderId="2" applyNumberForma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23" borderId="6" applyNumberFormat="0" applyFont="0" applyAlignment="0" applyProtection="0"/>
    <xf numFmtId="165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232">
    <xf numFmtId="0" fontId="1" fillId="0" borderId="0" xfId="0" applyFont="1" applyAlignment="1">
      <alignment vertical="center"/>
    </xf>
    <xf numFmtId="0" fontId="1" fillId="0" borderId="10" xfId="0" applyNumberFormat="1" applyFont="1" applyFill="1" applyBorder="1" applyAlignment="1" applyProtection="1">
      <alignment vertical="center"/>
      <protection/>
    </xf>
    <xf numFmtId="49" fontId="3" fillId="33" borderId="11" xfId="0" applyNumberFormat="1" applyFont="1" applyFill="1" applyBorder="1" applyAlignment="1" applyProtection="1">
      <alignment horizontal="center" vertical="center"/>
      <protection/>
    </xf>
    <xf numFmtId="49" fontId="4" fillId="0" borderId="12" xfId="0" applyNumberFormat="1" applyFont="1" applyFill="1" applyBorder="1" applyAlignment="1" applyProtection="1">
      <alignment horizontal="left" vertical="center"/>
      <protection/>
    </xf>
    <xf numFmtId="49" fontId="4" fillId="0" borderId="13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49" fontId="6" fillId="0" borderId="16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0" fontId="1" fillId="0" borderId="17" xfId="0" applyNumberFormat="1" applyFont="1" applyFill="1" applyBorder="1" applyAlignment="1" applyProtection="1">
      <alignment vertical="center"/>
      <protection/>
    </xf>
    <xf numFmtId="0" fontId="1" fillId="0" borderId="18" xfId="0" applyNumberFormat="1" applyFont="1" applyFill="1" applyBorder="1" applyAlignment="1" applyProtection="1">
      <alignment vertical="center"/>
      <protection/>
    </xf>
    <xf numFmtId="4" fontId="5" fillId="0" borderId="11" xfId="0" applyNumberFormat="1" applyFont="1" applyFill="1" applyBorder="1" applyAlignment="1" applyProtection="1">
      <alignment horizontal="right" vertical="center"/>
      <protection/>
    </xf>
    <xf numFmtId="49" fontId="5" fillId="0" borderId="11" xfId="0" applyNumberFormat="1" applyFont="1" applyFill="1" applyBorder="1" applyAlignment="1" applyProtection="1">
      <alignment horizontal="right" vertical="center"/>
      <protection/>
    </xf>
    <xf numFmtId="4" fontId="5" fillId="0" borderId="19" xfId="0" applyNumberFormat="1" applyFont="1" applyFill="1" applyBorder="1" applyAlignment="1" applyProtection="1">
      <alignment horizontal="right" vertical="center"/>
      <protection/>
    </xf>
    <xf numFmtId="0" fontId="1" fillId="0" borderId="20" xfId="0" applyNumberFormat="1" applyFont="1" applyFill="1" applyBorder="1" applyAlignment="1" applyProtection="1">
      <alignment vertical="center"/>
      <protection/>
    </xf>
    <xf numFmtId="0" fontId="1" fillId="0" borderId="21" xfId="0" applyNumberFormat="1" applyFont="1" applyFill="1" applyBorder="1" applyAlignment="1" applyProtection="1">
      <alignment vertical="center"/>
      <protection/>
    </xf>
    <xf numFmtId="0" fontId="1" fillId="0" borderId="22" xfId="0" applyNumberFormat="1" applyFont="1" applyFill="1" applyBorder="1" applyAlignment="1" applyProtection="1">
      <alignment vertical="center"/>
      <protection/>
    </xf>
    <xf numFmtId="0" fontId="1" fillId="0" borderId="23" xfId="0" applyNumberFormat="1" applyFont="1" applyFill="1" applyBorder="1" applyAlignment="1" applyProtection="1">
      <alignment vertical="center"/>
      <protection/>
    </xf>
    <xf numFmtId="4" fontId="4" fillId="33" borderId="24" xfId="0" applyNumberFormat="1" applyFont="1" applyFill="1" applyBorder="1" applyAlignment="1" applyProtection="1">
      <alignment horizontal="right" vertical="center"/>
      <protection/>
    </xf>
    <xf numFmtId="0" fontId="1" fillId="0" borderId="25" xfId="0" applyNumberFormat="1" applyFont="1" applyFill="1" applyBorder="1" applyAlignment="1" applyProtection="1">
      <alignment vertical="center"/>
      <protection/>
    </xf>
    <xf numFmtId="0" fontId="1" fillId="0" borderId="26" xfId="0" applyNumberFormat="1" applyFont="1" applyFill="1" applyBorder="1" applyAlignment="1" applyProtection="1">
      <alignment vertical="center"/>
      <protection/>
    </xf>
    <xf numFmtId="49" fontId="9" fillId="0" borderId="27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9" fontId="9" fillId="0" borderId="28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9" fillId="0" borderId="28" xfId="0" applyNumberFormat="1" applyFont="1" applyFill="1" applyBorder="1" applyAlignment="1" applyProtection="1">
      <alignment horizontal="right" vertical="center"/>
      <protection/>
    </xf>
    <xf numFmtId="4" fontId="9" fillId="0" borderId="28" xfId="0" applyNumberFormat="1" applyFont="1" applyFill="1" applyBorder="1" applyAlignment="1" applyProtection="1">
      <alignment horizontal="right" vertical="center"/>
      <protection/>
    </xf>
    <xf numFmtId="49" fontId="9" fillId="0" borderId="29" xfId="0" applyNumberFormat="1" applyFont="1" applyFill="1" applyBorder="1" applyAlignment="1" applyProtection="1">
      <alignment horizontal="left" vertical="center"/>
      <protection/>
    </xf>
    <xf numFmtId="49" fontId="1" fillId="0" borderId="30" xfId="0" applyNumberFormat="1" applyFont="1" applyFill="1" applyBorder="1" applyAlignment="1" applyProtection="1">
      <alignment horizontal="left" vertical="center"/>
      <protection/>
    </xf>
    <xf numFmtId="49" fontId="10" fillId="34" borderId="31" xfId="0" applyNumberFormat="1" applyFont="1" applyFill="1" applyBorder="1" applyAlignment="1" applyProtection="1">
      <alignment horizontal="left" vertical="center"/>
      <protection/>
    </xf>
    <xf numFmtId="49" fontId="11" fillId="35" borderId="22" xfId="0" applyNumberFormat="1" applyFont="1" applyFill="1" applyBorder="1" applyAlignment="1" applyProtection="1">
      <alignment horizontal="left" vertical="center"/>
      <protection/>
    </xf>
    <xf numFmtId="49" fontId="12" fillId="0" borderId="22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left" vertical="center"/>
      <protection/>
    </xf>
    <xf numFmtId="49" fontId="1" fillId="0" borderId="33" xfId="0" applyNumberFormat="1" applyFont="1" applyFill="1" applyBorder="1" applyAlignment="1" applyProtection="1">
      <alignment horizontal="left" vertical="center"/>
      <protection/>
    </xf>
    <xf numFmtId="49" fontId="14" fillId="34" borderId="16" xfId="0" applyNumberFormat="1" applyFont="1" applyFill="1" applyBorder="1" applyAlignment="1" applyProtection="1">
      <alignment horizontal="left" vertical="center"/>
      <protection/>
    </xf>
    <xf numFmtId="49" fontId="15" fillId="35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0" xfId="0" applyNumberFormat="1" applyFont="1" applyFill="1" applyBorder="1" applyAlignment="1" applyProtection="1">
      <alignment horizontal="left" vertical="center"/>
      <protection/>
    </xf>
    <xf numFmtId="49" fontId="16" fillId="0" borderId="10" xfId="0" applyNumberFormat="1" applyFont="1" applyFill="1" applyBorder="1" applyAlignment="1" applyProtection="1">
      <alignment horizontal="left" vertical="center"/>
      <protection/>
    </xf>
    <xf numFmtId="49" fontId="17" fillId="0" borderId="0" xfId="0" applyNumberFormat="1" applyFont="1" applyFill="1" applyBorder="1" applyAlignment="1" applyProtection="1">
      <alignment horizontal="left" vertical="center"/>
      <protection/>
    </xf>
    <xf numFmtId="49" fontId="17" fillId="0" borderId="10" xfId="0" applyNumberFormat="1" applyFont="1" applyFill="1" applyBorder="1" applyAlignment="1" applyProtection="1">
      <alignment horizontal="left" vertical="center"/>
      <protection/>
    </xf>
    <xf numFmtId="49" fontId="10" fillId="34" borderId="16" xfId="0" applyNumberFormat="1" applyFont="1" applyFill="1" applyBorder="1" applyAlignment="1" applyProtection="1">
      <alignment horizontal="left" vertical="center"/>
      <protection/>
    </xf>
    <xf numFmtId="49" fontId="11" fillId="35" borderId="0" xfId="0" applyNumberFormat="1" applyFont="1" applyFill="1" applyBorder="1" applyAlignment="1" applyProtection="1">
      <alignment horizontal="left" vertical="center"/>
      <protection/>
    </xf>
    <xf numFmtId="49" fontId="9" fillId="0" borderId="32" xfId="0" applyNumberFormat="1" applyFont="1" applyFill="1" applyBorder="1" applyAlignment="1" applyProtection="1">
      <alignment horizontal="center" vertical="center"/>
      <protection/>
    </xf>
    <xf numFmtId="4" fontId="12" fillId="0" borderId="0" xfId="0" applyNumberFormat="1" applyFont="1" applyFill="1" applyBorder="1" applyAlignment="1" applyProtection="1">
      <alignment horizontal="right" vertical="center"/>
      <protection/>
    </xf>
    <xf numFmtId="4" fontId="16" fillId="0" borderId="0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Fill="1" applyBorder="1" applyAlignment="1" applyProtection="1">
      <alignment horizontal="right" vertical="center"/>
      <protection/>
    </xf>
    <xf numFmtId="4" fontId="16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34" xfId="0" applyNumberFormat="1" applyFont="1" applyFill="1" applyBorder="1" applyAlignment="1" applyProtection="1">
      <alignment horizontal="center" vertical="center"/>
      <protection/>
    </xf>
    <xf numFmtId="49" fontId="9" fillId="0" borderId="35" xfId="0" applyNumberFormat="1" applyFont="1" applyFill="1" applyBorder="1" applyAlignment="1" applyProtection="1">
      <alignment horizontal="center" vertical="center"/>
      <protection/>
    </xf>
    <xf numFmtId="49" fontId="9" fillId="0" borderId="36" xfId="0" applyNumberFormat="1" applyFont="1" applyFill="1" applyBorder="1" applyAlignment="1" applyProtection="1">
      <alignment horizontal="center" vertical="center"/>
      <protection/>
    </xf>
    <xf numFmtId="49" fontId="9" fillId="0" borderId="19" xfId="0" applyNumberFormat="1" applyFont="1" applyFill="1" applyBorder="1" applyAlignment="1" applyProtection="1">
      <alignment horizontal="center" vertical="center"/>
      <protection/>
    </xf>
    <xf numFmtId="49" fontId="9" fillId="0" borderId="37" xfId="0" applyNumberFormat="1" applyFont="1" applyFill="1" applyBorder="1" applyAlignment="1" applyProtection="1">
      <alignment horizontal="center" vertical="center"/>
      <protection/>
    </xf>
    <xf numFmtId="49" fontId="14" fillId="34" borderId="16" xfId="0" applyNumberFormat="1" applyFont="1" applyFill="1" applyBorder="1" applyAlignment="1" applyProtection="1">
      <alignment horizontal="right" vertical="center"/>
      <protection/>
    </xf>
    <xf numFmtId="49" fontId="15" fillId="35" borderId="0" xfId="0" applyNumberFormat="1" applyFont="1" applyFill="1" applyBorder="1" applyAlignment="1" applyProtection="1">
      <alignment horizontal="right" vertical="center"/>
      <protection/>
    </xf>
    <xf numFmtId="49" fontId="9" fillId="0" borderId="38" xfId="0" applyNumberFormat="1" applyFont="1" applyFill="1" applyBorder="1" applyAlignment="1" applyProtection="1">
      <alignment horizontal="center" vertical="center"/>
      <protection/>
    </xf>
    <xf numFmtId="49" fontId="9" fillId="0" borderId="39" xfId="0" applyNumberFormat="1" applyFont="1" applyFill="1" applyBorder="1" applyAlignment="1" applyProtection="1">
      <alignment horizontal="center" vertical="center"/>
      <protection/>
    </xf>
    <xf numFmtId="49" fontId="14" fillId="34" borderId="20" xfId="0" applyNumberFormat="1" applyFont="1" applyFill="1" applyBorder="1" applyAlignment="1" applyProtection="1">
      <alignment horizontal="right" vertical="center"/>
      <protection/>
    </xf>
    <xf numFmtId="49" fontId="15" fillId="35" borderId="21" xfId="0" applyNumberFormat="1" applyFont="1" applyFill="1" applyBorder="1" applyAlignment="1" applyProtection="1">
      <alignment horizontal="right" vertical="center"/>
      <protection/>
    </xf>
    <xf numFmtId="49" fontId="12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40" xfId="0" applyNumberFormat="1" applyFont="1" applyFill="1" applyBorder="1" applyAlignment="1" applyProtection="1">
      <alignment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2" fillId="0" borderId="0" xfId="0" applyNumberFormat="1" applyFont="1" applyFill="1" applyBorder="1" applyAlignment="1" applyProtection="1">
      <alignment horizontal="right" vertical="center"/>
      <protection/>
    </xf>
    <xf numFmtId="49" fontId="13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9" fontId="9" fillId="0" borderId="0" xfId="0" applyNumberFormat="1" applyFont="1" applyFill="1" applyBorder="1" applyAlignment="1" applyProtection="1">
      <alignment horizontal="right" vertical="center"/>
      <protection/>
    </xf>
    <xf numFmtId="4" fontId="14" fillId="34" borderId="16" xfId="0" applyNumberFormat="1" applyFont="1" applyFill="1" applyBorder="1" applyAlignment="1" applyProtection="1">
      <alignment horizontal="right" vertical="center"/>
      <protection/>
    </xf>
    <xf numFmtId="4" fontId="15" fillId="35" borderId="0" xfId="0" applyNumberFormat="1" applyFont="1" applyFill="1" applyBorder="1" applyAlignment="1" applyProtection="1">
      <alignment horizontal="right" vertical="center"/>
      <protection/>
    </xf>
    <xf numFmtId="4" fontId="9" fillId="0" borderId="14" xfId="0" applyNumberFormat="1" applyFont="1" applyFill="1" applyBorder="1" applyAlignment="1" applyProtection="1">
      <alignment horizontal="right" vertical="center"/>
      <protection/>
    </xf>
    <xf numFmtId="49" fontId="12" fillId="36" borderId="41" xfId="0" applyNumberFormat="1" applyFont="1" applyFill="1" applyBorder="1" applyAlignment="1" applyProtection="1">
      <alignment horizontal="left" vertical="center"/>
      <protection/>
    </xf>
    <xf numFmtId="4" fontId="12" fillId="36" borderId="41" xfId="0" applyNumberFormat="1" applyFont="1" applyFill="1" applyBorder="1" applyAlignment="1" applyProtection="1">
      <alignment horizontal="right" vertical="center"/>
      <protection/>
    </xf>
    <xf numFmtId="49" fontId="12" fillId="36" borderId="42" xfId="0" applyNumberFormat="1" applyFont="1" applyFill="1" applyBorder="1" applyAlignment="1" applyProtection="1">
      <alignment horizontal="right" vertical="center"/>
      <protection/>
    </xf>
    <xf numFmtId="49" fontId="12" fillId="36" borderId="43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1" fillId="36" borderId="42" xfId="0" applyNumberFormat="1" applyFont="1" applyFill="1" applyBorder="1" applyAlignment="1" applyProtection="1">
      <alignment vertical="center"/>
      <protection/>
    </xf>
    <xf numFmtId="0" fontId="1" fillId="36" borderId="43" xfId="0" applyNumberFormat="1" applyFont="1" applyFill="1" applyBorder="1" applyAlignment="1" applyProtection="1">
      <alignment vertical="center"/>
      <protection/>
    </xf>
    <xf numFmtId="49" fontId="12" fillId="36" borderId="44" xfId="0" applyNumberFormat="1" applyFont="1" applyFill="1" applyBorder="1" applyAlignment="1" applyProtection="1">
      <alignment horizontal="left" vertical="center"/>
      <protection/>
    </xf>
    <xf numFmtId="0" fontId="1" fillId="36" borderId="41" xfId="0" applyNumberFormat="1" applyFont="1" applyFill="1" applyBorder="1" applyAlignment="1" applyProtection="1">
      <alignment vertical="center"/>
      <protection/>
    </xf>
    <xf numFmtId="0" fontId="0" fillId="36" borderId="41" xfId="1" applyNumberFormat="1" applyFill="1" applyBorder="1" applyAlignment="1" applyProtection="1">
      <alignment/>
      <protection/>
    </xf>
    <xf numFmtId="49" fontId="16" fillId="36" borderId="41" xfId="0" applyNumberFormat="1" applyFont="1" applyFill="1" applyBorder="1" applyAlignment="1" applyProtection="1">
      <alignment horizontal="left" vertical="center"/>
      <protection/>
    </xf>
    <xf numFmtId="49" fontId="17" fillId="36" borderId="41" xfId="0" applyNumberFormat="1" applyFont="1" applyFill="1" applyBorder="1" applyAlignment="1" applyProtection="1">
      <alignment horizontal="left" vertical="center"/>
      <protection/>
    </xf>
    <xf numFmtId="4" fontId="12" fillId="36" borderId="44" xfId="0" applyNumberFormat="1" applyFont="1" applyFill="1" applyBorder="1" applyAlignment="1" applyProtection="1">
      <alignment horizontal="right" vertical="center"/>
      <protection/>
    </xf>
    <xf numFmtId="4" fontId="16" fillId="36" borderId="41" xfId="0" applyNumberFormat="1" applyFont="1" applyFill="1" applyBorder="1" applyAlignment="1" applyProtection="1">
      <alignment horizontal="right" vertical="center"/>
      <protection/>
    </xf>
    <xf numFmtId="0" fontId="1" fillId="36" borderId="44" xfId="0" applyNumberFormat="1" applyFont="1" applyFill="1" applyBorder="1" applyAlignment="1" applyProtection="1">
      <alignment vertical="center"/>
      <protection/>
    </xf>
    <xf numFmtId="0" fontId="0" fillId="36" borderId="44" xfId="1" applyNumberFormat="1" applyFill="1" applyBorder="1" applyAlignment="1" applyProtection="1">
      <alignment/>
      <protection/>
    </xf>
    <xf numFmtId="49" fontId="16" fillId="36" borderId="44" xfId="0" applyNumberFormat="1" applyFont="1" applyFill="1" applyBorder="1" applyAlignment="1" applyProtection="1">
      <alignment horizontal="left" vertical="center"/>
      <protection/>
    </xf>
    <xf numFmtId="49" fontId="17" fillId="36" borderId="44" xfId="0" applyNumberFormat="1" applyFont="1" applyFill="1" applyBorder="1" applyAlignment="1" applyProtection="1">
      <alignment horizontal="left" vertical="center"/>
      <protection/>
    </xf>
    <xf numFmtId="4" fontId="16" fillId="36" borderId="44" xfId="0" applyNumberFormat="1" applyFont="1" applyFill="1" applyBorder="1" applyAlignment="1" applyProtection="1">
      <alignment horizontal="right" vertical="center"/>
      <protection/>
    </xf>
    <xf numFmtId="49" fontId="15" fillId="37" borderId="42" xfId="0" applyNumberFormat="1" applyFont="1" applyFill="1" applyBorder="1" applyAlignment="1" applyProtection="1">
      <alignment horizontal="right" vertical="center"/>
      <protection/>
    </xf>
    <xf numFmtId="49" fontId="11" fillId="37" borderId="44" xfId="0" applyNumberFormat="1" applyFont="1" applyFill="1" applyBorder="1" applyAlignment="1" applyProtection="1">
      <alignment horizontal="left" vertical="center"/>
      <protection/>
    </xf>
    <xf numFmtId="49" fontId="15" fillId="37" borderId="44" xfId="0" applyNumberFormat="1" applyFont="1" applyFill="1" applyBorder="1" applyAlignment="1" applyProtection="1">
      <alignment horizontal="left" vertical="center"/>
      <protection/>
    </xf>
    <xf numFmtId="4" fontId="15" fillId="37" borderId="44" xfId="0" applyNumberFormat="1" applyFont="1" applyFill="1" applyBorder="1" applyAlignment="1" applyProtection="1">
      <alignment horizontal="right" vertical="center"/>
      <protection/>
    </xf>
    <xf numFmtId="49" fontId="15" fillId="37" borderId="44" xfId="0" applyNumberFormat="1" applyFont="1" applyFill="1" applyBorder="1" applyAlignment="1" applyProtection="1">
      <alignment horizontal="right" vertical="center"/>
      <protection/>
    </xf>
    <xf numFmtId="49" fontId="13" fillId="36" borderId="42" xfId="0" applyNumberFormat="1" applyFont="1" applyFill="1" applyBorder="1" applyAlignment="1" applyProtection="1">
      <alignment horizontal="right" vertical="center"/>
      <protection/>
    </xf>
    <xf numFmtId="49" fontId="13" fillId="36" borderId="44" xfId="0" applyNumberFormat="1" applyFont="1" applyFill="1" applyBorder="1" applyAlignment="1" applyProtection="1">
      <alignment horizontal="left" vertical="center"/>
      <protection/>
    </xf>
    <xf numFmtId="4" fontId="13" fillId="36" borderId="44" xfId="0" applyNumberFormat="1" applyFont="1" applyFill="1" applyBorder="1" applyAlignment="1" applyProtection="1">
      <alignment horizontal="right" vertical="center"/>
      <protection/>
    </xf>
    <xf numFmtId="49" fontId="19" fillId="37" borderId="42" xfId="0" applyNumberFormat="1" applyFont="1" applyFill="1" applyBorder="1" applyAlignment="1" applyProtection="1">
      <alignment horizontal="right" vertical="center"/>
      <protection/>
    </xf>
    <xf numFmtId="49" fontId="18" fillId="37" borderId="44" xfId="0" applyNumberFormat="1" applyFont="1" applyFill="1" applyBorder="1" applyAlignment="1" applyProtection="1">
      <alignment horizontal="left" vertical="center"/>
      <protection/>
    </xf>
    <xf numFmtId="49" fontId="19" fillId="37" borderId="44" xfId="0" applyNumberFormat="1" applyFont="1" applyFill="1" applyBorder="1" applyAlignment="1" applyProtection="1">
      <alignment horizontal="left" vertical="center"/>
      <protection/>
    </xf>
    <xf numFmtId="4" fontId="19" fillId="37" borderId="44" xfId="0" applyNumberFormat="1" applyFont="1" applyFill="1" applyBorder="1" applyAlignment="1" applyProtection="1">
      <alignment horizontal="right" vertical="center"/>
      <protection/>
    </xf>
    <xf numFmtId="49" fontId="19" fillId="37" borderId="44" xfId="0" applyNumberFormat="1" applyFont="1" applyFill="1" applyBorder="1" applyAlignment="1" applyProtection="1">
      <alignment horizontal="right" vertical="center"/>
      <protection/>
    </xf>
    <xf numFmtId="49" fontId="21" fillId="37" borderId="42" xfId="0" applyNumberFormat="1" applyFont="1" applyFill="1" applyBorder="1" applyAlignment="1" applyProtection="1">
      <alignment horizontal="right" vertical="center"/>
      <protection/>
    </xf>
    <xf numFmtId="49" fontId="20" fillId="37" borderId="44" xfId="0" applyNumberFormat="1" applyFont="1" applyFill="1" applyBorder="1" applyAlignment="1" applyProtection="1">
      <alignment horizontal="left" vertical="center"/>
      <protection/>
    </xf>
    <xf numFmtId="49" fontId="21" fillId="37" borderId="44" xfId="0" applyNumberFormat="1" applyFont="1" applyFill="1" applyBorder="1" applyAlignment="1" applyProtection="1">
      <alignment horizontal="left" vertical="center"/>
      <protection/>
    </xf>
    <xf numFmtId="4" fontId="21" fillId="37" borderId="44" xfId="0" applyNumberFormat="1" applyFont="1" applyFill="1" applyBorder="1" applyAlignment="1" applyProtection="1">
      <alignment horizontal="right" vertical="center"/>
      <protection/>
    </xf>
    <xf numFmtId="49" fontId="21" fillId="37" borderId="44" xfId="0" applyNumberFormat="1" applyFont="1" applyFill="1" applyBorder="1" applyAlignment="1" applyProtection="1">
      <alignment horizontal="right" vertical="center"/>
      <protection/>
    </xf>
    <xf numFmtId="49" fontId="23" fillId="37" borderId="42" xfId="0" applyNumberFormat="1" applyFont="1" applyFill="1" applyBorder="1" applyAlignment="1" applyProtection="1">
      <alignment horizontal="right" vertical="center"/>
      <protection/>
    </xf>
    <xf numFmtId="49" fontId="22" fillId="37" borderId="44" xfId="0" applyNumberFormat="1" applyFont="1" applyFill="1" applyBorder="1" applyAlignment="1" applyProtection="1">
      <alignment horizontal="left" vertical="center"/>
      <protection/>
    </xf>
    <xf numFmtId="49" fontId="23" fillId="37" borderId="44" xfId="0" applyNumberFormat="1" applyFont="1" applyFill="1" applyBorder="1" applyAlignment="1" applyProtection="1">
      <alignment horizontal="left" vertical="center"/>
      <protection/>
    </xf>
    <xf numFmtId="4" fontId="23" fillId="37" borderId="44" xfId="0" applyNumberFormat="1" applyFont="1" applyFill="1" applyBorder="1" applyAlignment="1" applyProtection="1">
      <alignment horizontal="right" vertical="center"/>
      <protection/>
    </xf>
    <xf numFmtId="49" fontId="23" fillId="37" borderId="44" xfId="0" applyNumberFormat="1" applyFont="1" applyFill="1" applyBorder="1" applyAlignment="1" applyProtection="1">
      <alignment horizontal="right" vertical="center"/>
      <protection/>
    </xf>
    <xf numFmtId="49" fontId="24" fillId="36" borderId="42" xfId="0" applyNumberFormat="1" applyFont="1" applyFill="1" applyBorder="1" applyAlignment="1" applyProtection="1">
      <alignment horizontal="right" vertical="center"/>
      <protection/>
    </xf>
    <xf numFmtId="49" fontId="24" fillId="36" borderId="44" xfId="0" applyNumberFormat="1" applyFont="1" applyFill="1" applyBorder="1" applyAlignment="1" applyProtection="1">
      <alignment horizontal="left" vertical="center"/>
      <protection/>
    </xf>
    <xf numFmtId="4" fontId="24" fillId="36" borderId="44" xfId="0" applyNumberFormat="1" applyFont="1" applyFill="1" applyBorder="1" applyAlignment="1" applyProtection="1">
      <alignment horizontal="right" vertical="center"/>
      <protection/>
    </xf>
    <xf numFmtId="49" fontId="26" fillId="37" borderId="42" xfId="0" applyNumberFormat="1" applyFont="1" applyFill="1" applyBorder="1" applyAlignment="1" applyProtection="1">
      <alignment horizontal="right" vertical="center"/>
      <protection/>
    </xf>
    <xf numFmtId="49" fontId="25" fillId="37" borderId="44" xfId="0" applyNumberFormat="1" applyFont="1" applyFill="1" applyBorder="1" applyAlignment="1" applyProtection="1">
      <alignment horizontal="left" vertical="center"/>
      <protection/>
    </xf>
    <xf numFmtId="49" fontId="26" fillId="37" borderId="44" xfId="0" applyNumberFormat="1" applyFont="1" applyFill="1" applyBorder="1" applyAlignment="1" applyProtection="1">
      <alignment horizontal="left" vertical="center"/>
      <protection/>
    </xf>
    <xf numFmtId="4" fontId="26" fillId="37" borderId="44" xfId="0" applyNumberFormat="1" applyFont="1" applyFill="1" applyBorder="1" applyAlignment="1" applyProtection="1">
      <alignment horizontal="right" vertical="center"/>
      <protection/>
    </xf>
    <xf numFmtId="49" fontId="26" fillId="37" borderId="44" xfId="0" applyNumberFormat="1" applyFont="1" applyFill="1" applyBorder="1" applyAlignment="1" applyProtection="1">
      <alignment horizontal="right" vertical="center"/>
      <protection/>
    </xf>
    <xf numFmtId="49" fontId="28" fillId="37" borderId="42" xfId="0" applyNumberFormat="1" applyFont="1" applyFill="1" applyBorder="1" applyAlignment="1" applyProtection="1">
      <alignment horizontal="right" vertical="center"/>
      <protection/>
    </xf>
    <xf numFmtId="49" fontId="27" fillId="37" borderId="44" xfId="0" applyNumberFormat="1" applyFont="1" applyFill="1" applyBorder="1" applyAlignment="1" applyProtection="1">
      <alignment horizontal="left" vertical="center"/>
      <protection/>
    </xf>
    <xf numFmtId="49" fontId="28" fillId="37" borderId="44" xfId="0" applyNumberFormat="1" applyFont="1" applyFill="1" applyBorder="1" applyAlignment="1" applyProtection="1">
      <alignment horizontal="left" vertical="center"/>
      <protection/>
    </xf>
    <xf numFmtId="4" fontId="28" fillId="37" borderId="44" xfId="0" applyNumberFormat="1" applyFont="1" applyFill="1" applyBorder="1" applyAlignment="1" applyProtection="1">
      <alignment horizontal="right" vertical="center"/>
      <protection/>
    </xf>
    <xf numFmtId="49" fontId="28" fillId="37" borderId="44" xfId="0" applyNumberFormat="1" applyFont="1" applyFill="1" applyBorder="1" applyAlignment="1" applyProtection="1">
      <alignment horizontal="right" vertical="center"/>
      <protection/>
    </xf>
    <xf numFmtId="49" fontId="1" fillId="36" borderId="42" xfId="0" applyNumberFormat="1" applyFont="1" applyFill="1" applyBorder="1" applyAlignment="1" applyProtection="1">
      <alignment horizontal="right" vertical="center"/>
      <protection/>
    </xf>
    <xf numFmtId="49" fontId="1" fillId="36" borderId="44" xfId="0" applyNumberFormat="1" applyFont="1" applyFill="1" applyBorder="1" applyAlignment="1" applyProtection="1">
      <alignment horizontal="left" vertical="center"/>
      <protection/>
    </xf>
    <xf numFmtId="4" fontId="1" fillId="36" borderId="44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4" fontId="12" fillId="38" borderId="0" xfId="0" applyNumberFormat="1" applyFont="1" applyFill="1" applyBorder="1" applyAlignment="1" applyProtection="1">
      <alignment horizontal="right" vertical="center"/>
      <protection/>
    </xf>
    <xf numFmtId="4" fontId="12" fillId="38" borderId="44" xfId="0" applyNumberFormat="1" applyFont="1" applyFill="1" applyBorder="1" applyAlignment="1" applyProtection="1">
      <alignment horizontal="right" vertical="center"/>
      <protection/>
    </xf>
    <xf numFmtId="4" fontId="13" fillId="38" borderId="44" xfId="0" applyNumberFormat="1" applyFont="1" applyFill="1" applyBorder="1" applyAlignment="1" applyProtection="1">
      <alignment horizontal="right" vertical="center"/>
      <protection/>
    </xf>
    <xf numFmtId="4" fontId="24" fillId="38" borderId="44" xfId="0" applyNumberFormat="1" applyFont="1" applyFill="1" applyBorder="1" applyAlignment="1" applyProtection="1">
      <alignment horizontal="right" vertical="center"/>
      <protection/>
    </xf>
    <xf numFmtId="4" fontId="12" fillId="38" borderId="41" xfId="0" applyNumberFormat="1" applyFont="1" applyFill="1" applyBorder="1" applyAlignment="1" applyProtection="1">
      <alignment horizontal="right" vertical="center"/>
      <protection/>
    </xf>
    <xf numFmtId="4" fontId="1" fillId="38" borderId="44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left" vertical="center" wrapText="1"/>
      <protection/>
    </xf>
    <xf numFmtId="0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4" xfId="0" applyNumberFormat="1" applyFont="1" applyFill="1" applyBorder="1" applyAlignment="1" applyProtection="1">
      <alignment horizontal="left" vertical="center" wrapText="1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 wrapText="1"/>
      <protection/>
    </xf>
    <xf numFmtId="0" fontId="1" fillId="0" borderId="40" xfId="0" applyNumberFormat="1" applyFont="1" applyFill="1" applyBorder="1" applyAlignment="1" applyProtection="1">
      <alignment horizontal="left" vertical="center"/>
      <protection/>
    </xf>
    <xf numFmtId="49" fontId="2" fillId="0" borderId="46" xfId="0" applyNumberFormat="1" applyFont="1" applyFill="1" applyBorder="1" applyAlignment="1" applyProtection="1">
      <alignment horizontal="center" vertical="center"/>
      <protection/>
    </xf>
    <xf numFmtId="0" fontId="2" fillId="0" borderId="46" xfId="0" applyNumberFormat="1" applyFont="1" applyFill="1" applyBorder="1" applyAlignment="1" applyProtection="1">
      <alignment horizontal="center" vertical="center"/>
      <protection/>
    </xf>
    <xf numFmtId="49" fontId="7" fillId="0" borderId="47" xfId="0" applyNumberFormat="1" applyFont="1" applyFill="1" applyBorder="1" applyAlignment="1" applyProtection="1">
      <alignment horizontal="left" vertical="center"/>
      <protection/>
    </xf>
    <xf numFmtId="0" fontId="7" fillId="0" borderId="24" xfId="0" applyNumberFormat="1" applyFont="1" applyFill="1" applyBorder="1" applyAlignment="1" applyProtection="1">
      <alignment horizontal="left" vertical="center"/>
      <protection/>
    </xf>
    <xf numFmtId="49" fontId="5" fillId="0" borderId="47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49" fontId="4" fillId="0" borderId="47" xfId="0" applyNumberFormat="1" applyFont="1" applyFill="1" applyBorder="1" applyAlignment="1" applyProtection="1">
      <alignment horizontal="left" vertical="center"/>
      <protection/>
    </xf>
    <xf numFmtId="0" fontId="4" fillId="0" borderId="24" xfId="0" applyNumberFormat="1" applyFont="1" applyFill="1" applyBorder="1" applyAlignment="1" applyProtection="1">
      <alignment horizontal="left" vertical="center"/>
      <protection/>
    </xf>
    <xf numFmtId="49" fontId="4" fillId="33" borderId="47" xfId="0" applyNumberFormat="1" applyFont="1" applyFill="1" applyBorder="1" applyAlignment="1" applyProtection="1">
      <alignment horizontal="left" vertical="center"/>
      <protection/>
    </xf>
    <xf numFmtId="0" fontId="4" fillId="33" borderId="46" xfId="0" applyNumberFormat="1" applyFont="1" applyFill="1" applyBorder="1" applyAlignment="1" applyProtection="1">
      <alignment horizontal="left" vertical="center"/>
      <protection/>
    </xf>
    <xf numFmtId="49" fontId="5" fillId="0" borderId="48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49" xfId="0" applyNumberFormat="1" applyFont="1" applyFill="1" applyBorder="1" applyAlignment="1" applyProtection="1">
      <alignment horizontal="left" vertical="center"/>
      <protection/>
    </xf>
    <xf numFmtId="49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50" xfId="0" applyNumberFormat="1" applyFont="1" applyFill="1" applyBorder="1" applyAlignment="1" applyProtection="1">
      <alignment horizontal="left" vertical="center"/>
      <protection/>
    </xf>
    <xf numFmtId="49" fontId="5" fillId="0" borderId="51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52" xfId="0" applyNumberFormat="1" applyFont="1" applyFill="1" applyBorder="1" applyAlignment="1" applyProtection="1">
      <alignment horizontal="left" vertical="center"/>
      <protection/>
    </xf>
    <xf numFmtId="49" fontId="4" fillId="0" borderId="26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49" fontId="9" fillId="0" borderId="53" xfId="0" applyNumberFormat="1" applyFont="1" applyFill="1" applyBorder="1" applyAlignment="1" applyProtection="1">
      <alignment horizontal="left" vertical="center"/>
      <protection/>
    </xf>
    <xf numFmtId="0" fontId="9" fillId="0" borderId="54" xfId="0" applyNumberFormat="1" applyFont="1" applyFill="1" applyBorder="1" applyAlignment="1" applyProtection="1">
      <alignment horizontal="left" vertical="center"/>
      <protection/>
    </xf>
    <xf numFmtId="0" fontId="9" fillId="0" borderId="55" xfId="0" applyNumberFormat="1" applyFont="1" applyFill="1" applyBorder="1" applyAlignment="1" applyProtection="1">
      <alignment horizontal="left" vertical="center"/>
      <protection/>
    </xf>
    <xf numFmtId="49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1" fillId="0" borderId="56" xfId="0" applyNumberFormat="1" applyFont="1" applyFill="1" applyBorder="1" applyAlignment="1" applyProtection="1">
      <alignment horizontal="left" vertical="center"/>
      <protection/>
    </xf>
    <xf numFmtId="0" fontId="1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57" xfId="0" applyNumberFormat="1" applyFont="1" applyFill="1" applyBorder="1" applyAlignment="1" applyProtection="1">
      <alignment horizontal="left" vertical="center"/>
      <protection/>
    </xf>
    <xf numFmtId="49" fontId="9" fillId="0" borderId="58" xfId="0" applyNumberFormat="1" applyFont="1" applyFill="1" applyBorder="1" applyAlignment="1" applyProtection="1">
      <alignment horizontal="left" vertical="center"/>
      <protection/>
    </xf>
    <xf numFmtId="0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59" xfId="0" applyNumberFormat="1" applyFont="1" applyFill="1" applyBorder="1" applyAlignment="1" applyProtection="1">
      <alignment horizontal="left" vertical="center"/>
      <protection/>
    </xf>
    <xf numFmtId="49" fontId="4" fillId="0" borderId="58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left" vertical="center"/>
      <protection/>
    </xf>
    <xf numFmtId="0" fontId="4" fillId="0" borderId="59" xfId="0" applyNumberFormat="1" applyFont="1" applyFill="1" applyBorder="1" applyAlignment="1" applyProtection="1">
      <alignment horizontal="left" vertical="center"/>
      <protection/>
    </xf>
    <xf numFmtId="4" fontId="4" fillId="0" borderId="58" xfId="0" applyNumberFormat="1" applyFont="1" applyFill="1" applyBorder="1" applyAlignment="1" applyProtection="1">
      <alignment horizontal="right" vertical="center"/>
      <protection/>
    </xf>
    <xf numFmtId="0" fontId="4" fillId="0" borderId="25" xfId="0" applyNumberFormat="1" applyFont="1" applyFill="1" applyBorder="1" applyAlignment="1" applyProtection="1">
      <alignment horizontal="right" vertical="center"/>
      <protection/>
    </xf>
    <xf numFmtId="0" fontId="4" fillId="0" borderId="59" xfId="0" applyNumberFormat="1" applyFont="1" applyFill="1" applyBorder="1" applyAlignment="1" applyProtection="1">
      <alignment horizontal="right" vertical="center"/>
      <protection/>
    </xf>
    <xf numFmtId="49" fontId="8" fillId="0" borderId="10" xfId="0" applyNumberFormat="1" applyFont="1" applyFill="1" applyBorder="1" applyAlignment="1" applyProtection="1">
      <alignment horizont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60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61" xfId="0" applyNumberFormat="1" applyFont="1" applyFill="1" applyBorder="1" applyAlignment="1" applyProtection="1">
      <alignment horizontal="left" vertical="center"/>
      <protection/>
    </xf>
    <xf numFmtId="49" fontId="9" fillId="0" borderId="31" xfId="0" applyNumberFormat="1" applyFont="1" applyFill="1" applyBorder="1" applyAlignment="1" applyProtection="1">
      <alignment horizontal="left" vertical="center"/>
      <protection/>
    </xf>
    <xf numFmtId="0" fontId="9" fillId="0" borderId="20" xfId="0" applyNumberFormat="1" applyFont="1" applyFill="1" applyBorder="1" applyAlignment="1" applyProtection="1">
      <alignment horizontal="left" vertical="center"/>
      <protection/>
    </xf>
    <xf numFmtId="49" fontId="9" fillId="0" borderId="53" xfId="0" applyNumberFormat="1" applyFont="1" applyFill="1" applyBorder="1" applyAlignment="1" applyProtection="1">
      <alignment horizontal="center" vertical="center"/>
      <protection/>
    </xf>
    <xf numFmtId="0" fontId="9" fillId="0" borderId="54" xfId="0" applyNumberFormat="1" applyFont="1" applyFill="1" applyBorder="1" applyAlignment="1" applyProtection="1">
      <alignment horizontal="center" vertical="center"/>
      <protection/>
    </xf>
    <xf numFmtId="0" fontId="9" fillId="0" borderId="55" xfId="0" applyNumberFormat="1" applyFont="1" applyFill="1" applyBorder="1" applyAlignment="1" applyProtection="1">
      <alignment horizontal="center" vertical="center"/>
      <protection/>
    </xf>
    <xf numFmtId="49" fontId="9" fillId="0" borderId="60" xfId="0" applyNumberFormat="1" applyFont="1" applyFill="1" applyBorder="1" applyAlignment="1" applyProtection="1">
      <alignment horizontal="left" vertical="center"/>
      <protection/>
    </xf>
    <xf numFmtId="0" fontId="9" fillId="0" borderId="61" xfId="0" applyNumberFormat="1" applyFont="1" applyFill="1" applyBorder="1" applyAlignment="1" applyProtection="1">
      <alignment horizontal="left" vertical="center"/>
      <protection/>
    </xf>
    <xf numFmtId="49" fontId="14" fillId="34" borderId="16" xfId="0" applyNumberFormat="1" applyFont="1" applyFill="1" applyBorder="1" applyAlignment="1" applyProtection="1">
      <alignment horizontal="left" vertical="center"/>
      <protection/>
    </xf>
    <xf numFmtId="0" fontId="14" fillId="34" borderId="16" xfId="0" applyNumberFormat="1" applyFont="1" applyFill="1" applyBorder="1" applyAlignment="1" applyProtection="1">
      <alignment horizontal="left" vertical="center"/>
      <protection/>
    </xf>
    <xf numFmtId="49" fontId="15" fillId="35" borderId="0" xfId="0" applyNumberFormat="1" applyFont="1" applyFill="1" applyBorder="1" applyAlignment="1" applyProtection="1">
      <alignment horizontal="left" vertical="center"/>
      <protection/>
    </xf>
    <xf numFmtId="0" fontId="15" fillId="35" borderId="0" xfId="0" applyNumberFormat="1" applyFont="1" applyFill="1" applyBorder="1" applyAlignment="1" applyProtection="1">
      <alignment horizontal="left" vertical="center"/>
      <protection/>
    </xf>
    <xf numFmtId="49" fontId="12" fillId="0" borderId="0" xfId="0" applyNumberFormat="1" applyFont="1" applyFill="1" applyBorder="1" applyAlignment="1" applyProtection="1">
      <alignment horizontal="left" vertical="center"/>
      <protection/>
    </xf>
    <xf numFmtId="0" fontId="12" fillId="0" borderId="0" xfId="0" applyNumberFormat="1" applyFont="1" applyFill="1" applyBorder="1" applyAlignment="1" applyProtection="1">
      <alignment horizontal="left" vertical="center"/>
      <protection/>
    </xf>
    <xf numFmtId="49" fontId="12" fillId="36" borderId="44" xfId="0" applyNumberFormat="1" applyFont="1" applyFill="1" applyBorder="1" applyAlignment="1" applyProtection="1">
      <alignment horizontal="left" vertical="center"/>
      <protection/>
    </xf>
    <xf numFmtId="0" fontId="12" fillId="0" borderId="44" xfId="0" applyNumberFormat="1" applyFont="1" applyFill="1" applyBorder="1" applyAlignment="1" applyProtection="1">
      <alignment horizontal="left" vertical="center"/>
      <protection/>
    </xf>
    <xf numFmtId="49" fontId="15" fillId="37" borderId="44" xfId="0" applyNumberFormat="1" applyFont="1" applyFill="1" applyBorder="1" applyAlignment="1" applyProtection="1">
      <alignment horizontal="left" vertical="center"/>
      <protection/>
    </xf>
    <xf numFmtId="0" fontId="15" fillId="35" borderId="44" xfId="0" applyNumberFormat="1" applyFont="1" applyFill="1" applyBorder="1" applyAlignment="1" applyProtection="1">
      <alignment horizontal="left" vertical="center"/>
      <protection/>
    </xf>
    <xf numFmtId="49" fontId="13" fillId="36" borderId="44" xfId="0" applyNumberFormat="1" applyFont="1" applyFill="1" applyBorder="1" applyAlignment="1" applyProtection="1">
      <alignment horizontal="left" vertical="center"/>
      <protection/>
    </xf>
    <xf numFmtId="0" fontId="13" fillId="0" borderId="44" xfId="0" applyNumberFormat="1" applyFont="1" applyFill="1" applyBorder="1" applyAlignment="1" applyProtection="1">
      <alignment horizontal="left" vertical="center"/>
      <protection/>
    </xf>
    <xf numFmtId="49" fontId="19" fillId="37" borderId="44" xfId="0" applyNumberFormat="1" applyFont="1" applyFill="1" applyBorder="1" applyAlignment="1" applyProtection="1">
      <alignment horizontal="left" vertical="center"/>
      <protection/>
    </xf>
    <xf numFmtId="49" fontId="21" fillId="37" borderId="44" xfId="0" applyNumberFormat="1" applyFont="1" applyFill="1" applyBorder="1" applyAlignment="1" applyProtection="1">
      <alignment horizontal="left" vertical="center"/>
      <protection/>
    </xf>
    <xf numFmtId="49" fontId="23" fillId="37" borderId="44" xfId="0" applyNumberFormat="1" applyFont="1" applyFill="1" applyBorder="1" applyAlignment="1" applyProtection="1">
      <alignment horizontal="left" vertical="center"/>
      <protection/>
    </xf>
    <xf numFmtId="49" fontId="24" fillId="36" borderId="44" xfId="0" applyNumberFormat="1" applyFont="1" applyFill="1" applyBorder="1" applyAlignment="1" applyProtection="1">
      <alignment horizontal="left" vertical="center"/>
      <protection/>
    </xf>
    <xf numFmtId="49" fontId="26" fillId="37" borderId="44" xfId="0" applyNumberFormat="1" applyFont="1" applyFill="1" applyBorder="1" applyAlignment="1" applyProtection="1">
      <alignment horizontal="left" vertical="center"/>
      <protection/>
    </xf>
    <xf numFmtId="49" fontId="12" fillId="36" borderId="41" xfId="0" applyNumberFormat="1" applyFont="1" applyFill="1" applyBorder="1" applyAlignment="1" applyProtection="1">
      <alignment horizontal="left" vertical="center"/>
      <protection/>
    </xf>
    <xf numFmtId="0" fontId="12" fillId="0" borderId="41" xfId="0" applyNumberFormat="1" applyFont="1" applyFill="1" applyBorder="1" applyAlignment="1" applyProtection="1">
      <alignment horizontal="left" vertical="center"/>
      <protection/>
    </xf>
    <xf numFmtId="49" fontId="28" fillId="37" borderId="44" xfId="0" applyNumberFormat="1" applyFont="1" applyFill="1" applyBorder="1" applyAlignment="1" applyProtection="1">
      <alignment horizontal="left" vertical="center"/>
      <protection/>
    </xf>
    <xf numFmtId="49" fontId="1" fillId="36" borderId="44" xfId="0" applyNumberFormat="1" applyFont="1" applyFill="1" applyBorder="1" applyAlignment="1" applyProtection="1">
      <alignment horizontal="left" vertical="center"/>
      <protection/>
    </xf>
    <xf numFmtId="49" fontId="9" fillId="0" borderId="14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000000"/>
      <rgbColor rgb="000000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2.8515625" style="0" customWidth="1"/>
    <col min="9" max="9" width="22.8515625" style="0" customWidth="1"/>
  </cols>
  <sheetData>
    <row r="1" spans="1:9" ht="23.25">
      <c r="A1" s="131"/>
      <c r="B1" s="1"/>
      <c r="C1" s="138" t="s">
        <v>22</v>
      </c>
      <c r="D1" s="139"/>
      <c r="E1" s="139"/>
      <c r="F1" s="139"/>
      <c r="G1" s="139"/>
      <c r="H1" s="139"/>
      <c r="I1" s="139"/>
    </row>
    <row r="2" spans="1:10" ht="12.75">
      <c r="A2" s="140" t="s">
        <v>0</v>
      </c>
      <c r="B2" s="141"/>
      <c r="C2" s="144" t="str">
        <f>'Stavební rozpočet'!D2</f>
        <v>Oprava bytu Libušínská 11,13-velikost 1+1-bezbariérový</v>
      </c>
      <c r="D2" s="145"/>
      <c r="E2" s="147" t="s">
        <v>32</v>
      </c>
      <c r="F2" s="147" t="str">
        <f>'Stavební rozpočet'!J2</f>
        <v>Město Žďár nad Sázavou</v>
      </c>
      <c r="G2" s="141"/>
      <c r="H2" s="147" t="s">
        <v>52</v>
      </c>
      <c r="I2" s="148" t="s">
        <v>56</v>
      </c>
      <c r="J2" s="17"/>
    </row>
    <row r="3" spans="1:10" ht="12.75">
      <c r="A3" s="142"/>
      <c r="B3" s="143"/>
      <c r="C3" s="146"/>
      <c r="D3" s="146"/>
      <c r="E3" s="143"/>
      <c r="F3" s="143"/>
      <c r="G3" s="143"/>
      <c r="H3" s="143"/>
      <c r="I3" s="149"/>
      <c r="J3" s="17"/>
    </row>
    <row r="4" spans="1:10" ht="12.75">
      <c r="A4" s="150" t="s">
        <v>1</v>
      </c>
      <c r="B4" s="143"/>
      <c r="C4" s="151" t="str">
        <f>'Stavební rozpočet'!D4</f>
        <v>Libušínská 13/65-1PP</v>
      </c>
      <c r="D4" s="143"/>
      <c r="E4" s="151" t="s">
        <v>33</v>
      </c>
      <c r="F4" s="151" t="str">
        <f>'Stavební rozpočet'!J4</f>
        <v>ing. Zbyněk Semerád</v>
      </c>
      <c r="G4" s="143"/>
      <c r="H4" s="151" t="s">
        <v>52</v>
      </c>
      <c r="I4" s="152" t="s">
        <v>57</v>
      </c>
      <c r="J4" s="17"/>
    </row>
    <row r="5" spans="1:10" ht="12.75">
      <c r="A5" s="142"/>
      <c r="B5" s="143"/>
      <c r="C5" s="143"/>
      <c r="D5" s="143"/>
      <c r="E5" s="143"/>
      <c r="F5" s="143"/>
      <c r="G5" s="143"/>
      <c r="H5" s="143"/>
      <c r="I5" s="149"/>
      <c r="J5" s="17"/>
    </row>
    <row r="6" spans="1:10" ht="12.75">
      <c r="A6" s="150" t="s">
        <v>2</v>
      </c>
      <c r="B6" s="143"/>
      <c r="C6" s="151" t="str">
        <f>'Stavební rozpočet'!D6</f>
        <v> </v>
      </c>
      <c r="D6" s="143"/>
      <c r="E6" s="151" t="s">
        <v>34</v>
      </c>
      <c r="F6" s="151" t="str">
        <f>'Stavební rozpočet'!J6</f>
        <v> </v>
      </c>
      <c r="G6" s="143"/>
      <c r="H6" s="151" t="s">
        <v>52</v>
      </c>
      <c r="I6" s="152"/>
      <c r="J6" s="17"/>
    </row>
    <row r="7" spans="1:10" ht="12.75">
      <c r="A7" s="142"/>
      <c r="B7" s="143"/>
      <c r="C7" s="143"/>
      <c r="D7" s="143"/>
      <c r="E7" s="143"/>
      <c r="F7" s="143"/>
      <c r="G7" s="143"/>
      <c r="H7" s="143"/>
      <c r="I7" s="149"/>
      <c r="J7" s="17"/>
    </row>
    <row r="8" spans="1:10" ht="12.75">
      <c r="A8" s="150" t="s">
        <v>3</v>
      </c>
      <c r="B8" s="143"/>
      <c r="C8" s="151" t="str">
        <f>'Stavební rozpočet'!H4</f>
        <v> </v>
      </c>
      <c r="D8" s="143"/>
      <c r="E8" s="151" t="s">
        <v>35</v>
      </c>
      <c r="F8" s="151" t="str">
        <f>'Stavební rozpočet'!H6</f>
        <v> </v>
      </c>
      <c r="G8" s="143"/>
      <c r="H8" s="153" t="s">
        <v>53</v>
      </c>
      <c r="I8" s="152" t="s">
        <v>58</v>
      </c>
      <c r="J8" s="17"/>
    </row>
    <row r="9" spans="1:10" ht="12.75">
      <c r="A9" s="142"/>
      <c r="B9" s="143"/>
      <c r="C9" s="143"/>
      <c r="D9" s="143"/>
      <c r="E9" s="143"/>
      <c r="F9" s="143"/>
      <c r="G9" s="143"/>
      <c r="H9" s="143"/>
      <c r="I9" s="149"/>
      <c r="J9" s="17"/>
    </row>
    <row r="10" spans="1:10" ht="12.75">
      <c r="A10" s="150" t="s">
        <v>4</v>
      </c>
      <c r="B10" s="143"/>
      <c r="C10" s="151" t="str">
        <f>'Stavební rozpočet'!D8</f>
        <v> </v>
      </c>
      <c r="D10" s="143"/>
      <c r="E10" s="151" t="s">
        <v>36</v>
      </c>
      <c r="F10" s="151" t="str">
        <f>'Stavební rozpočet'!J8</f>
        <v> </v>
      </c>
      <c r="G10" s="143"/>
      <c r="H10" s="153" t="s">
        <v>54</v>
      </c>
      <c r="I10" s="156" t="str">
        <f>'Stavební rozpočet'!H8</f>
        <v>20.3.2022</v>
      </c>
      <c r="J10" s="17"/>
    </row>
    <row r="11" spans="1:10" ht="12.75">
      <c r="A11" s="154"/>
      <c r="B11" s="155"/>
      <c r="C11" s="155"/>
      <c r="D11" s="155"/>
      <c r="E11" s="155"/>
      <c r="F11" s="155"/>
      <c r="G11" s="155"/>
      <c r="H11" s="155"/>
      <c r="I11" s="157"/>
      <c r="J11" s="17"/>
    </row>
    <row r="12" spans="1:9" ht="23.25" customHeight="1">
      <c r="A12" s="158" t="s">
        <v>5</v>
      </c>
      <c r="B12" s="159"/>
      <c r="C12" s="159"/>
      <c r="D12" s="159"/>
      <c r="E12" s="159"/>
      <c r="F12" s="159"/>
      <c r="G12" s="159"/>
      <c r="H12" s="159"/>
      <c r="I12" s="159"/>
    </row>
    <row r="13" spans="1:10" ht="26.25" customHeight="1">
      <c r="A13" s="2" t="s">
        <v>6</v>
      </c>
      <c r="B13" s="160" t="s">
        <v>19</v>
      </c>
      <c r="C13" s="161"/>
      <c r="D13" s="2" t="s">
        <v>23</v>
      </c>
      <c r="E13" s="160" t="s">
        <v>37</v>
      </c>
      <c r="F13" s="161"/>
      <c r="G13" s="2" t="s">
        <v>38</v>
      </c>
      <c r="H13" s="160" t="s">
        <v>55</v>
      </c>
      <c r="I13" s="161"/>
      <c r="J13" s="17"/>
    </row>
    <row r="14" spans="1:10" ht="15" customHeight="1">
      <c r="A14" s="3" t="s">
        <v>7</v>
      </c>
      <c r="B14" s="8" t="s">
        <v>20</v>
      </c>
      <c r="C14" s="12">
        <f>SUM('Stavební rozpočet'!AB12:AB279)</f>
        <v>0</v>
      </c>
      <c r="D14" s="162" t="s">
        <v>24</v>
      </c>
      <c r="E14" s="163"/>
      <c r="F14" s="12">
        <f>VORN!I15</f>
        <v>0</v>
      </c>
      <c r="G14" s="162" t="s">
        <v>39</v>
      </c>
      <c r="H14" s="163"/>
      <c r="I14" s="12">
        <f>VORN!I21</f>
        <v>0</v>
      </c>
      <c r="J14" s="17"/>
    </row>
    <row r="15" spans="1:10" ht="15" customHeight="1">
      <c r="A15" s="4"/>
      <c r="B15" s="8" t="s">
        <v>21</v>
      </c>
      <c r="C15" s="12">
        <f>SUM('Stavební rozpočet'!AC12:AC279)</f>
        <v>0</v>
      </c>
      <c r="D15" s="162" t="s">
        <v>25</v>
      </c>
      <c r="E15" s="163"/>
      <c r="F15" s="12">
        <f>VORN!I16</f>
        <v>0</v>
      </c>
      <c r="G15" s="162" t="s">
        <v>40</v>
      </c>
      <c r="H15" s="163"/>
      <c r="I15" s="12">
        <f>VORN!I22</f>
        <v>0</v>
      </c>
      <c r="J15" s="17"/>
    </row>
    <row r="16" spans="1:10" ht="15" customHeight="1">
      <c r="A16" s="3" t="s">
        <v>8</v>
      </c>
      <c r="B16" s="8" t="s">
        <v>20</v>
      </c>
      <c r="C16" s="12">
        <f>SUM('Stavební rozpočet'!AD12:AD279)</f>
        <v>0</v>
      </c>
      <c r="D16" s="162" t="s">
        <v>26</v>
      </c>
      <c r="E16" s="163"/>
      <c r="F16" s="12">
        <f>VORN!I17</f>
        <v>0</v>
      </c>
      <c r="G16" s="162" t="s">
        <v>41</v>
      </c>
      <c r="H16" s="163"/>
      <c r="I16" s="12">
        <f>VORN!I23</f>
        <v>0</v>
      </c>
      <c r="J16" s="17"/>
    </row>
    <row r="17" spans="1:10" ht="15" customHeight="1">
      <c r="A17" s="4"/>
      <c r="B17" s="8" t="s">
        <v>21</v>
      </c>
      <c r="C17" s="12">
        <f>SUM('Stavební rozpočet'!AE12:AE279)</f>
        <v>0</v>
      </c>
      <c r="D17" s="162"/>
      <c r="E17" s="163"/>
      <c r="F17" s="13"/>
      <c r="G17" s="162" t="s">
        <v>42</v>
      </c>
      <c r="H17" s="163"/>
      <c r="I17" s="12">
        <f>VORN!I24</f>
        <v>0</v>
      </c>
      <c r="J17" s="17"/>
    </row>
    <row r="18" spans="1:10" ht="15" customHeight="1">
      <c r="A18" s="3" t="s">
        <v>9</v>
      </c>
      <c r="B18" s="8" t="s">
        <v>20</v>
      </c>
      <c r="C18" s="12">
        <f>SUM('Stavební rozpočet'!AF12:AF279)</f>
        <v>0</v>
      </c>
      <c r="D18" s="162"/>
      <c r="E18" s="163"/>
      <c r="F18" s="13"/>
      <c r="G18" s="162" t="s">
        <v>43</v>
      </c>
      <c r="H18" s="163"/>
      <c r="I18" s="12">
        <f>VORN!I25</f>
        <v>0</v>
      </c>
      <c r="J18" s="17"/>
    </row>
    <row r="19" spans="1:10" ht="15" customHeight="1">
      <c r="A19" s="4"/>
      <c r="B19" s="8" t="s">
        <v>21</v>
      </c>
      <c r="C19" s="12">
        <f>SUM('Stavební rozpočet'!AG12:AG279)</f>
        <v>0</v>
      </c>
      <c r="D19" s="162"/>
      <c r="E19" s="163"/>
      <c r="F19" s="13"/>
      <c r="G19" s="162" t="s">
        <v>44</v>
      </c>
      <c r="H19" s="163"/>
      <c r="I19" s="12">
        <f>VORN!I26</f>
        <v>0</v>
      </c>
      <c r="J19" s="17"/>
    </row>
    <row r="20" spans="1:10" ht="15" customHeight="1">
      <c r="A20" s="164" t="s">
        <v>10</v>
      </c>
      <c r="B20" s="165"/>
      <c r="C20" s="12">
        <f>SUM('Stavební rozpočet'!AH12:AH279)</f>
        <v>0</v>
      </c>
      <c r="D20" s="162"/>
      <c r="E20" s="163"/>
      <c r="F20" s="13"/>
      <c r="G20" s="162"/>
      <c r="H20" s="163"/>
      <c r="I20" s="13"/>
      <c r="J20" s="17"/>
    </row>
    <row r="21" spans="1:10" ht="15" customHeight="1">
      <c r="A21" s="164" t="s">
        <v>11</v>
      </c>
      <c r="B21" s="165"/>
      <c r="C21" s="12">
        <f>SUM('Stavební rozpočet'!Z12:Z279)</f>
        <v>0</v>
      </c>
      <c r="D21" s="162"/>
      <c r="E21" s="163"/>
      <c r="F21" s="13"/>
      <c r="G21" s="162"/>
      <c r="H21" s="163"/>
      <c r="I21" s="13"/>
      <c r="J21" s="17"/>
    </row>
    <row r="22" spans="1:10" ht="16.5" customHeight="1">
      <c r="A22" s="164" t="s">
        <v>12</v>
      </c>
      <c r="B22" s="165"/>
      <c r="C22" s="12">
        <f>SUM(C14:C21)</f>
        <v>0</v>
      </c>
      <c r="D22" s="164" t="s">
        <v>27</v>
      </c>
      <c r="E22" s="165"/>
      <c r="F22" s="12">
        <f>SUM(F14:F21)</f>
        <v>0</v>
      </c>
      <c r="G22" s="164" t="s">
        <v>45</v>
      </c>
      <c r="H22" s="165"/>
      <c r="I22" s="12">
        <f>SUM(I14:I21)</f>
        <v>0</v>
      </c>
      <c r="J22" s="17"/>
    </row>
    <row r="23" spans="1:10" ht="15" customHeight="1">
      <c r="A23" s="5"/>
      <c r="B23" s="5"/>
      <c r="C23" s="10"/>
      <c r="D23" s="164" t="s">
        <v>28</v>
      </c>
      <c r="E23" s="165"/>
      <c r="F23" s="14">
        <v>0</v>
      </c>
      <c r="G23" s="164" t="s">
        <v>46</v>
      </c>
      <c r="H23" s="165"/>
      <c r="I23" s="12">
        <v>0</v>
      </c>
      <c r="J23" s="17"/>
    </row>
    <row r="24" spans="4:10" ht="15" customHeight="1">
      <c r="D24" s="5"/>
      <c r="E24" s="5"/>
      <c r="F24" s="15"/>
      <c r="G24" s="164" t="s">
        <v>47</v>
      </c>
      <c r="H24" s="165"/>
      <c r="I24" s="12">
        <f>vorn_sum</f>
        <v>0</v>
      </c>
      <c r="J24" s="17"/>
    </row>
    <row r="25" spans="6:10" ht="15" customHeight="1">
      <c r="F25" s="16"/>
      <c r="G25" s="164" t="s">
        <v>48</v>
      </c>
      <c r="H25" s="165"/>
      <c r="I25" s="12">
        <v>0</v>
      </c>
      <c r="J25" s="17"/>
    </row>
    <row r="26" spans="1:9" ht="12.75">
      <c r="A26" s="1"/>
      <c r="B26" s="1"/>
      <c r="C26" s="1"/>
      <c r="G26" s="5"/>
      <c r="H26" s="5"/>
      <c r="I26" s="5"/>
    </row>
    <row r="27" spans="1:9" ht="15" customHeight="1">
      <c r="A27" s="166" t="s">
        <v>13</v>
      </c>
      <c r="B27" s="167"/>
      <c r="C27" s="19">
        <f>SUM('Stavební rozpočet'!AJ12:AJ279)</f>
        <v>0</v>
      </c>
      <c r="D27" s="11"/>
      <c r="E27" s="1"/>
      <c r="F27" s="1"/>
      <c r="G27" s="1"/>
      <c r="H27" s="1"/>
      <c r="I27" s="1"/>
    </row>
    <row r="28" spans="1:10" ht="15" customHeight="1">
      <c r="A28" s="166" t="s">
        <v>14</v>
      </c>
      <c r="B28" s="167"/>
      <c r="C28" s="19">
        <f>SUM('Stavební rozpočet'!AK12:AK279)+(F22+I22+F23+I23+I24+I25)</f>
        <v>0</v>
      </c>
      <c r="D28" s="166" t="s">
        <v>29</v>
      </c>
      <c r="E28" s="167"/>
      <c r="F28" s="19">
        <f>ROUND(C28*(15/100),2)</f>
        <v>0</v>
      </c>
      <c r="G28" s="166" t="s">
        <v>49</v>
      </c>
      <c r="H28" s="167"/>
      <c r="I28" s="19">
        <f>SUM(C27:C29)</f>
        <v>0</v>
      </c>
      <c r="J28" s="17"/>
    </row>
    <row r="29" spans="1:10" ht="15" customHeight="1">
      <c r="A29" s="166" t="s">
        <v>15</v>
      </c>
      <c r="B29" s="167"/>
      <c r="C29" s="19">
        <f>SUM('Stavební rozpočet'!AL12:AL279)</f>
        <v>0</v>
      </c>
      <c r="D29" s="166" t="s">
        <v>30</v>
      </c>
      <c r="E29" s="167"/>
      <c r="F29" s="19">
        <f>ROUND(C29*(21/100),2)</f>
        <v>0</v>
      </c>
      <c r="G29" s="166" t="s">
        <v>50</v>
      </c>
      <c r="H29" s="167"/>
      <c r="I29" s="19">
        <f>SUM(F28:F29)+I28</f>
        <v>0</v>
      </c>
      <c r="J29" s="17"/>
    </row>
    <row r="30" spans="1:9" ht="12.75">
      <c r="A30" s="6"/>
      <c r="B30" s="6"/>
      <c r="C30" s="6"/>
      <c r="D30" s="6"/>
      <c r="E30" s="6"/>
      <c r="F30" s="6"/>
      <c r="G30" s="6"/>
      <c r="H30" s="6"/>
      <c r="I30" s="6"/>
    </row>
    <row r="31" spans="1:10" ht="14.25" customHeight="1">
      <c r="A31" s="168" t="s">
        <v>16</v>
      </c>
      <c r="B31" s="169"/>
      <c r="C31" s="170"/>
      <c r="D31" s="168" t="s">
        <v>31</v>
      </c>
      <c r="E31" s="169"/>
      <c r="F31" s="170"/>
      <c r="G31" s="168" t="s">
        <v>51</v>
      </c>
      <c r="H31" s="169"/>
      <c r="I31" s="170"/>
      <c r="J31" s="18"/>
    </row>
    <row r="32" spans="1:10" ht="14.25" customHeight="1">
      <c r="A32" s="171"/>
      <c r="B32" s="172"/>
      <c r="C32" s="173"/>
      <c r="D32" s="171"/>
      <c r="E32" s="172"/>
      <c r="F32" s="173"/>
      <c r="G32" s="171"/>
      <c r="H32" s="172"/>
      <c r="I32" s="173"/>
      <c r="J32" s="18"/>
    </row>
    <row r="33" spans="1:10" ht="14.25" customHeight="1">
      <c r="A33" s="171"/>
      <c r="B33" s="172"/>
      <c r="C33" s="173"/>
      <c r="D33" s="171"/>
      <c r="E33" s="172"/>
      <c r="F33" s="173"/>
      <c r="G33" s="171"/>
      <c r="H33" s="172"/>
      <c r="I33" s="173"/>
      <c r="J33" s="18"/>
    </row>
    <row r="34" spans="1:10" ht="14.25" customHeight="1">
      <c r="A34" s="171"/>
      <c r="B34" s="172"/>
      <c r="C34" s="173"/>
      <c r="D34" s="171"/>
      <c r="E34" s="172"/>
      <c r="F34" s="173"/>
      <c r="G34" s="171"/>
      <c r="H34" s="172"/>
      <c r="I34" s="173"/>
      <c r="J34" s="18"/>
    </row>
    <row r="35" spans="1:10" ht="14.25" customHeight="1">
      <c r="A35" s="174" t="s">
        <v>17</v>
      </c>
      <c r="B35" s="175"/>
      <c r="C35" s="176"/>
      <c r="D35" s="174" t="s">
        <v>17</v>
      </c>
      <c r="E35" s="175"/>
      <c r="F35" s="176"/>
      <c r="G35" s="174" t="s">
        <v>17</v>
      </c>
      <c r="H35" s="175"/>
      <c r="I35" s="176"/>
      <c r="J35" s="18"/>
    </row>
    <row r="36" spans="1:9" ht="11.25" customHeight="1">
      <c r="A36" s="7" t="s">
        <v>18</v>
      </c>
      <c r="B36" s="9"/>
      <c r="C36" s="9"/>
      <c r="D36" s="9"/>
      <c r="E36" s="9"/>
      <c r="F36" s="9"/>
      <c r="G36" s="9"/>
      <c r="H36" s="9"/>
      <c r="I36" s="9"/>
    </row>
    <row r="37" spans="1:9" ht="12.75">
      <c r="A37" s="151"/>
      <c r="B37" s="143"/>
      <c r="C37" s="143"/>
      <c r="D37" s="143"/>
      <c r="E37" s="143"/>
      <c r="F37" s="143"/>
      <c r="G37" s="143"/>
      <c r="H37" s="143"/>
      <c r="I37" s="143"/>
    </row>
  </sheetData>
  <sheetProtection/>
  <mergeCells count="83">
    <mergeCell ref="A37:I37"/>
    <mergeCell ref="A34:C34"/>
    <mergeCell ref="D34:F34"/>
    <mergeCell ref="G34:I34"/>
    <mergeCell ref="A35:C35"/>
    <mergeCell ref="D35:F35"/>
    <mergeCell ref="G35:I35"/>
    <mergeCell ref="A32:C32"/>
    <mergeCell ref="D32:F32"/>
    <mergeCell ref="G32:I32"/>
    <mergeCell ref="A33:C33"/>
    <mergeCell ref="D33:F33"/>
    <mergeCell ref="G33:I33"/>
    <mergeCell ref="A29:B29"/>
    <mergeCell ref="D29:E29"/>
    <mergeCell ref="G29:H29"/>
    <mergeCell ref="A31:C31"/>
    <mergeCell ref="D31:F31"/>
    <mergeCell ref="G31:I31"/>
    <mergeCell ref="D23:E23"/>
    <mergeCell ref="G23:H23"/>
    <mergeCell ref="G24:H24"/>
    <mergeCell ref="G25:H25"/>
    <mergeCell ref="A27:B27"/>
    <mergeCell ref="A28:B28"/>
    <mergeCell ref="D28:E28"/>
    <mergeCell ref="G28:H28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1">
      <selection activeCell="A1" sqref="A1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23.25">
      <c r="A1" s="131"/>
      <c r="B1" s="1"/>
      <c r="C1" s="138" t="s">
        <v>67</v>
      </c>
      <c r="D1" s="139"/>
      <c r="E1" s="139"/>
      <c r="F1" s="139"/>
      <c r="G1" s="139"/>
      <c r="H1" s="139"/>
      <c r="I1" s="139"/>
    </row>
    <row r="2" spans="1:10" ht="12.75">
      <c r="A2" s="140" t="s">
        <v>0</v>
      </c>
      <c r="B2" s="141"/>
      <c r="C2" s="144" t="str">
        <f>'Stavební rozpočet'!D2</f>
        <v>Oprava bytu Libušínská 11,13-velikost 1+1-bezbariérový</v>
      </c>
      <c r="D2" s="145"/>
      <c r="E2" s="147" t="s">
        <v>32</v>
      </c>
      <c r="F2" s="147" t="str">
        <f>'Stavební rozpočet'!J2</f>
        <v>Město Žďár nad Sázavou</v>
      </c>
      <c r="G2" s="141"/>
      <c r="H2" s="147" t="s">
        <v>52</v>
      </c>
      <c r="I2" s="148" t="s">
        <v>56</v>
      </c>
      <c r="J2" s="17"/>
    </row>
    <row r="3" spans="1:10" ht="12.75">
      <c r="A3" s="142"/>
      <c r="B3" s="143"/>
      <c r="C3" s="146"/>
      <c r="D3" s="146"/>
      <c r="E3" s="143"/>
      <c r="F3" s="143"/>
      <c r="G3" s="143"/>
      <c r="H3" s="143"/>
      <c r="I3" s="149"/>
      <c r="J3" s="17"/>
    </row>
    <row r="4" spans="1:10" ht="12.75">
      <c r="A4" s="150" t="s">
        <v>1</v>
      </c>
      <c r="B4" s="143"/>
      <c r="C4" s="151" t="str">
        <f>'Stavební rozpočet'!D4</f>
        <v>Libušínská 13/65-1PP</v>
      </c>
      <c r="D4" s="143"/>
      <c r="E4" s="151" t="s">
        <v>33</v>
      </c>
      <c r="F4" s="151" t="str">
        <f>'Stavební rozpočet'!J4</f>
        <v>ing. Zbyněk Semerád</v>
      </c>
      <c r="G4" s="143"/>
      <c r="H4" s="151" t="s">
        <v>52</v>
      </c>
      <c r="I4" s="152" t="s">
        <v>57</v>
      </c>
      <c r="J4" s="17"/>
    </row>
    <row r="5" spans="1:10" ht="12.75">
      <c r="A5" s="142"/>
      <c r="B5" s="143"/>
      <c r="C5" s="143"/>
      <c r="D5" s="143"/>
      <c r="E5" s="143"/>
      <c r="F5" s="143"/>
      <c r="G5" s="143"/>
      <c r="H5" s="143"/>
      <c r="I5" s="149"/>
      <c r="J5" s="17"/>
    </row>
    <row r="6" spans="1:10" ht="12.75">
      <c r="A6" s="150" t="s">
        <v>2</v>
      </c>
      <c r="B6" s="143"/>
      <c r="C6" s="151" t="str">
        <f>'Stavební rozpočet'!D6</f>
        <v> </v>
      </c>
      <c r="D6" s="143"/>
      <c r="E6" s="151" t="s">
        <v>34</v>
      </c>
      <c r="F6" s="151" t="str">
        <f>'Stavební rozpočet'!J6</f>
        <v> </v>
      </c>
      <c r="G6" s="143"/>
      <c r="H6" s="151" t="s">
        <v>52</v>
      </c>
      <c r="I6" s="152"/>
      <c r="J6" s="17"/>
    </row>
    <row r="7" spans="1:10" ht="12.75">
      <c r="A7" s="142"/>
      <c r="B7" s="143"/>
      <c r="C7" s="143"/>
      <c r="D7" s="143"/>
      <c r="E7" s="143"/>
      <c r="F7" s="143"/>
      <c r="G7" s="143"/>
      <c r="H7" s="143"/>
      <c r="I7" s="149"/>
      <c r="J7" s="17"/>
    </row>
    <row r="8" spans="1:10" ht="12.75">
      <c r="A8" s="150" t="s">
        <v>3</v>
      </c>
      <c r="B8" s="143"/>
      <c r="C8" s="151" t="str">
        <f>'Stavební rozpočet'!H4</f>
        <v> </v>
      </c>
      <c r="D8" s="143"/>
      <c r="E8" s="151" t="s">
        <v>35</v>
      </c>
      <c r="F8" s="151" t="str">
        <f>'Stavební rozpočet'!H6</f>
        <v> </v>
      </c>
      <c r="G8" s="143"/>
      <c r="H8" s="153" t="s">
        <v>53</v>
      </c>
      <c r="I8" s="152" t="s">
        <v>58</v>
      </c>
      <c r="J8" s="17"/>
    </row>
    <row r="9" spans="1:10" ht="12.75">
      <c r="A9" s="142"/>
      <c r="B9" s="143"/>
      <c r="C9" s="143"/>
      <c r="D9" s="143"/>
      <c r="E9" s="143"/>
      <c r="F9" s="143"/>
      <c r="G9" s="143"/>
      <c r="H9" s="143"/>
      <c r="I9" s="149"/>
      <c r="J9" s="17"/>
    </row>
    <row r="10" spans="1:10" ht="12.75">
      <c r="A10" s="150" t="s">
        <v>4</v>
      </c>
      <c r="B10" s="143"/>
      <c r="C10" s="151" t="str">
        <f>'Stavební rozpočet'!D8</f>
        <v> </v>
      </c>
      <c r="D10" s="143"/>
      <c r="E10" s="151" t="s">
        <v>36</v>
      </c>
      <c r="F10" s="151" t="str">
        <f>'Stavební rozpočet'!J8</f>
        <v> </v>
      </c>
      <c r="G10" s="143"/>
      <c r="H10" s="153" t="s">
        <v>54</v>
      </c>
      <c r="I10" s="156" t="str">
        <f>'Stavební rozpočet'!H8</f>
        <v>20.3.2022</v>
      </c>
      <c r="J10" s="17"/>
    </row>
    <row r="11" spans="1:10" ht="12.75">
      <c r="A11" s="154"/>
      <c r="B11" s="155"/>
      <c r="C11" s="155"/>
      <c r="D11" s="155"/>
      <c r="E11" s="155"/>
      <c r="F11" s="155"/>
      <c r="G11" s="155"/>
      <c r="H11" s="155"/>
      <c r="I11" s="157"/>
      <c r="J11" s="17"/>
    </row>
    <row r="12" spans="1:9" ht="12.75">
      <c r="A12" s="5"/>
      <c r="B12" s="5"/>
      <c r="C12" s="5"/>
      <c r="D12" s="5"/>
      <c r="E12" s="5"/>
      <c r="F12" s="5"/>
      <c r="G12" s="5"/>
      <c r="H12" s="5"/>
      <c r="I12" s="5"/>
    </row>
    <row r="13" spans="1:9" ht="15" customHeight="1">
      <c r="A13" s="177" t="s">
        <v>59</v>
      </c>
      <c r="B13" s="178"/>
      <c r="C13" s="178"/>
      <c r="D13" s="178"/>
      <c r="E13" s="178"/>
      <c r="F13" s="21"/>
      <c r="G13" s="21"/>
      <c r="H13" s="21"/>
      <c r="I13" s="21"/>
    </row>
    <row r="14" spans="1:10" ht="12.75">
      <c r="A14" s="179" t="s">
        <v>60</v>
      </c>
      <c r="B14" s="180"/>
      <c r="C14" s="180"/>
      <c r="D14" s="180"/>
      <c r="E14" s="181"/>
      <c r="F14" s="22" t="s">
        <v>68</v>
      </c>
      <c r="G14" s="22" t="s">
        <v>69</v>
      </c>
      <c r="H14" s="22" t="s">
        <v>70</v>
      </c>
      <c r="I14" s="22" t="s">
        <v>68</v>
      </c>
      <c r="J14" s="18"/>
    </row>
    <row r="15" spans="1:10" ht="12.75">
      <c r="A15" s="182" t="s">
        <v>24</v>
      </c>
      <c r="B15" s="183"/>
      <c r="C15" s="183"/>
      <c r="D15" s="183"/>
      <c r="E15" s="184"/>
      <c r="F15" s="23">
        <v>0</v>
      </c>
      <c r="G15" s="26"/>
      <c r="H15" s="26"/>
      <c r="I15" s="23">
        <f>F15</f>
        <v>0</v>
      </c>
      <c r="J15" s="17"/>
    </row>
    <row r="16" spans="1:10" ht="12.75">
      <c r="A16" s="182" t="s">
        <v>25</v>
      </c>
      <c r="B16" s="183"/>
      <c r="C16" s="183"/>
      <c r="D16" s="183"/>
      <c r="E16" s="184"/>
      <c r="F16" s="23">
        <v>0</v>
      </c>
      <c r="G16" s="26"/>
      <c r="H16" s="26"/>
      <c r="I16" s="23">
        <f>F16</f>
        <v>0</v>
      </c>
      <c r="J16" s="17"/>
    </row>
    <row r="17" spans="1:10" ht="12.75">
      <c r="A17" s="185" t="s">
        <v>26</v>
      </c>
      <c r="B17" s="186"/>
      <c r="C17" s="186"/>
      <c r="D17" s="186"/>
      <c r="E17" s="187"/>
      <c r="F17" s="24">
        <v>0</v>
      </c>
      <c r="G17" s="27"/>
      <c r="H17" s="27"/>
      <c r="I17" s="24">
        <f>F17</f>
        <v>0</v>
      </c>
      <c r="J17" s="17"/>
    </row>
    <row r="18" spans="1:10" ht="12.75">
      <c r="A18" s="188" t="s">
        <v>61</v>
      </c>
      <c r="B18" s="189"/>
      <c r="C18" s="189"/>
      <c r="D18" s="189"/>
      <c r="E18" s="190"/>
      <c r="F18" s="25"/>
      <c r="G18" s="28"/>
      <c r="H18" s="28"/>
      <c r="I18" s="29">
        <f>SUM(I15:I17)</f>
        <v>0</v>
      </c>
      <c r="J18" s="18"/>
    </row>
    <row r="19" spans="1:9" ht="12.75">
      <c r="A19" s="20"/>
      <c r="B19" s="20"/>
      <c r="C19" s="20"/>
      <c r="D19" s="20"/>
      <c r="E19" s="20"/>
      <c r="F19" s="20"/>
      <c r="G19" s="20"/>
      <c r="H19" s="20"/>
      <c r="I19" s="20"/>
    </row>
    <row r="20" spans="1:10" ht="12.75">
      <c r="A20" s="179" t="s">
        <v>55</v>
      </c>
      <c r="B20" s="180"/>
      <c r="C20" s="180"/>
      <c r="D20" s="180"/>
      <c r="E20" s="181"/>
      <c r="F20" s="22" t="s">
        <v>68</v>
      </c>
      <c r="G20" s="22" t="s">
        <v>69</v>
      </c>
      <c r="H20" s="22" t="s">
        <v>70</v>
      </c>
      <c r="I20" s="22" t="s">
        <v>68</v>
      </c>
      <c r="J20" s="18"/>
    </row>
    <row r="21" spans="1:10" ht="12.75">
      <c r="A21" s="182" t="s">
        <v>39</v>
      </c>
      <c r="B21" s="183"/>
      <c r="C21" s="183"/>
      <c r="D21" s="183"/>
      <c r="E21" s="184"/>
      <c r="F21" s="26"/>
      <c r="G21" s="23">
        <v>2.6</v>
      </c>
      <c r="H21" s="23">
        <f>'Krycí list rozpočtu'!C22</f>
        <v>0</v>
      </c>
      <c r="I21" s="23">
        <f>ROUND((G21/100)*H21,2)</f>
        <v>0</v>
      </c>
      <c r="J21" s="17"/>
    </row>
    <row r="22" spans="1:10" ht="12.75">
      <c r="A22" s="182" t="s">
        <v>40</v>
      </c>
      <c r="B22" s="183"/>
      <c r="C22" s="183"/>
      <c r="D22" s="183"/>
      <c r="E22" s="184"/>
      <c r="F22" s="23">
        <v>0</v>
      </c>
      <c r="G22" s="26"/>
      <c r="H22" s="26"/>
      <c r="I22" s="23">
        <f>F22</f>
        <v>0</v>
      </c>
      <c r="J22" s="17"/>
    </row>
    <row r="23" spans="1:10" ht="12.75">
      <c r="A23" s="182" t="s">
        <v>41</v>
      </c>
      <c r="B23" s="183"/>
      <c r="C23" s="183"/>
      <c r="D23" s="183"/>
      <c r="E23" s="184"/>
      <c r="F23" s="23">
        <v>0</v>
      </c>
      <c r="G23" s="26"/>
      <c r="H23" s="26"/>
      <c r="I23" s="23">
        <f>F23</f>
        <v>0</v>
      </c>
      <c r="J23" s="17"/>
    </row>
    <row r="24" spans="1:10" ht="12.75">
      <c r="A24" s="182" t="s">
        <v>42</v>
      </c>
      <c r="B24" s="183"/>
      <c r="C24" s="183"/>
      <c r="D24" s="183"/>
      <c r="E24" s="184"/>
      <c r="F24" s="23">
        <v>0</v>
      </c>
      <c r="G24" s="26"/>
      <c r="H24" s="26"/>
      <c r="I24" s="23">
        <f>F24</f>
        <v>0</v>
      </c>
      <c r="J24" s="17"/>
    </row>
    <row r="25" spans="1:10" ht="12.75">
      <c r="A25" s="182" t="s">
        <v>43</v>
      </c>
      <c r="B25" s="183"/>
      <c r="C25" s="183"/>
      <c r="D25" s="183"/>
      <c r="E25" s="184"/>
      <c r="F25" s="23">
        <v>0</v>
      </c>
      <c r="G25" s="26"/>
      <c r="H25" s="26"/>
      <c r="I25" s="23">
        <f>F25</f>
        <v>0</v>
      </c>
      <c r="J25" s="17"/>
    </row>
    <row r="26" spans="1:10" ht="12.75">
      <c r="A26" s="185" t="s">
        <v>44</v>
      </c>
      <c r="B26" s="186"/>
      <c r="C26" s="186"/>
      <c r="D26" s="186"/>
      <c r="E26" s="187"/>
      <c r="F26" s="24">
        <v>0</v>
      </c>
      <c r="G26" s="27"/>
      <c r="H26" s="27"/>
      <c r="I26" s="24">
        <f>F26</f>
        <v>0</v>
      </c>
      <c r="J26" s="17"/>
    </row>
    <row r="27" spans="1:10" ht="12.75">
      <c r="A27" s="188" t="s">
        <v>62</v>
      </c>
      <c r="B27" s="189"/>
      <c r="C27" s="189"/>
      <c r="D27" s="189"/>
      <c r="E27" s="190"/>
      <c r="F27" s="25"/>
      <c r="G27" s="28"/>
      <c r="H27" s="28"/>
      <c r="I27" s="29">
        <f>SUM(I21:I26)</f>
        <v>0</v>
      </c>
      <c r="J27" s="18"/>
    </row>
    <row r="28" spans="1:9" ht="12.75">
      <c r="A28" s="20"/>
      <c r="B28" s="20"/>
      <c r="C28" s="20"/>
      <c r="D28" s="20"/>
      <c r="E28" s="20"/>
      <c r="F28" s="20"/>
      <c r="G28" s="20"/>
      <c r="H28" s="20"/>
      <c r="I28" s="20"/>
    </row>
    <row r="29" spans="1:10" ht="15" customHeight="1">
      <c r="A29" s="191" t="s">
        <v>63</v>
      </c>
      <c r="B29" s="192"/>
      <c r="C29" s="192"/>
      <c r="D29" s="192"/>
      <c r="E29" s="193"/>
      <c r="F29" s="194">
        <f>I18+I27</f>
        <v>0</v>
      </c>
      <c r="G29" s="195"/>
      <c r="H29" s="195"/>
      <c r="I29" s="196"/>
      <c r="J29" s="18"/>
    </row>
    <row r="30" spans="1:9" ht="12.75">
      <c r="A30" s="9"/>
      <c r="B30" s="9"/>
      <c r="C30" s="9"/>
      <c r="D30" s="9"/>
      <c r="E30" s="9"/>
      <c r="F30" s="9"/>
      <c r="G30" s="9"/>
      <c r="H30" s="9"/>
      <c r="I30" s="9"/>
    </row>
    <row r="33" spans="1:9" ht="15" customHeight="1">
      <c r="A33" s="177" t="s">
        <v>64</v>
      </c>
      <c r="B33" s="178"/>
      <c r="C33" s="178"/>
      <c r="D33" s="178"/>
      <c r="E33" s="178"/>
      <c r="F33" s="21"/>
      <c r="G33" s="21"/>
      <c r="H33" s="21"/>
      <c r="I33" s="21"/>
    </row>
    <row r="34" spans="1:10" ht="12.75">
      <c r="A34" s="179" t="s">
        <v>65</v>
      </c>
      <c r="B34" s="180"/>
      <c r="C34" s="180"/>
      <c r="D34" s="180"/>
      <c r="E34" s="181"/>
      <c r="F34" s="22" t="s">
        <v>68</v>
      </c>
      <c r="G34" s="22" t="s">
        <v>69</v>
      </c>
      <c r="H34" s="22" t="s">
        <v>70</v>
      </c>
      <c r="I34" s="22" t="s">
        <v>68</v>
      </c>
      <c r="J34" s="18"/>
    </row>
    <row r="35" spans="1:10" ht="12.75">
      <c r="A35" s="185"/>
      <c r="B35" s="186"/>
      <c r="C35" s="186"/>
      <c r="D35" s="186"/>
      <c r="E35" s="187"/>
      <c r="F35" s="24">
        <v>0</v>
      </c>
      <c r="G35" s="27"/>
      <c r="H35" s="27"/>
      <c r="I35" s="24">
        <f>F35</f>
        <v>0</v>
      </c>
      <c r="J35" s="17"/>
    </row>
    <row r="36" spans="1:10" ht="12.75">
      <c r="A36" s="188" t="s">
        <v>66</v>
      </c>
      <c r="B36" s="189"/>
      <c r="C36" s="189"/>
      <c r="D36" s="189"/>
      <c r="E36" s="190"/>
      <c r="F36" s="25"/>
      <c r="G36" s="28"/>
      <c r="H36" s="28"/>
      <c r="I36" s="29">
        <f>SUM(I35:I35)</f>
        <v>0</v>
      </c>
      <c r="J36" s="18"/>
    </row>
    <row r="37" spans="1:9" ht="12.75">
      <c r="A37" s="9"/>
      <c r="B37" s="9"/>
      <c r="C37" s="9"/>
      <c r="D37" s="9"/>
      <c r="E37" s="9"/>
      <c r="F37" s="9"/>
      <c r="G37" s="9"/>
      <c r="H37" s="9"/>
      <c r="I37" s="9"/>
    </row>
  </sheetData>
  <sheetProtection/>
  <mergeCells count="51">
    <mergeCell ref="A35:E35"/>
    <mergeCell ref="A36:E36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282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F267" sqref="F267:F269"/>
    </sheetView>
  </sheetViews>
  <sheetFormatPr defaultColWidth="11.57421875" defaultRowHeight="12.75"/>
  <cols>
    <col min="1" max="1" width="3.7109375" style="0" customWidth="1"/>
    <col min="2" max="2" width="7.57421875" style="0" customWidth="1"/>
    <col min="3" max="3" width="14.28125" style="0" customWidth="1"/>
    <col min="4" max="4" width="38.28125" style="0" customWidth="1"/>
    <col min="5" max="5" width="39.8515625" style="0" customWidth="1"/>
    <col min="6" max="6" width="6.421875" style="0" customWidth="1"/>
    <col min="7" max="7" width="12.8515625" style="0" customWidth="1"/>
    <col min="8" max="8" width="12.00390625" style="0" customWidth="1"/>
    <col min="9" max="11" width="14.28125" style="0" customWidth="1"/>
    <col min="12" max="14" width="11.7109375" style="0" customWidth="1"/>
    <col min="15" max="24" width="11.57421875" style="0" customWidth="1"/>
    <col min="25" max="64" width="12.140625" style="0" hidden="1" customWidth="1"/>
  </cols>
  <sheetData>
    <row r="1" spans="1:14" ht="72.75" customHeight="1">
      <c r="A1" s="197" t="s">
        <v>71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</row>
    <row r="2" spans="1:15" ht="12.75">
      <c r="A2" s="140" t="s">
        <v>0</v>
      </c>
      <c r="B2" s="141"/>
      <c r="C2" s="141"/>
      <c r="D2" s="144" t="s">
        <v>363</v>
      </c>
      <c r="E2" s="145"/>
      <c r="F2" s="198" t="s">
        <v>606</v>
      </c>
      <c r="G2" s="141"/>
      <c r="H2" s="198" t="s">
        <v>73</v>
      </c>
      <c r="I2" s="147" t="s">
        <v>32</v>
      </c>
      <c r="J2" s="147" t="s">
        <v>623</v>
      </c>
      <c r="K2" s="141"/>
      <c r="L2" s="141"/>
      <c r="M2" s="141"/>
      <c r="N2" s="199"/>
      <c r="O2" s="17"/>
    </row>
    <row r="3" spans="1:15" ht="12.75">
      <c r="A3" s="142"/>
      <c r="B3" s="143"/>
      <c r="C3" s="143"/>
      <c r="D3" s="146"/>
      <c r="E3" s="146"/>
      <c r="F3" s="143"/>
      <c r="G3" s="143"/>
      <c r="H3" s="143"/>
      <c r="I3" s="143"/>
      <c r="J3" s="143"/>
      <c r="K3" s="143"/>
      <c r="L3" s="143"/>
      <c r="M3" s="143"/>
      <c r="N3" s="149"/>
      <c r="O3" s="17"/>
    </row>
    <row r="4" spans="1:15" ht="12.75">
      <c r="A4" s="150" t="s">
        <v>1</v>
      </c>
      <c r="B4" s="143"/>
      <c r="C4" s="143"/>
      <c r="D4" s="151" t="s">
        <v>364</v>
      </c>
      <c r="E4" s="143"/>
      <c r="F4" s="153" t="s">
        <v>3</v>
      </c>
      <c r="G4" s="143"/>
      <c r="H4" s="153" t="s">
        <v>73</v>
      </c>
      <c r="I4" s="151" t="s">
        <v>33</v>
      </c>
      <c r="J4" s="151" t="s">
        <v>624</v>
      </c>
      <c r="K4" s="143"/>
      <c r="L4" s="143"/>
      <c r="M4" s="143"/>
      <c r="N4" s="149"/>
      <c r="O4" s="17"/>
    </row>
    <row r="5" spans="1:15" ht="12.75">
      <c r="A5" s="142"/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  <c r="M5" s="143"/>
      <c r="N5" s="149"/>
      <c r="O5" s="17"/>
    </row>
    <row r="6" spans="1:15" ht="12.75">
      <c r="A6" s="150" t="s">
        <v>2</v>
      </c>
      <c r="B6" s="143"/>
      <c r="C6" s="143"/>
      <c r="D6" s="151" t="s">
        <v>73</v>
      </c>
      <c r="E6" s="143"/>
      <c r="F6" s="153" t="s">
        <v>35</v>
      </c>
      <c r="G6" s="143"/>
      <c r="H6" s="153" t="s">
        <v>73</v>
      </c>
      <c r="I6" s="151" t="s">
        <v>34</v>
      </c>
      <c r="J6" s="153" t="s">
        <v>625</v>
      </c>
      <c r="K6" s="143"/>
      <c r="L6" s="143"/>
      <c r="M6" s="143"/>
      <c r="N6" s="149"/>
      <c r="O6" s="17"/>
    </row>
    <row r="7" spans="1:15" ht="12.75">
      <c r="A7" s="142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9"/>
      <c r="O7" s="17"/>
    </row>
    <row r="8" spans="1:15" ht="12.75">
      <c r="A8" s="150" t="s">
        <v>4</v>
      </c>
      <c r="B8" s="143"/>
      <c r="C8" s="143"/>
      <c r="D8" s="151" t="s">
        <v>73</v>
      </c>
      <c r="E8" s="143"/>
      <c r="F8" s="153" t="s">
        <v>607</v>
      </c>
      <c r="G8" s="143"/>
      <c r="H8" s="153" t="s">
        <v>683</v>
      </c>
      <c r="I8" s="151" t="s">
        <v>36</v>
      </c>
      <c r="J8" s="153" t="s">
        <v>625</v>
      </c>
      <c r="K8" s="143"/>
      <c r="L8" s="143"/>
      <c r="M8" s="143"/>
      <c r="N8" s="149"/>
      <c r="O8" s="17"/>
    </row>
    <row r="9" spans="1:15" ht="12.75">
      <c r="A9" s="200"/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2"/>
      <c r="O9" s="17"/>
    </row>
    <row r="10" spans="1:64" ht="12.75">
      <c r="A10" s="30" t="s">
        <v>72</v>
      </c>
      <c r="B10" s="36" t="s">
        <v>216</v>
      </c>
      <c r="C10" s="36" t="s">
        <v>217</v>
      </c>
      <c r="D10" s="203" t="s">
        <v>365</v>
      </c>
      <c r="E10" s="204"/>
      <c r="F10" s="36" t="s">
        <v>608</v>
      </c>
      <c r="G10" s="47" t="s">
        <v>617</v>
      </c>
      <c r="H10" s="52" t="s">
        <v>618</v>
      </c>
      <c r="I10" s="205" t="s">
        <v>620</v>
      </c>
      <c r="J10" s="206"/>
      <c r="K10" s="207"/>
      <c r="L10" s="205" t="s">
        <v>627</v>
      </c>
      <c r="M10" s="207"/>
      <c r="N10" s="59" t="s">
        <v>629</v>
      </c>
      <c r="O10" s="18"/>
      <c r="BK10" s="58" t="s">
        <v>679</v>
      </c>
      <c r="BL10" s="69" t="s">
        <v>682</v>
      </c>
    </row>
    <row r="11" spans="1:62" ht="12.75">
      <c r="A11" s="31" t="s">
        <v>73</v>
      </c>
      <c r="B11" s="37" t="s">
        <v>73</v>
      </c>
      <c r="C11" s="37" t="s">
        <v>73</v>
      </c>
      <c r="D11" s="208" t="s">
        <v>366</v>
      </c>
      <c r="E11" s="209"/>
      <c r="F11" s="37" t="s">
        <v>73</v>
      </c>
      <c r="G11" s="37" t="s">
        <v>73</v>
      </c>
      <c r="H11" s="53" t="s">
        <v>619</v>
      </c>
      <c r="I11" s="54" t="s">
        <v>621</v>
      </c>
      <c r="J11" s="55" t="s">
        <v>21</v>
      </c>
      <c r="K11" s="56" t="s">
        <v>626</v>
      </c>
      <c r="L11" s="54" t="s">
        <v>628</v>
      </c>
      <c r="M11" s="56" t="s">
        <v>626</v>
      </c>
      <c r="N11" s="60" t="s">
        <v>630</v>
      </c>
      <c r="O11" s="18"/>
      <c r="Z11" s="58" t="s">
        <v>633</v>
      </c>
      <c r="AA11" s="58" t="s">
        <v>634</v>
      </c>
      <c r="AB11" s="58" t="s">
        <v>635</v>
      </c>
      <c r="AC11" s="58" t="s">
        <v>636</v>
      </c>
      <c r="AD11" s="58" t="s">
        <v>637</v>
      </c>
      <c r="AE11" s="58" t="s">
        <v>638</v>
      </c>
      <c r="AF11" s="58" t="s">
        <v>639</v>
      </c>
      <c r="AG11" s="58" t="s">
        <v>640</v>
      </c>
      <c r="AH11" s="58" t="s">
        <v>641</v>
      </c>
      <c r="BH11" s="58" t="s">
        <v>676</v>
      </c>
      <c r="BI11" s="58" t="s">
        <v>677</v>
      </c>
      <c r="BJ11" s="58" t="s">
        <v>678</v>
      </c>
    </row>
    <row r="12" spans="1:15" ht="12.75">
      <c r="A12" s="32"/>
      <c r="B12" s="38"/>
      <c r="C12" s="38"/>
      <c r="D12" s="210" t="s">
        <v>367</v>
      </c>
      <c r="E12" s="211"/>
      <c r="F12" s="45" t="s">
        <v>73</v>
      </c>
      <c r="G12" s="45" t="s">
        <v>73</v>
      </c>
      <c r="H12" s="45" t="s">
        <v>73</v>
      </c>
      <c r="I12" s="70">
        <f>I13+I28+I32+I74+I76+I81+I85+I96+I108+I120+I153+I158+I172+I183+I218+I237+I243+I251+I253+I255+I257+I264+I266+I270</f>
        <v>0</v>
      </c>
      <c r="J12" s="70">
        <f>J13+J28+J32+J74+J76+J81+J85+J96+J108+J120+J153+J158+J172+J183+J218+J237+J243+J251+J253+J255+J257+J264+J266+J270</f>
        <v>0</v>
      </c>
      <c r="K12" s="70">
        <f>K13+K28+K32+K74+K76+K81+K85+K96+K108+K120+K153+K158+K172+K183+K218+K237+K243+K251+K253+K255+K257+K264+K266+K270</f>
        <v>0</v>
      </c>
      <c r="L12" s="57"/>
      <c r="M12" s="70">
        <f>M13+M28+M32+M74+M76+M81+M85+M96+M108+M120+M153+M158+M172+M183+M218+M237+M243+M251+M253+M255+M257+M264+M266+M270</f>
        <v>10.2991480735</v>
      </c>
      <c r="N12" s="61"/>
      <c r="O12" s="17"/>
    </row>
    <row r="13" spans="1:47" ht="12.75">
      <c r="A13" s="33"/>
      <c r="B13" s="39"/>
      <c r="C13" s="39" t="s">
        <v>107</v>
      </c>
      <c r="D13" s="212" t="s">
        <v>368</v>
      </c>
      <c r="E13" s="213"/>
      <c r="F13" s="46" t="s">
        <v>73</v>
      </c>
      <c r="G13" s="46" t="s">
        <v>73</v>
      </c>
      <c r="H13" s="46" t="s">
        <v>73</v>
      </c>
      <c r="I13" s="71">
        <f>SUM(I14:I25)</f>
        <v>0</v>
      </c>
      <c r="J13" s="71">
        <f>SUM(J14:J25)</f>
        <v>0</v>
      </c>
      <c r="K13" s="71">
        <f>SUM(K14:K25)</f>
        <v>0</v>
      </c>
      <c r="L13" s="58"/>
      <c r="M13" s="71">
        <f>SUM(M14:M25)</f>
        <v>1.51350406</v>
      </c>
      <c r="N13" s="62"/>
      <c r="O13" s="17"/>
      <c r="AI13" s="58"/>
      <c r="AS13" s="71">
        <f>SUM(AJ14:AJ25)</f>
        <v>0</v>
      </c>
      <c r="AT13" s="71">
        <f>SUM(AK14:AK25)</f>
        <v>0</v>
      </c>
      <c r="AU13" s="71">
        <f>SUM(AL14:AL25)</f>
        <v>0</v>
      </c>
    </row>
    <row r="14" spans="1:64" ht="12.75">
      <c r="A14" s="34" t="s">
        <v>74</v>
      </c>
      <c r="B14" s="40"/>
      <c r="C14" s="40" t="s">
        <v>218</v>
      </c>
      <c r="D14" s="214" t="s">
        <v>369</v>
      </c>
      <c r="E14" s="215"/>
      <c r="F14" s="40" t="s">
        <v>609</v>
      </c>
      <c r="G14" s="48">
        <v>2.51</v>
      </c>
      <c r="H14" s="132"/>
      <c r="I14" s="48">
        <f>G14*AO14</f>
        <v>0</v>
      </c>
      <c r="J14" s="48">
        <f>G14*AP14</f>
        <v>0</v>
      </c>
      <c r="K14" s="48">
        <f>G14*H14</f>
        <v>0</v>
      </c>
      <c r="L14" s="48">
        <v>0.04646</v>
      </c>
      <c r="M14" s="48">
        <f>G14*L14</f>
        <v>0.1166146</v>
      </c>
      <c r="N14" s="63" t="s">
        <v>631</v>
      </c>
      <c r="O14" s="17"/>
      <c r="Z14" s="65">
        <f>IF(AQ14="5",BJ14,0)</f>
        <v>0</v>
      </c>
      <c r="AB14" s="65">
        <f>IF(AQ14="1",BH14,0)</f>
        <v>0</v>
      </c>
      <c r="AC14" s="65">
        <f>IF(AQ14="1",BI14,0)</f>
        <v>0</v>
      </c>
      <c r="AD14" s="65">
        <f>IF(AQ14="7",BH14,0)</f>
        <v>0</v>
      </c>
      <c r="AE14" s="65">
        <f>IF(AQ14="7",BI14,0)</f>
        <v>0</v>
      </c>
      <c r="AF14" s="65">
        <f>IF(AQ14="2",BH14,0)</f>
        <v>0</v>
      </c>
      <c r="AG14" s="65">
        <f>IF(AQ14="2",BI14,0)</f>
        <v>0</v>
      </c>
      <c r="AH14" s="65">
        <f>IF(AQ14="0",BJ14,0)</f>
        <v>0</v>
      </c>
      <c r="AI14" s="58"/>
      <c r="AJ14" s="48">
        <f>IF(AN14=0,K14,0)</f>
        <v>0</v>
      </c>
      <c r="AK14" s="48">
        <f>IF(AN14=15,K14,0)</f>
        <v>0</v>
      </c>
      <c r="AL14" s="48">
        <f>IF(AN14=21,K14,0)</f>
        <v>0</v>
      </c>
      <c r="AN14" s="65">
        <v>15</v>
      </c>
      <c r="AO14" s="65">
        <f>H14*0.555845158611203</f>
        <v>0</v>
      </c>
      <c r="AP14" s="65">
        <f>H14*(1-0.555845158611203)</f>
        <v>0</v>
      </c>
      <c r="AQ14" s="66" t="s">
        <v>74</v>
      </c>
      <c r="AV14" s="65">
        <f>AW14+AX14</f>
        <v>0</v>
      </c>
      <c r="AW14" s="65">
        <f>G14*AO14</f>
        <v>0</v>
      </c>
      <c r="AX14" s="65">
        <f>G14*AP14</f>
        <v>0</v>
      </c>
      <c r="AY14" s="68" t="s">
        <v>642</v>
      </c>
      <c r="AZ14" s="68" t="s">
        <v>666</v>
      </c>
      <c r="BA14" s="58" t="s">
        <v>675</v>
      </c>
      <c r="BC14" s="65">
        <f>AW14+AX14</f>
        <v>0</v>
      </c>
      <c r="BD14" s="65">
        <f>H14/(100-BE14)*100</f>
        <v>0</v>
      </c>
      <c r="BE14" s="65">
        <v>0</v>
      </c>
      <c r="BF14" s="65">
        <f>M14</f>
        <v>0.1166146</v>
      </c>
      <c r="BH14" s="48">
        <f>G14*AO14</f>
        <v>0</v>
      </c>
      <c r="BI14" s="48">
        <f>G14*AP14</f>
        <v>0</v>
      </c>
      <c r="BJ14" s="48">
        <f>G14*H14</f>
        <v>0</v>
      </c>
      <c r="BK14" s="48" t="s">
        <v>680</v>
      </c>
      <c r="BL14" s="65">
        <v>34</v>
      </c>
    </row>
    <row r="15" spans="1:15" ht="12.75">
      <c r="A15" s="17"/>
      <c r="D15" s="41" t="s">
        <v>370</v>
      </c>
      <c r="E15" s="43"/>
      <c r="G15" s="49">
        <v>0</v>
      </c>
      <c r="N15" s="16"/>
      <c r="O15" s="17"/>
    </row>
    <row r="16" spans="1:15" ht="12.75">
      <c r="A16" s="17"/>
      <c r="D16" s="41" t="s">
        <v>371</v>
      </c>
      <c r="E16" s="43"/>
      <c r="G16" s="49">
        <v>2.51</v>
      </c>
      <c r="N16" s="16"/>
      <c r="O16" s="17"/>
    </row>
    <row r="17" spans="1:64" ht="12.75">
      <c r="A17" s="34" t="s">
        <v>75</v>
      </c>
      <c r="B17" s="40"/>
      <c r="C17" s="40" t="s">
        <v>219</v>
      </c>
      <c r="D17" s="214" t="s">
        <v>372</v>
      </c>
      <c r="E17" s="215"/>
      <c r="F17" s="40" t="s">
        <v>609</v>
      </c>
      <c r="G17" s="48">
        <v>3.22</v>
      </c>
      <c r="H17" s="132"/>
      <c r="I17" s="48">
        <f>G17*AO17</f>
        <v>0</v>
      </c>
      <c r="J17" s="48">
        <f>G17*AP17</f>
        <v>0</v>
      </c>
      <c r="K17" s="48">
        <f>G17*H17</f>
        <v>0</v>
      </c>
      <c r="L17" s="48">
        <v>0.05654</v>
      </c>
      <c r="M17" s="48">
        <f>G17*L17</f>
        <v>0.18205880000000002</v>
      </c>
      <c r="N17" s="63" t="s">
        <v>631</v>
      </c>
      <c r="O17" s="17"/>
      <c r="Z17" s="65">
        <f>IF(AQ17="5",BJ17,0)</f>
        <v>0</v>
      </c>
      <c r="AB17" s="65">
        <f>IF(AQ17="1",BH17,0)</f>
        <v>0</v>
      </c>
      <c r="AC17" s="65">
        <f>IF(AQ17="1",BI17,0)</f>
        <v>0</v>
      </c>
      <c r="AD17" s="65">
        <f>IF(AQ17="7",BH17,0)</f>
        <v>0</v>
      </c>
      <c r="AE17" s="65">
        <f>IF(AQ17="7",BI17,0)</f>
        <v>0</v>
      </c>
      <c r="AF17" s="65">
        <f>IF(AQ17="2",BH17,0)</f>
        <v>0</v>
      </c>
      <c r="AG17" s="65">
        <f>IF(AQ17="2",BI17,0)</f>
        <v>0</v>
      </c>
      <c r="AH17" s="65">
        <f>IF(AQ17="0",BJ17,0)</f>
        <v>0</v>
      </c>
      <c r="AI17" s="58"/>
      <c r="AJ17" s="48">
        <f>IF(AN17=0,K17,0)</f>
        <v>0</v>
      </c>
      <c r="AK17" s="48">
        <f>IF(AN17=15,K17,0)</f>
        <v>0</v>
      </c>
      <c r="AL17" s="48">
        <f>IF(AN17=21,K17,0)</f>
        <v>0</v>
      </c>
      <c r="AN17" s="65">
        <v>15</v>
      </c>
      <c r="AO17" s="65">
        <f>H17*0.611892655367232</f>
        <v>0</v>
      </c>
      <c r="AP17" s="65">
        <f>H17*(1-0.611892655367232)</f>
        <v>0</v>
      </c>
      <c r="AQ17" s="66" t="s">
        <v>74</v>
      </c>
      <c r="AV17" s="65">
        <f>AW17+AX17</f>
        <v>0</v>
      </c>
      <c r="AW17" s="65">
        <f>G17*AO17</f>
        <v>0</v>
      </c>
      <c r="AX17" s="65">
        <f>G17*AP17</f>
        <v>0</v>
      </c>
      <c r="AY17" s="68" t="s">
        <v>642</v>
      </c>
      <c r="AZ17" s="68" t="s">
        <v>666</v>
      </c>
      <c r="BA17" s="58" t="s">
        <v>675</v>
      </c>
      <c r="BC17" s="65">
        <f>AW17+AX17</f>
        <v>0</v>
      </c>
      <c r="BD17" s="65">
        <f>H17/(100-BE17)*100</f>
        <v>0</v>
      </c>
      <c r="BE17" s="65">
        <v>0</v>
      </c>
      <c r="BF17" s="65">
        <f>M17</f>
        <v>0.18205880000000002</v>
      </c>
      <c r="BH17" s="48">
        <f>G17*AO17</f>
        <v>0</v>
      </c>
      <c r="BI17" s="48">
        <f>G17*AP17</f>
        <v>0</v>
      </c>
      <c r="BJ17" s="48">
        <f>G17*H17</f>
        <v>0</v>
      </c>
      <c r="BK17" s="48" t="s">
        <v>680</v>
      </c>
      <c r="BL17" s="65">
        <v>34</v>
      </c>
    </row>
    <row r="18" spans="1:15" ht="12.75">
      <c r="A18" s="17"/>
      <c r="D18" s="41" t="s">
        <v>373</v>
      </c>
      <c r="E18" s="43"/>
      <c r="G18" s="49">
        <v>2.7</v>
      </c>
      <c r="N18" s="16"/>
      <c r="O18" s="17"/>
    </row>
    <row r="19" spans="1:15" ht="12.75">
      <c r="A19" s="17"/>
      <c r="D19" s="41" t="s">
        <v>374</v>
      </c>
      <c r="E19" s="43"/>
      <c r="G19" s="49">
        <v>0.52</v>
      </c>
      <c r="N19" s="16"/>
      <c r="O19" s="17"/>
    </row>
    <row r="20" spans="1:64" ht="12.75">
      <c r="A20" s="34" t="s">
        <v>76</v>
      </c>
      <c r="B20" s="40"/>
      <c r="C20" s="40" t="s">
        <v>220</v>
      </c>
      <c r="D20" s="214" t="s">
        <v>375</v>
      </c>
      <c r="E20" s="215"/>
      <c r="F20" s="40" t="s">
        <v>609</v>
      </c>
      <c r="G20" s="48">
        <v>15.846</v>
      </c>
      <c r="H20" s="132"/>
      <c r="I20" s="48">
        <f>G20*AO20</f>
        <v>0</v>
      </c>
      <c r="J20" s="48">
        <f>G20*AP20</f>
        <v>0</v>
      </c>
      <c r="K20" s="48">
        <f>G20*H20</f>
        <v>0</v>
      </c>
      <c r="L20" s="48">
        <v>0.07471</v>
      </c>
      <c r="M20" s="48">
        <f>G20*L20</f>
        <v>1.18385466</v>
      </c>
      <c r="N20" s="63" t="s">
        <v>631</v>
      </c>
      <c r="O20" s="17"/>
      <c r="Z20" s="65">
        <f>IF(AQ20="5",BJ20,0)</f>
        <v>0</v>
      </c>
      <c r="AB20" s="65">
        <f>IF(AQ20="1",BH20,0)</f>
        <v>0</v>
      </c>
      <c r="AC20" s="65">
        <f>IF(AQ20="1",BI20,0)</f>
        <v>0</v>
      </c>
      <c r="AD20" s="65">
        <f>IF(AQ20="7",BH20,0)</f>
        <v>0</v>
      </c>
      <c r="AE20" s="65">
        <f>IF(AQ20="7",BI20,0)</f>
        <v>0</v>
      </c>
      <c r="AF20" s="65">
        <f>IF(AQ20="2",BH20,0)</f>
        <v>0</v>
      </c>
      <c r="AG20" s="65">
        <f>IF(AQ20="2",BI20,0)</f>
        <v>0</v>
      </c>
      <c r="AH20" s="65">
        <f>IF(AQ20="0",BJ20,0)</f>
        <v>0</v>
      </c>
      <c r="AI20" s="58"/>
      <c r="AJ20" s="48">
        <f>IF(AN20=0,K20,0)</f>
        <v>0</v>
      </c>
      <c r="AK20" s="48">
        <f>IF(AN20=15,K20,0)</f>
        <v>0</v>
      </c>
      <c r="AL20" s="48">
        <f>IF(AN20=21,K20,0)</f>
        <v>0</v>
      </c>
      <c r="AN20" s="65">
        <v>15</v>
      </c>
      <c r="AO20" s="65">
        <f>H20*0.649021904747945</f>
        <v>0</v>
      </c>
      <c r="AP20" s="65">
        <f>H20*(1-0.649021904747945)</f>
        <v>0</v>
      </c>
      <c r="AQ20" s="66" t="s">
        <v>74</v>
      </c>
      <c r="AV20" s="65">
        <f>AW20+AX20</f>
        <v>0</v>
      </c>
      <c r="AW20" s="65">
        <f>G20*AO20</f>
        <v>0</v>
      </c>
      <c r="AX20" s="65">
        <f>G20*AP20</f>
        <v>0</v>
      </c>
      <c r="AY20" s="68" t="s">
        <v>642</v>
      </c>
      <c r="AZ20" s="68" t="s">
        <v>666</v>
      </c>
      <c r="BA20" s="58" t="s">
        <v>675</v>
      </c>
      <c r="BC20" s="65">
        <f>AW20+AX20</f>
        <v>0</v>
      </c>
      <c r="BD20" s="65">
        <f>H20/(100-BE20)*100</f>
        <v>0</v>
      </c>
      <c r="BE20" s="65">
        <v>0</v>
      </c>
      <c r="BF20" s="65">
        <f>M20</f>
        <v>1.18385466</v>
      </c>
      <c r="BH20" s="48">
        <f>G20*AO20</f>
        <v>0</v>
      </c>
      <c r="BI20" s="48">
        <f>G20*AP20</f>
        <v>0</v>
      </c>
      <c r="BJ20" s="48">
        <f>G20*H20</f>
        <v>0</v>
      </c>
      <c r="BK20" s="48" t="s">
        <v>680</v>
      </c>
      <c r="BL20" s="65">
        <v>34</v>
      </c>
    </row>
    <row r="21" spans="1:15" ht="12.75">
      <c r="A21" s="17"/>
      <c r="D21" s="41" t="s">
        <v>376</v>
      </c>
      <c r="E21" s="43"/>
      <c r="G21" s="49">
        <v>13.206</v>
      </c>
      <c r="N21" s="16"/>
      <c r="O21" s="17"/>
    </row>
    <row r="22" spans="1:15" ht="12.75">
      <c r="A22" s="17"/>
      <c r="D22" s="41" t="s">
        <v>377</v>
      </c>
      <c r="E22" s="43"/>
      <c r="G22" s="49">
        <v>2.64</v>
      </c>
      <c r="N22" s="16"/>
      <c r="O22" s="17"/>
    </row>
    <row r="23" spans="1:64" ht="12.75">
      <c r="A23" s="34" t="s">
        <v>77</v>
      </c>
      <c r="B23" s="40"/>
      <c r="C23" s="40" t="s">
        <v>221</v>
      </c>
      <c r="D23" s="214" t="s">
        <v>378</v>
      </c>
      <c r="E23" s="215"/>
      <c r="F23" s="40" t="s">
        <v>610</v>
      </c>
      <c r="G23" s="48">
        <v>11.5</v>
      </c>
      <c r="H23" s="132"/>
      <c r="I23" s="48">
        <f>G23*AO23</f>
        <v>0</v>
      </c>
      <c r="J23" s="48">
        <f>G23*AP23</f>
        <v>0</v>
      </c>
      <c r="K23" s="48">
        <f>G23*H23</f>
        <v>0</v>
      </c>
      <c r="L23" s="48">
        <v>8E-05</v>
      </c>
      <c r="M23" s="48">
        <f>G23*L23</f>
        <v>0.00092</v>
      </c>
      <c r="N23" s="63" t="s">
        <v>631</v>
      </c>
      <c r="O23" s="17"/>
      <c r="Z23" s="65">
        <f>IF(AQ23="5",BJ23,0)</f>
        <v>0</v>
      </c>
      <c r="AB23" s="65">
        <f>IF(AQ23="1",BH23,0)</f>
        <v>0</v>
      </c>
      <c r="AC23" s="65">
        <f>IF(AQ23="1",BI23,0)</f>
        <v>0</v>
      </c>
      <c r="AD23" s="65">
        <f>IF(AQ23="7",BH23,0)</f>
        <v>0</v>
      </c>
      <c r="AE23" s="65">
        <f>IF(AQ23="7",BI23,0)</f>
        <v>0</v>
      </c>
      <c r="AF23" s="65">
        <f>IF(AQ23="2",BH23,0)</f>
        <v>0</v>
      </c>
      <c r="AG23" s="65">
        <f>IF(AQ23="2",BI23,0)</f>
        <v>0</v>
      </c>
      <c r="AH23" s="65">
        <f>IF(AQ23="0",BJ23,0)</f>
        <v>0</v>
      </c>
      <c r="AI23" s="58"/>
      <c r="AJ23" s="48">
        <f>IF(AN23=0,K23,0)</f>
        <v>0</v>
      </c>
      <c r="AK23" s="48">
        <f>IF(AN23=15,K23,0)</f>
        <v>0</v>
      </c>
      <c r="AL23" s="48">
        <f>IF(AN23=21,K23,0)</f>
        <v>0</v>
      </c>
      <c r="AN23" s="65">
        <v>15</v>
      </c>
      <c r="AO23" s="65">
        <f>H23*0.191980681579949</f>
        <v>0</v>
      </c>
      <c r="AP23" s="65">
        <f>H23*(1-0.191980681579949)</f>
        <v>0</v>
      </c>
      <c r="AQ23" s="66" t="s">
        <v>74</v>
      </c>
      <c r="AV23" s="65">
        <f>AW23+AX23</f>
        <v>0</v>
      </c>
      <c r="AW23" s="65">
        <f>G23*AO23</f>
        <v>0</v>
      </c>
      <c r="AX23" s="65">
        <f>G23*AP23</f>
        <v>0</v>
      </c>
      <c r="AY23" s="68" t="s">
        <v>642</v>
      </c>
      <c r="AZ23" s="68" t="s">
        <v>666</v>
      </c>
      <c r="BA23" s="58" t="s">
        <v>675</v>
      </c>
      <c r="BC23" s="65">
        <f>AW23+AX23</f>
        <v>0</v>
      </c>
      <c r="BD23" s="65">
        <f>H23/(100-BE23)*100</f>
        <v>0</v>
      </c>
      <c r="BE23" s="65">
        <v>0</v>
      </c>
      <c r="BF23" s="65">
        <f>M23</f>
        <v>0.00092</v>
      </c>
      <c r="BH23" s="48">
        <f>G23*AO23</f>
        <v>0</v>
      </c>
      <c r="BI23" s="48">
        <f>G23*AP23</f>
        <v>0</v>
      </c>
      <c r="BJ23" s="48">
        <f>G23*H23</f>
        <v>0</v>
      </c>
      <c r="BK23" s="48" t="s">
        <v>680</v>
      </c>
      <c r="BL23" s="65">
        <v>34</v>
      </c>
    </row>
    <row r="24" spans="1:15" ht="12.75">
      <c r="A24" s="17"/>
      <c r="D24" s="41" t="s">
        <v>379</v>
      </c>
      <c r="E24" s="43"/>
      <c r="G24" s="49">
        <v>11.5</v>
      </c>
      <c r="N24" s="16"/>
      <c r="O24" s="17"/>
    </row>
    <row r="25" spans="1:64" ht="12.75">
      <c r="A25" s="34" t="s">
        <v>78</v>
      </c>
      <c r="B25" s="40"/>
      <c r="C25" s="40" t="s">
        <v>222</v>
      </c>
      <c r="D25" s="214" t="s">
        <v>380</v>
      </c>
      <c r="E25" s="215"/>
      <c r="F25" s="40" t="s">
        <v>610</v>
      </c>
      <c r="G25" s="48">
        <v>2.6</v>
      </c>
      <c r="H25" s="132"/>
      <c r="I25" s="48">
        <f>G25*AO25</f>
        <v>0</v>
      </c>
      <c r="J25" s="48">
        <f>G25*AP25</f>
        <v>0</v>
      </c>
      <c r="K25" s="48">
        <f>G25*H25</f>
        <v>0</v>
      </c>
      <c r="L25" s="48">
        <v>0.01156</v>
      </c>
      <c r="M25" s="48">
        <f>G25*L25</f>
        <v>0.030056000000000003</v>
      </c>
      <c r="N25" s="63" t="s">
        <v>631</v>
      </c>
      <c r="O25" s="17"/>
      <c r="Z25" s="65">
        <f>IF(AQ25="5",BJ25,0)</f>
        <v>0</v>
      </c>
      <c r="AB25" s="65">
        <f>IF(AQ25="1",BH25,0)</f>
        <v>0</v>
      </c>
      <c r="AC25" s="65">
        <f>IF(AQ25="1",BI25,0)</f>
        <v>0</v>
      </c>
      <c r="AD25" s="65">
        <f>IF(AQ25="7",BH25,0)</f>
        <v>0</v>
      </c>
      <c r="AE25" s="65">
        <f>IF(AQ25="7",BI25,0)</f>
        <v>0</v>
      </c>
      <c r="AF25" s="65">
        <f>IF(AQ25="2",BH25,0)</f>
        <v>0</v>
      </c>
      <c r="AG25" s="65">
        <f>IF(AQ25="2",BI25,0)</f>
        <v>0</v>
      </c>
      <c r="AH25" s="65">
        <f>IF(AQ25="0",BJ25,0)</f>
        <v>0</v>
      </c>
      <c r="AI25" s="58"/>
      <c r="AJ25" s="48">
        <f>IF(AN25=0,K25,0)</f>
        <v>0</v>
      </c>
      <c r="AK25" s="48">
        <f>IF(AN25=15,K25,0)</f>
        <v>0</v>
      </c>
      <c r="AL25" s="48">
        <f>IF(AN25=21,K25,0)</f>
        <v>0</v>
      </c>
      <c r="AN25" s="65">
        <v>15</v>
      </c>
      <c r="AO25" s="65">
        <f>H25*0.149328657314629</f>
        <v>0</v>
      </c>
      <c r="AP25" s="65">
        <f>H25*(1-0.149328657314629)</f>
        <v>0</v>
      </c>
      <c r="AQ25" s="66" t="s">
        <v>74</v>
      </c>
      <c r="AV25" s="65">
        <f>AW25+AX25</f>
        <v>0</v>
      </c>
      <c r="AW25" s="65">
        <f>G25*AO25</f>
        <v>0</v>
      </c>
      <c r="AX25" s="65">
        <f>G25*AP25</f>
        <v>0</v>
      </c>
      <c r="AY25" s="68" t="s">
        <v>642</v>
      </c>
      <c r="AZ25" s="68" t="s">
        <v>666</v>
      </c>
      <c r="BA25" s="58" t="s">
        <v>675</v>
      </c>
      <c r="BC25" s="65">
        <f>AW25+AX25</f>
        <v>0</v>
      </c>
      <c r="BD25" s="65">
        <f>H25/(100-BE25)*100</f>
        <v>0</v>
      </c>
      <c r="BE25" s="65">
        <v>0</v>
      </c>
      <c r="BF25" s="65">
        <f>M25</f>
        <v>0.030056000000000003</v>
      </c>
      <c r="BH25" s="48">
        <f>G25*AO25</f>
        <v>0</v>
      </c>
      <c r="BI25" s="48">
        <f>G25*AP25</f>
        <v>0</v>
      </c>
      <c r="BJ25" s="48">
        <f>G25*H25</f>
        <v>0</v>
      </c>
      <c r="BK25" s="48" t="s">
        <v>680</v>
      </c>
      <c r="BL25" s="65">
        <v>34</v>
      </c>
    </row>
    <row r="26" spans="1:15" ht="12.75">
      <c r="A26" s="17"/>
      <c r="D26" s="41" t="s">
        <v>381</v>
      </c>
      <c r="E26" s="43"/>
      <c r="G26" s="49">
        <v>0</v>
      </c>
      <c r="N26" s="16"/>
      <c r="O26" s="17"/>
    </row>
    <row r="27" spans="1:15" ht="12.75">
      <c r="A27" s="17"/>
      <c r="D27" s="41" t="s">
        <v>382</v>
      </c>
      <c r="E27" s="43"/>
      <c r="G27" s="49">
        <v>2.6</v>
      </c>
      <c r="N27" s="16"/>
      <c r="O27" s="17"/>
    </row>
    <row r="28" spans="1:47" ht="12.75">
      <c r="A28" s="33"/>
      <c r="B28" s="39"/>
      <c r="C28" s="39" t="s">
        <v>114</v>
      </c>
      <c r="D28" s="212" t="s">
        <v>383</v>
      </c>
      <c r="E28" s="213"/>
      <c r="F28" s="46" t="s">
        <v>73</v>
      </c>
      <c r="G28" s="46" t="s">
        <v>73</v>
      </c>
      <c r="H28" s="46" t="s">
        <v>73</v>
      </c>
      <c r="I28" s="71">
        <f>SUM(I29:I29)</f>
        <v>0</v>
      </c>
      <c r="J28" s="71">
        <f>SUM(J29:J29)</f>
        <v>0</v>
      </c>
      <c r="K28" s="71">
        <f>SUM(K29:K29)</f>
        <v>0</v>
      </c>
      <c r="L28" s="58"/>
      <c r="M28" s="71">
        <f>SUM(M29:M29)</f>
        <v>0.06634324</v>
      </c>
      <c r="N28" s="62"/>
      <c r="O28" s="17"/>
      <c r="AI28" s="58"/>
      <c r="AS28" s="71">
        <f>SUM(AJ29:AJ29)</f>
        <v>0</v>
      </c>
      <c r="AT28" s="71">
        <f>SUM(AK29:AK29)</f>
        <v>0</v>
      </c>
      <c r="AU28" s="71">
        <f>SUM(AL29:AL29)</f>
        <v>0</v>
      </c>
    </row>
    <row r="29" spans="1:64" ht="12.75">
      <c r="A29" s="34" t="s">
        <v>79</v>
      </c>
      <c r="B29" s="40"/>
      <c r="C29" s="40" t="s">
        <v>223</v>
      </c>
      <c r="D29" s="214" t="s">
        <v>384</v>
      </c>
      <c r="E29" s="215"/>
      <c r="F29" s="40" t="s">
        <v>609</v>
      </c>
      <c r="G29" s="48">
        <v>5.524</v>
      </c>
      <c r="H29" s="132"/>
      <c r="I29" s="48">
        <f>G29*AO29</f>
        <v>0</v>
      </c>
      <c r="J29" s="48">
        <f>G29*AP29</f>
        <v>0</v>
      </c>
      <c r="K29" s="48">
        <f>G29*H29</f>
        <v>0</v>
      </c>
      <c r="L29" s="48">
        <v>0.01201</v>
      </c>
      <c r="M29" s="48">
        <f>G29*L29</f>
        <v>0.06634324</v>
      </c>
      <c r="N29" s="63" t="s">
        <v>631</v>
      </c>
      <c r="O29" s="17"/>
      <c r="Z29" s="65">
        <f>IF(AQ29="5",BJ29,0)</f>
        <v>0</v>
      </c>
      <c r="AB29" s="65">
        <f>IF(AQ29="1",BH29,0)</f>
        <v>0</v>
      </c>
      <c r="AC29" s="65">
        <f>IF(AQ29="1",BI29,0)</f>
        <v>0</v>
      </c>
      <c r="AD29" s="65">
        <f>IF(AQ29="7",BH29,0)</f>
        <v>0</v>
      </c>
      <c r="AE29" s="65">
        <f>IF(AQ29="7",BI29,0)</f>
        <v>0</v>
      </c>
      <c r="AF29" s="65">
        <f>IF(AQ29="2",BH29,0)</f>
        <v>0</v>
      </c>
      <c r="AG29" s="65">
        <f>IF(AQ29="2",BI29,0)</f>
        <v>0</v>
      </c>
      <c r="AH29" s="65">
        <f>IF(AQ29="0",BJ29,0)</f>
        <v>0</v>
      </c>
      <c r="AI29" s="58"/>
      <c r="AJ29" s="48">
        <f>IF(AN29=0,K29,0)</f>
        <v>0</v>
      </c>
      <c r="AK29" s="48">
        <f>IF(AN29=15,K29,0)</f>
        <v>0</v>
      </c>
      <c r="AL29" s="48">
        <f>IF(AN29=21,K29,0)</f>
        <v>0</v>
      </c>
      <c r="AN29" s="65">
        <v>15</v>
      </c>
      <c r="AO29" s="65">
        <f>H29*0.425856200890798</f>
        <v>0</v>
      </c>
      <c r="AP29" s="65">
        <f>H29*(1-0.425856200890798)</f>
        <v>0</v>
      </c>
      <c r="AQ29" s="66" t="s">
        <v>74</v>
      </c>
      <c r="AV29" s="65">
        <f>AW29+AX29</f>
        <v>0</v>
      </c>
      <c r="AW29" s="65">
        <f>G29*AO29</f>
        <v>0</v>
      </c>
      <c r="AX29" s="65">
        <f>G29*AP29</f>
        <v>0</v>
      </c>
      <c r="AY29" s="68" t="s">
        <v>643</v>
      </c>
      <c r="AZ29" s="68" t="s">
        <v>667</v>
      </c>
      <c r="BA29" s="58" t="s">
        <v>675</v>
      </c>
      <c r="BC29" s="65">
        <f>AW29+AX29</f>
        <v>0</v>
      </c>
      <c r="BD29" s="65">
        <f>H29/(100-BE29)*100</f>
        <v>0</v>
      </c>
      <c r="BE29" s="65">
        <v>0</v>
      </c>
      <c r="BF29" s="65">
        <f>M29</f>
        <v>0.06634324</v>
      </c>
      <c r="BH29" s="48">
        <f>G29*AO29</f>
        <v>0</v>
      </c>
      <c r="BI29" s="48">
        <f>G29*AP29</f>
        <v>0</v>
      </c>
      <c r="BJ29" s="48">
        <f>G29*H29</f>
        <v>0</v>
      </c>
      <c r="BK29" s="48" t="s">
        <v>680</v>
      </c>
      <c r="BL29" s="65">
        <v>41</v>
      </c>
    </row>
    <row r="30" spans="1:15" ht="12.75">
      <c r="A30" s="17"/>
      <c r="D30" s="41" t="s">
        <v>385</v>
      </c>
      <c r="E30" s="43"/>
      <c r="G30" s="49">
        <v>4.152</v>
      </c>
      <c r="N30" s="16"/>
      <c r="O30" s="17"/>
    </row>
    <row r="31" spans="1:15" ht="12.75">
      <c r="A31" s="17"/>
      <c r="D31" s="41" t="s">
        <v>386</v>
      </c>
      <c r="E31" s="43"/>
      <c r="G31" s="49">
        <v>1.372</v>
      </c>
      <c r="N31" s="16"/>
      <c r="O31" s="17"/>
    </row>
    <row r="32" spans="1:47" ht="12.75">
      <c r="A32" s="33"/>
      <c r="B32" s="39"/>
      <c r="C32" s="39" t="s">
        <v>134</v>
      </c>
      <c r="D32" s="212" t="s">
        <v>387</v>
      </c>
      <c r="E32" s="213"/>
      <c r="F32" s="46" t="s">
        <v>73</v>
      </c>
      <c r="G32" s="46" t="s">
        <v>73</v>
      </c>
      <c r="H32" s="46" t="s">
        <v>73</v>
      </c>
      <c r="I32" s="71">
        <f>SUM(I33:I73)</f>
        <v>0</v>
      </c>
      <c r="J32" s="71">
        <f>SUM(J33:J73)</f>
        <v>0</v>
      </c>
      <c r="K32" s="71">
        <f>SUM(K33:K73)</f>
        <v>0</v>
      </c>
      <c r="L32" s="58"/>
      <c r="M32" s="71">
        <f>SUM(M33:M73)</f>
        <v>3.3007397695000003</v>
      </c>
      <c r="N32" s="62"/>
      <c r="O32" s="17"/>
      <c r="AI32" s="58"/>
      <c r="AS32" s="71">
        <f>SUM(AJ33:AJ73)</f>
        <v>0</v>
      </c>
      <c r="AT32" s="71">
        <f>SUM(AK33:AK73)</f>
        <v>0</v>
      </c>
      <c r="AU32" s="71">
        <f>SUM(AL33:AL73)</f>
        <v>0</v>
      </c>
    </row>
    <row r="33" spans="1:64" ht="12.75">
      <c r="A33" s="34" t="s">
        <v>80</v>
      </c>
      <c r="B33" s="40"/>
      <c r="C33" s="40" t="s">
        <v>224</v>
      </c>
      <c r="D33" s="214" t="s">
        <v>388</v>
      </c>
      <c r="E33" s="215"/>
      <c r="F33" s="40" t="s">
        <v>611</v>
      </c>
      <c r="G33" s="48">
        <v>4</v>
      </c>
      <c r="H33" s="132"/>
      <c r="I33" s="48">
        <f>G33*AO33</f>
        <v>0</v>
      </c>
      <c r="J33" s="48">
        <f>G33*AP33</f>
        <v>0</v>
      </c>
      <c r="K33" s="48">
        <f>G33*H33</f>
        <v>0</v>
      </c>
      <c r="L33" s="48">
        <v>0.00649</v>
      </c>
      <c r="M33" s="48">
        <f>G33*L33</f>
        <v>0.02596</v>
      </c>
      <c r="N33" s="63" t="s">
        <v>631</v>
      </c>
      <c r="O33" s="17"/>
      <c r="Z33" s="65">
        <f>IF(AQ33="5",BJ33,0)</f>
        <v>0</v>
      </c>
      <c r="AB33" s="65">
        <f>IF(AQ33="1",BH33,0)</f>
        <v>0</v>
      </c>
      <c r="AC33" s="65">
        <f>IF(AQ33="1",BI33,0)</f>
        <v>0</v>
      </c>
      <c r="AD33" s="65">
        <f>IF(AQ33="7",BH33,0)</f>
        <v>0</v>
      </c>
      <c r="AE33" s="65">
        <f>IF(AQ33="7",BI33,0)</f>
        <v>0</v>
      </c>
      <c r="AF33" s="65">
        <f>IF(AQ33="2",BH33,0)</f>
        <v>0</v>
      </c>
      <c r="AG33" s="65">
        <f>IF(AQ33="2",BI33,0)</f>
        <v>0</v>
      </c>
      <c r="AH33" s="65">
        <f>IF(AQ33="0",BJ33,0)</f>
        <v>0</v>
      </c>
      <c r="AI33" s="58"/>
      <c r="AJ33" s="48">
        <f>IF(AN33=0,K33,0)</f>
        <v>0</v>
      </c>
      <c r="AK33" s="48">
        <f>IF(AN33=15,K33,0)</f>
        <v>0</v>
      </c>
      <c r="AL33" s="48">
        <f>IF(AN33=21,K33,0)</f>
        <v>0</v>
      </c>
      <c r="AN33" s="65">
        <v>15</v>
      </c>
      <c r="AO33" s="65">
        <f>H33*0.190516431924883</f>
        <v>0</v>
      </c>
      <c r="AP33" s="65">
        <f>H33*(1-0.190516431924883)</f>
        <v>0</v>
      </c>
      <c r="AQ33" s="66" t="s">
        <v>74</v>
      </c>
      <c r="AV33" s="65">
        <f>AW33+AX33</f>
        <v>0</v>
      </c>
      <c r="AW33" s="65">
        <f>G33*AO33</f>
        <v>0</v>
      </c>
      <c r="AX33" s="65">
        <f>G33*AP33</f>
        <v>0</v>
      </c>
      <c r="AY33" s="68" t="s">
        <v>644</v>
      </c>
      <c r="AZ33" s="68" t="s">
        <v>668</v>
      </c>
      <c r="BA33" s="58" t="s">
        <v>675</v>
      </c>
      <c r="BC33" s="65">
        <f>AW33+AX33</f>
        <v>0</v>
      </c>
      <c r="BD33" s="65">
        <f>H33/(100-BE33)*100</f>
        <v>0</v>
      </c>
      <c r="BE33" s="65">
        <v>0</v>
      </c>
      <c r="BF33" s="65">
        <f>M33</f>
        <v>0.02596</v>
      </c>
      <c r="BH33" s="48">
        <f>G33*AO33</f>
        <v>0</v>
      </c>
      <c r="BI33" s="48">
        <f>G33*AP33</f>
        <v>0</v>
      </c>
      <c r="BJ33" s="48">
        <f>G33*H33</f>
        <v>0</v>
      </c>
      <c r="BK33" s="48" t="s">
        <v>680</v>
      </c>
      <c r="BL33" s="65">
        <v>61</v>
      </c>
    </row>
    <row r="34" spans="1:64" ht="12.75">
      <c r="A34" s="34" t="s">
        <v>81</v>
      </c>
      <c r="B34" s="40"/>
      <c r="C34" s="40" t="s">
        <v>225</v>
      </c>
      <c r="D34" s="214" t="s">
        <v>389</v>
      </c>
      <c r="E34" s="215"/>
      <c r="F34" s="40" t="s">
        <v>609</v>
      </c>
      <c r="G34" s="48">
        <v>2.5</v>
      </c>
      <c r="H34" s="132"/>
      <c r="I34" s="48">
        <f>G34*AO34</f>
        <v>0</v>
      </c>
      <c r="J34" s="48">
        <f>G34*AP34</f>
        <v>0</v>
      </c>
      <c r="K34" s="48">
        <f>G34*H34</f>
        <v>0</v>
      </c>
      <c r="L34" s="48">
        <v>0.10712</v>
      </c>
      <c r="M34" s="48">
        <f>G34*L34</f>
        <v>0.26780000000000004</v>
      </c>
      <c r="N34" s="63" t="s">
        <v>631</v>
      </c>
      <c r="O34" s="17"/>
      <c r="Z34" s="65">
        <f>IF(AQ34="5",BJ34,0)</f>
        <v>0</v>
      </c>
      <c r="AB34" s="65">
        <f>IF(AQ34="1",BH34,0)</f>
        <v>0</v>
      </c>
      <c r="AC34" s="65">
        <f>IF(AQ34="1",BI34,0)</f>
        <v>0</v>
      </c>
      <c r="AD34" s="65">
        <f>IF(AQ34="7",BH34,0)</f>
        <v>0</v>
      </c>
      <c r="AE34" s="65">
        <f>IF(AQ34="7",BI34,0)</f>
        <v>0</v>
      </c>
      <c r="AF34" s="65">
        <f>IF(AQ34="2",BH34,0)</f>
        <v>0</v>
      </c>
      <c r="AG34" s="65">
        <f>IF(AQ34="2",BI34,0)</f>
        <v>0</v>
      </c>
      <c r="AH34" s="65">
        <f>IF(AQ34="0",BJ34,0)</f>
        <v>0</v>
      </c>
      <c r="AI34" s="58"/>
      <c r="AJ34" s="48">
        <f>IF(AN34=0,K34,0)</f>
        <v>0</v>
      </c>
      <c r="AK34" s="48">
        <f>IF(AN34=15,K34,0)</f>
        <v>0</v>
      </c>
      <c r="AL34" s="48">
        <f>IF(AN34=21,K34,0)</f>
        <v>0</v>
      </c>
      <c r="AN34" s="65">
        <v>15</v>
      </c>
      <c r="AO34" s="65">
        <f>H34*0.221316348195329</f>
        <v>0</v>
      </c>
      <c r="AP34" s="65">
        <f>H34*(1-0.221316348195329)</f>
        <v>0</v>
      </c>
      <c r="AQ34" s="66" t="s">
        <v>74</v>
      </c>
      <c r="AV34" s="65">
        <f>AW34+AX34</f>
        <v>0</v>
      </c>
      <c r="AW34" s="65">
        <f>G34*AO34</f>
        <v>0</v>
      </c>
      <c r="AX34" s="65">
        <f>G34*AP34</f>
        <v>0</v>
      </c>
      <c r="AY34" s="68" t="s">
        <v>644</v>
      </c>
      <c r="AZ34" s="68" t="s">
        <v>668</v>
      </c>
      <c r="BA34" s="58" t="s">
        <v>675</v>
      </c>
      <c r="BC34" s="65">
        <f>AW34+AX34</f>
        <v>0</v>
      </c>
      <c r="BD34" s="65">
        <f>H34/(100-BE34)*100</f>
        <v>0</v>
      </c>
      <c r="BE34" s="65">
        <v>0</v>
      </c>
      <c r="BF34" s="65">
        <f>M34</f>
        <v>0.26780000000000004</v>
      </c>
      <c r="BH34" s="48">
        <f>G34*AO34</f>
        <v>0</v>
      </c>
      <c r="BI34" s="48">
        <f>G34*AP34</f>
        <v>0</v>
      </c>
      <c r="BJ34" s="48">
        <f>G34*H34</f>
        <v>0</v>
      </c>
      <c r="BK34" s="48" t="s">
        <v>680</v>
      </c>
      <c r="BL34" s="65">
        <v>61</v>
      </c>
    </row>
    <row r="35" spans="1:64" ht="12.75">
      <c r="A35" s="34" t="s">
        <v>82</v>
      </c>
      <c r="B35" s="40"/>
      <c r="C35" s="40" t="s">
        <v>226</v>
      </c>
      <c r="D35" s="214" t="s">
        <v>390</v>
      </c>
      <c r="E35" s="215"/>
      <c r="F35" s="40" t="s">
        <v>609</v>
      </c>
      <c r="G35" s="48">
        <v>40.43</v>
      </c>
      <c r="H35" s="132"/>
      <c r="I35" s="48">
        <f>G35*AO35</f>
        <v>0</v>
      </c>
      <c r="J35" s="48">
        <f>G35*AP35</f>
        <v>0</v>
      </c>
      <c r="K35" s="48">
        <f>G35*H35</f>
        <v>0</v>
      </c>
      <c r="L35" s="48">
        <v>0.00032</v>
      </c>
      <c r="M35" s="48">
        <f>G35*L35</f>
        <v>0.0129376</v>
      </c>
      <c r="N35" s="63" t="s">
        <v>631</v>
      </c>
      <c r="O35" s="17"/>
      <c r="Z35" s="65">
        <f>IF(AQ35="5",BJ35,0)</f>
        <v>0</v>
      </c>
      <c r="AB35" s="65">
        <f>IF(AQ35="1",BH35,0)</f>
        <v>0</v>
      </c>
      <c r="AC35" s="65">
        <f>IF(AQ35="1",BI35,0)</f>
        <v>0</v>
      </c>
      <c r="AD35" s="65">
        <f>IF(AQ35="7",BH35,0)</f>
        <v>0</v>
      </c>
      <c r="AE35" s="65">
        <f>IF(AQ35="7",BI35,0)</f>
        <v>0</v>
      </c>
      <c r="AF35" s="65">
        <f>IF(AQ35="2",BH35,0)</f>
        <v>0</v>
      </c>
      <c r="AG35" s="65">
        <f>IF(AQ35="2",BI35,0)</f>
        <v>0</v>
      </c>
      <c r="AH35" s="65">
        <f>IF(AQ35="0",BJ35,0)</f>
        <v>0</v>
      </c>
      <c r="AI35" s="58"/>
      <c r="AJ35" s="48">
        <f>IF(AN35=0,K35,0)</f>
        <v>0</v>
      </c>
      <c r="AK35" s="48">
        <f>IF(AN35=15,K35,0)</f>
        <v>0</v>
      </c>
      <c r="AL35" s="48">
        <f>IF(AN35=21,K35,0)</f>
        <v>0</v>
      </c>
      <c r="AN35" s="65">
        <v>15</v>
      </c>
      <c r="AO35" s="65">
        <f>H35*0.447622381627847</f>
        <v>0</v>
      </c>
      <c r="AP35" s="65">
        <f>H35*(1-0.447622381627847)</f>
        <v>0</v>
      </c>
      <c r="AQ35" s="66" t="s">
        <v>74</v>
      </c>
      <c r="AV35" s="65">
        <f>AW35+AX35</f>
        <v>0</v>
      </c>
      <c r="AW35" s="65">
        <f>G35*AO35</f>
        <v>0</v>
      </c>
      <c r="AX35" s="65">
        <f>G35*AP35</f>
        <v>0</v>
      </c>
      <c r="AY35" s="68" t="s">
        <v>644</v>
      </c>
      <c r="AZ35" s="68" t="s">
        <v>668</v>
      </c>
      <c r="BA35" s="58" t="s">
        <v>675</v>
      </c>
      <c r="BC35" s="65">
        <f>AW35+AX35</f>
        <v>0</v>
      </c>
      <c r="BD35" s="65">
        <f>H35/(100-BE35)*100</f>
        <v>0</v>
      </c>
      <c r="BE35" s="65">
        <v>0</v>
      </c>
      <c r="BF35" s="65">
        <f>M35</f>
        <v>0.0129376</v>
      </c>
      <c r="BH35" s="48">
        <f>G35*AO35</f>
        <v>0</v>
      </c>
      <c r="BI35" s="48">
        <f>G35*AP35</f>
        <v>0</v>
      </c>
      <c r="BJ35" s="48">
        <f>G35*H35</f>
        <v>0</v>
      </c>
      <c r="BK35" s="48" t="s">
        <v>680</v>
      </c>
      <c r="BL35" s="65">
        <v>61</v>
      </c>
    </row>
    <row r="36" spans="1:64" ht="12.75">
      <c r="A36" s="34" t="s">
        <v>83</v>
      </c>
      <c r="B36" s="40"/>
      <c r="C36" s="40" t="s">
        <v>227</v>
      </c>
      <c r="D36" s="214" t="s">
        <v>391</v>
      </c>
      <c r="E36" s="215"/>
      <c r="F36" s="40" t="s">
        <v>609</v>
      </c>
      <c r="G36" s="48">
        <v>40.43305</v>
      </c>
      <c r="H36" s="132"/>
      <c r="I36" s="48">
        <f>G36*AO36</f>
        <v>0</v>
      </c>
      <c r="J36" s="48">
        <f>G36*AP36</f>
        <v>0</v>
      </c>
      <c r="K36" s="48">
        <f>G36*H36</f>
        <v>0</v>
      </c>
      <c r="L36" s="48">
        <v>0.00559</v>
      </c>
      <c r="M36" s="48">
        <f>G36*L36</f>
        <v>0.22602074950000003</v>
      </c>
      <c r="N36" s="63" t="s">
        <v>631</v>
      </c>
      <c r="O36" s="17"/>
      <c r="Z36" s="65">
        <f>IF(AQ36="5",BJ36,0)</f>
        <v>0</v>
      </c>
      <c r="AB36" s="65">
        <f>IF(AQ36="1",BH36,0)</f>
        <v>0</v>
      </c>
      <c r="AC36" s="65">
        <f>IF(AQ36="1",BI36,0)</f>
        <v>0</v>
      </c>
      <c r="AD36" s="65">
        <f>IF(AQ36="7",BH36,0)</f>
        <v>0</v>
      </c>
      <c r="AE36" s="65">
        <f>IF(AQ36="7",BI36,0)</f>
        <v>0</v>
      </c>
      <c r="AF36" s="65">
        <f>IF(AQ36="2",BH36,0)</f>
        <v>0</v>
      </c>
      <c r="AG36" s="65">
        <f>IF(AQ36="2",BI36,0)</f>
        <v>0</v>
      </c>
      <c r="AH36" s="65">
        <f>IF(AQ36="0",BJ36,0)</f>
        <v>0</v>
      </c>
      <c r="AI36" s="58"/>
      <c r="AJ36" s="48">
        <f>IF(AN36=0,K36,0)</f>
        <v>0</v>
      </c>
      <c r="AK36" s="48">
        <f>IF(AN36=15,K36,0)</f>
        <v>0</v>
      </c>
      <c r="AL36" s="48">
        <f>IF(AN36=21,K36,0)</f>
        <v>0</v>
      </c>
      <c r="AN36" s="65">
        <v>15</v>
      </c>
      <c r="AO36" s="65">
        <f>H36*0.216560712064119</f>
        <v>0</v>
      </c>
      <c r="AP36" s="65">
        <f>H36*(1-0.216560712064119)</f>
        <v>0</v>
      </c>
      <c r="AQ36" s="66" t="s">
        <v>74</v>
      </c>
      <c r="AV36" s="65">
        <f>AW36+AX36</f>
        <v>0</v>
      </c>
      <c r="AW36" s="65">
        <f>G36*AO36</f>
        <v>0</v>
      </c>
      <c r="AX36" s="65">
        <f>G36*AP36</f>
        <v>0</v>
      </c>
      <c r="AY36" s="68" t="s">
        <v>644</v>
      </c>
      <c r="AZ36" s="68" t="s">
        <v>668</v>
      </c>
      <c r="BA36" s="58" t="s">
        <v>675</v>
      </c>
      <c r="BC36" s="65">
        <f>AW36+AX36</f>
        <v>0</v>
      </c>
      <c r="BD36" s="65">
        <f>H36/(100-BE36)*100</f>
        <v>0</v>
      </c>
      <c r="BE36" s="65">
        <v>0</v>
      </c>
      <c r="BF36" s="65">
        <f>M36</f>
        <v>0.22602074950000003</v>
      </c>
      <c r="BH36" s="48">
        <f>G36*AO36</f>
        <v>0</v>
      </c>
      <c r="BI36" s="48">
        <f>G36*AP36</f>
        <v>0</v>
      </c>
      <c r="BJ36" s="48">
        <f>G36*H36</f>
        <v>0</v>
      </c>
      <c r="BK36" s="48" t="s">
        <v>680</v>
      </c>
      <c r="BL36" s="65">
        <v>61</v>
      </c>
    </row>
    <row r="37" spans="1:15" ht="12.75">
      <c r="A37" s="17"/>
      <c r="D37" s="41" t="s">
        <v>392</v>
      </c>
      <c r="E37" s="43"/>
      <c r="G37" s="49">
        <v>0</v>
      </c>
      <c r="N37" s="16"/>
      <c r="O37" s="17"/>
    </row>
    <row r="38" spans="1:15" ht="12.75">
      <c r="A38" s="17"/>
      <c r="D38" s="41" t="s">
        <v>393</v>
      </c>
      <c r="E38" s="43"/>
      <c r="G38" s="49">
        <v>3.99</v>
      </c>
      <c r="N38" s="16"/>
      <c r="O38" s="17"/>
    </row>
    <row r="39" spans="1:15" ht="12.75">
      <c r="A39" s="17"/>
      <c r="D39" s="41" t="s">
        <v>394</v>
      </c>
      <c r="E39" s="43"/>
      <c r="G39" s="49">
        <v>0</v>
      </c>
      <c r="N39" s="16"/>
      <c r="O39" s="17"/>
    </row>
    <row r="40" spans="1:15" ht="12.75">
      <c r="A40" s="17"/>
      <c r="D40" s="41" t="s">
        <v>395</v>
      </c>
      <c r="E40" s="43"/>
      <c r="G40" s="49">
        <v>5.37225</v>
      </c>
      <c r="N40" s="16"/>
      <c r="O40" s="17"/>
    </row>
    <row r="41" spans="1:15" ht="12.75">
      <c r="A41" s="17"/>
      <c r="D41" s="41" t="s">
        <v>396</v>
      </c>
      <c r="E41" s="43"/>
      <c r="G41" s="49">
        <v>0</v>
      </c>
      <c r="N41" s="16"/>
      <c r="O41" s="17"/>
    </row>
    <row r="42" spans="1:15" ht="12.75">
      <c r="A42" s="17"/>
      <c r="D42" s="41" t="s">
        <v>397</v>
      </c>
      <c r="E42" s="43"/>
      <c r="G42" s="49">
        <v>10.4319</v>
      </c>
      <c r="N42" s="16"/>
      <c r="O42" s="17"/>
    </row>
    <row r="43" spans="1:15" ht="12.75">
      <c r="A43" s="17"/>
      <c r="D43" s="41" t="s">
        <v>398</v>
      </c>
      <c r="E43" s="43"/>
      <c r="G43" s="49">
        <v>0</v>
      </c>
      <c r="N43" s="16"/>
      <c r="O43" s="17"/>
    </row>
    <row r="44" spans="1:15" ht="12.75">
      <c r="A44" s="17"/>
      <c r="D44" s="41" t="s">
        <v>399</v>
      </c>
      <c r="E44" s="43"/>
      <c r="G44" s="49">
        <v>20.6389</v>
      </c>
      <c r="N44" s="16"/>
      <c r="O44" s="17"/>
    </row>
    <row r="45" spans="1:64" ht="12.75">
      <c r="A45" s="34" t="s">
        <v>84</v>
      </c>
      <c r="B45" s="40"/>
      <c r="C45" s="40" t="s">
        <v>228</v>
      </c>
      <c r="D45" s="214" t="s">
        <v>400</v>
      </c>
      <c r="E45" s="215"/>
      <c r="F45" s="40" t="s">
        <v>609</v>
      </c>
      <c r="G45" s="48">
        <v>101.43</v>
      </c>
      <c r="H45" s="132"/>
      <c r="I45" s="48">
        <f>G45*AO45</f>
        <v>0</v>
      </c>
      <c r="J45" s="48">
        <f>G45*AP45</f>
        <v>0</v>
      </c>
      <c r="K45" s="48">
        <f>G45*H45</f>
        <v>0</v>
      </c>
      <c r="L45" s="48">
        <v>0.00032</v>
      </c>
      <c r="M45" s="48">
        <f>G45*L45</f>
        <v>0.0324576</v>
      </c>
      <c r="N45" s="63" t="s">
        <v>631</v>
      </c>
      <c r="O45" s="17"/>
      <c r="Z45" s="65">
        <f>IF(AQ45="5",BJ45,0)</f>
        <v>0</v>
      </c>
      <c r="AB45" s="65">
        <f>IF(AQ45="1",BH45,0)</f>
        <v>0</v>
      </c>
      <c r="AC45" s="65">
        <f>IF(AQ45="1",BI45,0)</f>
        <v>0</v>
      </c>
      <c r="AD45" s="65">
        <f>IF(AQ45="7",BH45,0)</f>
        <v>0</v>
      </c>
      <c r="AE45" s="65">
        <f>IF(AQ45="7",BI45,0)</f>
        <v>0</v>
      </c>
      <c r="AF45" s="65">
        <f>IF(AQ45="2",BH45,0)</f>
        <v>0</v>
      </c>
      <c r="AG45" s="65">
        <f>IF(AQ45="2",BI45,0)</f>
        <v>0</v>
      </c>
      <c r="AH45" s="65">
        <f>IF(AQ45="0",BJ45,0)</f>
        <v>0</v>
      </c>
      <c r="AI45" s="58"/>
      <c r="AJ45" s="48">
        <f>IF(AN45=0,K45,0)</f>
        <v>0</v>
      </c>
      <c r="AK45" s="48">
        <f>IF(AN45=15,K45,0)</f>
        <v>0</v>
      </c>
      <c r="AL45" s="48">
        <f>IF(AN45=21,K45,0)</f>
        <v>0</v>
      </c>
      <c r="AN45" s="65">
        <v>15</v>
      </c>
      <c r="AO45" s="65">
        <f>H45*0.489402985074627</f>
        <v>0</v>
      </c>
      <c r="AP45" s="65">
        <f>H45*(1-0.489402985074627)</f>
        <v>0</v>
      </c>
      <c r="AQ45" s="66" t="s">
        <v>74</v>
      </c>
      <c r="AV45" s="65">
        <f>AW45+AX45</f>
        <v>0</v>
      </c>
      <c r="AW45" s="65">
        <f>G45*AO45</f>
        <v>0</v>
      </c>
      <c r="AX45" s="65">
        <f>G45*AP45</f>
        <v>0</v>
      </c>
      <c r="AY45" s="68" t="s">
        <v>644</v>
      </c>
      <c r="AZ45" s="68" t="s">
        <v>668</v>
      </c>
      <c r="BA45" s="58" t="s">
        <v>675</v>
      </c>
      <c r="BC45" s="65">
        <f>AW45+AX45</f>
        <v>0</v>
      </c>
      <c r="BD45" s="65">
        <f>H45/(100-BE45)*100</f>
        <v>0</v>
      </c>
      <c r="BE45" s="65">
        <v>0</v>
      </c>
      <c r="BF45" s="65">
        <f>M45</f>
        <v>0.0324576</v>
      </c>
      <c r="BH45" s="48">
        <f>G45*AO45</f>
        <v>0</v>
      </c>
      <c r="BI45" s="48">
        <f>G45*AP45</f>
        <v>0</v>
      </c>
      <c r="BJ45" s="48">
        <f>G45*H45</f>
        <v>0</v>
      </c>
      <c r="BK45" s="48" t="s">
        <v>680</v>
      </c>
      <c r="BL45" s="65">
        <v>61</v>
      </c>
    </row>
    <row r="46" spans="1:15" ht="12.75">
      <c r="A46" s="17"/>
      <c r="D46" s="41" t="s">
        <v>401</v>
      </c>
      <c r="E46" s="43"/>
      <c r="G46" s="49">
        <v>101.43</v>
      </c>
      <c r="N46" s="16"/>
      <c r="O46" s="17"/>
    </row>
    <row r="47" spans="1:64" ht="12.75">
      <c r="A47" s="34" t="s">
        <v>85</v>
      </c>
      <c r="B47" s="40"/>
      <c r="C47" s="40" t="s">
        <v>229</v>
      </c>
      <c r="D47" s="214" t="s">
        <v>402</v>
      </c>
      <c r="E47" s="215"/>
      <c r="F47" s="40" t="s">
        <v>609</v>
      </c>
      <c r="G47" s="48">
        <v>22.336</v>
      </c>
      <c r="H47" s="132"/>
      <c r="I47" s="48">
        <f>G47*AO47</f>
        <v>0</v>
      </c>
      <c r="J47" s="48">
        <f>G47*AP47</f>
        <v>0</v>
      </c>
      <c r="K47" s="48">
        <f>G47*H47</f>
        <v>0</v>
      </c>
      <c r="L47" s="48">
        <v>0.03921</v>
      </c>
      <c r="M47" s="48">
        <f>G47*L47</f>
        <v>0.87579456</v>
      </c>
      <c r="N47" s="63" t="s">
        <v>631</v>
      </c>
      <c r="O47" s="17"/>
      <c r="Z47" s="65">
        <f>IF(AQ47="5",BJ47,0)</f>
        <v>0</v>
      </c>
      <c r="AB47" s="65">
        <f>IF(AQ47="1",BH47,0)</f>
        <v>0</v>
      </c>
      <c r="AC47" s="65">
        <f>IF(AQ47="1",BI47,0)</f>
        <v>0</v>
      </c>
      <c r="AD47" s="65">
        <f>IF(AQ47="7",BH47,0)</f>
        <v>0</v>
      </c>
      <c r="AE47" s="65">
        <f>IF(AQ47="7",BI47,0)</f>
        <v>0</v>
      </c>
      <c r="AF47" s="65">
        <f>IF(AQ47="2",BH47,0)</f>
        <v>0</v>
      </c>
      <c r="AG47" s="65">
        <f>IF(AQ47="2",BI47,0)</f>
        <v>0</v>
      </c>
      <c r="AH47" s="65">
        <f>IF(AQ47="0",BJ47,0)</f>
        <v>0</v>
      </c>
      <c r="AI47" s="58"/>
      <c r="AJ47" s="48">
        <f>IF(AN47=0,K47,0)</f>
        <v>0</v>
      </c>
      <c r="AK47" s="48">
        <f>IF(AN47=15,K47,0)</f>
        <v>0</v>
      </c>
      <c r="AL47" s="48">
        <f>IF(AN47=21,K47,0)</f>
        <v>0</v>
      </c>
      <c r="AN47" s="65">
        <v>15</v>
      </c>
      <c r="AO47" s="65">
        <f>H47*0.158764826963759</f>
        <v>0</v>
      </c>
      <c r="AP47" s="65">
        <f>H47*(1-0.158764826963759)</f>
        <v>0</v>
      </c>
      <c r="AQ47" s="66" t="s">
        <v>74</v>
      </c>
      <c r="AV47" s="65">
        <f>AW47+AX47</f>
        <v>0</v>
      </c>
      <c r="AW47" s="65">
        <f>G47*AO47</f>
        <v>0</v>
      </c>
      <c r="AX47" s="65">
        <f>G47*AP47</f>
        <v>0</v>
      </c>
      <c r="AY47" s="68" t="s">
        <v>644</v>
      </c>
      <c r="AZ47" s="68" t="s">
        <v>668</v>
      </c>
      <c r="BA47" s="58" t="s">
        <v>675</v>
      </c>
      <c r="BC47" s="65">
        <f>AW47+AX47</f>
        <v>0</v>
      </c>
      <c r="BD47" s="65">
        <f>H47/(100-BE47)*100</f>
        <v>0</v>
      </c>
      <c r="BE47" s="65">
        <v>0</v>
      </c>
      <c r="BF47" s="65">
        <f>M47</f>
        <v>0.87579456</v>
      </c>
      <c r="BH47" s="48">
        <f>G47*AO47</f>
        <v>0</v>
      </c>
      <c r="BI47" s="48">
        <f>G47*AP47</f>
        <v>0</v>
      </c>
      <c r="BJ47" s="48">
        <f>G47*H47</f>
        <v>0</v>
      </c>
      <c r="BK47" s="48" t="s">
        <v>680</v>
      </c>
      <c r="BL47" s="65">
        <v>61</v>
      </c>
    </row>
    <row r="48" spans="1:15" ht="12.75">
      <c r="A48" s="17"/>
      <c r="D48" s="41" t="s">
        <v>403</v>
      </c>
      <c r="E48" s="43"/>
      <c r="G48" s="49">
        <v>0</v>
      </c>
      <c r="N48" s="16"/>
      <c r="O48" s="17"/>
    </row>
    <row r="49" spans="1:15" ht="12.75">
      <c r="A49" s="17"/>
      <c r="D49" s="41" t="s">
        <v>404</v>
      </c>
      <c r="E49" s="43"/>
      <c r="G49" s="49">
        <v>19.257</v>
      </c>
      <c r="N49" s="16"/>
      <c r="O49" s="17"/>
    </row>
    <row r="50" spans="1:15" ht="12.75">
      <c r="A50" s="17"/>
      <c r="D50" s="41" t="s">
        <v>405</v>
      </c>
      <c r="E50" s="43"/>
      <c r="G50" s="49">
        <v>0.91</v>
      </c>
      <c r="N50" s="16"/>
      <c r="O50" s="17"/>
    </row>
    <row r="51" spans="1:15" ht="12.75">
      <c r="A51" s="17"/>
      <c r="D51" s="41" t="s">
        <v>396</v>
      </c>
      <c r="E51" s="43"/>
      <c r="G51" s="49">
        <v>0</v>
      </c>
      <c r="N51" s="16"/>
      <c r="O51" s="17"/>
    </row>
    <row r="52" spans="1:15" ht="12.75">
      <c r="A52" s="17"/>
      <c r="D52" s="41" t="s">
        <v>406</v>
      </c>
      <c r="E52" s="43"/>
      <c r="G52" s="49">
        <v>2.169</v>
      </c>
      <c r="N52" s="16"/>
      <c r="O52" s="17"/>
    </row>
    <row r="53" spans="1:64" ht="12.75">
      <c r="A53" s="80" t="s">
        <v>86</v>
      </c>
      <c r="B53" s="80"/>
      <c r="C53" s="80" t="s">
        <v>230</v>
      </c>
      <c r="D53" s="216" t="s">
        <v>407</v>
      </c>
      <c r="E53" s="217"/>
      <c r="F53" s="80" t="s">
        <v>609</v>
      </c>
      <c r="G53" s="85">
        <v>22.511</v>
      </c>
      <c r="H53" s="133"/>
      <c r="I53" s="85">
        <f>G53*AO53</f>
        <v>0</v>
      </c>
      <c r="J53" s="85">
        <f>G53*AP53</f>
        <v>0</v>
      </c>
      <c r="K53" s="85">
        <f>G53*H53</f>
        <v>0</v>
      </c>
      <c r="L53" s="85">
        <v>0.04766</v>
      </c>
      <c r="M53" s="85">
        <f>G53*L53</f>
        <v>1.07287426</v>
      </c>
      <c r="N53" s="75" t="s">
        <v>631</v>
      </c>
      <c r="O53" s="77"/>
      <c r="Z53" s="65">
        <f>IF(AQ53="5",BJ53,0)</f>
        <v>0</v>
      </c>
      <c r="AB53" s="65">
        <f>IF(AQ53="1",BH53,0)</f>
        <v>0</v>
      </c>
      <c r="AC53" s="65">
        <f>IF(AQ53="1",BI53,0)</f>
        <v>0</v>
      </c>
      <c r="AD53" s="65">
        <f>IF(AQ53="7",BH53,0)</f>
        <v>0</v>
      </c>
      <c r="AE53" s="65">
        <f>IF(AQ53="7",BI53,0)</f>
        <v>0</v>
      </c>
      <c r="AF53" s="65">
        <f>IF(AQ53="2",BH53,0)</f>
        <v>0</v>
      </c>
      <c r="AG53" s="65">
        <f>IF(AQ53="2",BI53,0)</f>
        <v>0</v>
      </c>
      <c r="AH53" s="65">
        <f>IF(AQ53="0",BJ53,0)</f>
        <v>0</v>
      </c>
      <c r="AI53" s="58"/>
      <c r="AJ53" s="48">
        <f>IF(AN53=0,K53,0)</f>
        <v>0</v>
      </c>
      <c r="AK53" s="48">
        <f>IF(AN53=15,K53,0)</f>
        <v>0</v>
      </c>
      <c r="AL53" s="48">
        <f>IF(AN53=21,K53,0)</f>
        <v>0</v>
      </c>
      <c r="AN53" s="65">
        <v>15</v>
      </c>
      <c r="AO53" s="65">
        <f>H53*0.105012974189553</f>
        <v>0</v>
      </c>
      <c r="AP53" s="65">
        <f>H53*(1-0.105012974189553)</f>
        <v>0</v>
      </c>
      <c r="AQ53" s="66" t="s">
        <v>74</v>
      </c>
      <c r="AV53" s="65">
        <f>AW53+AX53</f>
        <v>0</v>
      </c>
      <c r="AW53" s="65">
        <f>G53*AO53</f>
        <v>0</v>
      </c>
      <c r="AX53" s="65">
        <f>G53*AP53</f>
        <v>0</v>
      </c>
      <c r="AY53" s="68" t="s">
        <v>644</v>
      </c>
      <c r="AZ53" s="68" t="s">
        <v>668</v>
      </c>
      <c r="BA53" s="58" t="s">
        <v>675</v>
      </c>
      <c r="BC53" s="65">
        <f>AW53+AX53</f>
        <v>0</v>
      </c>
      <c r="BD53" s="65">
        <f>H53/(100-BE53)*100</f>
        <v>0</v>
      </c>
      <c r="BE53" s="65">
        <v>0</v>
      </c>
      <c r="BF53" s="65">
        <f>M53</f>
        <v>1.07287426</v>
      </c>
      <c r="BH53" s="48">
        <f>G53*AO53</f>
        <v>0</v>
      </c>
      <c r="BI53" s="48">
        <f>G53*AP53</f>
        <v>0</v>
      </c>
      <c r="BJ53" s="48">
        <f>G53*H53</f>
        <v>0</v>
      </c>
      <c r="BK53" s="48" t="s">
        <v>680</v>
      </c>
      <c r="BL53" s="65">
        <v>61</v>
      </c>
    </row>
    <row r="54" spans="1:15" ht="12.75">
      <c r="A54" s="87"/>
      <c r="B54" s="88"/>
      <c r="C54" s="88"/>
      <c r="D54" s="89" t="s">
        <v>408</v>
      </c>
      <c r="E54" s="90"/>
      <c r="F54" s="88"/>
      <c r="G54" s="91">
        <v>0</v>
      </c>
      <c r="H54" s="88"/>
      <c r="I54" s="88"/>
      <c r="J54" s="88"/>
      <c r="K54" s="88"/>
      <c r="L54" s="88"/>
      <c r="M54" s="88"/>
      <c r="N54" s="78"/>
      <c r="O54" s="77"/>
    </row>
    <row r="55" spans="1:15" ht="12.75">
      <c r="A55" s="87"/>
      <c r="B55" s="88"/>
      <c r="C55" s="88"/>
      <c r="D55" s="89" t="s">
        <v>394</v>
      </c>
      <c r="E55" s="90"/>
      <c r="F55" s="88"/>
      <c r="G55" s="91">
        <v>0</v>
      </c>
      <c r="H55" s="88"/>
      <c r="I55" s="88"/>
      <c r="J55" s="88"/>
      <c r="K55" s="88"/>
      <c r="L55" s="88"/>
      <c r="M55" s="88"/>
      <c r="N55" s="78"/>
      <c r="O55" s="77"/>
    </row>
    <row r="56" spans="1:15" ht="12.75">
      <c r="A56" s="87"/>
      <c r="B56" s="88"/>
      <c r="C56" s="88"/>
      <c r="D56" s="89" t="s">
        <v>409</v>
      </c>
      <c r="E56" s="90"/>
      <c r="F56" s="88"/>
      <c r="G56" s="91">
        <v>7.625</v>
      </c>
      <c r="H56" s="88"/>
      <c r="I56" s="88"/>
      <c r="J56" s="88"/>
      <c r="K56" s="88"/>
      <c r="L56" s="88"/>
      <c r="M56" s="88"/>
      <c r="N56" s="78"/>
      <c r="O56" s="77"/>
    </row>
    <row r="57" spans="1:15" ht="12.75">
      <c r="A57" s="87"/>
      <c r="B57" s="88"/>
      <c r="C57" s="88"/>
      <c r="D57" s="89" t="s">
        <v>392</v>
      </c>
      <c r="E57" s="90"/>
      <c r="F57" s="88"/>
      <c r="G57" s="91">
        <v>0</v>
      </c>
      <c r="H57" s="88"/>
      <c r="I57" s="88"/>
      <c r="J57" s="88"/>
      <c r="K57" s="88"/>
      <c r="L57" s="88"/>
      <c r="M57" s="88"/>
      <c r="N57" s="78"/>
      <c r="O57" s="77"/>
    </row>
    <row r="58" spans="1:15" ht="12.75">
      <c r="A58" s="87"/>
      <c r="B58" s="88"/>
      <c r="C58" s="88"/>
      <c r="D58" s="89" t="s">
        <v>410</v>
      </c>
      <c r="E58" s="90"/>
      <c r="F58" s="88"/>
      <c r="G58" s="91">
        <v>7.85</v>
      </c>
      <c r="H58" s="88"/>
      <c r="I58" s="88"/>
      <c r="J58" s="88"/>
      <c r="K58" s="88"/>
      <c r="L58" s="88"/>
      <c r="M58" s="88"/>
      <c r="N58" s="78"/>
      <c r="O58" s="77"/>
    </row>
    <row r="59" spans="1:15" ht="12.75">
      <c r="A59" s="87"/>
      <c r="B59" s="88"/>
      <c r="C59" s="88"/>
      <c r="D59" s="89" t="s">
        <v>396</v>
      </c>
      <c r="E59" s="90"/>
      <c r="F59" s="88"/>
      <c r="G59" s="91">
        <v>0</v>
      </c>
      <c r="H59" s="88"/>
      <c r="I59" s="88"/>
      <c r="J59" s="88"/>
      <c r="K59" s="88"/>
      <c r="L59" s="88"/>
      <c r="M59" s="88"/>
      <c r="N59" s="78"/>
      <c r="O59" s="77"/>
    </row>
    <row r="60" spans="1:15" ht="12.75">
      <c r="A60" s="87"/>
      <c r="B60" s="88"/>
      <c r="C60" s="88"/>
      <c r="D60" s="89" t="s">
        <v>411</v>
      </c>
      <c r="E60" s="90"/>
      <c r="F60" s="88"/>
      <c r="G60" s="91">
        <v>7.036</v>
      </c>
      <c r="H60" s="88"/>
      <c r="I60" s="88"/>
      <c r="J60" s="88"/>
      <c r="K60" s="88"/>
      <c r="L60" s="88"/>
      <c r="M60" s="88"/>
      <c r="N60" s="78"/>
      <c r="O60" s="77"/>
    </row>
    <row r="61" spans="1:64" ht="12.75">
      <c r="A61" s="80" t="s">
        <v>87</v>
      </c>
      <c r="B61" s="80"/>
      <c r="C61" s="80" t="s">
        <v>231</v>
      </c>
      <c r="D61" s="216" t="s">
        <v>412</v>
      </c>
      <c r="E61" s="217"/>
      <c r="F61" s="80" t="s">
        <v>609</v>
      </c>
      <c r="G61" s="85">
        <v>79.094</v>
      </c>
      <c r="H61" s="133"/>
      <c r="I61" s="85">
        <f>G61*AO61</f>
        <v>0</v>
      </c>
      <c r="J61" s="85">
        <f>G61*AP61</f>
        <v>0</v>
      </c>
      <c r="K61" s="85">
        <f>G61*H61</f>
        <v>0</v>
      </c>
      <c r="L61" s="85">
        <v>0.0025</v>
      </c>
      <c r="M61" s="85">
        <f>G61*L61</f>
        <v>0.197735</v>
      </c>
      <c r="N61" s="75" t="s">
        <v>631</v>
      </c>
      <c r="O61" s="77"/>
      <c r="Z61" s="65">
        <f>IF(AQ61="5",BJ61,0)</f>
        <v>0</v>
      </c>
      <c r="AB61" s="65">
        <f>IF(AQ61="1",BH61,0)</f>
        <v>0</v>
      </c>
      <c r="AC61" s="65">
        <f>IF(AQ61="1",BI61,0)</f>
        <v>0</v>
      </c>
      <c r="AD61" s="65">
        <f>IF(AQ61="7",BH61,0)</f>
        <v>0</v>
      </c>
      <c r="AE61" s="65">
        <f>IF(AQ61="7",BI61,0)</f>
        <v>0</v>
      </c>
      <c r="AF61" s="65">
        <f>IF(AQ61="2",BH61,0)</f>
        <v>0</v>
      </c>
      <c r="AG61" s="65">
        <f>IF(AQ61="2",BI61,0)</f>
        <v>0</v>
      </c>
      <c r="AH61" s="65">
        <f>IF(AQ61="0",BJ61,0)</f>
        <v>0</v>
      </c>
      <c r="AI61" s="58"/>
      <c r="AJ61" s="48">
        <f>IF(AN61=0,K61,0)</f>
        <v>0</v>
      </c>
      <c r="AK61" s="48">
        <f>IF(AN61=15,K61,0)</f>
        <v>0</v>
      </c>
      <c r="AL61" s="48">
        <f>IF(AN61=21,K61,0)</f>
        <v>0</v>
      </c>
      <c r="AN61" s="65">
        <v>15</v>
      </c>
      <c r="AO61" s="65">
        <f>H61*0.114179061385466</f>
        <v>0</v>
      </c>
      <c r="AP61" s="65">
        <f>H61*(1-0.114179061385466)</f>
        <v>0</v>
      </c>
      <c r="AQ61" s="66" t="s">
        <v>74</v>
      </c>
      <c r="AV61" s="65">
        <f>AW61+AX61</f>
        <v>0</v>
      </c>
      <c r="AW61" s="65">
        <f>G61*AO61</f>
        <v>0</v>
      </c>
      <c r="AX61" s="65">
        <f>G61*AP61</f>
        <v>0</v>
      </c>
      <c r="AY61" s="68" t="s">
        <v>644</v>
      </c>
      <c r="AZ61" s="68" t="s">
        <v>668</v>
      </c>
      <c r="BA61" s="58" t="s">
        <v>675</v>
      </c>
      <c r="BC61" s="65">
        <f>AW61+AX61</f>
        <v>0</v>
      </c>
      <c r="BD61" s="65">
        <f>H61/(100-BE61)*100</f>
        <v>0</v>
      </c>
      <c r="BE61" s="65">
        <v>0</v>
      </c>
      <c r="BF61" s="65">
        <f>M61</f>
        <v>0.197735</v>
      </c>
      <c r="BH61" s="48">
        <f>G61*AO61</f>
        <v>0</v>
      </c>
      <c r="BI61" s="48">
        <f>G61*AP61</f>
        <v>0</v>
      </c>
      <c r="BJ61" s="48">
        <f>G61*H61</f>
        <v>0</v>
      </c>
      <c r="BK61" s="48" t="s">
        <v>680</v>
      </c>
      <c r="BL61" s="65">
        <v>61</v>
      </c>
    </row>
    <row r="62" spans="1:15" ht="12.75">
      <c r="A62" s="87"/>
      <c r="B62" s="88"/>
      <c r="C62" s="88"/>
      <c r="D62" s="89" t="s">
        <v>413</v>
      </c>
      <c r="E62" s="90"/>
      <c r="F62" s="88"/>
      <c r="G62" s="91">
        <v>0</v>
      </c>
      <c r="H62" s="88"/>
      <c r="I62" s="88"/>
      <c r="J62" s="88"/>
      <c r="K62" s="88"/>
      <c r="L62" s="88"/>
      <c r="M62" s="88"/>
      <c r="N62" s="78"/>
      <c r="O62" s="77"/>
    </row>
    <row r="63" spans="1:15" ht="12.75">
      <c r="A63" s="87"/>
      <c r="B63" s="88"/>
      <c r="C63" s="88"/>
      <c r="D63" s="89" t="s">
        <v>392</v>
      </c>
      <c r="E63" s="90"/>
      <c r="F63" s="88"/>
      <c r="G63" s="91">
        <v>0</v>
      </c>
      <c r="H63" s="88"/>
      <c r="I63" s="88"/>
      <c r="J63" s="88"/>
      <c r="K63" s="88"/>
      <c r="L63" s="88"/>
      <c r="M63" s="88"/>
      <c r="N63" s="78"/>
      <c r="O63" s="77"/>
    </row>
    <row r="64" spans="1:15" ht="12.75">
      <c r="A64" s="87"/>
      <c r="B64" s="88"/>
      <c r="C64" s="88"/>
      <c r="D64" s="89" t="s">
        <v>414</v>
      </c>
      <c r="E64" s="90"/>
      <c r="F64" s="88"/>
      <c r="G64" s="91">
        <v>7.85</v>
      </c>
      <c r="H64" s="88"/>
      <c r="I64" s="88"/>
      <c r="J64" s="88"/>
      <c r="K64" s="88"/>
      <c r="L64" s="88"/>
      <c r="M64" s="88"/>
      <c r="N64" s="78"/>
      <c r="O64" s="77"/>
    </row>
    <row r="65" spans="1:15" ht="12.75">
      <c r="A65" s="87"/>
      <c r="B65" s="88"/>
      <c r="C65" s="88"/>
      <c r="D65" s="89" t="s">
        <v>396</v>
      </c>
      <c r="E65" s="90"/>
      <c r="F65" s="88"/>
      <c r="G65" s="91">
        <v>0</v>
      </c>
      <c r="H65" s="88"/>
      <c r="I65" s="88"/>
      <c r="J65" s="88"/>
      <c r="K65" s="88"/>
      <c r="L65" s="88"/>
      <c r="M65" s="88"/>
      <c r="N65" s="78"/>
      <c r="O65" s="77"/>
    </row>
    <row r="66" spans="1:15" ht="12.75">
      <c r="A66" s="87"/>
      <c r="B66" s="88"/>
      <c r="C66" s="88"/>
      <c r="D66" s="89" t="s">
        <v>415</v>
      </c>
      <c r="E66" s="90"/>
      <c r="F66" s="88"/>
      <c r="G66" s="91">
        <v>24.674</v>
      </c>
      <c r="H66" s="88"/>
      <c r="I66" s="88"/>
      <c r="J66" s="88"/>
      <c r="K66" s="88"/>
      <c r="L66" s="88"/>
      <c r="M66" s="88"/>
      <c r="N66" s="78"/>
      <c r="O66" s="77"/>
    </row>
    <row r="67" spans="1:15" ht="12.75">
      <c r="A67" s="87"/>
      <c r="B67" s="88"/>
      <c r="C67" s="88"/>
      <c r="D67" s="89" t="s">
        <v>416</v>
      </c>
      <c r="E67" s="90"/>
      <c r="F67" s="88"/>
      <c r="G67" s="91">
        <v>-5.469</v>
      </c>
      <c r="H67" s="88"/>
      <c r="I67" s="88"/>
      <c r="J67" s="88"/>
      <c r="K67" s="88"/>
      <c r="L67" s="88"/>
      <c r="M67" s="88"/>
      <c r="N67" s="78"/>
      <c r="O67" s="77"/>
    </row>
    <row r="68" spans="1:15" ht="12.75">
      <c r="A68" s="87"/>
      <c r="B68" s="88"/>
      <c r="C68" s="88"/>
      <c r="D68" s="89" t="s">
        <v>417</v>
      </c>
      <c r="E68" s="90"/>
      <c r="F68" s="88"/>
      <c r="G68" s="91">
        <v>0</v>
      </c>
      <c r="H68" s="88"/>
      <c r="I68" s="88"/>
      <c r="J68" s="88"/>
      <c r="K68" s="88"/>
      <c r="L68" s="88"/>
      <c r="M68" s="88"/>
      <c r="N68" s="78"/>
      <c r="O68" s="77"/>
    </row>
    <row r="69" spans="1:15" ht="12.75">
      <c r="A69" s="87"/>
      <c r="B69" s="88"/>
      <c r="C69" s="88"/>
      <c r="D69" s="89" t="s">
        <v>418</v>
      </c>
      <c r="E69" s="90"/>
      <c r="F69" s="88"/>
      <c r="G69" s="91">
        <v>5.5</v>
      </c>
      <c r="H69" s="88"/>
      <c r="I69" s="88"/>
      <c r="J69" s="88"/>
      <c r="K69" s="88"/>
      <c r="L69" s="88"/>
      <c r="M69" s="88"/>
      <c r="N69" s="78"/>
      <c r="O69" s="77"/>
    </row>
    <row r="70" spans="1:15" ht="12.75">
      <c r="A70" s="87"/>
      <c r="B70" s="88"/>
      <c r="C70" s="88"/>
      <c r="D70" s="89" t="s">
        <v>398</v>
      </c>
      <c r="E70" s="90"/>
      <c r="F70" s="88"/>
      <c r="G70" s="91">
        <v>0</v>
      </c>
      <c r="H70" s="88"/>
      <c r="I70" s="88"/>
      <c r="J70" s="88"/>
      <c r="K70" s="88"/>
      <c r="L70" s="88"/>
      <c r="M70" s="88"/>
      <c r="N70" s="78"/>
      <c r="O70" s="77"/>
    </row>
    <row r="71" spans="1:15" ht="12.75">
      <c r="A71" s="87"/>
      <c r="B71" s="88"/>
      <c r="C71" s="88"/>
      <c r="D71" s="89" t="s">
        <v>419</v>
      </c>
      <c r="E71" s="90"/>
      <c r="F71" s="88"/>
      <c r="G71" s="91">
        <v>45.329</v>
      </c>
      <c r="H71" s="88"/>
      <c r="I71" s="88"/>
      <c r="J71" s="88"/>
      <c r="K71" s="88"/>
      <c r="L71" s="88"/>
      <c r="M71" s="88"/>
      <c r="N71" s="78"/>
      <c r="O71" s="77"/>
    </row>
    <row r="72" spans="1:15" ht="12.75">
      <c r="A72" s="87"/>
      <c r="B72" s="88"/>
      <c r="C72" s="88"/>
      <c r="D72" s="89" t="s">
        <v>420</v>
      </c>
      <c r="E72" s="90"/>
      <c r="F72" s="88"/>
      <c r="G72" s="91">
        <v>1.21</v>
      </c>
      <c r="H72" s="88"/>
      <c r="I72" s="88"/>
      <c r="J72" s="88"/>
      <c r="K72" s="88"/>
      <c r="L72" s="88"/>
      <c r="M72" s="88"/>
      <c r="N72" s="78"/>
      <c r="O72" s="77"/>
    </row>
    <row r="73" spans="1:64" ht="12.75">
      <c r="A73" s="80" t="s">
        <v>88</v>
      </c>
      <c r="B73" s="80"/>
      <c r="C73" s="80" t="s">
        <v>232</v>
      </c>
      <c r="D73" s="216" t="s">
        <v>421</v>
      </c>
      <c r="E73" s="217"/>
      <c r="F73" s="80" t="s">
        <v>609</v>
      </c>
      <c r="G73" s="85">
        <v>5.5</v>
      </c>
      <c r="H73" s="133"/>
      <c r="I73" s="85">
        <f>G73*AO73</f>
        <v>0</v>
      </c>
      <c r="J73" s="85">
        <f>G73*AP73</f>
        <v>0</v>
      </c>
      <c r="K73" s="85">
        <f>G73*H73</f>
        <v>0</v>
      </c>
      <c r="L73" s="85">
        <v>0.10712</v>
      </c>
      <c r="M73" s="85">
        <f>G73*L73</f>
        <v>0.58916</v>
      </c>
      <c r="N73" s="75" t="s">
        <v>631</v>
      </c>
      <c r="O73" s="77"/>
      <c r="Z73" s="65">
        <f>IF(AQ73="5",BJ73,0)</f>
        <v>0</v>
      </c>
      <c r="AB73" s="65">
        <f>IF(AQ73="1",BH73,0)</f>
        <v>0</v>
      </c>
      <c r="AC73" s="65">
        <f>IF(AQ73="1",BI73,0)</f>
        <v>0</v>
      </c>
      <c r="AD73" s="65">
        <f>IF(AQ73="7",BH73,0)</f>
        <v>0</v>
      </c>
      <c r="AE73" s="65">
        <f>IF(AQ73="7",BI73,0)</f>
        <v>0</v>
      </c>
      <c r="AF73" s="65">
        <f>IF(AQ73="2",BH73,0)</f>
        <v>0</v>
      </c>
      <c r="AG73" s="65">
        <f>IF(AQ73="2",BI73,0)</f>
        <v>0</v>
      </c>
      <c r="AH73" s="65">
        <f>IF(AQ73="0",BJ73,0)</f>
        <v>0</v>
      </c>
      <c r="AI73" s="58"/>
      <c r="AJ73" s="48">
        <f>IF(AN73=0,K73,0)</f>
        <v>0</v>
      </c>
      <c r="AK73" s="48">
        <f>IF(AN73=15,K73,0)</f>
        <v>0</v>
      </c>
      <c r="AL73" s="48">
        <f>IF(AN73=21,K73,0)</f>
        <v>0</v>
      </c>
      <c r="AN73" s="65">
        <v>15</v>
      </c>
      <c r="AO73" s="65">
        <f>H73*0.246430260047281</f>
        <v>0</v>
      </c>
      <c r="AP73" s="65">
        <f>H73*(1-0.246430260047281)</f>
        <v>0</v>
      </c>
      <c r="AQ73" s="66" t="s">
        <v>74</v>
      </c>
      <c r="AV73" s="65">
        <f>AW73+AX73</f>
        <v>0</v>
      </c>
      <c r="AW73" s="65">
        <f>G73*AO73</f>
        <v>0</v>
      </c>
      <c r="AX73" s="65">
        <f>G73*AP73</f>
        <v>0</v>
      </c>
      <c r="AY73" s="68" t="s">
        <v>644</v>
      </c>
      <c r="AZ73" s="68" t="s">
        <v>668</v>
      </c>
      <c r="BA73" s="58" t="s">
        <v>675</v>
      </c>
      <c r="BC73" s="65">
        <f>AW73+AX73</f>
        <v>0</v>
      </c>
      <c r="BD73" s="65">
        <f>H73/(100-BE73)*100</f>
        <v>0</v>
      </c>
      <c r="BE73" s="65">
        <v>0</v>
      </c>
      <c r="BF73" s="65">
        <f>M73</f>
        <v>0.58916</v>
      </c>
      <c r="BH73" s="48">
        <f>G73*AO73</f>
        <v>0</v>
      </c>
      <c r="BI73" s="48">
        <f>G73*AP73</f>
        <v>0</v>
      </c>
      <c r="BJ73" s="48">
        <f>G73*H73</f>
        <v>0</v>
      </c>
      <c r="BK73" s="48" t="s">
        <v>680</v>
      </c>
      <c r="BL73" s="65">
        <v>61</v>
      </c>
    </row>
    <row r="74" spans="1:47" ht="12.75">
      <c r="A74" s="93"/>
      <c r="B74" s="94"/>
      <c r="C74" s="94" t="s">
        <v>135</v>
      </c>
      <c r="D74" s="218" t="s">
        <v>422</v>
      </c>
      <c r="E74" s="219"/>
      <c r="F74" s="93" t="s">
        <v>73</v>
      </c>
      <c r="G74" s="93" t="s">
        <v>73</v>
      </c>
      <c r="H74" s="93" t="s">
        <v>73</v>
      </c>
      <c r="I74" s="95">
        <f>SUM(I75:I75)</f>
        <v>0</v>
      </c>
      <c r="J74" s="95">
        <f>SUM(J75:J75)</f>
        <v>0</v>
      </c>
      <c r="K74" s="95">
        <f>SUM(K75:K75)</f>
        <v>0</v>
      </c>
      <c r="L74" s="96"/>
      <c r="M74" s="95">
        <f>SUM(M75:M75)</f>
        <v>0.00024804</v>
      </c>
      <c r="N74" s="92"/>
      <c r="O74" s="77"/>
      <c r="AI74" s="58"/>
      <c r="AS74" s="71">
        <f>SUM(AJ75:AJ75)</f>
        <v>0</v>
      </c>
      <c r="AT74" s="71">
        <f>SUM(AK75:AK75)</f>
        <v>0</v>
      </c>
      <c r="AU74" s="71">
        <f>SUM(AL75:AL75)</f>
        <v>0</v>
      </c>
    </row>
    <row r="75" spans="1:64" ht="12.75">
      <c r="A75" s="80" t="s">
        <v>89</v>
      </c>
      <c r="B75" s="80"/>
      <c r="C75" s="80" t="s">
        <v>233</v>
      </c>
      <c r="D75" s="216" t="s">
        <v>423</v>
      </c>
      <c r="E75" s="217"/>
      <c r="F75" s="80" t="s">
        <v>610</v>
      </c>
      <c r="G75" s="85">
        <v>24.804</v>
      </c>
      <c r="H75" s="133"/>
      <c r="I75" s="85">
        <f>G75*AO75</f>
        <v>0</v>
      </c>
      <c r="J75" s="85">
        <f>G75*AP75</f>
        <v>0</v>
      </c>
      <c r="K75" s="85">
        <f>G75*H75</f>
        <v>0</v>
      </c>
      <c r="L75" s="85">
        <v>1E-05</v>
      </c>
      <c r="M75" s="85">
        <f>G75*L75</f>
        <v>0.00024804</v>
      </c>
      <c r="N75" s="75" t="s">
        <v>631</v>
      </c>
      <c r="O75" s="77"/>
      <c r="Z75" s="65">
        <f>IF(AQ75="5",BJ75,0)</f>
        <v>0</v>
      </c>
      <c r="AB75" s="65">
        <f>IF(AQ75="1",BH75,0)</f>
        <v>0</v>
      </c>
      <c r="AC75" s="65">
        <f>IF(AQ75="1",BI75,0)</f>
        <v>0</v>
      </c>
      <c r="AD75" s="65">
        <f>IF(AQ75="7",BH75,0)</f>
        <v>0</v>
      </c>
      <c r="AE75" s="65">
        <f>IF(AQ75="7",BI75,0)</f>
        <v>0</v>
      </c>
      <c r="AF75" s="65">
        <f>IF(AQ75="2",BH75,0)</f>
        <v>0</v>
      </c>
      <c r="AG75" s="65">
        <f>IF(AQ75="2",BI75,0)</f>
        <v>0</v>
      </c>
      <c r="AH75" s="65">
        <f>IF(AQ75="0",BJ75,0)</f>
        <v>0</v>
      </c>
      <c r="AI75" s="58"/>
      <c r="AJ75" s="48">
        <f>IF(AN75=0,K75,0)</f>
        <v>0</v>
      </c>
      <c r="AK75" s="48">
        <f>IF(AN75=15,K75,0)</f>
        <v>0</v>
      </c>
      <c r="AL75" s="48">
        <f>IF(AN75=21,K75,0)</f>
        <v>0</v>
      </c>
      <c r="AN75" s="65">
        <v>15</v>
      </c>
      <c r="AO75" s="65">
        <f>H75*0.150775947745101</f>
        <v>0</v>
      </c>
      <c r="AP75" s="65">
        <f>H75*(1-0.150775947745101)</f>
        <v>0</v>
      </c>
      <c r="AQ75" s="66" t="s">
        <v>74</v>
      </c>
      <c r="AV75" s="65">
        <f>AW75+AX75</f>
        <v>0</v>
      </c>
      <c r="AW75" s="65">
        <f>G75*AO75</f>
        <v>0</v>
      </c>
      <c r="AX75" s="65">
        <f>G75*AP75</f>
        <v>0</v>
      </c>
      <c r="AY75" s="68" t="s">
        <v>645</v>
      </c>
      <c r="AZ75" s="68" t="s">
        <v>668</v>
      </c>
      <c r="BA75" s="58" t="s">
        <v>675</v>
      </c>
      <c r="BC75" s="65">
        <f>AW75+AX75</f>
        <v>0</v>
      </c>
      <c r="BD75" s="65">
        <f>H75/(100-BE75)*100</f>
        <v>0</v>
      </c>
      <c r="BE75" s="65">
        <v>0</v>
      </c>
      <c r="BF75" s="65">
        <f>M75</f>
        <v>0.00024804</v>
      </c>
      <c r="BH75" s="48">
        <f>G75*AO75</f>
        <v>0</v>
      </c>
      <c r="BI75" s="48">
        <f>G75*AP75</f>
        <v>0</v>
      </c>
      <c r="BJ75" s="48">
        <f>G75*H75</f>
        <v>0</v>
      </c>
      <c r="BK75" s="48" t="s">
        <v>680</v>
      </c>
      <c r="BL75" s="65">
        <v>62</v>
      </c>
    </row>
    <row r="76" spans="1:47" ht="12.75">
      <c r="A76" s="93"/>
      <c r="B76" s="94"/>
      <c r="C76" s="94" t="s">
        <v>136</v>
      </c>
      <c r="D76" s="218" t="s">
        <v>424</v>
      </c>
      <c r="E76" s="219"/>
      <c r="F76" s="93" t="s">
        <v>73</v>
      </c>
      <c r="G76" s="93" t="s">
        <v>73</v>
      </c>
      <c r="H76" s="93" t="s">
        <v>73</v>
      </c>
      <c r="I76" s="95">
        <f>SUM(I77:I80)</f>
        <v>0</v>
      </c>
      <c r="J76" s="95">
        <f>SUM(J77:J80)</f>
        <v>0</v>
      </c>
      <c r="K76" s="95">
        <f>SUM(K77:K80)</f>
        <v>0</v>
      </c>
      <c r="L76" s="96"/>
      <c r="M76" s="95">
        <f>SUM(M77:M80)</f>
        <v>0.6133564</v>
      </c>
      <c r="N76" s="92"/>
      <c r="O76" s="77"/>
      <c r="AI76" s="58"/>
      <c r="AS76" s="71">
        <f>SUM(AJ77:AJ80)</f>
        <v>0</v>
      </c>
      <c r="AT76" s="71">
        <f>SUM(AK77:AK80)</f>
        <v>0</v>
      </c>
      <c r="AU76" s="71">
        <f>SUM(AL77:AL80)</f>
        <v>0</v>
      </c>
    </row>
    <row r="77" spans="1:64" ht="12.75">
      <c r="A77" s="80" t="s">
        <v>90</v>
      </c>
      <c r="B77" s="80"/>
      <c r="C77" s="80" t="s">
        <v>234</v>
      </c>
      <c r="D77" s="216" t="s">
        <v>425</v>
      </c>
      <c r="E77" s="217"/>
      <c r="F77" s="80" t="s">
        <v>609</v>
      </c>
      <c r="G77" s="85">
        <v>3.718</v>
      </c>
      <c r="H77" s="133"/>
      <c r="I77" s="85">
        <f>G77*AO77</f>
        <v>0</v>
      </c>
      <c r="J77" s="85">
        <f>G77*AP77</f>
        <v>0</v>
      </c>
      <c r="K77" s="85">
        <f>G77*H77</f>
        <v>0</v>
      </c>
      <c r="L77" s="85">
        <v>0.0798</v>
      </c>
      <c r="M77" s="85">
        <f>G77*L77</f>
        <v>0.29669639999999997</v>
      </c>
      <c r="N77" s="75" t="s">
        <v>631</v>
      </c>
      <c r="O77" s="77"/>
      <c r="Z77" s="65">
        <f>IF(AQ77="5",BJ77,0)</f>
        <v>0</v>
      </c>
      <c r="AB77" s="65">
        <f>IF(AQ77="1",BH77,0)</f>
        <v>0</v>
      </c>
      <c r="AC77" s="65">
        <f>IF(AQ77="1",BI77,0)</f>
        <v>0</v>
      </c>
      <c r="AD77" s="65">
        <f>IF(AQ77="7",BH77,0)</f>
        <v>0</v>
      </c>
      <c r="AE77" s="65">
        <f>IF(AQ77="7",BI77,0)</f>
        <v>0</v>
      </c>
      <c r="AF77" s="65">
        <f>IF(AQ77="2",BH77,0)</f>
        <v>0</v>
      </c>
      <c r="AG77" s="65">
        <f>IF(AQ77="2",BI77,0)</f>
        <v>0</v>
      </c>
      <c r="AH77" s="65">
        <f>IF(AQ77="0",BJ77,0)</f>
        <v>0</v>
      </c>
      <c r="AI77" s="58"/>
      <c r="AJ77" s="48">
        <f>IF(AN77=0,K77,0)</f>
        <v>0</v>
      </c>
      <c r="AK77" s="48">
        <f>IF(AN77=15,K77,0)</f>
        <v>0</v>
      </c>
      <c r="AL77" s="48">
        <f>IF(AN77=21,K77,0)</f>
        <v>0</v>
      </c>
      <c r="AN77" s="65">
        <v>15</v>
      </c>
      <c r="AO77" s="65">
        <f>H77*0.571333260402953</f>
        <v>0</v>
      </c>
      <c r="AP77" s="65">
        <f>H77*(1-0.571333260402953)</f>
        <v>0</v>
      </c>
      <c r="AQ77" s="66" t="s">
        <v>74</v>
      </c>
      <c r="AV77" s="65">
        <f>AW77+AX77</f>
        <v>0</v>
      </c>
      <c r="AW77" s="65">
        <f>G77*AO77</f>
        <v>0</v>
      </c>
      <c r="AX77" s="65">
        <f>G77*AP77</f>
        <v>0</v>
      </c>
      <c r="AY77" s="68" t="s">
        <v>646</v>
      </c>
      <c r="AZ77" s="68" t="s">
        <v>668</v>
      </c>
      <c r="BA77" s="58" t="s">
        <v>675</v>
      </c>
      <c r="BC77" s="65">
        <f>AW77+AX77</f>
        <v>0</v>
      </c>
      <c r="BD77" s="65">
        <f>H77/(100-BE77)*100</f>
        <v>0</v>
      </c>
      <c r="BE77" s="65">
        <v>0</v>
      </c>
      <c r="BF77" s="65">
        <f>M77</f>
        <v>0.29669639999999997</v>
      </c>
      <c r="BH77" s="48">
        <f>G77*AO77</f>
        <v>0</v>
      </c>
      <c r="BI77" s="48">
        <f>G77*AP77</f>
        <v>0</v>
      </c>
      <c r="BJ77" s="48">
        <f>G77*H77</f>
        <v>0</v>
      </c>
      <c r="BK77" s="48" t="s">
        <v>680</v>
      </c>
      <c r="BL77" s="65">
        <v>63</v>
      </c>
    </row>
    <row r="78" spans="1:15" ht="12.75">
      <c r="A78" s="87"/>
      <c r="B78" s="88"/>
      <c r="C78" s="88"/>
      <c r="D78" s="89" t="s">
        <v>426</v>
      </c>
      <c r="E78" s="90"/>
      <c r="F78" s="88"/>
      <c r="G78" s="91">
        <v>0</v>
      </c>
      <c r="H78" s="88"/>
      <c r="I78" s="88"/>
      <c r="J78" s="88"/>
      <c r="K78" s="88"/>
      <c r="L78" s="88"/>
      <c r="M78" s="88"/>
      <c r="N78" s="78"/>
      <c r="O78" s="77"/>
    </row>
    <row r="79" spans="1:15" ht="12.75">
      <c r="A79" s="87"/>
      <c r="B79" s="88"/>
      <c r="C79" s="88"/>
      <c r="D79" s="89" t="s">
        <v>427</v>
      </c>
      <c r="E79" s="90"/>
      <c r="F79" s="88"/>
      <c r="G79" s="91">
        <v>3.718</v>
      </c>
      <c r="H79" s="88"/>
      <c r="I79" s="88"/>
      <c r="J79" s="88"/>
      <c r="K79" s="88"/>
      <c r="L79" s="88"/>
      <c r="M79" s="88"/>
      <c r="N79" s="78"/>
      <c r="O79" s="77"/>
    </row>
    <row r="80" spans="1:64" ht="12.75">
      <c r="A80" s="80" t="s">
        <v>91</v>
      </c>
      <c r="B80" s="80"/>
      <c r="C80" s="80" t="s">
        <v>235</v>
      </c>
      <c r="D80" s="216" t="s">
        <v>428</v>
      </c>
      <c r="E80" s="217"/>
      <c r="F80" s="80" t="s">
        <v>609</v>
      </c>
      <c r="G80" s="85">
        <v>35.5</v>
      </c>
      <c r="H80" s="133"/>
      <c r="I80" s="85">
        <f>G80*AO80</f>
        <v>0</v>
      </c>
      <c r="J80" s="85">
        <f>G80*AP80</f>
        <v>0</v>
      </c>
      <c r="K80" s="85">
        <f>G80*H80</f>
        <v>0</v>
      </c>
      <c r="L80" s="85">
        <v>0.00892</v>
      </c>
      <c r="M80" s="85">
        <f>G80*L80</f>
        <v>0.31666000000000005</v>
      </c>
      <c r="N80" s="75" t="s">
        <v>631</v>
      </c>
      <c r="O80" s="77"/>
      <c r="Z80" s="65">
        <f>IF(AQ80="5",BJ80,0)</f>
        <v>0</v>
      </c>
      <c r="AB80" s="65">
        <f>IF(AQ80="1",BH80,0)</f>
        <v>0</v>
      </c>
      <c r="AC80" s="65">
        <f>IF(AQ80="1",BI80,0)</f>
        <v>0</v>
      </c>
      <c r="AD80" s="65">
        <f>IF(AQ80="7",BH80,0)</f>
        <v>0</v>
      </c>
      <c r="AE80" s="65">
        <f>IF(AQ80="7",BI80,0)</f>
        <v>0</v>
      </c>
      <c r="AF80" s="65">
        <f>IF(AQ80="2",BH80,0)</f>
        <v>0</v>
      </c>
      <c r="AG80" s="65">
        <f>IF(AQ80="2",BI80,0)</f>
        <v>0</v>
      </c>
      <c r="AH80" s="65">
        <f>IF(AQ80="0",BJ80,0)</f>
        <v>0</v>
      </c>
      <c r="AI80" s="58"/>
      <c r="AJ80" s="48">
        <f>IF(AN80=0,K80,0)</f>
        <v>0</v>
      </c>
      <c r="AK80" s="48">
        <f>IF(AN80=15,K80,0)</f>
        <v>0</v>
      </c>
      <c r="AL80" s="48">
        <f>IF(AN80=21,K80,0)</f>
        <v>0</v>
      </c>
      <c r="AN80" s="65">
        <v>15</v>
      </c>
      <c r="AO80" s="65">
        <f>H80*0.704642032332564</f>
        <v>0</v>
      </c>
      <c r="AP80" s="65">
        <f>H80*(1-0.704642032332564)</f>
        <v>0</v>
      </c>
      <c r="AQ80" s="66" t="s">
        <v>74</v>
      </c>
      <c r="AV80" s="65">
        <f>AW80+AX80</f>
        <v>0</v>
      </c>
      <c r="AW80" s="65">
        <f>G80*AO80</f>
        <v>0</v>
      </c>
      <c r="AX80" s="65">
        <f>G80*AP80</f>
        <v>0</v>
      </c>
      <c r="AY80" s="68" t="s">
        <v>646</v>
      </c>
      <c r="AZ80" s="68" t="s">
        <v>668</v>
      </c>
      <c r="BA80" s="58" t="s">
        <v>675</v>
      </c>
      <c r="BC80" s="65">
        <f>AW80+AX80</f>
        <v>0</v>
      </c>
      <c r="BD80" s="65">
        <f>H80/(100-BE80)*100</f>
        <v>0</v>
      </c>
      <c r="BE80" s="65">
        <v>0</v>
      </c>
      <c r="BF80" s="65">
        <f>M80</f>
        <v>0.31666000000000005</v>
      </c>
      <c r="BH80" s="48">
        <f>G80*AO80</f>
        <v>0</v>
      </c>
      <c r="BI80" s="48">
        <f>G80*AP80</f>
        <v>0</v>
      </c>
      <c r="BJ80" s="48">
        <f>G80*H80</f>
        <v>0</v>
      </c>
      <c r="BK80" s="48" t="s">
        <v>680</v>
      </c>
      <c r="BL80" s="65">
        <v>63</v>
      </c>
    </row>
    <row r="81" spans="1:47" ht="12.75">
      <c r="A81" s="93"/>
      <c r="B81" s="94"/>
      <c r="C81" s="94" t="s">
        <v>137</v>
      </c>
      <c r="D81" s="218" t="s">
        <v>429</v>
      </c>
      <c r="E81" s="219"/>
      <c r="F81" s="93" t="s">
        <v>73</v>
      </c>
      <c r="G81" s="93" t="s">
        <v>73</v>
      </c>
      <c r="H81" s="93" t="s">
        <v>73</v>
      </c>
      <c r="I81" s="95">
        <f>SUM(I82:I84)</f>
        <v>0</v>
      </c>
      <c r="J81" s="95">
        <f>SUM(J82:J84)</f>
        <v>0</v>
      </c>
      <c r="K81" s="95">
        <f>SUM(K82:K84)</f>
        <v>0</v>
      </c>
      <c r="L81" s="96"/>
      <c r="M81" s="95">
        <f>SUM(M82:M84)</f>
        <v>0.11962</v>
      </c>
      <c r="N81" s="92"/>
      <c r="O81" s="77"/>
      <c r="AI81" s="58"/>
      <c r="AS81" s="71">
        <f>SUM(AJ82:AJ84)</f>
        <v>0</v>
      </c>
      <c r="AT81" s="71">
        <f>SUM(AK82:AK84)</f>
        <v>0</v>
      </c>
      <c r="AU81" s="71">
        <f>SUM(AL82:AL84)</f>
        <v>0</v>
      </c>
    </row>
    <row r="82" spans="1:64" ht="12.75">
      <c r="A82" s="80" t="s">
        <v>92</v>
      </c>
      <c r="B82" s="80"/>
      <c r="C82" s="80" t="s">
        <v>236</v>
      </c>
      <c r="D82" s="216" t="s">
        <v>430</v>
      </c>
      <c r="E82" s="217"/>
      <c r="F82" s="80" t="s">
        <v>611</v>
      </c>
      <c r="G82" s="85">
        <v>4</v>
      </c>
      <c r="H82" s="133"/>
      <c r="I82" s="85">
        <f>G82*AO82</f>
        <v>0</v>
      </c>
      <c r="J82" s="85">
        <f>G82*AP82</f>
        <v>0</v>
      </c>
      <c r="K82" s="85">
        <f>G82*H82</f>
        <v>0</v>
      </c>
      <c r="L82" s="85">
        <v>0.01414</v>
      </c>
      <c r="M82" s="85">
        <f>G82*L82</f>
        <v>0.05656</v>
      </c>
      <c r="N82" s="75" t="s">
        <v>631</v>
      </c>
      <c r="O82" s="77"/>
      <c r="Z82" s="65">
        <f>IF(AQ82="5",BJ82,0)</f>
        <v>0</v>
      </c>
      <c r="AB82" s="65">
        <f>IF(AQ82="1",BH82,0)</f>
        <v>0</v>
      </c>
      <c r="AC82" s="65">
        <f>IF(AQ82="1",BI82,0)</f>
        <v>0</v>
      </c>
      <c r="AD82" s="65">
        <f>IF(AQ82="7",BH82,0)</f>
        <v>0</v>
      </c>
      <c r="AE82" s="65">
        <f>IF(AQ82="7",BI82,0)</f>
        <v>0</v>
      </c>
      <c r="AF82" s="65">
        <f>IF(AQ82="2",BH82,0)</f>
        <v>0</v>
      </c>
      <c r="AG82" s="65">
        <f>IF(AQ82="2",BI82,0)</f>
        <v>0</v>
      </c>
      <c r="AH82" s="65">
        <f>IF(AQ82="0",BJ82,0)</f>
        <v>0</v>
      </c>
      <c r="AI82" s="58"/>
      <c r="AJ82" s="48">
        <f>IF(AN82=0,K82,0)</f>
        <v>0</v>
      </c>
      <c r="AK82" s="48">
        <f>IF(AN82=15,K82,0)</f>
        <v>0</v>
      </c>
      <c r="AL82" s="48">
        <f>IF(AN82=21,K82,0)</f>
        <v>0</v>
      </c>
      <c r="AN82" s="65">
        <v>15</v>
      </c>
      <c r="AO82" s="65">
        <f>H82*0.158552844942525</f>
        <v>0</v>
      </c>
      <c r="AP82" s="65">
        <f>H82*(1-0.158552844942525)</f>
        <v>0</v>
      </c>
      <c r="AQ82" s="66" t="s">
        <v>74</v>
      </c>
      <c r="AV82" s="65">
        <f>AW82+AX82</f>
        <v>0</v>
      </c>
      <c r="AW82" s="65">
        <f>G82*AO82</f>
        <v>0</v>
      </c>
      <c r="AX82" s="65">
        <f>G82*AP82</f>
        <v>0</v>
      </c>
      <c r="AY82" s="68" t="s">
        <v>647</v>
      </c>
      <c r="AZ82" s="68" t="s">
        <v>668</v>
      </c>
      <c r="BA82" s="58" t="s">
        <v>675</v>
      </c>
      <c r="BC82" s="65">
        <f>AW82+AX82</f>
        <v>0</v>
      </c>
      <c r="BD82" s="65">
        <f>H82/(100-BE82)*100</f>
        <v>0</v>
      </c>
      <c r="BE82" s="65">
        <v>0</v>
      </c>
      <c r="BF82" s="65">
        <f>M82</f>
        <v>0.05656</v>
      </c>
      <c r="BH82" s="48">
        <f>G82*AO82</f>
        <v>0</v>
      </c>
      <c r="BI82" s="48">
        <f>G82*AP82</f>
        <v>0</v>
      </c>
      <c r="BJ82" s="48">
        <f>G82*H82</f>
        <v>0</v>
      </c>
      <c r="BK82" s="48" t="s">
        <v>680</v>
      </c>
      <c r="BL82" s="65">
        <v>64</v>
      </c>
    </row>
    <row r="83" spans="1:64" ht="12.75">
      <c r="A83" s="98" t="s">
        <v>93</v>
      </c>
      <c r="B83" s="98"/>
      <c r="C83" s="98" t="s">
        <v>237</v>
      </c>
      <c r="D83" s="220" t="s">
        <v>431</v>
      </c>
      <c r="E83" s="221"/>
      <c r="F83" s="98" t="s">
        <v>611</v>
      </c>
      <c r="G83" s="99">
        <v>4</v>
      </c>
      <c r="H83" s="134"/>
      <c r="I83" s="99">
        <f>G83*AO83</f>
        <v>0</v>
      </c>
      <c r="J83" s="99">
        <f>G83*AP83</f>
        <v>0</v>
      </c>
      <c r="K83" s="99">
        <f>G83*H83</f>
        <v>0</v>
      </c>
      <c r="L83" s="99">
        <v>0.00098</v>
      </c>
      <c r="M83" s="99">
        <f>G83*L83</f>
        <v>0.00392</v>
      </c>
      <c r="N83" s="97" t="s">
        <v>237</v>
      </c>
      <c r="O83" s="77"/>
      <c r="Z83" s="65">
        <f>IF(AQ83="5",BJ83,0)</f>
        <v>0</v>
      </c>
      <c r="AB83" s="65">
        <f>IF(AQ83="1",BH83,0)</f>
        <v>0</v>
      </c>
      <c r="AC83" s="65">
        <f>IF(AQ83="1",BI83,0)</f>
        <v>0</v>
      </c>
      <c r="AD83" s="65">
        <f>IF(AQ83="7",BH83,0)</f>
        <v>0</v>
      </c>
      <c r="AE83" s="65">
        <f>IF(AQ83="7",BI83,0)</f>
        <v>0</v>
      </c>
      <c r="AF83" s="65">
        <f>IF(AQ83="2",BH83,0)</f>
        <v>0</v>
      </c>
      <c r="AG83" s="65">
        <f>IF(AQ83="2",BI83,0)</f>
        <v>0</v>
      </c>
      <c r="AH83" s="65">
        <f>IF(AQ83="0",BJ83,0)</f>
        <v>0</v>
      </c>
      <c r="AI83" s="58"/>
      <c r="AJ83" s="50">
        <f>IF(AN83=0,K83,0)</f>
        <v>0</v>
      </c>
      <c r="AK83" s="50">
        <f>IF(AN83=15,K83,0)</f>
        <v>0</v>
      </c>
      <c r="AL83" s="50">
        <f>IF(AN83=21,K83,0)</f>
        <v>0</v>
      </c>
      <c r="AN83" s="65">
        <v>15</v>
      </c>
      <c r="AO83" s="65">
        <f>H83*1</f>
        <v>0</v>
      </c>
      <c r="AP83" s="65">
        <f>H83*(1-1)</f>
        <v>0</v>
      </c>
      <c r="AQ83" s="67" t="s">
        <v>74</v>
      </c>
      <c r="AV83" s="65">
        <f>AW83+AX83</f>
        <v>0</v>
      </c>
      <c r="AW83" s="65">
        <f>G83*AO83</f>
        <v>0</v>
      </c>
      <c r="AX83" s="65">
        <f>G83*AP83</f>
        <v>0</v>
      </c>
      <c r="AY83" s="68" t="s">
        <v>647</v>
      </c>
      <c r="AZ83" s="68" t="s">
        <v>668</v>
      </c>
      <c r="BA83" s="58" t="s">
        <v>675</v>
      </c>
      <c r="BC83" s="65">
        <f>AW83+AX83</f>
        <v>0</v>
      </c>
      <c r="BD83" s="65">
        <f>H83/(100-BE83)*100</f>
        <v>0</v>
      </c>
      <c r="BE83" s="65">
        <v>0</v>
      </c>
      <c r="BF83" s="65">
        <f>M83</f>
        <v>0.00392</v>
      </c>
      <c r="BH83" s="50">
        <f>G83*AO83</f>
        <v>0</v>
      </c>
      <c r="BI83" s="50">
        <f>G83*AP83</f>
        <v>0</v>
      </c>
      <c r="BJ83" s="50">
        <f>G83*H83</f>
        <v>0</v>
      </c>
      <c r="BK83" s="50" t="s">
        <v>681</v>
      </c>
      <c r="BL83" s="65">
        <v>64</v>
      </c>
    </row>
    <row r="84" spans="1:64" ht="12.75">
      <c r="A84" s="80" t="s">
        <v>94</v>
      </c>
      <c r="B84" s="80"/>
      <c r="C84" s="80" t="s">
        <v>238</v>
      </c>
      <c r="D84" s="216" t="s">
        <v>432</v>
      </c>
      <c r="E84" s="217"/>
      <c r="F84" s="80" t="s">
        <v>611</v>
      </c>
      <c r="G84" s="85">
        <v>2</v>
      </c>
      <c r="H84" s="133"/>
      <c r="I84" s="85">
        <f>G84*AO84</f>
        <v>0</v>
      </c>
      <c r="J84" s="85">
        <f>G84*AP84</f>
        <v>0</v>
      </c>
      <c r="K84" s="85">
        <f>G84*H84</f>
        <v>0</v>
      </c>
      <c r="L84" s="85">
        <v>0.02957</v>
      </c>
      <c r="M84" s="85">
        <f>G84*L84</f>
        <v>0.05914</v>
      </c>
      <c r="N84" s="75" t="s">
        <v>631</v>
      </c>
      <c r="O84" s="77"/>
      <c r="Z84" s="65">
        <f>IF(AQ84="5",BJ84,0)</f>
        <v>0</v>
      </c>
      <c r="AB84" s="65">
        <f>IF(AQ84="1",BH84,0)</f>
        <v>0</v>
      </c>
      <c r="AC84" s="65">
        <f>IF(AQ84="1",BI84,0)</f>
        <v>0</v>
      </c>
      <c r="AD84" s="65">
        <f>IF(AQ84="7",BH84,0)</f>
        <v>0</v>
      </c>
      <c r="AE84" s="65">
        <f>IF(AQ84="7",BI84,0)</f>
        <v>0</v>
      </c>
      <c r="AF84" s="65">
        <f>IF(AQ84="2",BH84,0)</f>
        <v>0</v>
      </c>
      <c r="AG84" s="65">
        <f>IF(AQ84="2",BI84,0)</f>
        <v>0</v>
      </c>
      <c r="AH84" s="65">
        <f>IF(AQ84="0",BJ84,0)</f>
        <v>0</v>
      </c>
      <c r="AI84" s="58"/>
      <c r="AJ84" s="48">
        <f>IF(AN84=0,K84,0)</f>
        <v>0</v>
      </c>
      <c r="AK84" s="48">
        <f>IF(AN84=15,K84,0)</f>
        <v>0</v>
      </c>
      <c r="AL84" s="48">
        <f>IF(AN84=21,K84,0)</f>
        <v>0</v>
      </c>
      <c r="AN84" s="65">
        <v>15</v>
      </c>
      <c r="AO84" s="65">
        <f>H84*0.648056710775047</f>
        <v>0</v>
      </c>
      <c r="AP84" s="65">
        <f>H84*(1-0.648056710775047)</f>
        <v>0</v>
      </c>
      <c r="AQ84" s="66" t="s">
        <v>74</v>
      </c>
      <c r="AV84" s="65">
        <f>AW84+AX84</f>
        <v>0</v>
      </c>
      <c r="AW84" s="65">
        <f>G84*AO84</f>
        <v>0</v>
      </c>
      <c r="AX84" s="65">
        <f>G84*AP84</f>
        <v>0</v>
      </c>
      <c r="AY84" s="68" t="s">
        <v>647</v>
      </c>
      <c r="AZ84" s="68" t="s">
        <v>668</v>
      </c>
      <c r="BA84" s="58" t="s">
        <v>675</v>
      </c>
      <c r="BC84" s="65">
        <f>AW84+AX84</f>
        <v>0</v>
      </c>
      <c r="BD84" s="65">
        <f>H84/(100-BE84)*100</f>
        <v>0</v>
      </c>
      <c r="BE84" s="65">
        <v>0</v>
      </c>
      <c r="BF84" s="65">
        <f>M84</f>
        <v>0.05914</v>
      </c>
      <c r="BH84" s="48">
        <f>G84*AO84</f>
        <v>0</v>
      </c>
      <c r="BI84" s="48">
        <f>G84*AP84</f>
        <v>0</v>
      </c>
      <c r="BJ84" s="48">
        <f>G84*H84</f>
        <v>0</v>
      </c>
      <c r="BK84" s="48" t="s">
        <v>680</v>
      </c>
      <c r="BL84" s="65">
        <v>64</v>
      </c>
    </row>
    <row r="85" spans="1:47" ht="12.75">
      <c r="A85" s="93"/>
      <c r="B85" s="94"/>
      <c r="C85" s="94" t="s">
        <v>239</v>
      </c>
      <c r="D85" s="218" t="s">
        <v>433</v>
      </c>
      <c r="E85" s="219"/>
      <c r="F85" s="93" t="s">
        <v>73</v>
      </c>
      <c r="G85" s="93" t="s">
        <v>73</v>
      </c>
      <c r="H85" s="93" t="s">
        <v>73</v>
      </c>
      <c r="I85" s="95">
        <f>SUM(I86:I95)</f>
        <v>0</v>
      </c>
      <c r="J85" s="95">
        <f>SUM(J86:J95)</f>
        <v>0</v>
      </c>
      <c r="K85" s="95">
        <f>SUM(K86:K95)</f>
        <v>0</v>
      </c>
      <c r="L85" s="96"/>
      <c r="M85" s="95">
        <f>SUM(M86:M95)</f>
        <v>0.040526655</v>
      </c>
      <c r="N85" s="92"/>
      <c r="O85" s="77"/>
      <c r="AI85" s="58"/>
      <c r="AS85" s="71">
        <f>SUM(AJ86:AJ95)</f>
        <v>0</v>
      </c>
      <c r="AT85" s="71">
        <f>SUM(AK86:AK95)</f>
        <v>0</v>
      </c>
      <c r="AU85" s="71">
        <f>SUM(AL86:AL95)</f>
        <v>0</v>
      </c>
    </row>
    <row r="86" spans="1:64" ht="12.75">
      <c r="A86" s="80" t="s">
        <v>95</v>
      </c>
      <c r="B86" s="80"/>
      <c r="C86" s="80" t="s">
        <v>240</v>
      </c>
      <c r="D86" s="216" t="s">
        <v>434</v>
      </c>
      <c r="E86" s="217"/>
      <c r="F86" s="80" t="s">
        <v>609</v>
      </c>
      <c r="G86" s="85">
        <v>10.41225</v>
      </c>
      <c r="H86" s="133"/>
      <c r="I86" s="85">
        <f>G86*AO86</f>
        <v>0</v>
      </c>
      <c r="J86" s="85">
        <f>G86*AP86</f>
        <v>0</v>
      </c>
      <c r="K86" s="85">
        <f>G86*H86</f>
        <v>0</v>
      </c>
      <c r="L86" s="85">
        <v>0.00358</v>
      </c>
      <c r="M86" s="85">
        <f>G86*L86</f>
        <v>0.037275855</v>
      </c>
      <c r="N86" s="75" t="s">
        <v>631</v>
      </c>
      <c r="O86" s="77"/>
      <c r="Z86" s="65">
        <f>IF(AQ86="5",BJ86,0)</f>
        <v>0</v>
      </c>
      <c r="AB86" s="65">
        <f>IF(AQ86="1",BH86,0)</f>
        <v>0</v>
      </c>
      <c r="AC86" s="65">
        <f>IF(AQ86="1",BI86,0)</f>
        <v>0</v>
      </c>
      <c r="AD86" s="65">
        <f>IF(AQ86="7",BH86,0)</f>
        <v>0</v>
      </c>
      <c r="AE86" s="65">
        <f>IF(AQ86="7",BI86,0)</f>
        <v>0</v>
      </c>
      <c r="AF86" s="65">
        <f>IF(AQ86="2",BH86,0)</f>
        <v>0</v>
      </c>
      <c r="AG86" s="65">
        <f>IF(AQ86="2",BI86,0)</f>
        <v>0</v>
      </c>
      <c r="AH86" s="65">
        <f>IF(AQ86="0",BJ86,0)</f>
        <v>0</v>
      </c>
      <c r="AI86" s="58"/>
      <c r="AJ86" s="48">
        <f>IF(AN86=0,K86,0)</f>
        <v>0</v>
      </c>
      <c r="AK86" s="48">
        <f>IF(AN86=15,K86,0)</f>
        <v>0</v>
      </c>
      <c r="AL86" s="48">
        <f>IF(AN86=21,K86,0)</f>
        <v>0</v>
      </c>
      <c r="AN86" s="65">
        <v>15</v>
      </c>
      <c r="AO86" s="65">
        <f>H86*0.618280843425796</f>
        <v>0</v>
      </c>
      <c r="AP86" s="65">
        <f>H86*(1-0.618280843425796)</f>
        <v>0</v>
      </c>
      <c r="AQ86" s="66" t="s">
        <v>80</v>
      </c>
      <c r="AV86" s="65">
        <f>AW86+AX86</f>
        <v>0</v>
      </c>
      <c r="AW86" s="65">
        <f>G86*AO86</f>
        <v>0</v>
      </c>
      <c r="AX86" s="65">
        <f>G86*AP86</f>
        <v>0</v>
      </c>
      <c r="AY86" s="68" t="s">
        <v>648</v>
      </c>
      <c r="AZ86" s="68" t="s">
        <v>669</v>
      </c>
      <c r="BA86" s="58" t="s">
        <v>675</v>
      </c>
      <c r="BC86" s="65">
        <f>AW86+AX86</f>
        <v>0</v>
      </c>
      <c r="BD86" s="65">
        <f>H86/(100-BE86)*100</f>
        <v>0</v>
      </c>
      <c r="BE86" s="65">
        <v>0</v>
      </c>
      <c r="BF86" s="65">
        <f>M86</f>
        <v>0.037275855</v>
      </c>
      <c r="BH86" s="48">
        <f>G86*AO86</f>
        <v>0</v>
      </c>
      <c r="BI86" s="48">
        <f>G86*AP86</f>
        <v>0</v>
      </c>
      <c r="BJ86" s="48">
        <f>G86*H86</f>
        <v>0</v>
      </c>
      <c r="BK86" s="48" t="s">
        <v>680</v>
      </c>
      <c r="BL86" s="65">
        <v>711</v>
      </c>
    </row>
    <row r="87" spans="1:15" ht="12.75">
      <c r="A87" s="87"/>
      <c r="B87" s="88"/>
      <c r="C87" s="88"/>
      <c r="D87" s="89" t="s">
        <v>394</v>
      </c>
      <c r="E87" s="90"/>
      <c r="F87" s="88"/>
      <c r="G87" s="91">
        <v>0</v>
      </c>
      <c r="H87" s="88"/>
      <c r="I87" s="88"/>
      <c r="J87" s="88"/>
      <c r="K87" s="88"/>
      <c r="L87" s="88"/>
      <c r="M87" s="88"/>
      <c r="N87" s="78"/>
      <c r="O87" s="77"/>
    </row>
    <row r="88" spans="1:15" ht="12.75">
      <c r="A88" s="87"/>
      <c r="B88" s="88"/>
      <c r="C88" s="88"/>
      <c r="D88" s="89" t="s">
        <v>435</v>
      </c>
      <c r="E88" s="90"/>
      <c r="F88" s="88"/>
      <c r="G88" s="91">
        <v>0</v>
      </c>
      <c r="H88" s="88"/>
      <c r="I88" s="88"/>
      <c r="J88" s="88"/>
      <c r="K88" s="88"/>
      <c r="L88" s="88"/>
      <c r="M88" s="88"/>
      <c r="N88" s="78"/>
      <c r="O88" s="77"/>
    </row>
    <row r="89" spans="1:15" ht="12.75">
      <c r="A89" s="87"/>
      <c r="B89" s="88"/>
      <c r="C89" s="88"/>
      <c r="D89" s="89" t="s">
        <v>395</v>
      </c>
      <c r="E89" s="90"/>
      <c r="F89" s="88"/>
      <c r="G89" s="91">
        <v>5.37225</v>
      </c>
      <c r="H89" s="88"/>
      <c r="I89" s="88"/>
      <c r="J89" s="88"/>
      <c r="K89" s="88"/>
      <c r="L89" s="88"/>
      <c r="M89" s="88"/>
      <c r="N89" s="78"/>
      <c r="O89" s="77"/>
    </row>
    <row r="90" spans="1:15" ht="12.75">
      <c r="A90" s="87"/>
      <c r="B90" s="88"/>
      <c r="C90" s="88"/>
      <c r="D90" s="89" t="s">
        <v>436</v>
      </c>
      <c r="E90" s="90"/>
      <c r="F90" s="88"/>
      <c r="G90" s="91">
        <v>0</v>
      </c>
      <c r="H90" s="88"/>
      <c r="I90" s="88"/>
      <c r="J90" s="88"/>
      <c r="K90" s="88"/>
      <c r="L90" s="88"/>
      <c r="M90" s="88"/>
      <c r="N90" s="78"/>
      <c r="O90" s="77"/>
    </row>
    <row r="91" spans="1:15" ht="12.75">
      <c r="A91" s="87"/>
      <c r="B91" s="88"/>
      <c r="C91" s="88"/>
      <c r="D91" s="89" t="s">
        <v>437</v>
      </c>
      <c r="E91" s="90"/>
      <c r="F91" s="88"/>
      <c r="G91" s="91">
        <v>5.04</v>
      </c>
      <c r="H91" s="88"/>
      <c r="I91" s="88"/>
      <c r="J91" s="88"/>
      <c r="K91" s="88"/>
      <c r="L91" s="88"/>
      <c r="M91" s="88"/>
      <c r="N91" s="78"/>
      <c r="O91" s="77"/>
    </row>
    <row r="92" spans="1:64" ht="12.75">
      <c r="A92" s="80" t="s">
        <v>96</v>
      </c>
      <c r="B92" s="80"/>
      <c r="C92" s="80" t="s">
        <v>241</v>
      </c>
      <c r="D92" s="216" t="s">
        <v>438</v>
      </c>
      <c r="E92" s="217"/>
      <c r="F92" s="80" t="s">
        <v>610</v>
      </c>
      <c r="G92" s="85">
        <v>9.17</v>
      </c>
      <c r="H92" s="133"/>
      <c r="I92" s="85">
        <f>G92*AO92</f>
        <v>0</v>
      </c>
      <c r="J92" s="85">
        <f>G92*AP92</f>
        <v>0</v>
      </c>
      <c r="K92" s="85">
        <f>G92*H92</f>
        <v>0</v>
      </c>
      <c r="L92" s="85">
        <v>0.00024</v>
      </c>
      <c r="M92" s="85">
        <f>G92*L92</f>
        <v>0.0022008</v>
      </c>
      <c r="N92" s="75" t="s">
        <v>631</v>
      </c>
      <c r="O92" s="77"/>
      <c r="Z92" s="65">
        <f>IF(AQ92="5",BJ92,0)</f>
        <v>0</v>
      </c>
      <c r="AB92" s="65">
        <f>IF(AQ92="1",BH92,0)</f>
        <v>0</v>
      </c>
      <c r="AC92" s="65">
        <f>IF(AQ92="1",BI92,0)</f>
        <v>0</v>
      </c>
      <c r="AD92" s="65">
        <f>IF(AQ92="7",BH92,0)</f>
        <v>0</v>
      </c>
      <c r="AE92" s="65">
        <f>IF(AQ92="7",BI92,0)</f>
        <v>0</v>
      </c>
      <c r="AF92" s="65">
        <f>IF(AQ92="2",BH92,0)</f>
        <v>0</v>
      </c>
      <c r="AG92" s="65">
        <f>IF(AQ92="2",BI92,0)</f>
        <v>0</v>
      </c>
      <c r="AH92" s="65">
        <f>IF(AQ92="0",BJ92,0)</f>
        <v>0</v>
      </c>
      <c r="AI92" s="58"/>
      <c r="AJ92" s="48">
        <f>IF(AN92=0,K92,0)</f>
        <v>0</v>
      </c>
      <c r="AK92" s="48">
        <f>IF(AN92=15,K92,0)</f>
        <v>0</v>
      </c>
      <c r="AL92" s="48">
        <f>IF(AN92=21,K92,0)</f>
        <v>0</v>
      </c>
      <c r="AN92" s="65">
        <v>15</v>
      </c>
      <c r="AO92" s="65">
        <f>H92*0.593734350623647</f>
        <v>0</v>
      </c>
      <c r="AP92" s="65">
        <f>H92*(1-0.593734350623647)</f>
        <v>0</v>
      </c>
      <c r="AQ92" s="66" t="s">
        <v>80</v>
      </c>
      <c r="AV92" s="65">
        <f>AW92+AX92</f>
        <v>0</v>
      </c>
      <c r="AW92" s="65">
        <f>G92*AO92</f>
        <v>0</v>
      </c>
      <c r="AX92" s="65">
        <f>G92*AP92</f>
        <v>0</v>
      </c>
      <c r="AY92" s="68" t="s">
        <v>648</v>
      </c>
      <c r="AZ92" s="68" t="s">
        <v>669</v>
      </c>
      <c r="BA92" s="58" t="s">
        <v>675</v>
      </c>
      <c r="BC92" s="65">
        <f>AW92+AX92</f>
        <v>0</v>
      </c>
      <c r="BD92" s="65">
        <f>H92/(100-BE92)*100</f>
        <v>0</v>
      </c>
      <c r="BE92" s="65">
        <v>0</v>
      </c>
      <c r="BF92" s="65">
        <f>M92</f>
        <v>0.0022008</v>
      </c>
      <c r="BH92" s="48">
        <f>G92*AO92</f>
        <v>0</v>
      </c>
      <c r="BI92" s="48">
        <f>G92*AP92</f>
        <v>0</v>
      </c>
      <c r="BJ92" s="48">
        <f>G92*H92</f>
        <v>0</v>
      </c>
      <c r="BK92" s="48" t="s">
        <v>680</v>
      </c>
      <c r="BL92" s="65">
        <v>711</v>
      </c>
    </row>
    <row r="93" spans="1:15" ht="12.75">
      <c r="A93" s="87"/>
      <c r="B93" s="88"/>
      <c r="C93" s="88"/>
      <c r="D93" s="89" t="s">
        <v>439</v>
      </c>
      <c r="E93" s="90"/>
      <c r="F93" s="88"/>
      <c r="G93" s="91">
        <v>9.17</v>
      </c>
      <c r="H93" s="88"/>
      <c r="I93" s="88"/>
      <c r="J93" s="88"/>
      <c r="K93" s="88"/>
      <c r="L93" s="88"/>
      <c r="M93" s="88"/>
      <c r="N93" s="78"/>
      <c r="O93" s="77"/>
    </row>
    <row r="94" spans="1:64" ht="12.75">
      <c r="A94" s="80" t="s">
        <v>97</v>
      </c>
      <c r="B94" s="80"/>
      <c r="C94" s="80" t="s">
        <v>242</v>
      </c>
      <c r="D94" s="216" t="s">
        <v>440</v>
      </c>
      <c r="E94" s="217"/>
      <c r="F94" s="80" t="s">
        <v>610</v>
      </c>
      <c r="G94" s="85">
        <v>2.1</v>
      </c>
      <c r="H94" s="133"/>
      <c r="I94" s="85">
        <f>G94*AO94</f>
        <v>0</v>
      </c>
      <c r="J94" s="85">
        <f>G94*AP94</f>
        <v>0</v>
      </c>
      <c r="K94" s="85">
        <f>G94*H94</f>
        <v>0</v>
      </c>
      <c r="L94" s="85">
        <v>0.0005</v>
      </c>
      <c r="M94" s="85">
        <f>G94*L94</f>
        <v>0.0010500000000000002</v>
      </c>
      <c r="N94" s="75" t="s">
        <v>631</v>
      </c>
      <c r="O94" s="77"/>
      <c r="Z94" s="65">
        <f>IF(AQ94="5",BJ94,0)</f>
        <v>0</v>
      </c>
      <c r="AB94" s="65">
        <f>IF(AQ94="1",BH94,0)</f>
        <v>0</v>
      </c>
      <c r="AC94" s="65">
        <f>IF(AQ94="1",BI94,0)</f>
        <v>0</v>
      </c>
      <c r="AD94" s="65">
        <f>IF(AQ94="7",BH94,0)</f>
        <v>0</v>
      </c>
      <c r="AE94" s="65">
        <f>IF(AQ94="7",BI94,0)</f>
        <v>0</v>
      </c>
      <c r="AF94" s="65">
        <f>IF(AQ94="2",BH94,0)</f>
        <v>0</v>
      </c>
      <c r="AG94" s="65">
        <f>IF(AQ94="2",BI94,0)</f>
        <v>0</v>
      </c>
      <c r="AH94" s="65">
        <f>IF(AQ94="0",BJ94,0)</f>
        <v>0</v>
      </c>
      <c r="AI94" s="58"/>
      <c r="AJ94" s="48">
        <f>IF(AN94=0,K94,0)</f>
        <v>0</v>
      </c>
      <c r="AK94" s="48">
        <f>IF(AN94=15,K94,0)</f>
        <v>0</v>
      </c>
      <c r="AL94" s="48">
        <f>IF(AN94=21,K94,0)</f>
        <v>0</v>
      </c>
      <c r="AN94" s="65">
        <v>15</v>
      </c>
      <c r="AO94" s="65">
        <f>H94*0.603505617977528</f>
        <v>0</v>
      </c>
      <c r="AP94" s="65">
        <f>H94*(1-0.603505617977528)</f>
        <v>0</v>
      </c>
      <c r="AQ94" s="66" t="s">
        <v>80</v>
      </c>
      <c r="AV94" s="65">
        <f>AW94+AX94</f>
        <v>0</v>
      </c>
      <c r="AW94" s="65">
        <f>G94*AO94</f>
        <v>0</v>
      </c>
      <c r="AX94" s="65">
        <f>G94*AP94</f>
        <v>0</v>
      </c>
      <c r="AY94" s="68" t="s">
        <v>648</v>
      </c>
      <c r="AZ94" s="68" t="s">
        <v>669</v>
      </c>
      <c r="BA94" s="58" t="s">
        <v>675</v>
      </c>
      <c r="BC94" s="65">
        <f>AW94+AX94</f>
        <v>0</v>
      </c>
      <c r="BD94" s="65">
        <f>H94/(100-BE94)*100</f>
        <v>0</v>
      </c>
      <c r="BE94" s="65">
        <v>0</v>
      </c>
      <c r="BF94" s="65">
        <f>M94</f>
        <v>0.0010500000000000002</v>
      </c>
      <c r="BH94" s="48">
        <f>G94*AO94</f>
        <v>0</v>
      </c>
      <c r="BI94" s="48">
        <f>G94*AP94</f>
        <v>0</v>
      </c>
      <c r="BJ94" s="48">
        <f>G94*H94</f>
        <v>0</v>
      </c>
      <c r="BK94" s="48" t="s">
        <v>680</v>
      </c>
      <c r="BL94" s="65">
        <v>711</v>
      </c>
    </row>
    <row r="95" spans="1:64" ht="12.75">
      <c r="A95" s="80" t="s">
        <v>98</v>
      </c>
      <c r="B95" s="80"/>
      <c r="C95" s="80" t="s">
        <v>243</v>
      </c>
      <c r="D95" s="216" t="s">
        <v>441</v>
      </c>
      <c r="E95" s="217"/>
      <c r="F95" s="80" t="s">
        <v>612</v>
      </c>
      <c r="G95" s="85">
        <v>0.1</v>
      </c>
      <c r="H95" s="133"/>
      <c r="I95" s="85">
        <f>G95*AO95</f>
        <v>0</v>
      </c>
      <c r="J95" s="85">
        <f>G95*AP95</f>
        <v>0</v>
      </c>
      <c r="K95" s="85">
        <f>G95*H95</f>
        <v>0</v>
      </c>
      <c r="L95" s="85">
        <v>0</v>
      </c>
      <c r="M95" s="85">
        <f>G95*L95</f>
        <v>0</v>
      </c>
      <c r="N95" s="75" t="s">
        <v>631</v>
      </c>
      <c r="O95" s="77"/>
      <c r="Z95" s="65">
        <f>IF(AQ95="5",BJ95,0)</f>
        <v>0</v>
      </c>
      <c r="AB95" s="65">
        <f>IF(AQ95="1",BH95,0)</f>
        <v>0</v>
      </c>
      <c r="AC95" s="65">
        <f>IF(AQ95="1",BI95,0)</f>
        <v>0</v>
      </c>
      <c r="AD95" s="65">
        <f>IF(AQ95="7",BH95,0)</f>
        <v>0</v>
      </c>
      <c r="AE95" s="65">
        <f>IF(AQ95="7",BI95,0)</f>
        <v>0</v>
      </c>
      <c r="AF95" s="65">
        <f>IF(AQ95="2",BH95,0)</f>
        <v>0</v>
      </c>
      <c r="AG95" s="65">
        <f>IF(AQ95="2",BI95,0)</f>
        <v>0</v>
      </c>
      <c r="AH95" s="65">
        <f>IF(AQ95="0",BJ95,0)</f>
        <v>0</v>
      </c>
      <c r="AI95" s="58"/>
      <c r="AJ95" s="48">
        <f>IF(AN95=0,K95,0)</f>
        <v>0</v>
      </c>
      <c r="AK95" s="48">
        <f>IF(AN95=15,K95,0)</f>
        <v>0</v>
      </c>
      <c r="AL95" s="48">
        <f>IF(AN95=21,K95,0)</f>
        <v>0</v>
      </c>
      <c r="AN95" s="65">
        <v>15</v>
      </c>
      <c r="AO95" s="65">
        <f>H95*0</f>
        <v>0</v>
      </c>
      <c r="AP95" s="65">
        <f>H95*(1-0)</f>
        <v>0</v>
      </c>
      <c r="AQ95" s="66" t="s">
        <v>78</v>
      </c>
      <c r="AV95" s="65">
        <f>AW95+AX95</f>
        <v>0</v>
      </c>
      <c r="AW95" s="65">
        <f>G95*AO95</f>
        <v>0</v>
      </c>
      <c r="AX95" s="65">
        <f>G95*AP95</f>
        <v>0</v>
      </c>
      <c r="AY95" s="68" t="s">
        <v>648</v>
      </c>
      <c r="AZ95" s="68" t="s">
        <v>669</v>
      </c>
      <c r="BA95" s="58" t="s">
        <v>675</v>
      </c>
      <c r="BC95" s="65">
        <f>AW95+AX95</f>
        <v>0</v>
      </c>
      <c r="BD95" s="65">
        <f>H95/(100-BE95)*100</f>
        <v>0</v>
      </c>
      <c r="BE95" s="65">
        <v>0</v>
      </c>
      <c r="BF95" s="65">
        <f>M95</f>
        <v>0</v>
      </c>
      <c r="BH95" s="48">
        <f>G95*AO95</f>
        <v>0</v>
      </c>
      <c r="BI95" s="48">
        <f>G95*AP95</f>
        <v>0</v>
      </c>
      <c r="BJ95" s="48">
        <f>G95*H95</f>
        <v>0</v>
      </c>
      <c r="BK95" s="48" t="s">
        <v>680</v>
      </c>
      <c r="BL95" s="65">
        <v>711</v>
      </c>
    </row>
    <row r="96" spans="1:47" ht="12.75">
      <c r="A96" s="101"/>
      <c r="B96" s="102"/>
      <c r="C96" s="102" t="s">
        <v>244</v>
      </c>
      <c r="D96" s="222" t="s">
        <v>442</v>
      </c>
      <c r="E96" s="219"/>
      <c r="F96" s="101" t="s">
        <v>73</v>
      </c>
      <c r="G96" s="101" t="s">
        <v>73</v>
      </c>
      <c r="H96" s="101" t="s">
        <v>73</v>
      </c>
      <c r="I96" s="103">
        <f>SUM(I97:I107)</f>
        <v>0</v>
      </c>
      <c r="J96" s="103">
        <f>SUM(J97:J107)</f>
        <v>0</v>
      </c>
      <c r="K96" s="103">
        <f>SUM(K97:K107)</f>
        <v>0</v>
      </c>
      <c r="L96" s="104"/>
      <c r="M96" s="103">
        <f>SUM(M97:M107)</f>
        <v>0.020892</v>
      </c>
      <c r="N96" s="100"/>
      <c r="O96" s="77"/>
      <c r="AI96" s="58"/>
      <c r="AS96" s="71">
        <f>SUM(AJ97:AJ107)</f>
        <v>0</v>
      </c>
      <c r="AT96" s="71">
        <f>SUM(AK97:AK107)</f>
        <v>0</v>
      </c>
      <c r="AU96" s="71">
        <f>SUM(AL97:AL107)</f>
        <v>0</v>
      </c>
    </row>
    <row r="97" spans="1:64" ht="12.75">
      <c r="A97" s="80" t="s">
        <v>99</v>
      </c>
      <c r="B97" s="80"/>
      <c r="C97" s="80" t="s">
        <v>245</v>
      </c>
      <c r="D97" s="216" t="s">
        <v>443</v>
      </c>
      <c r="E97" s="217"/>
      <c r="F97" s="80" t="s">
        <v>611</v>
      </c>
      <c r="G97" s="85">
        <v>1</v>
      </c>
      <c r="H97" s="133"/>
      <c r="I97" s="85">
        <f aca="true" t="shared" si="0" ref="I97:I107">G97*AO97</f>
        <v>0</v>
      </c>
      <c r="J97" s="85">
        <f aca="true" t="shared" si="1" ref="J97:J107">G97*AP97</f>
        <v>0</v>
      </c>
      <c r="K97" s="85">
        <f aca="true" t="shared" si="2" ref="K97:K107">G97*H97</f>
        <v>0</v>
      </c>
      <c r="L97" s="85">
        <v>0.00038</v>
      </c>
      <c r="M97" s="85">
        <f aca="true" t="shared" si="3" ref="M97:M107">G97*L97</f>
        <v>0.00038</v>
      </c>
      <c r="N97" s="75" t="s">
        <v>631</v>
      </c>
      <c r="O97" s="77"/>
      <c r="Z97" s="65">
        <f aca="true" t="shared" si="4" ref="Z97:Z107">IF(AQ97="5",BJ97,0)</f>
        <v>0</v>
      </c>
      <c r="AB97" s="65">
        <f aca="true" t="shared" si="5" ref="AB97:AB107">IF(AQ97="1",BH97,0)</f>
        <v>0</v>
      </c>
      <c r="AC97" s="65">
        <f aca="true" t="shared" si="6" ref="AC97:AC107">IF(AQ97="1",BI97,0)</f>
        <v>0</v>
      </c>
      <c r="AD97" s="65">
        <f aca="true" t="shared" si="7" ref="AD97:AD107">IF(AQ97="7",BH97,0)</f>
        <v>0</v>
      </c>
      <c r="AE97" s="65">
        <f aca="true" t="shared" si="8" ref="AE97:AE107">IF(AQ97="7",BI97,0)</f>
        <v>0</v>
      </c>
      <c r="AF97" s="65">
        <f aca="true" t="shared" si="9" ref="AF97:AF107">IF(AQ97="2",BH97,0)</f>
        <v>0</v>
      </c>
      <c r="AG97" s="65">
        <f aca="true" t="shared" si="10" ref="AG97:AG107">IF(AQ97="2",BI97,0)</f>
        <v>0</v>
      </c>
      <c r="AH97" s="65">
        <f aca="true" t="shared" si="11" ref="AH97:AH107">IF(AQ97="0",BJ97,0)</f>
        <v>0</v>
      </c>
      <c r="AI97" s="58"/>
      <c r="AJ97" s="48">
        <f aca="true" t="shared" si="12" ref="AJ97:AJ107">IF(AN97=0,K97,0)</f>
        <v>0</v>
      </c>
      <c r="AK97" s="48">
        <f aca="true" t="shared" si="13" ref="AK97:AK107">IF(AN97=15,K97,0)</f>
        <v>0</v>
      </c>
      <c r="AL97" s="48">
        <f aca="true" t="shared" si="14" ref="AL97:AL107">IF(AN97=21,K97,0)</f>
        <v>0</v>
      </c>
      <c r="AN97" s="65">
        <v>15</v>
      </c>
      <c r="AO97" s="65">
        <f>H97*0.810294117647059</f>
        <v>0</v>
      </c>
      <c r="AP97" s="65">
        <f>H97*(1-0.810294117647059)</f>
        <v>0</v>
      </c>
      <c r="AQ97" s="66" t="s">
        <v>80</v>
      </c>
      <c r="AV97" s="65">
        <f aca="true" t="shared" si="15" ref="AV97:AV107">AW97+AX97</f>
        <v>0</v>
      </c>
      <c r="AW97" s="65">
        <f aca="true" t="shared" si="16" ref="AW97:AW107">G97*AO97</f>
        <v>0</v>
      </c>
      <c r="AX97" s="65">
        <f aca="true" t="shared" si="17" ref="AX97:AX107">G97*AP97</f>
        <v>0</v>
      </c>
      <c r="AY97" s="68" t="s">
        <v>649</v>
      </c>
      <c r="AZ97" s="68" t="s">
        <v>670</v>
      </c>
      <c r="BA97" s="58" t="s">
        <v>675</v>
      </c>
      <c r="BC97" s="65">
        <f aca="true" t="shared" si="18" ref="BC97:BC107">AW97+AX97</f>
        <v>0</v>
      </c>
      <c r="BD97" s="65">
        <f aca="true" t="shared" si="19" ref="BD97:BD107">H97/(100-BE97)*100</f>
        <v>0</v>
      </c>
      <c r="BE97" s="65">
        <v>0</v>
      </c>
      <c r="BF97" s="65">
        <f aca="true" t="shared" si="20" ref="BF97:BF107">M97</f>
        <v>0.00038</v>
      </c>
      <c r="BH97" s="48">
        <f aca="true" t="shared" si="21" ref="BH97:BH107">G97*AO97</f>
        <v>0</v>
      </c>
      <c r="BI97" s="48">
        <f aca="true" t="shared" si="22" ref="BI97:BI107">G97*AP97</f>
        <v>0</v>
      </c>
      <c r="BJ97" s="48">
        <f aca="true" t="shared" si="23" ref="BJ97:BJ107">G97*H97</f>
        <v>0</v>
      </c>
      <c r="BK97" s="48" t="s">
        <v>680</v>
      </c>
      <c r="BL97" s="65">
        <v>721</v>
      </c>
    </row>
    <row r="98" spans="1:64" ht="12.75">
      <c r="A98" s="80" t="s">
        <v>100</v>
      </c>
      <c r="B98" s="80"/>
      <c r="C98" s="80" t="s">
        <v>246</v>
      </c>
      <c r="D98" s="216" t="s">
        <v>444</v>
      </c>
      <c r="E98" s="217"/>
      <c r="F98" s="80" t="s">
        <v>610</v>
      </c>
      <c r="G98" s="85">
        <v>6</v>
      </c>
      <c r="H98" s="133"/>
      <c r="I98" s="85">
        <f t="shared" si="0"/>
        <v>0</v>
      </c>
      <c r="J98" s="85">
        <f t="shared" si="1"/>
        <v>0</v>
      </c>
      <c r="K98" s="85">
        <f t="shared" si="2"/>
        <v>0</v>
      </c>
      <c r="L98" s="85">
        <v>0.0021</v>
      </c>
      <c r="M98" s="85">
        <f t="shared" si="3"/>
        <v>0.0126</v>
      </c>
      <c r="N98" s="75" t="s">
        <v>631</v>
      </c>
      <c r="O98" s="77"/>
      <c r="Z98" s="65">
        <f t="shared" si="4"/>
        <v>0</v>
      </c>
      <c r="AB98" s="65">
        <f t="shared" si="5"/>
        <v>0</v>
      </c>
      <c r="AC98" s="65">
        <f t="shared" si="6"/>
        <v>0</v>
      </c>
      <c r="AD98" s="65">
        <f t="shared" si="7"/>
        <v>0</v>
      </c>
      <c r="AE98" s="65">
        <f t="shared" si="8"/>
        <v>0</v>
      </c>
      <c r="AF98" s="65">
        <f t="shared" si="9"/>
        <v>0</v>
      </c>
      <c r="AG98" s="65">
        <f t="shared" si="10"/>
        <v>0</v>
      </c>
      <c r="AH98" s="65">
        <f t="shared" si="11"/>
        <v>0</v>
      </c>
      <c r="AI98" s="58"/>
      <c r="AJ98" s="48">
        <f t="shared" si="12"/>
        <v>0</v>
      </c>
      <c r="AK98" s="48">
        <f t="shared" si="13"/>
        <v>0</v>
      </c>
      <c r="AL98" s="48">
        <f t="shared" si="14"/>
        <v>0</v>
      </c>
      <c r="AN98" s="65">
        <v>15</v>
      </c>
      <c r="AO98" s="65">
        <f>H98*0</f>
        <v>0</v>
      </c>
      <c r="AP98" s="65">
        <f>H98*(1-0)</f>
        <v>0</v>
      </c>
      <c r="AQ98" s="66" t="s">
        <v>80</v>
      </c>
      <c r="AV98" s="65">
        <f t="shared" si="15"/>
        <v>0</v>
      </c>
      <c r="AW98" s="65">
        <f t="shared" si="16"/>
        <v>0</v>
      </c>
      <c r="AX98" s="65">
        <f t="shared" si="17"/>
        <v>0</v>
      </c>
      <c r="AY98" s="68" t="s">
        <v>649</v>
      </c>
      <c r="AZ98" s="68" t="s">
        <v>670</v>
      </c>
      <c r="BA98" s="58" t="s">
        <v>675</v>
      </c>
      <c r="BC98" s="65">
        <f t="shared" si="18"/>
        <v>0</v>
      </c>
      <c r="BD98" s="65">
        <f t="shared" si="19"/>
        <v>0</v>
      </c>
      <c r="BE98" s="65">
        <v>0</v>
      </c>
      <c r="BF98" s="65">
        <f t="shared" si="20"/>
        <v>0.0126</v>
      </c>
      <c r="BH98" s="48">
        <f t="shared" si="21"/>
        <v>0</v>
      </c>
      <c r="BI98" s="48">
        <f t="shared" si="22"/>
        <v>0</v>
      </c>
      <c r="BJ98" s="48">
        <f t="shared" si="23"/>
        <v>0</v>
      </c>
      <c r="BK98" s="48" t="s">
        <v>680</v>
      </c>
      <c r="BL98" s="65">
        <v>721</v>
      </c>
    </row>
    <row r="99" spans="1:64" ht="12.75">
      <c r="A99" s="80" t="s">
        <v>101</v>
      </c>
      <c r="B99" s="80"/>
      <c r="C99" s="80" t="s">
        <v>247</v>
      </c>
      <c r="D99" s="216" t="s">
        <v>445</v>
      </c>
      <c r="E99" s="217"/>
      <c r="F99" s="80" t="s">
        <v>610</v>
      </c>
      <c r="G99" s="85">
        <v>7.8</v>
      </c>
      <c r="H99" s="133"/>
      <c r="I99" s="85">
        <f t="shared" si="0"/>
        <v>0</v>
      </c>
      <c r="J99" s="85">
        <f t="shared" si="1"/>
        <v>0</v>
      </c>
      <c r="K99" s="85">
        <f t="shared" si="2"/>
        <v>0</v>
      </c>
      <c r="L99" s="85">
        <v>0.00047</v>
      </c>
      <c r="M99" s="85">
        <f t="shared" si="3"/>
        <v>0.003666</v>
      </c>
      <c r="N99" s="75" t="s">
        <v>631</v>
      </c>
      <c r="O99" s="77"/>
      <c r="Z99" s="65">
        <f t="shared" si="4"/>
        <v>0</v>
      </c>
      <c r="AB99" s="65">
        <f t="shared" si="5"/>
        <v>0</v>
      </c>
      <c r="AC99" s="65">
        <f t="shared" si="6"/>
        <v>0</v>
      </c>
      <c r="AD99" s="65">
        <f t="shared" si="7"/>
        <v>0</v>
      </c>
      <c r="AE99" s="65">
        <f t="shared" si="8"/>
        <v>0</v>
      </c>
      <c r="AF99" s="65">
        <f t="shared" si="9"/>
        <v>0</v>
      </c>
      <c r="AG99" s="65">
        <f t="shared" si="10"/>
        <v>0</v>
      </c>
      <c r="AH99" s="65">
        <f t="shared" si="11"/>
        <v>0</v>
      </c>
      <c r="AI99" s="58"/>
      <c r="AJ99" s="48">
        <f t="shared" si="12"/>
        <v>0</v>
      </c>
      <c r="AK99" s="48">
        <f t="shared" si="13"/>
        <v>0</v>
      </c>
      <c r="AL99" s="48">
        <f t="shared" si="14"/>
        <v>0</v>
      </c>
      <c r="AN99" s="65">
        <v>15</v>
      </c>
      <c r="AO99" s="65">
        <f>H99*0.378966666666667</f>
        <v>0</v>
      </c>
      <c r="AP99" s="65">
        <f>H99*(1-0.378966666666667)</f>
        <v>0</v>
      </c>
      <c r="AQ99" s="66" t="s">
        <v>80</v>
      </c>
      <c r="AV99" s="65">
        <f t="shared" si="15"/>
        <v>0</v>
      </c>
      <c r="AW99" s="65">
        <f t="shared" si="16"/>
        <v>0</v>
      </c>
      <c r="AX99" s="65">
        <f t="shared" si="17"/>
        <v>0</v>
      </c>
      <c r="AY99" s="68" t="s">
        <v>649</v>
      </c>
      <c r="AZ99" s="68" t="s">
        <v>670</v>
      </c>
      <c r="BA99" s="58" t="s">
        <v>675</v>
      </c>
      <c r="BC99" s="65">
        <f t="shared" si="18"/>
        <v>0</v>
      </c>
      <c r="BD99" s="65">
        <f t="shared" si="19"/>
        <v>0</v>
      </c>
      <c r="BE99" s="65">
        <v>0</v>
      </c>
      <c r="BF99" s="65">
        <f t="shared" si="20"/>
        <v>0.003666</v>
      </c>
      <c r="BH99" s="48">
        <f t="shared" si="21"/>
        <v>0</v>
      </c>
      <c r="BI99" s="48">
        <f t="shared" si="22"/>
        <v>0</v>
      </c>
      <c r="BJ99" s="48">
        <f t="shared" si="23"/>
        <v>0</v>
      </c>
      <c r="BK99" s="48" t="s">
        <v>680</v>
      </c>
      <c r="BL99" s="65">
        <v>721</v>
      </c>
    </row>
    <row r="100" spans="1:64" ht="12.75">
      <c r="A100" s="80" t="s">
        <v>102</v>
      </c>
      <c r="B100" s="80"/>
      <c r="C100" s="80" t="s">
        <v>248</v>
      </c>
      <c r="D100" s="216" t="s">
        <v>446</v>
      </c>
      <c r="E100" s="217"/>
      <c r="F100" s="80" t="s">
        <v>610</v>
      </c>
      <c r="G100" s="85">
        <v>1.8</v>
      </c>
      <c r="H100" s="133"/>
      <c r="I100" s="85">
        <f t="shared" si="0"/>
        <v>0</v>
      </c>
      <c r="J100" s="85">
        <f t="shared" si="1"/>
        <v>0</v>
      </c>
      <c r="K100" s="85">
        <f t="shared" si="2"/>
        <v>0</v>
      </c>
      <c r="L100" s="85">
        <v>0.00152</v>
      </c>
      <c r="M100" s="85">
        <f t="shared" si="3"/>
        <v>0.002736</v>
      </c>
      <c r="N100" s="75" t="s">
        <v>631</v>
      </c>
      <c r="O100" s="77"/>
      <c r="Z100" s="65">
        <f t="shared" si="4"/>
        <v>0</v>
      </c>
      <c r="AB100" s="65">
        <f t="shared" si="5"/>
        <v>0</v>
      </c>
      <c r="AC100" s="65">
        <f t="shared" si="6"/>
        <v>0</v>
      </c>
      <c r="AD100" s="65">
        <f t="shared" si="7"/>
        <v>0</v>
      </c>
      <c r="AE100" s="65">
        <f t="shared" si="8"/>
        <v>0</v>
      </c>
      <c r="AF100" s="65">
        <f t="shared" si="9"/>
        <v>0</v>
      </c>
      <c r="AG100" s="65">
        <f t="shared" si="10"/>
        <v>0</v>
      </c>
      <c r="AH100" s="65">
        <f t="shared" si="11"/>
        <v>0</v>
      </c>
      <c r="AI100" s="58"/>
      <c r="AJ100" s="48">
        <f t="shared" si="12"/>
        <v>0</v>
      </c>
      <c r="AK100" s="48">
        <f t="shared" si="13"/>
        <v>0</v>
      </c>
      <c r="AL100" s="48">
        <f t="shared" si="14"/>
        <v>0</v>
      </c>
      <c r="AN100" s="65">
        <v>15</v>
      </c>
      <c r="AO100" s="65">
        <f>H100*0.360594530876157</f>
        <v>0</v>
      </c>
      <c r="AP100" s="65">
        <f>H100*(1-0.360594530876157)</f>
        <v>0</v>
      </c>
      <c r="AQ100" s="66" t="s">
        <v>80</v>
      </c>
      <c r="AV100" s="65">
        <f t="shared" si="15"/>
        <v>0</v>
      </c>
      <c r="AW100" s="65">
        <f t="shared" si="16"/>
        <v>0</v>
      </c>
      <c r="AX100" s="65">
        <f t="shared" si="17"/>
        <v>0</v>
      </c>
      <c r="AY100" s="68" t="s">
        <v>649</v>
      </c>
      <c r="AZ100" s="68" t="s">
        <v>670</v>
      </c>
      <c r="BA100" s="58" t="s">
        <v>675</v>
      </c>
      <c r="BC100" s="65">
        <f t="shared" si="18"/>
        <v>0</v>
      </c>
      <c r="BD100" s="65">
        <f t="shared" si="19"/>
        <v>0</v>
      </c>
      <c r="BE100" s="65">
        <v>0</v>
      </c>
      <c r="BF100" s="65">
        <f t="shared" si="20"/>
        <v>0.002736</v>
      </c>
      <c r="BH100" s="48">
        <f t="shared" si="21"/>
        <v>0</v>
      </c>
      <c r="BI100" s="48">
        <f t="shared" si="22"/>
        <v>0</v>
      </c>
      <c r="BJ100" s="48">
        <f t="shared" si="23"/>
        <v>0</v>
      </c>
      <c r="BK100" s="48" t="s">
        <v>680</v>
      </c>
      <c r="BL100" s="65">
        <v>721</v>
      </c>
    </row>
    <row r="101" spans="1:64" ht="12.75">
      <c r="A101" s="80" t="s">
        <v>103</v>
      </c>
      <c r="B101" s="80"/>
      <c r="C101" s="80" t="s">
        <v>249</v>
      </c>
      <c r="D101" s="216" t="s">
        <v>447</v>
      </c>
      <c r="E101" s="217"/>
      <c r="F101" s="80" t="s">
        <v>610</v>
      </c>
      <c r="G101" s="85">
        <v>0.5</v>
      </c>
      <c r="H101" s="133"/>
      <c r="I101" s="85">
        <f t="shared" si="0"/>
        <v>0</v>
      </c>
      <c r="J101" s="85">
        <f t="shared" si="1"/>
        <v>0</v>
      </c>
      <c r="K101" s="85">
        <f t="shared" si="2"/>
        <v>0</v>
      </c>
      <c r="L101" s="85">
        <v>0.00131</v>
      </c>
      <c r="M101" s="85">
        <f t="shared" si="3"/>
        <v>0.000655</v>
      </c>
      <c r="N101" s="75" t="s">
        <v>631</v>
      </c>
      <c r="O101" s="77"/>
      <c r="Z101" s="65">
        <f t="shared" si="4"/>
        <v>0</v>
      </c>
      <c r="AB101" s="65">
        <f t="shared" si="5"/>
        <v>0</v>
      </c>
      <c r="AC101" s="65">
        <f t="shared" si="6"/>
        <v>0</v>
      </c>
      <c r="AD101" s="65">
        <f t="shared" si="7"/>
        <v>0</v>
      </c>
      <c r="AE101" s="65">
        <f t="shared" si="8"/>
        <v>0</v>
      </c>
      <c r="AF101" s="65">
        <f t="shared" si="9"/>
        <v>0</v>
      </c>
      <c r="AG101" s="65">
        <f t="shared" si="10"/>
        <v>0</v>
      </c>
      <c r="AH101" s="65">
        <f t="shared" si="11"/>
        <v>0</v>
      </c>
      <c r="AI101" s="58"/>
      <c r="AJ101" s="48">
        <f t="shared" si="12"/>
        <v>0</v>
      </c>
      <c r="AK101" s="48">
        <f t="shared" si="13"/>
        <v>0</v>
      </c>
      <c r="AL101" s="48">
        <f t="shared" si="14"/>
        <v>0</v>
      </c>
      <c r="AN101" s="65">
        <v>15</v>
      </c>
      <c r="AO101" s="65">
        <f>H101*0.460092546600089</f>
        <v>0</v>
      </c>
      <c r="AP101" s="65">
        <f>H101*(1-0.460092546600089)</f>
        <v>0</v>
      </c>
      <c r="AQ101" s="66" t="s">
        <v>80</v>
      </c>
      <c r="AV101" s="65">
        <f t="shared" si="15"/>
        <v>0</v>
      </c>
      <c r="AW101" s="65">
        <f t="shared" si="16"/>
        <v>0</v>
      </c>
      <c r="AX101" s="65">
        <f t="shared" si="17"/>
        <v>0</v>
      </c>
      <c r="AY101" s="68" t="s">
        <v>649</v>
      </c>
      <c r="AZ101" s="68" t="s">
        <v>670</v>
      </c>
      <c r="BA101" s="58" t="s">
        <v>675</v>
      </c>
      <c r="BC101" s="65">
        <f t="shared" si="18"/>
        <v>0</v>
      </c>
      <c r="BD101" s="65">
        <f t="shared" si="19"/>
        <v>0</v>
      </c>
      <c r="BE101" s="65">
        <v>0</v>
      </c>
      <c r="BF101" s="65">
        <f t="shared" si="20"/>
        <v>0.000655</v>
      </c>
      <c r="BH101" s="48">
        <f t="shared" si="21"/>
        <v>0</v>
      </c>
      <c r="BI101" s="48">
        <f t="shared" si="22"/>
        <v>0</v>
      </c>
      <c r="BJ101" s="48">
        <f t="shared" si="23"/>
        <v>0</v>
      </c>
      <c r="BK101" s="48" t="s">
        <v>680</v>
      </c>
      <c r="BL101" s="65">
        <v>721</v>
      </c>
    </row>
    <row r="102" spans="1:64" ht="12.75">
      <c r="A102" s="80" t="s">
        <v>104</v>
      </c>
      <c r="B102" s="80"/>
      <c r="C102" s="80" t="s">
        <v>250</v>
      </c>
      <c r="D102" s="216" t="s">
        <v>448</v>
      </c>
      <c r="E102" s="217"/>
      <c r="F102" s="80" t="s">
        <v>611</v>
      </c>
      <c r="G102" s="85">
        <v>4</v>
      </c>
      <c r="H102" s="133"/>
      <c r="I102" s="85">
        <f t="shared" si="0"/>
        <v>0</v>
      </c>
      <c r="J102" s="85">
        <f t="shared" si="1"/>
        <v>0</v>
      </c>
      <c r="K102" s="85">
        <f t="shared" si="2"/>
        <v>0</v>
      </c>
      <c r="L102" s="85">
        <v>0</v>
      </c>
      <c r="M102" s="85">
        <f t="shared" si="3"/>
        <v>0</v>
      </c>
      <c r="N102" s="75" t="s">
        <v>631</v>
      </c>
      <c r="O102" s="77"/>
      <c r="Z102" s="65">
        <f t="shared" si="4"/>
        <v>0</v>
      </c>
      <c r="AB102" s="65">
        <f t="shared" si="5"/>
        <v>0</v>
      </c>
      <c r="AC102" s="65">
        <f t="shared" si="6"/>
        <v>0</v>
      </c>
      <c r="AD102" s="65">
        <f t="shared" si="7"/>
        <v>0</v>
      </c>
      <c r="AE102" s="65">
        <f t="shared" si="8"/>
        <v>0</v>
      </c>
      <c r="AF102" s="65">
        <f t="shared" si="9"/>
        <v>0</v>
      </c>
      <c r="AG102" s="65">
        <f t="shared" si="10"/>
        <v>0</v>
      </c>
      <c r="AH102" s="65">
        <f t="shared" si="11"/>
        <v>0</v>
      </c>
      <c r="AI102" s="58"/>
      <c r="AJ102" s="48">
        <f t="shared" si="12"/>
        <v>0</v>
      </c>
      <c r="AK102" s="48">
        <f t="shared" si="13"/>
        <v>0</v>
      </c>
      <c r="AL102" s="48">
        <f t="shared" si="14"/>
        <v>0</v>
      </c>
      <c r="AN102" s="65">
        <v>15</v>
      </c>
      <c r="AO102" s="65">
        <f>H102*0</f>
        <v>0</v>
      </c>
      <c r="AP102" s="65">
        <f>H102*(1-0)</f>
        <v>0</v>
      </c>
      <c r="AQ102" s="66" t="s">
        <v>80</v>
      </c>
      <c r="AV102" s="65">
        <f t="shared" si="15"/>
        <v>0</v>
      </c>
      <c r="AW102" s="65">
        <f t="shared" si="16"/>
        <v>0</v>
      </c>
      <c r="AX102" s="65">
        <f t="shared" si="17"/>
        <v>0</v>
      </c>
      <c r="AY102" s="68" t="s">
        <v>649</v>
      </c>
      <c r="AZ102" s="68" t="s">
        <v>670</v>
      </c>
      <c r="BA102" s="58" t="s">
        <v>675</v>
      </c>
      <c r="BC102" s="65">
        <f t="shared" si="18"/>
        <v>0</v>
      </c>
      <c r="BD102" s="65">
        <f t="shared" si="19"/>
        <v>0</v>
      </c>
      <c r="BE102" s="65">
        <v>0</v>
      </c>
      <c r="BF102" s="65">
        <f t="shared" si="20"/>
        <v>0</v>
      </c>
      <c r="BH102" s="48">
        <f t="shared" si="21"/>
        <v>0</v>
      </c>
      <c r="BI102" s="48">
        <f t="shared" si="22"/>
        <v>0</v>
      </c>
      <c r="BJ102" s="48">
        <f t="shared" si="23"/>
        <v>0</v>
      </c>
      <c r="BK102" s="48" t="s">
        <v>680</v>
      </c>
      <c r="BL102" s="65">
        <v>721</v>
      </c>
    </row>
    <row r="103" spans="1:64" ht="12.75">
      <c r="A103" s="80" t="s">
        <v>105</v>
      </c>
      <c r="B103" s="80"/>
      <c r="C103" s="80" t="s">
        <v>251</v>
      </c>
      <c r="D103" s="216" t="s">
        <v>449</v>
      </c>
      <c r="E103" s="217"/>
      <c r="F103" s="80" t="s">
        <v>611</v>
      </c>
      <c r="G103" s="85">
        <v>1</v>
      </c>
      <c r="H103" s="133"/>
      <c r="I103" s="85">
        <f t="shared" si="0"/>
        <v>0</v>
      </c>
      <c r="J103" s="85">
        <f t="shared" si="1"/>
        <v>0</v>
      </c>
      <c r="K103" s="85">
        <f t="shared" si="2"/>
        <v>0</v>
      </c>
      <c r="L103" s="85">
        <v>0</v>
      </c>
      <c r="M103" s="85">
        <f t="shared" si="3"/>
        <v>0</v>
      </c>
      <c r="N103" s="75" t="s">
        <v>631</v>
      </c>
      <c r="O103" s="77"/>
      <c r="Z103" s="65">
        <f t="shared" si="4"/>
        <v>0</v>
      </c>
      <c r="AB103" s="65">
        <f t="shared" si="5"/>
        <v>0</v>
      </c>
      <c r="AC103" s="65">
        <f t="shared" si="6"/>
        <v>0</v>
      </c>
      <c r="AD103" s="65">
        <f t="shared" si="7"/>
        <v>0</v>
      </c>
      <c r="AE103" s="65">
        <f t="shared" si="8"/>
        <v>0</v>
      </c>
      <c r="AF103" s="65">
        <f t="shared" si="9"/>
        <v>0</v>
      </c>
      <c r="AG103" s="65">
        <f t="shared" si="10"/>
        <v>0</v>
      </c>
      <c r="AH103" s="65">
        <f t="shared" si="11"/>
        <v>0</v>
      </c>
      <c r="AI103" s="58"/>
      <c r="AJ103" s="48">
        <f t="shared" si="12"/>
        <v>0</v>
      </c>
      <c r="AK103" s="48">
        <f t="shared" si="13"/>
        <v>0</v>
      </c>
      <c r="AL103" s="48">
        <f t="shared" si="14"/>
        <v>0</v>
      </c>
      <c r="AN103" s="65">
        <v>15</v>
      </c>
      <c r="AO103" s="65">
        <f>H103*0</f>
        <v>0</v>
      </c>
      <c r="AP103" s="65">
        <f>H103*(1-0)</f>
        <v>0</v>
      </c>
      <c r="AQ103" s="66" t="s">
        <v>80</v>
      </c>
      <c r="AV103" s="65">
        <f t="shared" si="15"/>
        <v>0</v>
      </c>
      <c r="AW103" s="65">
        <f t="shared" si="16"/>
        <v>0</v>
      </c>
      <c r="AX103" s="65">
        <f t="shared" si="17"/>
        <v>0</v>
      </c>
      <c r="AY103" s="68" t="s">
        <v>649</v>
      </c>
      <c r="AZ103" s="68" t="s">
        <v>670</v>
      </c>
      <c r="BA103" s="58" t="s">
        <v>675</v>
      </c>
      <c r="BC103" s="65">
        <f t="shared" si="18"/>
        <v>0</v>
      </c>
      <c r="BD103" s="65">
        <f t="shared" si="19"/>
        <v>0</v>
      </c>
      <c r="BE103" s="65">
        <v>0</v>
      </c>
      <c r="BF103" s="65">
        <f t="shared" si="20"/>
        <v>0</v>
      </c>
      <c r="BH103" s="48">
        <f t="shared" si="21"/>
        <v>0</v>
      </c>
      <c r="BI103" s="48">
        <f t="shared" si="22"/>
        <v>0</v>
      </c>
      <c r="BJ103" s="48">
        <f t="shared" si="23"/>
        <v>0</v>
      </c>
      <c r="BK103" s="48" t="s">
        <v>680</v>
      </c>
      <c r="BL103" s="65">
        <v>721</v>
      </c>
    </row>
    <row r="104" spans="1:64" ht="12.75">
      <c r="A104" s="80" t="s">
        <v>106</v>
      </c>
      <c r="B104" s="80"/>
      <c r="C104" s="80" t="s">
        <v>252</v>
      </c>
      <c r="D104" s="216" t="s">
        <v>450</v>
      </c>
      <c r="E104" s="217"/>
      <c r="F104" s="80" t="s">
        <v>610</v>
      </c>
      <c r="G104" s="85">
        <v>9.6</v>
      </c>
      <c r="H104" s="133"/>
      <c r="I104" s="85">
        <f t="shared" si="0"/>
        <v>0</v>
      </c>
      <c r="J104" s="85">
        <f t="shared" si="1"/>
        <v>0</v>
      </c>
      <c r="K104" s="85">
        <f t="shared" si="2"/>
        <v>0</v>
      </c>
      <c r="L104" s="85">
        <v>0</v>
      </c>
      <c r="M104" s="85">
        <f t="shared" si="3"/>
        <v>0</v>
      </c>
      <c r="N104" s="75" t="s">
        <v>631</v>
      </c>
      <c r="O104" s="77"/>
      <c r="Z104" s="65">
        <f t="shared" si="4"/>
        <v>0</v>
      </c>
      <c r="AB104" s="65">
        <f t="shared" si="5"/>
        <v>0</v>
      </c>
      <c r="AC104" s="65">
        <f t="shared" si="6"/>
        <v>0</v>
      </c>
      <c r="AD104" s="65">
        <f t="shared" si="7"/>
        <v>0</v>
      </c>
      <c r="AE104" s="65">
        <f t="shared" si="8"/>
        <v>0</v>
      </c>
      <c r="AF104" s="65">
        <f t="shared" si="9"/>
        <v>0</v>
      </c>
      <c r="AG104" s="65">
        <f t="shared" si="10"/>
        <v>0</v>
      </c>
      <c r="AH104" s="65">
        <f t="shared" si="11"/>
        <v>0</v>
      </c>
      <c r="AI104" s="58"/>
      <c r="AJ104" s="48">
        <f t="shared" si="12"/>
        <v>0</v>
      </c>
      <c r="AK104" s="48">
        <f t="shared" si="13"/>
        <v>0</v>
      </c>
      <c r="AL104" s="48">
        <f t="shared" si="14"/>
        <v>0</v>
      </c>
      <c r="AN104" s="65">
        <v>15</v>
      </c>
      <c r="AO104" s="65">
        <f>H104*0</f>
        <v>0</v>
      </c>
      <c r="AP104" s="65">
        <f>H104*(1-0)</f>
        <v>0</v>
      </c>
      <c r="AQ104" s="66" t="s">
        <v>75</v>
      </c>
      <c r="AV104" s="65">
        <f t="shared" si="15"/>
        <v>0</v>
      </c>
      <c r="AW104" s="65">
        <f t="shared" si="16"/>
        <v>0</v>
      </c>
      <c r="AX104" s="65">
        <f t="shared" si="17"/>
        <v>0</v>
      </c>
      <c r="AY104" s="68" t="s">
        <v>649</v>
      </c>
      <c r="AZ104" s="68" t="s">
        <v>670</v>
      </c>
      <c r="BA104" s="58" t="s">
        <v>675</v>
      </c>
      <c r="BC104" s="65">
        <f t="shared" si="18"/>
        <v>0</v>
      </c>
      <c r="BD104" s="65">
        <f t="shared" si="19"/>
        <v>0</v>
      </c>
      <c r="BE104" s="65">
        <v>0</v>
      </c>
      <c r="BF104" s="65">
        <f t="shared" si="20"/>
        <v>0</v>
      </c>
      <c r="BH104" s="48">
        <f t="shared" si="21"/>
        <v>0</v>
      </c>
      <c r="BI104" s="48">
        <f t="shared" si="22"/>
        <v>0</v>
      </c>
      <c r="BJ104" s="48">
        <f t="shared" si="23"/>
        <v>0</v>
      </c>
      <c r="BK104" s="48" t="s">
        <v>680</v>
      </c>
      <c r="BL104" s="65">
        <v>721</v>
      </c>
    </row>
    <row r="105" spans="1:64" ht="12.75">
      <c r="A105" s="80" t="s">
        <v>107</v>
      </c>
      <c r="B105" s="80"/>
      <c r="C105" s="80" t="s">
        <v>253</v>
      </c>
      <c r="D105" s="216" t="s">
        <v>451</v>
      </c>
      <c r="E105" s="217"/>
      <c r="F105" s="80" t="s">
        <v>610</v>
      </c>
      <c r="G105" s="85">
        <v>9.6</v>
      </c>
      <c r="H105" s="133"/>
      <c r="I105" s="85">
        <f t="shared" si="0"/>
        <v>0</v>
      </c>
      <c r="J105" s="85">
        <f t="shared" si="1"/>
        <v>0</v>
      </c>
      <c r="K105" s="85">
        <f t="shared" si="2"/>
        <v>0</v>
      </c>
      <c r="L105" s="85">
        <v>0</v>
      </c>
      <c r="M105" s="85">
        <f t="shared" si="3"/>
        <v>0</v>
      </c>
      <c r="N105" s="75" t="s">
        <v>631</v>
      </c>
      <c r="O105" s="77"/>
      <c r="Z105" s="65">
        <f t="shared" si="4"/>
        <v>0</v>
      </c>
      <c r="AB105" s="65">
        <f t="shared" si="5"/>
        <v>0</v>
      </c>
      <c r="AC105" s="65">
        <f t="shared" si="6"/>
        <v>0</v>
      </c>
      <c r="AD105" s="65">
        <f t="shared" si="7"/>
        <v>0</v>
      </c>
      <c r="AE105" s="65">
        <f t="shared" si="8"/>
        <v>0</v>
      </c>
      <c r="AF105" s="65">
        <f t="shared" si="9"/>
        <v>0</v>
      </c>
      <c r="AG105" s="65">
        <f t="shared" si="10"/>
        <v>0</v>
      </c>
      <c r="AH105" s="65">
        <f t="shared" si="11"/>
        <v>0</v>
      </c>
      <c r="AI105" s="58"/>
      <c r="AJ105" s="48">
        <f t="shared" si="12"/>
        <v>0</v>
      </c>
      <c r="AK105" s="48">
        <f t="shared" si="13"/>
        <v>0</v>
      </c>
      <c r="AL105" s="48">
        <f t="shared" si="14"/>
        <v>0</v>
      </c>
      <c r="AN105" s="65">
        <v>15</v>
      </c>
      <c r="AO105" s="65">
        <f>H105*0.0265733127086217</f>
        <v>0</v>
      </c>
      <c r="AP105" s="65">
        <f>H105*(1-0.0265733127086217)</f>
        <v>0</v>
      </c>
      <c r="AQ105" s="66" t="s">
        <v>80</v>
      </c>
      <c r="AV105" s="65">
        <f t="shared" si="15"/>
        <v>0</v>
      </c>
      <c r="AW105" s="65">
        <f t="shared" si="16"/>
        <v>0</v>
      </c>
      <c r="AX105" s="65">
        <f t="shared" si="17"/>
        <v>0</v>
      </c>
      <c r="AY105" s="68" t="s">
        <v>649</v>
      </c>
      <c r="AZ105" s="68" t="s">
        <v>670</v>
      </c>
      <c r="BA105" s="58" t="s">
        <v>675</v>
      </c>
      <c r="BC105" s="65">
        <f t="shared" si="18"/>
        <v>0</v>
      </c>
      <c r="BD105" s="65">
        <f t="shared" si="19"/>
        <v>0</v>
      </c>
      <c r="BE105" s="65">
        <v>0</v>
      </c>
      <c r="BF105" s="65">
        <f t="shared" si="20"/>
        <v>0</v>
      </c>
      <c r="BH105" s="48">
        <f t="shared" si="21"/>
        <v>0</v>
      </c>
      <c r="BI105" s="48">
        <f t="shared" si="22"/>
        <v>0</v>
      </c>
      <c r="BJ105" s="48">
        <f t="shared" si="23"/>
        <v>0</v>
      </c>
      <c r="BK105" s="48" t="s">
        <v>680</v>
      </c>
      <c r="BL105" s="65">
        <v>721</v>
      </c>
    </row>
    <row r="106" spans="1:64" ht="12.75">
      <c r="A106" s="80" t="s">
        <v>108</v>
      </c>
      <c r="B106" s="80"/>
      <c r="C106" s="80" t="s">
        <v>254</v>
      </c>
      <c r="D106" s="216" t="s">
        <v>452</v>
      </c>
      <c r="E106" s="217"/>
      <c r="F106" s="80" t="s">
        <v>610</v>
      </c>
      <c r="G106" s="85">
        <v>0.5</v>
      </c>
      <c r="H106" s="133"/>
      <c r="I106" s="85">
        <f t="shared" si="0"/>
        <v>0</v>
      </c>
      <c r="J106" s="85">
        <f t="shared" si="1"/>
        <v>0</v>
      </c>
      <c r="K106" s="85">
        <f t="shared" si="2"/>
        <v>0</v>
      </c>
      <c r="L106" s="85">
        <v>0.00171</v>
      </c>
      <c r="M106" s="85">
        <f t="shared" si="3"/>
        <v>0.000855</v>
      </c>
      <c r="N106" s="75" t="s">
        <v>631</v>
      </c>
      <c r="O106" s="77"/>
      <c r="Z106" s="65">
        <f t="shared" si="4"/>
        <v>0</v>
      </c>
      <c r="AB106" s="65">
        <f t="shared" si="5"/>
        <v>0</v>
      </c>
      <c r="AC106" s="65">
        <f t="shared" si="6"/>
        <v>0</v>
      </c>
      <c r="AD106" s="65">
        <f t="shared" si="7"/>
        <v>0</v>
      </c>
      <c r="AE106" s="65">
        <f t="shared" si="8"/>
        <v>0</v>
      </c>
      <c r="AF106" s="65">
        <f t="shared" si="9"/>
        <v>0</v>
      </c>
      <c r="AG106" s="65">
        <f t="shared" si="10"/>
        <v>0</v>
      </c>
      <c r="AH106" s="65">
        <f t="shared" si="11"/>
        <v>0</v>
      </c>
      <c r="AI106" s="58"/>
      <c r="AJ106" s="48">
        <f t="shared" si="12"/>
        <v>0</v>
      </c>
      <c r="AK106" s="48">
        <f t="shared" si="13"/>
        <v>0</v>
      </c>
      <c r="AL106" s="48">
        <f t="shared" si="14"/>
        <v>0</v>
      </c>
      <c r="AN106" s="65">
        <v>15</v>
      </c>
      <c r="AO106" s="65">
        <f>H106*0.437290537042587</f>
        <v>0</v>
      </c>
      <c r="AP106" s="65">
        <f>H106*(1-0.437290537042587)</f>
        <v>0</v>
      </c>
      <c r="AQ106" s="66" t="s">
        <v>80</v>
      </c>
      <c r="AV106" s="65">
        <f t="shared" si="15"/>
        <v>0</v>
      </c>
      <c r="AW106" s="65">
        <f t="shared" si="16"/>
        <v>0</v>
      </c>
      <c r="AX106" s="65">
        <f t="shared" si="17"/>
        <v>0</v>
      </c>
      <c r="AY106" s="68" t="s">
        <v>649</v>
      </c>
      <c r="AZ106" s="68" t="s">
        <v>670</v>
      </c>
      <c r="BA106" s="58" t="s">
        <v>675</v>
      </c>
      <c r="BC106" s="65">
        <f t="shared" si="18"/>
        <v>0</v>
      </c>
      <c r="BD106" s="65">
        <f t="shared" si="19"/>
        <v>0</v>
      </c>
      <c r="BE106" s="65">
        <v>0</v>
      </c>
      <c r="BF106" s="65">
        <f t="shared" si="20"/>
        <v>0.000855</v>
      </c>
      <c r="BH106" s="48">
        <f t="shared" si="21"/>
        <v>0</v>
      </c>
      <c r="BI106" s="48">
        <f t="shared" si="22"/>
        <v>0</v>
      </c>
      <c r="BJ106" s="48">
        <f t="shared" si="23"/>
        <v>0</v>
      </c>
      <c r="BK106" s="48" t="s">
        <v>680</v>
      </c>
      <c r="BL106" s="65">
        <v>721</v>
      </c>
    </row>
    <row r="107" spans="1:64" ht="12.75">
      <c r="A107" s="80" t="s">
        <v>109</v>
      </c>
      <c r="B107" s="80"/>
      <c r="C107" s="80" t="s">
        <v>255</v>
      </c>
      <c r="D107" s="216" t="s">
        <v>453</v>
      </c>
      <c r="E107" s="217"/>
      <c r="F107" s="80" t="s">
        <v>612</v>
      </c>
      <c r="G107" s="85">
        <v>0.05</v>
      </c>
      <c r="H107" s="133"/>
      <c r="I107" s="85">
        <f t="shared" si="0"/>
        <v>0</v>
      </c>
      <c r="J107" s="85">
        <f t="shared" si="1"/>
        <v>0</v>
      </c>
      <c r="K107" s="85">
        <f t="shared" si="2"/>
        <v>0</v>
      </c>
      <c r="L107" s="85">
        <v>0</v>
      </c>
      <c r="M107" s="85">
        <f t="shared" si="3"/>
        <v>0</v>
      </c>
      <c r="N107" s="75" t="s">
        <v>631</v>
      </c>
      <c r="O107" s="77"/>
      <c r="Z107" s="65">
        <f t="shared" si="4"/>
        <v>0</v>
      </c>
      <c r="AB107" s="65">
        <f t="shared" si="5"/>
        <v>0</v>
      </c>
      <c r="AC107" s="65">
        <f t="shared" si="6"/>
        <v>0</v>
      </c>
      <c r="AD107" s="65">
        <f t="shared" si="7"/>
        <v>0</v>
      </c>
      <c r="AE107" s="65">
        <f t="shared" si="8"/>
        <v>0</v>
      </c>
      <c r="AF107" s="65">
        <f t="shared" si="9"/>
        <v>0</v>
      </c>
      <c r="AG107" s="65">
        <f t="shared" si="10"/>
        <v>0</v>
      </c>
      <c r="AH107" s="65">
        <f t="shared" si="11"/>
        <v>0</v>
      </c>
      <c r="AI107" s="58"/>
      <c r="AJ107" s="48">
        <f t="shared" si="12"/>
        <v>0</v>
      </c>
      <c r="AK107" s="48">
        <f t="shared" si="13"/>
        <v>0</v>
      </c>
      <c r="AL107" s="48">
        <f t="shared" si="14"/>
        <v>0</v>
      </c>
      <c r="AN107" s="65">
        <v>15</v>
      </c>
      <c r="AO107" s="65">
        <f>H107*0</f>
        <v>0</v>
      </c>
      <c r="AP107" s="65">
        <f>H107*(1-0)</f>
        <v>0</v>
      </c>
      <c r="AQ107" s="66" t="s">
        <v>78</v>
      </c>
      <c r="AV107" s="65">
        <f t="shared" si="15"/>
        <v>0</v>
      </c>
      <c r="AW107" s="65">
        <f t="shared" si="16"/>
        <v>0</v>
      </c>
      <c r="AX107" s="65">
        <f t="shared" si="17"/>
        <v>0</v>
      </c>
      <c r="AY107" s="68" t="s">
        <v>649</v>
      </c>
      <c r="AZ107" s="68" t="s">
        <v>670</v>
      </c>
      <c r="BA107" s="58" t="s">
        <v>675</v>
      </c>
      <c r="BC107" s="65">
        <f t="shared" si="18"/>
        <v>0</v>
      </c>
      <c r="BD107" s="65">
        <f t="shared" si="19"/>
        <v>0</v>
      </c>
      <c r="BE107" s="65">
        <v>0</v>
      </c>
      <c r="BF107" s="65">
        <f t="shared" si="20"/>
        <v>0</v>
      </c>
      <c r="BH107" s="48">
        <f t="shared" si="21"/>
        <v>0</v>
      </c>
      <c r="BI107" s="48">
        <f t="shared" si="22"/>
        <v>0</v>
      </c>
      <c r="BJ107" s="48">
        <f t="shared" si="23"/>
        <v>0</v>
      </c>
      <c r="BK107" s="48" t="s">
        <v>680</v>
      </c>
      <c r="BL107" s="65">
        <v>721</v>
      </c>
    </row>
    <row r="108" spans="1:47" ht="12.75">
      <c r="A108" s="106"/>
      <c r="B108" s="107"/>
      <c r="C108" s="107" t="s">
        <v>256</v>
      </c>
      <c r="D108" s="223" t="s">
        <v>454</v>
      </c>
      <c r="E108" s="219"/>
      <c r="F108" s="106" t="s">
        <v>73</v>
      </c>
      <c r="G108" s="106" t="s">
        <v>73</v>
      </c>
      <c r="H108" s="106" t="s">
        <v>73</v>
      </c>
      <c r="I108" s="108">
        <f>SUM(I109:I119)</f>
        <v>0</v>
      </c>
      <c r="J108" s="108">
        <f>SUM(J109:J119)</f>
        <v>0</v>
      </c>
      <c r="K108" s="108">
        <f>SUM(K109:K119)</f>
        <v>0</v>
      </c>
      <c r="L108" s="109"/>
      <c r="M108" s="108">
        <f>SUM(M109:M119)</f>
        <v>0.01938</v>
      </c>
      <c r="N108" s="105"/>
      <c r="O108" s="77"/>
      <c r="AI108" s="58"/>
      <c r="AS108" s="71">
        <f>SUM(AJ109:AJ119)</f>
        <v>0</v>
      </c>
      <c r="AT108" s="71">
        <f>SUM(AK109:AK119)</f>
        <v>0</v>
      </c>
      <c r="AU108" s="71">
        <f>SUM(AL109:AL119)</f>
        <v>0</v>
      </c>
    </row>
    <row r="109" spans="1:64" ht="12.75">
      <c r="A109" s="80" t="s">
        <v>110</v>
      </c>
      <c r="B109" s="80"/>
      <c r="C109" s="80" t="s">
        <v>257</v>
      </c>
      <c r="D109" s="216" t="s">
        <v>455</v>
      </c>
      <c r="E109" s="217"/>
      <c r="F109" s="80" t="s">
        <v>610</v>
      </c>
      <c r="G109" s="85">
        <v>3</v>
      </c>
      <c r="H109" s="133"/>
      <c r="I109" s="85">
        <f aca="true" t="shared" si="24" ref="I109:I119">G109*AO109</f>
        <v>0</v>
      </c>
      <c r="J109" s="85">
        <f aca="true" t="shared" si="25" ref="J109:J119">G109*AP109</f>
        <v>0</v>
      </c>
      <c r="K109" s="85">
        <f aca="true" t="shared" si="26" ref="K109:K119">G109*H109</f>
        <v>0</v>
      </c>
      <c r="L109" s="85">
        <v>0.00213</v>
      </c>
      <c r="M109" s="85">
        <f aca="true" t="shared" si="27" ref="M109:M119">G109*L109</f>
        <v>0.00639</v>
      </c>
      <c r="N109" s="75" t="s">
        <v>631</v>
      </c>
      <c r="O109" s="77"/>
      <c r="Z109" s="65">
        <f aca="true" t="shared" si="28" ref="Z109:Z119">IF(AQ109="5",BJ109,0)</f>
        <v>0</v>
      </c>
      <c r="AB109" s="65">
        <f aca="true" t="shared" si="29" ref="AB109:AB119">IF(AQ109="1",BH109,0)</f>
        <v>0</v>
      </c>
      <c r="AC109" s="65">
        <f aca="true" t="shared" si="30" ref="AC109:AC119">IF(AQ109="1",BI109,0)</f>
        <v>0</v>
      </c>
      <c r="AD109" s="65">
        <f aca="true" t="shared" si="31" ref="AD109:AD119">IF(AQ109="7",BH109,0)</f>
        <v>0</v>
      </c>
      <c r="AE109" s="65">
        <f aca="true" t="shared" si="32" ref="AE109:AE119">IF(AQ109="7",BI109,0)</f>
        <v>0</v>
      </c>
      <c r="AF109" s="65">
        <f aca="true" t="shared" si="33" ref="AF109:AF119">IF(AQ109="2",BH109,0)</f>
        <v>0</v>
      </c>
      <c r="AG109" s="65">
        <f aca="true" t="shared" si="34" ref="AG109:AG119">IF(AQ109="2",BI109,0)</f>
        <v>0</v>
      </c>
      <c r="AH109" s="65">
        <f aca="true" t="shared" si="35" ref="AH109:AH119">IF(AQ109="0",BJ109,0)</f>
        <v>0</v>
      </c>
      <c r="AI109" s="58"/>
      <c r="AJ109" s="48">
        <f aca="true" t="shared" si="36" ref="AJ109:AJ119">IF(AN109=0,K109,0)</f>
        <v>0</v>
      </c>
      <c r="AK109" s="48">
        <f aca="true" t="shared" si="37" ref="AK109:AK119">IF(AN109=15,K109,0)</f>
        <v>0</v>
      </c>
      <c r="AL109" s="48">
        <f aca="true" t="shared" si="38" ref="AL109:AL119">IF(AN109=21,K109,0)</f>
        <v>0</v>
      </c>
      <c r="AN109" s="65">
        <v>15</v>
      </c>
      <c r="AO109" s="65">
        <f>H109*0</f>
        <v>0</v>
      </c>
      <c r="AP109" s="65">
        <f>H109*(1-0)</f>
        <v>0</v>
      </c>
      <c r="AQ109" s="66" t="s">
        <v>80</v>
      </c>
      <c r="AV109" s="65">
        <f aca="true" t="shared" si="39" ref="AV109:AV119">AW109+AX109</f>
        <v>0</v>
      </c>
      <c r="AW109" s="65">
        <f aca="true" t="shared" si="40" ref="AW109:AW119">G109*AO109</f>
        <v>0</v>
      </c>
      <c r="AX109" s="65">
        <f aca="true" t="shared" si="41" ref="AX109:AX119">G109*AP109</f>
        <v>0</v>
      </c>
      <c r="AY109" s="68" t="s">
        <v>650</v>
      </c>
      <c r="AZ109" s="68" t="s">
        <v>670</v>
      </c>
      <c r="BA109" s="58" t="s">
        <v>675</v>
      </c>
      <c r="BC109" s="65">
        <f aca="true" t="shared" si="42" ref="BC109:BC119">AW109+AX109</f>
        <v>0</v>
      </c>
      <c r="BD109" s="65">
        <f aca="true" t="shared" si="43" ref="BD109:BD119">H109/(100-BE109)*100</f>
        <v>0</v>
      </c>
      <c r="BE109" s="65">
        <v>0</v>
      </c>
      <c r="BF109" s="65">
        <f aca="true" t="shared" si="44" ref="BF109:BF119">M109</f>
        <v>0.00639</v>
      </c>
      <c r="BH109" s="48">
        <f aca="true" t="shared" si="45" ref="BH109:BH119">G109*AO109</f>
        <v>0</v>
      </c>
      <c r="BI109" s="48">
        <f aca="true" t="shared" si="46" ref="BI109:BI119">G109*AP109</f>
        <v>0</v>
      </c>
      <c r="BJ109" s="48">
        <f aca="true" t="shared" si="47" ref="BJ109:BJ119">G109*H109</f>
        <v>0</v>
      </c>
      <c r="BK109" s="48" t="s">
        <v>680</v>
      </c>
      <c r="BL109" s="65">
        <v>722</v>
      </c>
    </row>
    <row r="110" spans="1:64" ht="12.75">
      <c r="A110" s="80" t="s">
        <v>111</v>
      </c>
      <c r="B110" s="80"/>
      <c r="C110" s="80" t="s">
        <v>258</v>
      </c>
      <c r="D110" s="216" t="s">
        <v>456</v>
      </c>
      <c r="E110" s="217"/>
      <c r="F110" s="80" t="s">
        <v>611</v>
      </c>
      <c r="G110" s="85">
        <v>2</v>
      </c>
      <c r="H110" s="133"/>
      <c r="I110" s="85">
        <f t="shared" si="24"/>
        <v>0</v>
      </c>
      <c r="J110" s="85">
        <f t="shared" si="25"/>
        <v>0</v>
      </c>
      <c r="K110" s="85">
        <f t="shared" si="26"/>
        <v>0</v>
      </c>
      <c r="L110" s="85">
        <v>0</v>
      </c>
      <c r="M110" s="85">
        <f t="shared" si="27"/>
        <v>0</v>
      </c>
      <c r="N110" s="75" t="s">
        <v>631</v>
      </c>
      <c r="O110" s="77"/>
      <c r="Z110" s="65">
        <f t="shared" si="28"/>
        <v>0</v>
      </c>
      <c r="AB110" s="65">
        <f t="shared" si="29"/>
        <v>0</v>
      </c>
      <c r="AC110" s="65">
        <f t="shared" si="30"/>
        <v>0</v>
      </c>
      <c r="AD110" s="65">
        <f t="shared" si="31"/>
        <v>0</v>
      </c>
      <c r="AE110" s="65">
        <f t="shared" si="32"/>
        <v>0</v>
      </c>
      <c r="AF110" s="65">
        <f t="shared" si="33"/>
        <v>0</v>
      </c>
      <c r="AG110" s="65">
        <f t="shared" si="34"/>
        <v>0</v>
      </c>
      <c r="AH110" s="65">
        <f t="shared" si="35"/>
        <v>0</v>
      </c>
      <c r="AI110" s="58"/>
      <c r="AJ110" s="48">
        <f t="shared" si="36"/>
        <v>0</v>
      </c>
      <c r="AK110" s="48">
        <f t="shared" si="37"/>
        <v>0</v>
      </c>
      <c r="AL110" s="48">
        <f t="shared" si="38"/>
        <v>0</v>
      </c>
      <c r="AN110" s="65">
        <v>15</v>
      </c>
      <c r="AO110" s="65">
        <f>H110*0</f>
        <v>0</v>
      </c>
      <c r="AP110" s="65">
        <f>H110*(1-0)</f>
        <v>0</v>
      </c>
      <c r="AQ110" s="66" t="s">
        <v>80</v>
      </c>
      <c r="AV110" s="65">
        <f t="shared" si="39"/>
        <v>0</v>
      </c>
      <c r="AW110" s="65">
        <f t="shared" si="40"/>
        <v>0</v>
      </c>
      <c r="AX110" s="65">
        <f t="shared" si="41"/>
        <v>0</v>
      </c>
      <c r="AY110" s="68" t="s">
        <v>650</v>
      </c>
      <c r="AZ110" s="68" t="s">
        <v>670</v>
      </c>
      <c r="BA110" s="58" t="s">
        <v>675</v>
      </c>
      <c r="BC110" s="65">
        <f t="shared" si="42"/>
        <v>0</v>
      </c>
      <c r="BD110" s="65">
        <f t="shared" si="43"/>
        <v>0</v>
      </c>
      <c r="BE110" s="65">
        <v>0</v>
      </c>
      <c r="BF110" s="65">
        <f t="shared" si="44"/>
        <v>0</v>
      </c>
      <c r="BH110" s="48">
        <f t="shared" si="45"/>
        <v>0</v>
      </c>
      <c r="BI110" s="48">
        <f t="shared" si="46"/>
        <v>0</v>
      </c>
      <c r="BJ110" s="48">
        <f t="shared" si="47"/>
        <v>0</v>
      </c>
      <c r="BK110" s="48" t="s">
        <v>680</v>
      </c>
      <c r="BL110" s="65">
        <v>722</v>
      </c>
    </row>
    <row r="111" spans="1:64" ht="12.75">
      <c r="A111" s="80" t="s">
        <v>112</v>
      </c>
      <c r="B111" s="80"/>
      <c r="C111" s="80" t="s">
        <v>259</v>
      </c>
      <c r="D111" s="216" t="s">
        <v>457</v>
      </c>
      <c r="E111" s="217"/>
      <c r="F111" s="80" t="s">
        <v>611</v>
      </c>
      <c r="G111" s="85">
        <v>2</v>
      </c>
      <c r="H111" s="133"/>
      <c r="I111" s="85">
        <f t="shared" si="24"/>
        <v>0</v>
      </c>
      <c r="J111" s="85">
        <f t="shared" si="25"/>
        <v>0</v>
      </c>
      <c r="K111" s="85">
        <f t="shared" si="26"/>
        <v>0</v>
      </c>
      <c r="L111" s="85">
        <v>2E-05</v>
      </c>
      <c r="M111" s="85">
        <f t="shared" si="27"/>
        <v>4E-05</v>
      </c>
      <c r="N111" s="75" t="s">
        <v>631</v>
      </c>
      <c r="O111" s="77"/>
      <c r="Z111" s="65">
        <f t="shared" si="28"/>
        <v>0</v>
      </c>
      <c r="AB111" s="65">
        <f t="shared" si="29"/>
        <v>0</v>
      </c>
      <c r="AC111" s="65">
        <f t="shared" si="30"/>
        <v>0</v>
      </c>
      <c r="AD111" s="65">
        <f t="shared" si="31"/>
        <v>0</v>
      </c>
      <c r="AE111" s="65">
        <f t="shared" si="32"/>
        <v>0</v>
      </c>
      <c r="AF111" s="65">
        <f t="shared" si="33"/>
        <v>0</v>
      </c>
      <c r="AG111" s="65">
        <f t="shared" si="34"/>
        <v>0</v>
      </c>
      <c r="AH111" s="65">
        <f t="shared" si="35"/>
        <v>0</v>
      </c>
      <c r="AI111" s="58"/>
      <c r="AJ111" s="48">
        <f t="shared" si="36"/>
        <v>0</v>
      </c>
      <c r="AK111" s="48">
        <f t="shared" si="37"/>
        <v>0</v>
      </c>
      <c r="AL111" s="48">
        <f t="shared" si="38"/>
        <v>0</v>
      </c>
      <c r="AN111" s="65">
        <v>15</v>
      </c>
      <c r="AO111" s="65">
        <f>H111*0.0286063569682152</f>
        <v>0</v>
      </c>
      <c r="AP111" s="65">
        <f>H111*(1-0.0286063569682152)</f>
        <v>0</v>
      </c>
      <c r="AQ111" s="66" t="s">
        <v>80</v>
      </c>
      <c r="AV111" s="65">
        <f t="shared" si="39"/>
        <v>0</v>
      </c>
      <c r="AW111" s="65">
        <f t="shared" si="40"/>
        <v>0</v>
      </c>
      <c r="AX111" s="65">
        <f t="shared" si="41"/>
        <v>0</v>
      </c>
      <c r="AY111" s="68" t="s">
        <v>650</v>
      </c>
      <c r="AZ111" s="68" t="s">
        <v>670</v>
      </c>
      <c r="BA111" s="58" t="s">
        <v>675</v>
      </c>
      <c r="BC111" s="65">
        <f t="shared" si="42"/>
        <v>0</v>
      </c>
      <c r="BD111" s="65">
        <f t="shared" si="43"/>
        <v>0</v>
      </c>
      <c r="BE111" s="65">
        <v>0</v>
      </c>
      <c r="BF111" s="65">
        <f t="shared" si="44"/>
        <v>4E-05</v>
      </c>
      <c r="BH111" s="48">
        <f t="shared" si="45"/>
        <v>0</v>
      </c>
      <c r="BI111" s="48">
        <f t="shared" si="46"/>
        <v>0</v>
      </c>
      <c r="BJ111" s="48">
        <f t="shared" si="47"/>
        <v>0</v>
      </c>
      <c r="BK111" s="48" t="s">
        <v>680</v>
      </c>
      <c r="BL111" s="65">
        <v>722</v>
      </c>
    </row>
    <row r="112" spans="1:64" ht="12.75">
      <c r="A112" s="80" t="s">
        <v>113</v>
      </c>
      <c r="B112" s="80"/>
      <c r="C112" s="80" t="s">
        <v>260</v>
      </c>
      <c r="D112" s="216" t="s">
        <v>458</v>
      </c>
      <c r="E112" s="217"/>
      <c r="F112" s="80" t="s">
        <v>610</v>
      </c>
      <c r="G112" s="85">
        <v>12.5</v>
      </c>
      <c r="H112" s="133"/>
      <c r="I112" s="85">
        <f t="shared" si="24"/>
        <v>0</v>
      </c>
      <c r="J112" s="85">
        <f t="shared" si="25"/>
        <v>0</v>
      </c>
      <c r="K112" s="85">
        <f t="shared" si="26"/>
        <v>0</v>
      </c>
      <c r="L112" s="85">
        <v>0.0005</v>
      </c>
      <c r="M112" s="85">
        <f t="shared" si="27"/>
        <v>0.00625</v>
      </c>
      <c r="N112" s="75" t="s">
        <v>631</v>
      </c>
      <c r="O112" s="77"/>
      <c r="Z112" s="65">
        <f t="shared" si="28"/>
        <v>0</v>
      </c>
      <c r="AB112" s="65">
        <f t="shared" si="29"/>
        <v>0</v>
      </c>
      <c r="AC112" s="65">
        <f t="shared" si="30"/>
        <v>0</v>
      </c>
      <c r="AD112" s="65">
        <f t="shared" si="31"/>
        <v>0</v>
      </c>
      <c r="AE112" s="65">
        <f t="shared" si="32"/>
        <v>0</v>
      </c>
      <c r="AF112" s="65">
        <f t="shared" si="33"/>
        <v>0</v>
      </c>
      <c r="AG112" s="65">
        <f t="shared" si="34"/>
        <v>0</v>
      </c>
      <c r="AH112" s="65">
        <f t="shared" si="35"/>
        <v>0</v>
      </c>
      <c r="AI112" s="58"/>
      <c r="AJ112" s="48">
        <f t="shared" si="36"/>
        <v>0</v>
      </c>
      <c r="AK112" s="48">
        <f t="shared" si="37"/>
        <v>0</v>
      </c>
      <c r="AL112" s="48">
        <f t="shared" si="38"/>
        <v>0</v>
      </c>
      <c r="AN112" s="65">
        <v>15</v>
      </c>
      <c r="AO112" s="65">
        <f>H112*0.352889335895878</f>
        <v>0</v>
      </c>
      <c r="AP112" s="65">
        <f>H112*(1-0.352889335895878)</f>
        <v>0</v>
      </c>
      <c r="AQ112" s="66" t="s">
        <v>80</v>
      </c>
      <c r="AV112" s="65">
        <f t="shared" si="39"/>
        <v>0</v>
      </c>
      <c r="AW112" s="65">
        <f t="shared" si="40"/>
        <v>0</v>
      </c>
      <c r="AX112" s="65">
        <f t="shared" si="41"/>
        <v>0</v>
      </c>
      <c r="AY112" s="68" t="s">
        <v>650</v>
      </c>
      <c r="AZ112" s="68" t="s">
        <v>670</v>
      </c>
      <c r="BA112" s="58" t="s">
        <v>675</v>
      </c>
      <c r="BC112" s="65">
        <f t="shared" si="42"/>
        <v>0</v>
      </c>
      <c r="BD112" s="65">
        <f t="shared" si="43"/>
        <v>0</v>
      </c>
      <c r="BE112" s="65">
        <v>0</v>
      </c>
      <c r="BF112" s="65">
        <f t="shared" si="44"/>
        <v>0.00625</v>
      </c>
      <c r="BH112" s="48">
        <f t="shared" si="45"/>
        <v>0</v>
      </c>
      <c r="BI112" s="48">
        <f t="shared" si="46"/>
        <v>0</v>
      </c>
      <c r="BJ112" s="48">
        <f t="shared" si="47"/>
        <v>0</v>
      </c>
      <c r="BK112" s="48" t="s">
        <v>680</v>
      </c>
      <c r="BL112" s="65">
        <v>722</v>
      </c>
    </row>
    <row r="113" spans="1:64" ht="12.75">
      <c r="A113" s="80" t="s">
        <v>114</v>
      </c>
      <c r="B113" s="80"/>
      <c r="C113" s="80" t="s">
        <v>261</v>
      </c>
      <c r="D113" s="216" t="s">
        <v>459</v>
      </c>
      <c r="E113" s="217"/>
      <c r="F113" s="80" t="s">
        <v>611</v>
      </c>
      <c r="G113" s="85">
        <v>2</v>
      </c>
      <c r="H113" s="133"/>
      <c r="I113" s="85">
        <f t="shared" si="24"/>
        <v>0</v>
      </c>
      <c r="J113" s="85">
        <f t="shared" si="25"/>
        <v>0</v>
      </c>
      <c r="K113" s="85">
        <f t="shared" si="26"/>
        <v>0</v>
      </c>
      <c r="L113" s="85">
        <v>0.00063</v>
      </c>
      <c r="M113" s="85">
        <f t="shared" si="27"/>
        <v>0.00126</v>
      </c>
      <c r="N113" s="75" t="s">
        <v>631</v>
      </c>
      <c r="O113" s="77"/>
      <c r="Z113" s="65">
        <f t="shared" si="28"/>
        <v>0</v>
      </c>
      <c r="AB113" s="65">
        <f t="shared" si="29"/>
        <v>0</v>
      </c>
      <c r="AC113" s="65">
        <f t="shared" si="30"/>
        <v>0</v>
      </c>
      <c r="AD113" s="65">
        <f t="shared" si="31"/>
        <v>0</v>
      </c>
      <c r="AE113" s="65">
        <f t="shared" si="32"/>
        <v>0</v>
      </c>
      <c r="AF113" s="65">
        <f t="shared" si="33"/>
        <v>0</v>
      </c>
      <c r="AG113" s="65">
        <f t="shared" si="34"/>
        <v>0</v>
      </c>
      <c r="AH113" s="65">
        <f t="shared" si="35"/>
        <v>0</v>
      </c>
      <c r="AI113" s="58"/>
      <c r="AJ113" s="48">
        <f t="shared" si="36"/>
        <v>0</v>
      </c>
      <c r="AK113" s="48">
        <f t="shared" si="37"/>
        <v>0</v>
      </c>
      <c r="AL113" s="48">
        <f t="shared" si="38"/>
        <v>0</v>
      </c>
      <c r="AN113" s="65">
        <v>15</v>
      </c>
      <c r="AO113" s="65">
        <f>H113*0.493581780538302</f>
        <v>0</v>
      </c>
      <c r="AP113" s="65">
        <f>H113*(1-0.493581780538302)</f>
        <v>0</v>
      </c>
      <c r="AQ113" s="66" t="s">
        <v>80</v>
      </c>
      <c r="AV113" s="65">
        <f t="shared" si="39"/>
        <v>0</v>
      </c>
      <c r="AW113" s="65">
        <f t="shared" si="40"/>
        <v>0</v>
      </c>
      <c r="AX113" s="65">
        <f t="shared" si="41"/>
        <v>0</v>
      </c>
      <c r="AY113" s="68" t="s">
        <v>650</v>
      </c>
      <c r="AZ113" s="68" t="s">
        <v>670</v>
      </c>
      <c r="BA113" s="58" t="s">
        <v>675</v>
      </c>
      <c r="BC113" s="65">
        <f t="shared" si="42"/>
        <v>0</v>
      </c>
      <c r="BD113" s="65">
        <f t="shared" si="43"/>
        <v>0</v>
      </c>
      <c r="BE113" s="65">
        <v>0</v>
      </c>
      <c r="BF113" s="65">
        <f t="shared" si="44"/>
        <v>0.00126</v>
      </c>
      <c r="BH113" s="48">
        <f t="shared" si="45"/>
        <v>0</v>
      </c>
      <c r="BI113" s="48">
        <f t="shared" si="46"/>
        <v>0</v>
      </c>
      <c r="BJ113" s="48">
        <f t="shared" si="47"/>
        <v>0</v>
      </c>
      <c r="BK113" s="48" t="s">
        <v>680</v>
      </c>
      <c r="BL113" s="65">
        <v>722</v>
      </c>
    </row>
    <row r="114" spans="1:64" ht="12.75">
      <c r="A114" s="80" t="s">
        <v>115</v>
      </c>
      <c r="B114" s="80"/>
      <c r="C114" s="80" t="s">
        <v>262</v>
      </c>
      <c r="D114" s="216" t="s">
        <v>460</v>
      </c>
      <c r="E114" s="217"/>
      <c r="F114" s="80" t="s">
        <v>613</v>
      </c>
      <c r="G114" s="85">
        <v>3</v>
      </c>
      <c r="H114" s="133"/>
      <c r="I114" s="85">
        <f t="shared" si="24"/>
        <v>0</v>
      </c>
      <c r="J114" s="85">
        <f t="shared" si="25"/>
        <v>0</v>
      </c>
      <c r="K114" s="85">
        <f t="shared" si="26"/>
        <v>0</v>
      </c>
      <c r="L114" s="85">
        <v>0.00148</v>
      </c>
      <c r="M114" s="85">
        <f t="shared" si="27"/>
        <v>0.0044399999999999995</v>
      </c>
      <c r="N114" s="75" t="s">
        <v>631</v>
      </c>
      <c r="O114" s="77"/>
      <c r="Z114" s="65">
        <f t="shared" si="28"/>
        <v>0</v>
      </c>
      <c r="AB114" s="65">
        <f t="shared" si="29"/>
        <v>0</v>
      </c>
      <c r="AC114" s="65">
        <f t="shared" si="30"/>
        <v>0</v>
      </c>
      <c r="AD114" s="65">
        <f t="shared" si="31"/>
        <v>0</v>
      </c>
      <c r="AE114" s="65">
        <f t="shared" si="32"/>
        <v>0</v>
      </c>
      <c r="AF114" s="65">
        <f t="shared" si="33"/>
        <v>0</v>
      </c>
      <c r="AG114" s="65">
        <f t="shared" si="34"/>
        <v>0</v>
      </c>
      <c r="AH114" s="65">
        <f t="shared" si="35"/>
        <v>0</v>
      </c>
      <c r="AI114" s="58"/>
      <c r="AJ114" s="48">
        <f t="shared" si="36"/>
        <v>0</v>
      </c>
      <c r="AK114" s="48">
        <f t="shared" si="37"/>
        <v>0</v>
      </c>
      <c r="AL114" s="48">
        <f t="shared" si="38"/>
        <v>0</v>
      </c>
      <c r="AN114" s="65">
        <v>15</v>
      </c>
      <c r="AO114" s="65">
        <f>H114*0.500380666268853</f>
        <v>0</v>
      </c>
      <c r="AP114" s="65">
        <f>H114*(1-0.500380666268853)</f>
        <v>0</v>
      </c>
      <c r="AQ114" s="66" t="s">
        <v>80</v>
      </c>
      <c r="AV114" s="65">
        <f t="shared" si="39"/>
        <v>0</v>
      </c>
      <c r="AW114" s="65">
        <f t="shared" si="40"/>
        <v>0</v>
      </c>
      <c r="AX114" s="65">
        <f t="shared" si="41"/>
        <v>0</v>
      </c>
      <c r="AY114" s="68" t="s">
        <v>650</v>
      </c>
      <c r="AZ114" s="68" t="s">
        <v>670</v>
      </c>
      <c r="BA114" s="58" t="s">
        <v>675</v>
      </c>
      <c r="BC114" s="65">
        <f t="shared" si="42"/>
        <v>0</v>
      </c>
      <c r="BD114" s="65">
        <f t="shared" si="43"/>
        <v>0</v>
      </c>
      <c r="BE114" s="65">
        <v>0</v>
      </c>
      <c r="BF114" s="65">
        <f t="shared" si="44"/>
        <v>0.0044399999999999995</v>
      </c>
      <c r="BH114" s="48">
        <f t="shared" si="45"/>
        <v>0</v>
      </c>
      <c r="BI114" s="48">
        <f t="shared" si="46"/>
        <v>0</v>
      </c>
      <c r="BJ114" s="48">
        <f t="shared" si="47"/>
        <v>0</v>
      </c>
      <c r="BK114" s="48" t="s">
        <v>680</v>
      </c>
      <c r="BL114" s="65">
        <v>722</v>
      </c>
    </row>
    <row r="115" spans="1:64" ht="12.75">
      <c r="A115" s="80" t="s">
        <v>116</v>
      </c>
      <c r="B115" s="80"/>
      <c r="C115" s="80" t="s">
        <v>263</v>
      </c>
      <c r="D115" s="216" t="s">
        <v>461</v>
      </c>
      <c r="E115" s="217"/>
      <c r="F115" s="80" t="s">
        <v>610</v>
      </c>
      <c r="G115" s="85">
        <v>12.5</v>
      </c>
      <c r="H115" s="133"/>
      <c r="I115" s="85">
        <f t="shared" si="24"/>
        <v>0</v>
      </c>
      <c r="J115" s="85">
        <f t="shared" si="25"/>
        <v>0</v>
      </c>
      <c r="K115" s="85">
        <f t="shared" si="26"/>
        <v>0</v>
      </c>
      <c r="L115" s="85">
        <v>7E-05</v>
      </c>
      <c r="M115" s="85">
        <f t="shared" si="27"/>
        <v>0.0008749999999999999</v>
      </c>
      <c r="N115" s="75" t="s">
        <v>631</v>
      </c>
      <c r="O115" s="77"/>
      <c r="Z115" s="65">
        <f t="shared" si="28"/>
        <v>0</v>
      </c>
      <c r="AB115" s="65">
        <f t="shared" si="29"/>
        <v>0</v>
      </c>
      <c r="AC115" s="65">
        <f t="shared" si="30"/>
        <v>0</v>
      </c>
      <c r="AD115" s="65">
        <f t="shared" si="31"/>
        <v>0</v>
      </c>
      <c r="AE115" s="65">
        <f t="shared" si="32"/>
        <v>0</v>
      </c>
      <c r="AF115" s="65">
        <f t="shared" si="33"/>
        <v>0</v>
      </c>
      <c r="AG115" s="65">
        <f t="shared" si="34"/>
        <v>0</v>
      </c>
      <c r="AH115" s="65">
        <f t="shared" si="35"/>
        <v>0</v>
      </c>
      <c r="AI115" s="58"/>
      <c r="AJ115" s="48">
        <f t="shared" si="36"/>
        <v>0</v>
      </c>
      <c r="AK115" s="48">
        <f t="shared" si="37"/>
        <v>0</v>
      </c>
      <c r="AL115" s="48">
        <f t="shared" si="38"/>
        <v>0</v>
      </c>
      <c r="AN115" s="65">
        <v>15</v>
      </c>
      <c r="AO115" s="65">
        <f>H115*0.448558558558559</f>
        <v>0</v>
      </c>
      <c r="AP115" s="65">
        <f>H115*(1-0.448558558558559)</f>
        <v>0</v>
      </c>
      <c r="AQ115" s="66" t="s">
        <v>80</v>
      </c>
      <c r="AV115" s="65">
        <f t="shared" si="39"/>
        <v>0</v>
      </c>
      <c r="AW115" s="65">
        <f t="shared" si="40"/>
        <v>0</v>
      </c>
      <c r="AX115" s="65">
        <f t="shared" si="41"/>
        <v>0</v>
      </c>
      <c r="AY115" s="68" t="s">
        <v>650</v>
      </c>
      <c r="AZ115" s="68" t="s">
        <v>670</v>
      </c>
      <c r="BA115" s="58" t="s">
        <v>675</v>
      </c>
      <c r="BC115" s="65">
        <f t="shared" si="42"/>
        <v>0</v>
      </c>
      <c r="BD115" s="65">
        <f t="shared" si="43"/>
        <v>0</v>
      </c>
      <c r="BE115" s="65">
        <v>0</v>
      </c>
      <c r="BF115" s="65">
        <f t="shared" si="44"/>
        <v>0.0008749999999999999</v>
      </c>
      <c r="BH115" s="48">
        <f t="shared" si="45"/>
        <v>0</v>
      </c>
      <c r="BI115" s="48">
        <f t="shared" si="46"/>
        <v>0</v>
      </c>
      <c r="BJ115" s="48">
        <f t="shared" si="47"/>
        <v>0</v>
      </c>
      <c r="BK115" s="48" t="s">
        <v>680</v>
      </c>
      <c r="BL115" s="65">
        <v>722</v>
      </c>
    </row>
    <row r="116" spans="1:64" ht="12.75">
      <c r="A116" s="80" t="s">
        <v>117</v>
      </c>
      <c r="B116" s="80"/>
      <c r="C116" s="80" t="s">
        <v>264</v>
      </c>
      <c r="D116" s="216" t="s">
        <v>462</v>
      </c>
      <c r="E116" s="217"/>
      <c r="F116" s="80" t="s">
        <v>611</v>
      </c>
      <c r="G116" s="85">
        <v>5</v>
      </c>
      <c r="H116" s="133"/>
      <c r="I116" s="85">
        <f t="shared" si="24"/>
        <v>0</v>
      </c>
      <c r="J116" s="85">
        <f t="shared" si="25"/>
        <v>0</v>
      </c>
      <c r="K116" s="85">
        <f t="shared" si="26"/>
        <v>0</v>
      </c>
      <c r="L116" s="85">
        <v>0</v>
      </c>
      <c r="M116" s="85">
        <f t="shared" si="27"/>
        <v>0</v>
      </c>
      <c r="N116" s="75" t="s">
        <v>631</v>
      </c>
      <c r="O116" s="77"/>
      <c r="Z116" s="65">
        <f t="shared" si="28"/>
        <v>0</v>
      </c>
      <c r="AB116" s="65">
        <f t="shared" si="29"/>
        <v>0</v>
      </c>
      <c r="AC116" s="65">
        <f t="shared" si="30"/>
        <v>0</v>
      </c>
      <c r="AD116" s="65">
        <f t="shared" si="31"/>
        <v>0</v>
      </c>
      <c r="AE116" s="65">
        <f t="shared" si="32"/>
        <v>0</v>
      </c>
      <c r="AF116" s="65">
        <f t="shared" si="33"/>
        <v>0</v>
      </c>
      <c r="AG116" s="65">
        <f t="shared" si="34"/>
        <v>0</v>
      </c>
      <c r="AH116" s="65">
        <f t="shared" si="35"/>
        <v>0</v>
      </c>
      <c r="AI116" s="58"/>
      <c r="AJ116" s="48">
        <f t="shared" si="36"/>
        <v>0</v>
      </c>
      <c r="AK116" s="48">
        <f t="shared" si="37"/>
        <v>0</v>
      </c>
      <c r="AL116" s="48">
        <f t="shared" si="38"/>
        <v>0</v>
      </c>
      <c r="AN116" s="65">
        <v>15</v>
      </c>
      <c r="AO116" s="65">
        <f>H116*0</f>
        <v>0</v>
      </c>
      <c r="AP116" s="65">
        <f>H116*(1-0)</f>
        <v>0</v>
      </c>
      <c r="AQ116" s="66" t="s">
        <v>80</v>
      </c>
      <c r="AV116" s="65">
        <f t="shared" si="39"/>
        <v>0</v>
      </c>
      <c r="AW116" s="65">
        <f t="shared" si="40"/>
        <v>0</v>
      </c>
      <c r="AX116" s="65">
        <f t="shared" si="41"/>
        <v>0</v>
      </c>
      <c r="AY116" s="68" t="s">
        <v>650</v>
      </c>
      <c r="AZ116" s="68" t="s">
        <v>670</v>
      </c>
      <c r="BA116" s="58" t="s">
        <v>675</v>
      </c>
      <c r="BC116" s="65">
        <f t="shared" si="42"/>
        <v>0</v>
      </c>
      <c r="BD116" s="65">
        <f t="shared" si="43"/>
        <v>0</v>
      </c>
      <c r="BE116" s="65">
        <v>0</v>
      </c>
      <c r="BF116" s="65">
        <f t="shared" si="44"/>
        <v>0</v>
      </c>
      <c r="BH116" s="48">
        <f t="shared" si="45"/>
        <v>0</v>
      </c>
      <c r="BI116" s="48">
        <f t="shared" si="46"/>
        <v>0</v>
      </c>
      <c r="BJ116" s="48">
        <f t="shared" si="47"/>
        <v>0</v>
      </c>
      <c r="BK116" s="48" t="s">
        <v>680</v>
      </c>
      <c r="BL116" s="65">
        <v>722</v>
      </c>
    </row>
    <row r="117" spans="1:64" ht="12.75">
      <c r="A117" s="80" t="s">
        <v>118</v>
      </c>
      <c r="B117" s="80"/>
      <c r="C117" s="80" t="s">
        <v>265</v>
      </c>
      <c r="D117" s="216" t="s">
        <v>463</v>
      </c>
      <c r="E117" s="217"/>
      <c r="F117" s="80" t="s">
        <v>610</v>
      </c>
      <c r="G117" s="85">
        <v>12.5</v>
      </c>
      <c r="H117" s="133"/>
      <c r="I117" s="85">
        <f t="shared" si="24"/>
        <v>0</v>
      </c>
      <c r="J117" s="85">
        <f t="shared" si="25"/>
        <v>0</v>
      </c>
      <c r="K117" s="85">
        <f t="shared" si="26"/>
        <v>0</v>
      </c>
      <c r="L117" s="85">
        <v>1E-05</v>
      </c>
      <c r="M117" s="85">
        <f t="shared" si="27"/>
        <v>0.000125</v>
      </c>
      <c r="N117" s="75" t="s">
        <v>631</v>
      </c>
      <c r="O117" s="77"/>
      <c r="Z117" s="65">
        <f t="shared" si="28"/>
        <v>0</v>
      </c>
      <c r="AB117" s="65">
        <f t="shared" si="29"/>
        <v>0</v>
      </c>
      <c r="AC117" s="65">
        <f t="shared" si="30"/>
        <v>0</v>
      </c>
      <c r="AD117" s="65">
        <f t="shared" si="31"/>
        <v>0</v>
      </c>
      <c r="AE117" s="65">
        <f t="shared" si="32"/>
        <v>0</v>
      </c>
      <c r="AF117" s="65">
        <f t="shared" si="33"/>
        <v>0</v>
      </c>
      <c r="AG117" s="65">
        <f t="shared" si="34"/>
        <v>0</v>
      </c>
      <c r="AH117" s="65">
        <f t="shared" si="35"/>
        <v>0</v>
      </c>
      <c r="AI117" s="58"/>
      <c r="AJ117" s="48">
        <f t="shared" si="36"/>
        <v>0</v>
      </c>
      <c r="AK117" s="48">
        <f t="shared" si="37"/>
        <v>0</v>
      </c>
      <c r="AL117" s="48">
        <f t="shared" si="38"/>
        <v>0</v>
      </c>
      <c r="AN117" s="65">
        <v>15</v>
      </c>
      <c r="AO117" s="65">
        <f>H117*0.0501616977079055</f>
        <v>0</v>
      </c>
      <c r="AP117" s="65">
        <f>H117*(1-0.0501616977079055)</f>
        <v>0</v>
      </c>
      <c r="AQ117" s="66" t="s">
        <v>80</v>
      </c>
      <c r="AV117" s="65">
        <f t="shared" si="39"/>
        <v>0</v>
      </c>
      <c r="AW117" s="65">
        <f t="shared" si="40"/>
        <v>0</v>
      </c>
      <c r="AX117" s="65">
        <f t="shared" si="41"/>
        <v>0</v>
      </c>
      <c r="AY117" s="68" t="s">
        <v>650</v>
      </c>
      <c r="AZ117" s="68" t="s">
        <v>670</v>
      </c>
      <c r="BA117" s="58" t="s">
        <v>675</v>
      </c>
      <c r="BC117" s="65">
        <f t="shared" si="42"/>
        <v>0</v>
      </c>
      <c r="BD117" s="65">
        <f t="shared" si="43"/>
        <v>0</v>
      </c>
      <c r="BE117" s="65">
        <v>0</v>
      </c>
      <c r="BF117" s="65">
        <f t="shared" si="44"/>
        <v>0.000125</v>
      </c>
      <c r="BH117" s="48">
        <f t="shared" si="45"/>
        <v>0</v>
      </c>
      <c r="BI117" s="48">
        <f t="shared" si="46"/>
        <v>0</v>
      </c>
      <c r="BJ117" s="48">
        <f t="shared" si="47"/>
        <v>0</v>
      </c>
      <c r="BK117" s="48" t="s">
        <v>680</v>
      </c>
      <c r="BL117" s="65">
        <v>722</v>
      </c>
    </row>
    <row r="118" spans="1:64" ht="12.75">
      <c r="A118" s="80" t="s">
        <v>119</v>
      </c>
      <c r="B118" s="80"/>
      <c r="C118" s="80" t="s">
        <v>266</v>
      </c>
      <c r="D118" s="216" t="s">
        <v>464</v>
      </c>
      <c r="E118" s="217"/>
      <c r="F118" s="80" t="s">
        <v>610</v>
      </c>
      <c r="G118" s="85">
        <v>12.5</v>
      </c>
      <c r="H118" s="133"/>
      <c r="I118" s="85">
        <f t="shared" si="24"/>
        <v>0</v>
      </c>
      <c r="J118" s="85">
        <f t="shared" si="25"/>
        <v>0</v>
      </c>
      <c r="K118" s="85">
        <f t="shared" si="26"/>
        <v>0</v>
      </c>
      <c r="L118" s="85">
        <v>0</v>
      </c>
      <c r="M118" s="85">
        <f t="shared" si="27"/>
        <v>0</v>
      </c>
      <c r="N118" s="75" t="s">
        <v>631</v>
      </c>
      <c r="O118" s="77"/>
      <c r="Z118" s="65">
        <f t="shared" si="28"/>
        <v>0</v>
      </c>
      <c r="AB118" s="65">
        <f t="shared" si="29"/>
        <v>0</v>
      </c>
      <c r="AC118" s="65">
        <f t="shared" si="30"/>
        <v>0</v>
      </c>
      <c r="AD118" s="65">
        <f t="shared" si="31"/>
        <v>0</v>
      </c>
      <c r="AE118" s="65">
        <f t="shared" si="32"/>
        <v>0</v>
      </c>
      <c r="AF118" s="65">
        <f t="shared" si="33"/>
        <v>0</v>
      </c>
      <c r="AG118" s="65">
        <f t="shared" si="34"/>
        <v>0</v>
      </c>
      <c r="AH118" s="65">
        <f t="shared" si="35"/>
        <v>0</v>
      </c>
      <c r="AI118" s="58"/>
      <c r="AJ118" s="48">
        <f t="shared" si="36"/>
        <v>0</v>
      </c>
      <c r="AK118" s="48">
        <f t="shared" si="37"/>
        <v>0</v>
      </c>
      <c r="AL118" s="48">
        <f t="shared" si="38"/>
        <v>0</v>
      </c>
      <c r="AN118" s="65">
        <v>15</v>
      </c>
      <c r="AO118" s="65">
        <f>H118*0.0137254901960784</f>
        <v>0</v>
      </c>
      <c r="AP118" s="65">
        <f>H118*(1-0.0137254901960784)</f>
        <v>0</v>
      </c>
      <c r="AQ118" s="66" t="s">
        <v>80</v>
      </c>
      <c r="AV118" s="65">
        <f t="shared" si="39"/>
        <v>0</v>
      </c>
      <c r="AW118" s="65">
        <f t="shared" si="40"/>
        <v>0</v>
      </c>
      <c r="AX118" s="65">
        <f t="shared" si="41"/>
        <v>0</v>
      </c>
      <c r="AY118" s="68" t="s">
        <v>650</v>
      </c>
      <c r="AZ118" s="68" t="s">
        <v>670</v>
      </c>
      <c r="BA118" s="58" t="s">
        <v>675</v>
      </c>
      <c r="BC118" s="65">
        <f t="shared" si="42"/>
        <v>0</v>
      </c>
      <c r="BD118" s="65">
        <f t="shared" si="43"/>
        <v>0</v>
      </c>
      <c r="BE118" s="65">
        <v>0</v>
      </c>
      <c r="BF118" s="65">
        <f t="shared" si="44"/>
        <v>0</v>
      </c>
      <c r="BH118" s="48">
        <f t="shared" si="45"/>
        <v>0</v>
      </c>
      <c r="BI118" s="48">
        <f t="shared" si="46"/>
        <v>0</v>
      </c>
      <c r="BJ118" s="48">
        <f t="shared" si="47"/>
        <v>0</v>
      </c>
      <c r="BK118" s="48" t="s">
        <v>680</v>
      </c>
      <c r="BL118" s="65">
        <v>722</v>
      </c>
    </row>
    <row r="119" spans="1:64" ht="12.75">
      <c r="A119" s="80" t="s">
        <v>120</v>
      </c>
      <c r="B119" s="80"/>
      <c r="C119" s="80" t="s">
        <v>267</v>
      </c>
      <c r="D119" s="216" t="s">
        <v>465</v>
      </c>
      <c r="E119" s="217"/>
      <c r="F119" s="80" t="s">
        <v>612</v>
      </c>
      <c r="G119" s="85">
        <v>0.037</v>
      </c>
      <c r="H119" s="133"/>
      <c r="I119" s="85">
        <f t="shared" si="24"/>
        <v>0</v>
      </c>
      <c r="J119" s="85">
        <f t="shared" si="25"/>
        <v>0</v>
      </c>
      <c r="K119" s="85">
        <f t="shared" si="26"/>
        <v>0</v>
      </c>
      <c r="L119" s="85">
        <v>0</v>
      </c>
      <c r="M119" s="85">
        <f t="shared" si="27"/>
        <v>0</v>
      </c>
      <c r="N119" s="75" t="s">
        <v>631</v>
      </c>
      <c r="O119" s="77"/>
      <c r="Z119" s="65">
        <f t="shared" si="28"/>
        <v>0</v>
      </c>
      <c r="AB119" s="65">
        <f t="shared" si="29"/>
        <v>0</v>
      </c>
      <c r="AC119" s="65">
        <f t="shared" si="30"/>
        <v>0</v>
      </c>
      <c r="AD119" s="65">
        <f t="shared" si="31"/>
        <v>0</v>
      </c>
      <c r="AE119" s="65">
        <f t="shared" si="32"/>
        <v>0</v>
      </c>
      <c r="AF119" s="65">
        <f t="shared" si="33"/>
        <v>0</v>
      </c>
      <c r="AG119" s="65">
        <f t="shared" si="34"/>
        <v>0</v>
      </c>
      <c r="AH119" s="65">
        <f t="shared" si="35"/>
        <v>0</v>
      </c>
      <c r="AI119" s="58"/>
      <c r="AJ119" s="48">
        <f t="shared" si="36"/>
        <v>0</v>
      </c>
      <c r="AK119" s="48">
        <f t="shared" si="37"/>
        <v>0</v>
      </c>
      <c r="AL119" s="48">
        <f t="shared" si="38"/>
        <v>0</v>
      </c>
      <c r="AN119" s="65">
        <v>15</v>
      </c>
      <c r="AO119" s="65">
        <f>H119*0</f>
        <v>0</v>
      </c>
      <c r="AP119" s="65">
        <f>H119*(1-0)</f>
        <v>0</v>
      </c>
      <c r="AQ119" s="66" t="s">
        <v>78</v>
      </c>
      <c r="AV119" s="65">
        <f t="shared" si="39"/>
        <v>0</v>
      </c>
      <c r="AW119" s="65">
        <f t="shared" si="40"/>
        <v>0</v>
      </c>
      <c r="AX119" s="65">
        <f t="shared" si="41"/>
        <v>0</v>
      </c>
      <c r="AY119" s="68" t="s">
        <v>650</v>
      </c>
      <c r="AZ119" s="68" t="s">
        <v>670</v>
      </c>
      <c r="BA119" s="58" t="s">
        <v>675</v>
      </c>
      <c r="BC119" s="65">
        <f t="shared" si="42"/>
        <v>0</v>
      </c>
      <c r="BD119" s="65">
        <f t="shared" si="43"/>
        <v>0</v>
      </c>
      <c r="BE119" s="65">
        <v>0</v>
      </c>
      <c r="BF119" s="65">
        <f t="shared" si="44"/>
        <v>0</v>
      </c>
      <c r="BH119" s="48">
        <f t="shared" si="45"/>
        <v>0</v>
      </c>
      <c r="BI119" s="48">
        <f t="shared" si="46"/>
        <v>0</v>
      </c>
      <c r="BJ119" s="48">
        <f t="shared" si="47"/>
        <v>0</v>
      </c>
      <c r="BK119" s="48" t="s">
        <v>680</v>
      </c>
      <c r="BL119" s="65">
        <v>722</v>
      </c>
    </row>
    <row r="120" spans="1:47" ht="12.75">
      <c r="A120" s="111"/>
      <c r="B120" s="112"/>
      <c r="C120" s="112" t="s">
        <v>268</v>
      </c>
      <c r="D120" s="224" t="s">
        <v>466</v>
      </c>
      <c r="E120" s="219"/>
      <c r="F120" s="111" t="s">
        <v>73</v>
      </c>
      <c r="G120" s="111" t="s">
        <v>73</v>
      </c>
      <c r="H120" s="111" t="s">
        <v>73</v>
      </c>
      <c r="I120" s="113">
        <f>SUM(I121:I152)</f>
        <v>0</v>
      </c>
      <c r="J120" s="113">
        <f>SUM(J121:J152)</f>
        <v>0</v>
      </c>
      <c r="K120" s="113">
        <f>SUM(K121:K152)</f>
        <v>0</v>
      </c>
      <c r="L120" s="114"/>
      <c r="M120" s="113">
        <f>SUM(M121:M152)</f>
        <v>0.25617999999999996</v>
      </c>
      <c r="N120" s="110"/>
      <c r="O120" s="77"/>
      <c r="AI120" s="58"/>
      <c r="AS120" s="71">
        <f>SUM(AJ121:AJ152)</f>
        <v>0</v>
      </c>
      <c r="AT120" s="71">
        <f>SUM(AK121:AK152)</f>
        <v>0</v>
      </c>
      <c r="AU120" s="71">
        <f>SUM(AL121:AL152)</f>
        <v>0</v>
      </c>
    </row>
    <row r="121" spans="1:64" ht="12.75">
      <c r="A121" s="80" t="s">
        <v>121</v>
      </c>
      <c r="B121" s="80"/>
      <c r="C121" s="80" t="s">
        <v>269</v>
      </c>
      <c r="D121" s="216" t="s">
        <v>467</v>
      </c>
      <c r="E121" s="217"/>
      <c r="F121" s="80" t="s">
        <v>614</v>
      </c>
      <c r="G121" s="85">
        <v>1</v>
      </c>
      <c r="H121" s="133"/>
      <c r="I121" s="85">
        <f aca="true" t="shared" si="48" ref="I121:I128">G121*AO121</f>
        <v>0</v>
      </c>
      <c r="J121" s="85">
        <f aca="true" t="shared" si="49" ref="J121:J128">G121*AP121</f>
        <v>0</v>
      </c>
      <c r="K121" s="85">
        <f aca="true" t="shared" si="50" ref="K121:K128">G121*H121</f>
        <v>0</v>
      </c>
      <c r="L121" s="85">
        <v>0.01933</v>
      </c>
      <c r="M121" s="85">
        <f aca="true" t="shared" si="51" ref="M121:M128">G121*L121</f>
        <v>0.01933</v>
      </c>
      <c r="N121" s="75" t="s">
        <v>631</v>
      </c>
      <c r="O121" s="77"/>
      <c r="Z121" s="65">
        <f aca="true" t="shared" si="52" ref="Z121:Z128">IF(AQ121="5",BJ121,0)</f>
        <v>0</v>
      </c>
      <c r="AB121" s="65">
        <f aca="true" t="shared" si="53" ref="AB121:AB128">IF(AQ121="1",BH121,0)</f>
        <v>0</v>
      </c>
      <c r="AC121" s="65">
        <f aca="true" t="shared" si="54" ref="AC121:AC128">IF(AQ121="1",BI121,0)</f>
        <v>0</v>
      </c>
      <c r="AD121" s="65">
        <f aca="true" t="shared" si="55" ref="AD121:AD128">IF(AQ121="7",BH121,0)</f>
        <v>0</v>
      </c>
      <c r="AE121" s="65">
        <f aca="true" t="shared" si="56" ref="AE121:AE128">IF(AQ121="7",BI121,0)</f>
        <v>0</v>
      </c>
      <c r="AF121" s="65">
        <f aca="true" t="shared" si="57" ref="AF121:AF128">IF(AQ121="2",BH121,0)</f>
        <v>0</v>
      </c>
      <c r="AG121" s="65">
        <f aca="true" t="shared" si="58" ref="AG121:AG128">IF(AQ121="2",BI121,0)</f>
        <v>0</v>
      </c>
      <c r="AH121" s="65">
        <f aca="true" t="shared" si="59" ref="AH121:AH128">IF(AQ121="0",BJ121,0)</f>
        <v>0</v>
      </c>
      <c r="AI121" s="58"/>
      <c r="AJ121" s="48">
        <f aca="true" t="shared" si="60" ref="AJ121:AJ128">IF(AN121=0,K121,0)</f>
        <v>0</v>
      </c>
      <c r="AK121" s="48">
        <f aca="true" t="shared" si="61" ref="AK121:AK128">IF(AN121=15,K121,0)</f>
        <v>0</v>
      </c>
      <c r="AL121" s="48">
        <f aca="true" t="shared" si="62" ref="AL121:AL128">IF(AN121=21,K121,0)</f>
        <v>0</v>
      </c>
      <c r="AN121" s="65">
        <v>15</v>
      </c>
      <c r="AO121" s="65">
        <f aca="true" t="shared" si="63" ref="AO121:AO128">H121*0</f>
        <v>0</v>
      </c>
      <c r="AP121" s="65">
        <f aca="true" t="shared" si="64" ref="AP121:AP128">H121*(1-0)</f>
        <v>0</v>
      </c>
      <c r="AQ121" s="66" t="s">
        <v>80</v>
      </c>
      <c r="AV121" s="65">
        <f aca="true" t="shared" si="65" ref="AV121:AV128">AW121+AX121</f>
        <v>0</v>
      </c>
      <c r="AW121" s="65">
        <f aca="true" t="shared" si="66" ref="AW121:AW128">G121*AO121</f>
        <v>0</v>
      </c>
      <c r="AX121" s="65">
        <f aca="true" t="shared" si="67" ref="AX121:AX128">G121*AP121</f>
        <v>0</v>
      </c>
      <c r="AY121" s="68" t="s">
        <v>651</v>
      </c>
      <c r="AZ121" s="68" t="s">
        <v>670</v>
      </c>
      <c r="BA121" s="58" t="s">
        <v>675</v>
      </c>
      <c r="BC121" s="65">
        <f aca="true" t="shared" si="68" ref="BC121:BC128">AW121+AX121</f>
        <v>0</v>
      </c>
      <c r="BD121" s="65">
        <f aca="true" t="shared" si="69" ref="BD121:BD128">H121/(100-BE121)*100</f>
        <v>0</v>
      </c>
      <c r="BE121" s="65">
        <v>0</v>
      </c>
      <c r="BF121" s="65">
        <f aca="true" t="shared" si="70" ref="BF121:BF128">M121</f>
        <v>0.01933</v>
      </c>
      <c r="BH121" s="48">
        <f aca="true" t="shared" si="71" ref="BH121:BH128">G121*AO121</f>
        <v>0</v>
      </c>
      <c r="BI121" s="48">
        <f aca="true" t="shared" si="72" ref="BI121:BI128">G121*AP121</f>
        <v>0</v>
      </c>
      <c r="BJ121" s="48">
        <f aca="true" t="shared" si="73" ref="BJ121:BJ128">G121*H121</f>
        <v>0</v>
      </c>
      <c r="BK121" s="48" t="s">
        <v>680</v>
      </c>
      <c r="BL121" s="65">
        <v>725</v>
      </c>
    </row>
    <row r="122" spans="1:64" ht="12.75">
      <c r="A122" s="80" t="s">
        <v>122</v>
      </c>
      <c r="B122" s="80"/>
      <c r="C122" s="80" t="s">
        <v>270</v>
      </c>
      <c r="D122" s="216" t="s">
        <v>468</v>
      </c>
      <c r="E122" s="217"/>
      <c r="F122" s="80" t="s">
        <v>614</v>
      </c>
      <c r="G122" s="85">
        <v>1</v>
      </c>
      <c r="H122" s="133"/>
      <c r="I122" s="85">
        <f t="shared" si="48"/>
        <v>0</v>
      </c>
      <c r="J122" s="85">
        <f t="shared" si="49"/>
        <v>0</v>
      </c>
      <c r="K122" s="85">
        <f t="shared" si="50"/>
        <v>0</v>
      </c>
      <c r="L122" s="85">
        <v>0.01946</v>
      </c>
      <c r="M122" s="85">
        <f t="shared" si="51"/>
        <v>0.01946</v>
      </c>
      <c r="N122" s="75" t="s">
        <v>631</v>
      </c>
      <c r="O122" s="77"/>
      <c r="Z122" s="65">
        <f t="shared" si="52"/>
        <v>0</v>
      </c>
      <c r="AB122" s="65">
        <f t="shared" si="53"/>
        <v>0</v>
      </c>
      <c r="AC122" s="65">
        <f t="shared" si="54"/>
        <v>0</v>
      </c>
      <c r="AD122" s="65">
        <f t="shared" si="55"/>
        <v>0</v>
      </c>
      <c r="AE122" s="65">
        <f t="shared" si="56"/>
        <v>0</v>
      </c>
      <c r="AF122" s="65">
        <f t="shared" si="57"/>
        <v>0</v>
      </c>
      <c r="AG122" s="65">
        <f t="shared" si="58"/>
        <v>0</v>
      </c>
      <c r="AH122" s="65">
        <f t="shared" si="59"/>
        <v>0</v>
      </c>
      <c r="AI122" s="58"/>
      <c r="AJ122" s="48">
        <f t="shared" si="60"/>
        <v>0</v>
      </c>
      <c r="AK122" s="48">
        <f t="shared" si="61"/>
        <v>0</v>
      </c>
      <c r="AL122" s="48">
        <f t="shared" si="62"/>
        <v>0</v>
      </c>
      <c r="AN122" s="65">
        <v>15</v>
      </c>
      <c r="AO122" s="65">
        <f t="shared" si="63"/>
        <v>0</v>
      </c>
      <c r="AP122" s="65">
        <f t="shared" si="64"/>
        <v>0</v>
      </c>
      <c r="AQ122" s="66" t="s">
        <v>80</v>
      </c>
      <c r="AV122" s="65">
        <f t="shared" si="65"/>
        <v>0</v>
      </c>
      <c r="AW122" s="65">
        <f t="shared" si="66"/>
        <v>0</v>
      </c>
      <c r="AX122" s="65">
        <f t="shared" si="67"/>
        <v>0</v>
      </c>
      <c r="AY122" s="68" t="s">
        <v>651</v>
      </c>
      <c r="AZ122" s="68" t="s">
        <v>670</v>
      </c>
      <c r="BA122" s="58" t="s">
        <v>675</v>
      </c>
      <c r="BC122" s="65">
        <f t="shared" si="68"/>
        <v>0</v>
      </c>
      <c r="BD122" s="65">
        <f t="shared" si="69"/>
        <v>0</v>
      </c>
      <c r="BE122" s="65">
        <v>0</v>
      </c>
      <c r="BF122" s="65">
        <f t="shared" si="70"/>
        <v>0.01946</v>
      </c>
      <c r="BH122" s="48">
        <f t="shared" si="71"/>
        <v>0</v>
      </c>
      <c r="BI122" s="48">
        <f t="shared" si="72"/>
        <v>0</v>
      </c>
      <c r="BJ122" s="48">
        <f t="shared" si="73"/>
        <v>0</v>
      </c>
      <c r="BK122" s="48" t="s">
        <v>680</v>
      </c>
      <c r="BL122" s="65">
        <v>725</v>
      </c>
    </row>
    <row r="123" spans="1:64" ht="12.75">
      <c r="A123" s="80" t="s">
        <v>123</v>
      </c>
      <c r="B123" s="80"/>
      <c r="C123" s="80" t="s">
        <v>271</v>
      </c>
      <c r="D123" s="216" t="s">
        <v>469</v>
      </c>
      <c r="E123" s="217"/>
      <c r="F123" s="80" t="s">
        <v>611</v>
      </c>
      <c r="G123" s="85">
        <v>1</v>
      </c>
      <c r="H123" s="133"/>
      <c r="I123" s="85">
        <f t="shared" si="48"/>
        <v>0</v>
      </c>
      <c r="J123" s="85">
        <f t="shared" si="49"/>
        <v>0</v>
      </c>
      <c r="K123" s="85">
        <f t="shared" si="50"/>
        <v>0</v>
      </c>
      <c r="L123" s="85">
        <v>0.00225</v>
      </c>
      <c r="M123" s="85">
        <f t="shared" si="51"/>
        <v>0.00225</v>
      </c>
      <c r="N123" s="75" t="s">
        <v>631</v>
      </c>
      <c r="O123" s="77"/>
      <c r="Z123" s="65">
        <f t="shared" si="52"/>
        <v>0</v>
      </c>
      <c r="AB123" s="65">
        <f t="shared" si="53"/>
        <v>0</v>
      </c>
      <c r="AC123" s="65">
        <f t="shared" si="54"/>
        <v>0</v>
      </c>
      <c r="AD123" s="65">
        <f t="shared" si="55"/>
        <v>0</v>
      </c>
      <c r="AE123" s="65">
        <f t="shared" si="56"/>
        <v>0</v>
      </c>
      <c r="AF123" s="65">
        <f t="shared" si="57"/>
        <v>0</v>
      </c>
      <c r="AG123" s="65">
        <f t="shared" si="58"/>
        <v>0</v>
      </c>
      <c r="AH123" s="65">
        <f t="shared" si="59"/>
        <v>0</v>
      </c>
      <c r="AI123" s="58"/>
      <c r="AJ123" s="48">
        <f t="shared" si="60"/>
        <v>0</v>
      </c>
      <c r="AK123" s="48">
        <f t="shared" si="61"/>
        <v>0</v>
      </c>
      <c r="AL123" s="48">
        <f t="shared" si="62"/>
        <v>0</v>
      </c>
      <c r="AN123" s="65">
        <v>15</v>
      </c>
      <c r="AO123" s="65">
        <f t="shared" si="63"/>
        <v>0</v>
      </c>
      <c r="AP123" s="65">
        <f t="shared" si="64"/>
        <v>0</v>
      </c>
      <c r="AQ123" s="66" t="s">
        <v>80</v>
      </c>
      <c r="AV123" s="65">
        <f t="shared" si="65"/>
        <v>0</v>
      </c>
      <c r="AW123" s="65">
        <f t="shared" si="66"/>
        <v>0</v>
      </c>
      <c r="AX123" s="65">
        <f t="shared" si="67"/>
        <v>0</v>
      </c>
      <c r="AY123" s="68" t="s">
        <v>651</v>
      </c>
      <c r="AZ123" s="68" t="s">
        <v>670</v>
      </c>
      <c r="BA123" s="58" t="s">
        <v>675</v>
      </c>
      <c r="BC123" s="65">
        <f t="shared" si="68"/>
        <v>0</v>
      </c>
      <c r="BD123" s="65">
        <f t="shared" si="69"/>
        <v>0</v>
      </c>
      <c r="BE123" s="65">
        <v>0</v>
      </c>
      <c r="BF123" s="65">
        <f t="shared" si="70"/>
        <v>0.00225</v>
      </c>
      <c r="BH123" s="48">
        <f t="shared" si="71"/>
        <v>0</v>
      </c>
      <c r="BI123" s="48">
        <f t="shared" si="72"/>
        <v>0</v>
      </c>
      <c r="BJ123" s="48">
        <f t="shared" si="73"/>
        <v>0</v>
      </c>
      <c r="BK123" s="48" t="s">
        <v>680</v>
      </c>
      <c r="BL123" s="65">
        <v>725</v>
      </c>
    </row>
    <row r="124" spans="1:64" ht="12.75">
      <c r="A124" s="80" t="s">
        <v>124</v>
      </c>
      <c r="B124" s="80"/>
      <c r="C124" s="80" t="s">
        <v>272</v>
      </c>
      <c r="D124" s="216" t="s">
        <v>470</v>
      </c>
      <c r="E124" s="217"/>
      <c r="F124" s="80" t="s">
        <v>614</v>
      </c>
      <c r="G124" s="85">
        <v>1</v>
      </c>
      <c r="H124" s="133"/>
      <c r="I124" s="85">
        <f t="shared" si="48"/>
        <v>0</v>
      </c>
      <c r="J124" s="85">
        <f t="shared" si="49"/>
        <v>0</v>
      </c>
      <c r="K124" s="85">
        <f t="shared" si="50"/>
        <v>0</v>
      </c>
      <c r="L124" s="85">
        <v>0.00086</v>
      </c>
      <c r="M124" s="85">
        <f t="shared" si="51"/>
        <v>0.00086</v>
      </c>
      <c r="N124" s="75" t="s">
        <v>631</v>
      </c>
      <c r="O124" s="77"/>
      <c r="Z124" s="65">
        <f t="shared" si="52"/>
        <v>0</v>
      </c>
      <c r="AB124" s="65">
        <f t="shared" si="53"/>
        <v>0</v>
      </c>
      <c r="AC124" s="65">
        <f t="shared" si="54"/>
        <v>0</v>
      </c>
      <c r="AD124" s="65">
        <f t="shared" si="55"/>
        <v>0</v>
      </c>
      <c r="AE124" s="65">
        <f t="shared" si="56"/>
        <v>0</v>
      </c>
      <c r="AF124" s="65">
        <f t="shared" si="57"/>
        <v>0</v>
      </c>
      <c r="AG124" s="65">
        <f t="shared" si="58"/>
        <v>0</v>
      </c>
      <c r="AH124" s="65">
        <f t="shared" si="59"/>
        <v>0</v>
      </c>
      <c r="AI124" s="58"/>
      <c r="AJ124" s="48">
        <f t="shared" si="60"/>
        <v>0</v>
      </c>
      <c r="AK124" s="48">
        <f t="shared" si="61"/>
        <v>0</v>
      </c>
      <c r="AL124" s="48">
        <f t="shared" si="62"/>
        <v>0</v>
      </c>
      <c r="AN124" s="65">
        <v>15</v>
      </c>
      <c r="AO124" s="65">
        <f t="shared" si="63"/>
        <v>0</v>
      </c>
      <c r="AP124" s="65">
        <f t="shared" si="64"/>
        <v>0</v>
      </c>
      <c r="AQ124" s="66" t="s">
        <v>80</v>
      </c>
      <c r="AV124" s="65">
        <f t="shared" si="65"/>
        <v>0</v>
      </c>
      <c r="AW124" s="65">
        <f t="shared" si="66"/>
        <v>0</v>
      </c>
      <c r="AX124" s="65">
        <f t="shared" si="67"/>
        <v>0</v>
      </c>
      <c r="AY124" s="68" t="s">
        <v>651</v>
      </c>
      <c r="AZ124" s="68" t="s">
        <v>670</v>
      </c>
      <c r="BA124" s="58" t="s">
        <v>675</v>
      </c>
      <c r="BC124" s="65">
        <f t="shared" si="68"/>
        <v>0</v>
      </c>
      <c r="BD124" s="65">
        <f t="shared" si="69"/>
        <v>0</v>
      </c>
      <c r="BE124" s="65">
        <v>0</v>
      </c>
      <c r="BF124" s="65">
        <f t="shared" si="70"/>
        <v>0.00086</v>
      </c>
      <c r="BH124" s="48">
        <f t="shared" si="71"/>
        <v>0</v>
      </c>
      <c r="BI124" s="48">
        <f t="shared" si="72"/>
        <v>0</v>
      </c>
      <c r="BJ124" s="48">
        <f t="shared" si="73"/>
        <v>0</v>
      </c>
      <c r="BK124" s="48" t="s">
        <v>680</v>
      </c>
      <c r="BL124" s="65">
        <v>725</v>
      </c>
    </row>
    <row r="125" spans="1:64" ht="12.75">
      <c r="A125" s="80" t="s">
        <v>125</v>
      </c>
      <c r="B125" s="80"/>
      <c r="C125" s="80" t="s">
        <v>273</v>
      </c>
      <c r="D125" s="216" t="s">
        <v>471</v>
      </c>
      <c r="E125" s="217"/>
      <c r="F125" s="80" t="s">
        <v>611</v>
      </c>
      <c r="G125" s="85">
        <v>3</v>
      </c>
      <c r="H125" s="133"/>
      <c r="I125" s="85">
        <f t="shared" si="48"/>
        <v>0</v>
      </c>
      <c r="J125" s="85">
        <f t="shared" si="49"/>
        <v>0</v>
      </c>
      <c r="K125" s="85">
        <f t="shared" si="50"/>
        <v>0</v>
      </c>
      <c r="L125" s="85">
        <v>0.00085</v>
      </c>
      <c r="M125" s="85">
        <f t="shared" si="51"/>
        <v>0.0025499999999999997</v>
      </c>
      <c r="N125" s="75" t="s">
        <v>631</v>
      </c>
      <c r="O125" s="77"/>
      <c r="Z125" s="65">
        <f t="shared" si="52"/>
        <v>0</v>
      </c>
      <c r="AB125" s="65">
        <f t="shared" si="53"/>
        <v>0</v>
      </c>
      <c r="AC125" s="65">
        <f t="shared" si="54"/>
        <v>0</v>
      </c>
      <c r="AD125" s="65">
        <f t="shared" si="55"/>
        <v>0</v>
      </c>
      <c r="AE125" s="65">
        <f t="shared" si="56"/>
        <v>0</v>
      </c>
      <c r="AF125" s="65">
        <f t="shared" si="57"/>
        <v>0</v>
      </c>
      <c r="AG125" s="65">
        <f t="shared" si="58"/>
        <v>0</v>
      </c>
      <c r="AH125" s="65">
        <f t="shared" si="59"/>
        <v>0</v>
      </c>
      <c r="AI125" s="58"/>
      <c r="AJ125" s="48">
        <f t="shared" si="60"/>
        <v>0</v>
      </c>
      <c r="AK125" s="48">
        <f t="shared" si="61"/>
        <v>0</v>
      </c>
      <c r="AL125" s="48">
        <f t="shared" si="62"/>
        <v>0</v>
      </c>
      <c r="AN125" s="65">
        <v>15</v>
      </c>
      <c r="AO125" s="65">
        <f t="shared" si="63"/>
        <v>0</v>
      </c>
      <c r="AP125" s="65">
        <f t="shared" si="64"/>
        <v>0</v>
      </c>
      <c r="AQ125" s="66" t="s">
        <v>80</v>
      </c>
      <c r="AV125" s="65">
        <f t="shared" si="65"/>
        <v>0</v>
      </c>
      <c r="AW125" s="65">
        <f t="shared" si="66"/>
        <v>0</v>
      </c>
      <c r="AX125" s="65">
        <f t="shared" si="67"/>
        <v>0</v>
      </c>
      <c r="AY125" s="68" t="s">
        <v>651</v>
      </c>
      <c r="AZ125" s="68" t="s">
        <v>670</v>
      </c>
      <c r="BA125" s="58" t="s">
        <v>675</v>
      </c>
      <c r="BC125" s="65">
        <f t="shared" si="68"/>
        <v>0</v>
      </c>
      <c r="BD125" s="65">
        <f t="shared" si="69"/>
        <v>0</v>
      </c>
      <c r="BE125" s="65">
        <v>0</v>
      </c>
      <c r="BF125" s="65">
        <f t="shared" si="70"/>
        <v>0.0025499999999999997</v>
      </c>
      <c r="BH125" s="48">
        <f t="shared" si="71"/>
        <v>0</v>
      </c>
      <c r="BI125" s="48">
        <f t="shared" si="72"/>
        <v>0</v>
      </c>
      <c r="BJ125" s="48">
        <f t="shared" si="73"/>
        <v>0</v>
      </c>
      <c r="BK125" s="48" t="s">
        <v>680</v>
      </c>
      <c r="BL125" s="65">
        <v>725</v>
      </c>
    </row>
    <row r="126" spans="1:64" ht="12.75">
      <c r="A126" s="80" t="s">
        <v>126</v>
      </c>
      <c r="B126" s="80"/>
      <c r="C126" s="80" t="s">
        <v>274</v>
      </c>
      <c r="D126" s="216" t="s">
        <v>472</v>
      </c>
      <c r="E126" s="217"/>
      <c r="F126" s="80" t="s">
        <v>614</v>
      </c>
      <c r="G126" s="85">
        <v>1</v>
      </c>
      <c r="H126" s="133"/>
      <c r="I126" s="85">
        <f t="shared" si="48"/>
        <v>0</v>
      </c>
      <c r="J126" s="85">
        <f t="shared" si="49"/>
        <v>0</v>
      </c>
      <c r="K126" s="85">
        <f t="shared" si="50"/>
        <v>0</v>
      </c>
      <c r="L126" s="85">
        <v>0.125</v>
      </c>
      <c r="M126" s="85">
        <f t="shared" si="51"/>
        <v>0.125</v>
      </c>
      <c r="N126" s="75" t="s">
        <v>631</v>
      </c>
      <c r="O126" s="77"/>
      <c r="Z126" s="65">
        <f t="shared" si="52"/>
        <v>0</v>
      </c>
      <c r="AB126" s="65">
        <f t="shared" si="53"/>
        <v>0</v>
      </c>
      <c r="AC126" s="65">
        <f t="shared" si="54"/>
        <v>0</v>
      </c>
      <c r="AD126" s="65">
        <f t="shared" si="55"/>
        <v>0</v>
      </c>
      <c r="AE126" s="65">
        <f t="shared" si="56"/>
        <v>0</v>
      </c>
      <c r="AF126" s="65">
        <f t="shared" si="57"/>
        <v>0</v>
      </c>
      <c r="AG126" s="65">
        <f t="shared" si="58"/>
        <v>0</v>
      </c>
      <c r="AH126" s="65">
        <f t="shared" si="59"/>
        <v>0</v>
      </c>
      <c r="AI126" s="58"/>
      <c r="AJ126" s="48">
        <f t="shared" si="60"/>
        <v>0</v>
      </c>
      <c r="AK126" s="48">
        <f t="shared" si="61"/>
        <v>0</v>
      </c>
      <c r="AL126" s="48">
        <f t="shared" si="62"/>
        <v>0</v>
      </c>
      <c r="AN126" s="65">
        <v>15</v>
      </c>
      <c r="AO126" s="65">
        <f t="shared" si="63"/>
        <v>0</v>
      </c>
      <c r="AP126" s="65">
        <f t="shared" si="64"/>
        <v>0</v>
      </c>
      <c r="AQ126" s="66" t="s">
        <v>80</v>
      </c>
      <c r="AV126" s="65">
        <f t="shared" si="65"/>
        <v>0</v>
      </c>
      <c r="AW126" s="65">
        <f t="shared" si="66"/>
        <v>0</v>
      </c>
      <c r="AX126" s="65">
        <f t="shared" si="67"/>
        <v>0</v>
      </c>
      <c r="AY126" s="68" t="s">
        <v>651</v>
      </c>
      <c r="AZ126" s="68" t="s">
        <v>670</v>
      </c>
      <c r="BA126" s="58" t="s">
        <v>675</v>
      </c>
      <c r="BC126" s="65">
        <f t="shared" si="68"/>
        <v>0</v>
      </c>
      <c r="BD126" s="65">
        <f t="shared" si="69"/>
        <v>0</v>
      </c>
      <c r="BE126" s="65">
        <v>0</v>
      </c>
      <c r="BF126" s="65">
        <f t="shared" si="70"/>
        <v>0.125</v>
      </c>
      <c r="BH126" s="48">
        <f t="shared" si="71"/>
        <v>0</v>
      </c>
      <c r="BI126" s="48">
        <f t="shared" si="72"/>
        <v>0</v>
      </c>
      <c r="BJ126" s="48">
        <f t="shared" si="73"/>
        <v>0</v>
      </c>
      <c r="BK126" s="48" t="s">
        <v>680</v>
      </c>
      <c r="BL126" s="65">
        <v>725</v>
      </c>
    </row>
    <row r="127" spans="1:64" ht="12.75">
      <c r="A127" s="80" t="s">
        <v>127</v>
      </c>
      <c r="B127" s="80"/>
      <c r="C127" s="80" t="s">
        <v>273</v>
      </c>
      <c r="D127" s="216" t="s">
        <v>471</v>
      </c>
      <c r="E127" s="217"/>
      <c r="F127" s="80" t="s">
        <v>611</v>
      </c>
      <c r="G127" s="85">
        <v>3</v>
      </c>
      <c r="H127" s="133"/>
      <c r="I127" s="85">
        <f t="shared" si="48"/>
        <v>0</v>
      </c>
      <c r="J127" s="85">
        <f t="shared" si="49"/>
        <v>0</v>
      </c>
      <c r="K127" s="85">
        <f t="shared" si="50"/>
        <v>0</v>
      </c>
      <c r="L127" s="85">
        <v>0.00085</v>
      </c>
      <c r="M127" s="85">
        <f t="shared" si="51"/>
        <v>0.0025499999999999997</v>
      </c>
      <c r="N127" s="75" t="s">
        <v>631</v>
      </c>
      <c r="O127" s="77"/>
      <c r="Z127" s="65">
        <f t="shared" si="52"/>
        <v>0</v>
      </c>
      <c r="AB127" s="65">
        <f t="shared" si="53"/>
        <v>0</v>
      </c>
      <c r="AC127" s="65">
        <f t="shared" si="54"/>
        <v>0</v>
      </c>
      <c r="AD127" s="65">
        <f t="shared" si="55"/>
        <v>0</v>
      </c>
      <c r="AE127" s="65">
        <f t="shared" si="56"/>
        <v>0</v>
      </c>
      <c r="AF127" s="65">
        <f t="shared" si="57"/>
        <v>0</v>
      </c>
      <c r="AG127" s="65">
        <f t="shared" si="58"/>
        <v>0</v>
      </c>
      <c r="AH127" s="65">
        <f t="shared" si="59"/>
        <v>0</v>
      </c>
      <c r="AI127" s="58"/>
      <c r="AJ127" s="48">
        <f t="shared" si="60"/>
        <v>0</v>
      </c>
      <c r="AK127" s="48">
        <f t="shared" si="61"/>
        <v>0</v>
      </c>
      <c r="AL127" s="48">
        <f t="shared" si="62"/>
        <v>0</v>
      </c>
      <c r="AN127" s="65">
        <v>15</v>
      </c>
      <c r="AO127" s="65">
        <f t="shared" si="63"/>
        <v>0</v>
      </c>
      <c r="AP127" s="65">
        <f t="shared" si="64"/>
        <v>0</v>
      </c>
      <c r="AQ127" s="66" t="s">
        <v>80</v>
      </c>
      <c r="AV127" s="65">
        <f t="shared" si="65"/>
        <v>0</v>
      </c>
      <c r="AW127" s="65">
        <f t="shared" si="66"/>
        <v>0</v>
      </c>
      <c r="AX127" s="65">
        <f t="shared" si="67"/>
        <v>0</v>
      </c>
      <c r="AY127" s="68" t="s">
        <v>651</v>
      </c>
      <c r="AZ127" s="68" t="s">
        <v>670</v>
      </c>
      <c r="BA127" s="58" t="s">
        <v>675</v>
      </c>
      <c r="BC127" s="65">
        <f t="shared" si="68"/>
        <v>0</v>
      </c>
      <c r="BD127" s="65">
        <f t="shared" si="69"/>
        <v>0</v>
      </c>
      <c r="BE127" s="65">
        <v>0</v>
      </c>
      <c r="BF127" s="65">
        <f t="shared" si="70"/>
        <v>0.0025499999999999997</v>
      </c>
      <c r="BH127" s="48">
        <f t="shared" si="71"/>
        <v>0</v>
      </c>
      <c r="BI127" s="48">
        <f t="shared" si="72"/>
        <v>0</v>
      </c>
      <c r="BJ127" s="48">
        <f t="shared" si="73"/>
        <v>0</v>
      </c>
      <c r="BK127" s="48" t="s">
        <v>680</v>
      </c>
      <c r="BL127" s="65">
        <v>725</v>
      </c>
    </row>
    <row r="128" spans="1:64" ht="12.75">
      <c r="A128" s="80" t="s">
        <v>128</v>
      </c>
      <c r="B128" s="80"/>
      <c r="C128" s="80" t="s">
        <v>275</v>
      </c>
      <c r="D128" s="216" t="s">
        <v>473</v>
      </c>
      <c r="E128" s="217"/>
      <c r="F128" s="80" t="s">
        <v>611</v>
      </c>
      <c r="G128" s="85">
        <v>2</v>
      </c>
      <c r="H128" s="133"/>
      <c r="I128" s="85">
        <f t="shared" si="48"/>
        <v>0</v>
      </c>
      <c r="J128" s="85">
        <f t="shared" si="49"/>
        <v>0</v>
      </c>
      <c r="K128" s="85">
        <f t="shared" si="50"/>
        <v>0</v>
      </c>
      <c r="L128" s="85">
        <v>0.005</v>
      </c>
      <c r="M128" s="85">
        <f t="shared" si="51"/>
        <v>0.01</v>
      </c>
      <c r="N128" s="75" t="s">
        <v>631</v>
      </c>
      <c r="O128" s="77"/>
      <c r="Z128" s="65">
        <f t="shared" si="52"/>
        <v>0</v>
      </c>
      <c r="AB128" s="65">
        <f t="shared" si="53"/>
        <v>0</v>
      </c>
      <c r="AC128" s="65">
        <f t="shared" si="54"/>
        <v>0</v>
      </c>
      <c r="AD128" s="65">
        <f t="shared" si="55"/>
        <v>0</v>
      </c>
      <c r="AE128" s="65">
        <f t="shared" si="56"/>
        <v>0</v>
      </c>
      <c r="AF128" s="65">
        <f t="shared" si="57"/>
        <v>0</v>
      </c>
      <c r="AG128" s="65">
        <f t="shared" si="58"/>
        <v>0</v>
      </c>
      <c r="AH128" s="65">
        <f t="shared" si="59"/>
        <v>0</v>
      </c>
      <c r="AI128" s="58"/>
      <c r="AJ128" s="48">
        <f t="shared" si="60"/>
        <v>0</v>
      </c>
      <c r="AK128" s="48">
        <f t="shared" si="61"/>
        <v>0</v>
      </c>
      <c r="AL128" s="48">
        <f t="shared" si="62"/>
        <v>0</v>
      </c>
      <c r="AN128" s="65">
        <v>15</v>
      </c>
      <c r="AO128" s="65">
        <f t="shared" si="63"/>
        <v>0</v>
      </c>
      <c r="AP128" s="65">
        <f t="shared" si="64"/>
        <v>0</v>
      </c>
      <c r="AQ128" s="66" t="s">
        <v>80</v>
      </c>
      <c r="AV128" s="65">
        <f t="shared" si="65"/>
        <v>0</v>
      </c>
      <c r="AW128" s="65">
        <f t="shared" si="66"/>
        <v>0</v>
      </c>
      <c r="AX128" s="65">
        <f t="shared" si="67"/>
        <v>0</v>
      </c>
      <c r="AY128" s="68" t="s">
        <v>651</v>
      </c>
      <c r="AZ128" s="68" t="s">
        <v>670</v>
      </c>
      <c r="BA128" s="58" t="s">
        <v>675</v>
      </c>
      <c r="BC128" s="65">
        <f t="shared" si="68"/>
        <v>0</v>
      </c>
      <c r="BD128" s="65">
        <f t="shared" si="69"/>
        <v>0</v>
      </c>
      <c r="BE128" s="65">
        <v>0</v>
      </c>
      <c r="BF128" s="65">
        <f t="shared" si="70"/>
        <v>0.01</v>
      </c>
      <c r="BH128" s="48">
        <f t="shared" si="71"/>
        <v>0</v>
      </c>
      <c r="BI128" s="48">
        <f t="shared" si="72"/>
        <v>0</v>
      </c>
      <c r="BJ128" s="48">
        <f t="shared" si="73"/>
        <v>0</v>
      </c>
      <c r="BK128" s="48" t="s">
        <v>680</v>
      </c>
      <c r="BL128" s="65">
        <v>725</v>
      </c>
    </row>
    <row r="129" spans="1:15" ht="12.75">
      <c r="A129" s="87"/>
      <c r="B129" s="88"/>
      <c r="C129" s="88"/>
      <c r="D129" s="89" t="s">
        <v>474</v>
      </c>
      <c r="E129" s="90"/>
      <c r="F129" s="88"/>
      <c r="G129" s="91">
        <v>0</v>
      </c>
      <c r="H129" s="88"/>
      <c r="I129" s="88"/>
      <c r="J129" s="88"/>
      <c r="K129" s="88"/>
      <c r="L129" s="88"/>
      <c r="M129" s="88"/>
      <c r="N129" s="78"/>
      <c r="O129" s="77"/>
    </row>
    <row r="130" spans="1:15" ht="12.75">
      <c r="A130" s="87"/>
      <c r="B130" s="88"/>
      <c r="C130" s="88"/>
      <c r="D130" s="89" t="s">
        <v>475</v>
      </c>
      <c r="E130" s="90"/>
      <c r="F130" s="88"/>
      <c r="G130" s="91">
        <v>0</v>
      </c>
      <c r="H130" s="88"/>
      <c r="I130" s="88"/>
      <c r="J130" s="88"/>
      <c r="K130" s="88"/>
      <c r="L130" s="88"/>
      <c r="M130" s="88"/>
      <c r="N130" s="78"/>
      <c r="O130" s="77"/>
    </row>
    <row r="131" spans="1:15" ht="12.75">
      <c r="A131" s="87"/>
      <c r="B131" s="88"/>
      <c r="C131" s="88"/>
      <c r="D131" s="89" t="s">
        <v>75</v>
      </c>
      <c r="E131" s="90"/>
      <c r="F131" s="88"/>
      <c r="G131" s="91">
        <v>2</v>
      </c>
      <c r="H131" s="88"/>
      <c r="I131" s="88"/>
      <c r="J131" s="88"/>
      <c r="K131" s="88"/>
      <c r="L131" s="88"/>
      <c r="M131" s="88"/>
      <c r="N131" s="78"/>
      <c r="O131" s="77"/>
    </row>
    <row r="132" spans="1:64" ht="12.75">
      <c r="A132" s="80" t="s">
        <v>129</v>
      </c>
      <c r="B132" s="80"/>
      <c r="C132" s="80" t="s">
        <v>276</v>
      </c>
      <c r="D132" s="216" t="s">
        <v>476</v>
      </c>
      <c r="E132" s="217"/>
      <c r="F132" s="80" t="s">
        <v>614</v>
      </c>
      <c r="G132" s="85">
        <v>1</v>
      </c>
      <c r="H132" s="133"/>
      <c r="I132" s="85">
        <f aca="true" t="shared" si="74" ref="I132:I152">G132*AO132</f>
        <v>0</v>
      </c>
      <c r="J132" s="85">
        <f aca="true" t="shared" si="75" ref="J132:J152">G132*AP132</f>
        <v>0</v>
      </c>
      <c r="K132" s="85">
        <f aca="true" t="shared" si="76" ref="K132:K152">G132*H132</f>
        <v>0</v>
      </c>
      <c r="L132" s="85">
        <v>0.00141</v>
      </c>
      <c r="M132" s="85">
        <f aca="true" t="shared" si="77" ref="M132:M152">G132*L132</f>
        <v>0.00141</v>
      </c>
      <c r="N132" s="75" t="s">
        <v>631</v>
      </c>
      <c r="O132" s="77"/>
      <c r="Z132" s="65">
        <f aca="true" t="shared" si="78" ref="Z132:Z152">IF(AQ132="5",BJ132,0)</f>
        <v>0</v>
      </c>
      <c r="AB132" s="65">
        <f aca="true" t="shared" si="79" ref="AB132:AB152">IF(AQ132="1",BH132,0)</f>
        <v>0</v>
      </c>
      <c r="AC132" s="65">
        <f aca="true" t="shared" si="80" ref="AC132:AC152">IF(AQ132="1",BI132,0)</f>
        <v>0</v>
      </c>
      <c r="AD132" s="65">
        <f aca="true" t="shared" si="81" ref="AD132:AD152">IF(AQ132="7",BH132,0)</f>
        <v>0</v>
      </c>
      <c r="AE132" s="65">
        <f aca="true" t="shared" si="82" ref="AE132:AE152">IF(AQ132="7",BI132,0)</f>
        <v>0</v>
      </c>
      <c r="AF132" s="65">
        <f aca="true" t="shared" si="83" ref="AF132:AF152">IF(AQ132="2",BH132,0)</f>
        <v>0</v>
      </c>
      <c r="AG132" s="65">
        <f aca="true" t="shared" si="84" ref="AG132:AG152">IF(AQ132="2",BI132,0)</f>
        <v>0</v>
      </c>
      <c r="AH132" s="65">
        <f aca="true" t="shared" si="85" ref="AH132:AH152">IF(AQ132="0",BJ132,0)</f>
        <v>0</v>
      </c>
      <c r="AI132" s="58"/>
      <c r="AJ132" s="48">
        <f aca="true" t="shared" si="86" ref="AJ132:AJ152">IF(AN132=0,K132,0)</f>
        <v>0</v>
      </c>
      <c r="AK132" s="48">
        <f aca="true" t="shared" si="87" ref="AK132:AK152">IF(AN132=15,K132,0)</f>
        <v>0</v>
      </c>
      <c r="AL132" s="48">
        <f aca="true" t="shared" si="88" ref="AL132:AL152">IF(AN132=21,K132,0)</f>
        <v>0</v>
      </c>
      <c r="AN132" s="65">
        <v>15</v>
      </c>
      <c r="AO132" s="65">
        <f>H132*0.115237556561086</f>
        <v>0</v>
      </c>
      <c r="AP132" s="65">
        <f>H132*(1-0.115237556561086)</f>
        <v>0</v>
      </c>
      <c r="AQ132" s="66" t="s">
        <v>80</v>
      </c>
      <c r="AV132" s="65">
        <f aca="true" t="shared" si="89" ref="AV132:AV152">AW132+AX132</f>
        <v>0</v>
      </c>
      <c r="AW132" s="65">
        <f aca="true" t="shared" si="90" ref="AW132:AW152">G132*AO132</f>
        <v>0</v>
      </c>
      <c r="AX132" s="65">
        <f aca="true" t="shared" si="91" ref="AX132:AX152">G132*AP132</f>
        <v>0</v>
      </c>
      <c r="AY132" s="68" t="s">
        <v>651</v>
      </c>
      <c r="AZ132" s="68" t="s">
        <v>670</v>
      </c>
      <c r="BA132" s="58" t="s">
        <v>675</v>
      </c>
      <c r="BC132" s="65">
        <f aca="true" t="shared" si="92" ref="BC132:BC152">AW132+AX132</f>
        <v>0</v>
      </c>
      <c r="BD132" s="65">
        <f aca="true" t="shared" si="93" ref="BD132:BD152">H132/(100-BE132)*100</f>
        <v>0</v>
      </c>
      <c r="BE132" s="65">
        <v>0</v>
      </c>
      <c r="BF132" s="65">
        <f aca="true" t="shared" si="94" ref="BF132:BF152">M132</f>
        <v>0.00141</v>
      </c>
      <c r="BH132" s="48">
        <f aca="true" t="shared" si="95" ref="BH132:BH152">G132*AO132</f>
        <v>0</v>
      </c>
      <c r="BI132" s="48">
        <f aca="true" t="shared" si="96" ref="BI132:BI152">G132*AP132</f>
        <v>0</v>
      </c>
      <c r="BJ132" s="48">
        <f aca="true" t="shared" si="97" ref="BJ132:BJ152">G132*H132</f>
        <v>0</v>
      </c>
      <c r="BK132" s="48" t="s">
        <v>680</v>
      </c>
      <c r="BL132" s="65">
        <v>725</v>
      </c>
    </row>
    <row r="133" spans="1:64" ht="12.75">
      <c r="A133" s="116" t="s">
        <v>130</v>
      </c>
      <c r="B133" s="116"/>
      <c r="C133" s="116" t="s">
        <v>277</v>
      </c>
      <c r="D133" s="225" t="s">
        <v>477</v>
      </c>
      <c r="E133" s="217"/>
      <c r="F133" s="116" t="s">
        <v>614</v>
      </c>
      <c r="G133" s="117">
        <v>1</v>
      </c>
      <c r="H133" s="135"/>
      <c r="I133" s="117">
        <f t="shared" si="74"/>
        <v>0</v>
      </c>
      <c r="J133" s="117">
        <f t="shared" si="75"/>
        <v>0</v>
      </c>
      <c r="K133" s="117">
        <f t="shared" si="76"/>
        <v>0</v>
      </c>
      <c r="L133" s="117">
        <v>0.01701</v>
      </c>
      <c r="M133" s="117">
        <f t="shared" si="77"/>
        <v>0.01701</v>
      </c>
      <c r="N133" s="115" t="s">
        <v>631</v>
      </c>
      <c r="O133" s="77"/>
      <c r="Z133" s="65">
        <f t="shared" si="78"/>
        <v>0</v>
      </c>
      <c r="AB133" s="65">
        <f t="shared" si="79"/>
        <v>0</v>
      </c>
      <c r="AC133" s="65">
        <f t="shared" si="80"/>
        <v>0</v>
      </c>
      <c r="AD133" s="65">
        <f t="shared" si="81"/>
        <v>0</v>
      </c>
      <c r="AE133" s="65">
        <f t="shared" si="82"/>
        <v>0</v>
      </c>
      <c r="AF133" s="65">
        <f t="shared" si="83"/>
        <v>0</v>
      </c>
      <c r="AG133" s="65">
        <f t="shared" si="84"/>
        <v>0</v>
      </c>
      <c r="AH133" s="65">
        <f t="shared" si="85"/>
        <v>0</v>
      </c>
      <c r="AI133" s="58"/>
      <c r="AJ133" s="48">
        <f t="shared" si="86"/>
        <v>0</v>
      </c>
      <c r="AK133" s="48">
        <f t="shared" si="87"/>
        <v>0</v>
      </c>
      <c r="AL133" s="48">
        <f t="shared" si="88"/>
        <v>0</v>
      </c>
      <c r="AN133" s="65">
        <v>15</v>
      </c>
      <c r="AO133" s="65">
        <f>H133*0.755724028636579</f>
        <v>0</v>
      </c>
      <c r="AP133" s="65">
        <f>H133*(1-0.755724028636579)</f>
        <v>0</v>
      </c>
      <c r="AQ133" s="66" t="s">
        <v>80</v>
      </c>
      <c r="AV133" s="65">
        <f t="shared" si="89"/>
        <v>0</v>
      </c>
      <c r="AW133" s="65">
        <f t="shared" si="90"/>
        <v>0</v>
      </c>
      <c r="AX133" s="65">
        <f t="shared" si="91"/>
        <v>0</v>
      </c>
      <c r="AY133" s="68" t="s">
        <v>651</v>
      </c>
      <c r="AZ133" s="68" t="s">
        <v>670</v>
      </c>
      <c r="BA133" s="58" t="s">
        <v>675</v>
      </c>
      <c r="BC133" s="65">
        <f t="shared" si="92"/>
        <v>0</v>
      </c>
      <c r="BD133" s="65">
        <f t="shared" si="93"/>
        <v>0</v>
      </c>
      <c r="BE133" s="65">
        <v>0</v>
      </c>
      <c r="BF133" s="65">
        <f t="shared" si="94"/>
        <v>0.01701</v>
      </c>
      <c r="BH133" s="48">
        <f t="shared" si="95"/>
        <v>0</v>
      </c>
      <c r="BI133" s="48">
        <f t="shared" si="96"/>
        <v>0</v>
      </c>
      <c r="BJ133" s="48">
        <f t="shared" si="97"/>
        <v>0</v>
      </c>
      <c r="BK133" s="48" t="s">
        <v>680</v>
      </c>
      <c r="BL133" s="65">
        <v>725</v>
      </c>
    </row>
    <row r="134" spans="1:64" ht="12.75">
      <c r="A134" s="80" t="s">
        <v>131</v>
      </c>
      <c r="B134" s="80"/>
      <c r="C134" s="80" t="s">
        <v>278</v>
      </c>
      <c r="D134" s="216" t="s">
        <v>478</v>
      </c>
      <c r="E134" s="217"/>
      <c r="F134" s="80" t="s">
        <v>611</v>
      </c>
      <c r="G134" s="85">
        <v>1</v>
      </c>
      <c r="H134" s="133"/>
      <c r="I134" s="85">
        <f t="shared" si="74"/>
        <v>0</v>
      </c>
      <c r="J134" s="85">
        <f t="shared" si="75"/>
        <v>0</v>
      </c>
      <c r="K134" s="85">
        <f t="shared" si="76"/>
        <v>0</v>
      </c>
      <c r="L134" s="85">
        <v>0.0002</v>
      </c>
      <c r="M134" s="85">
        <f t="shared" si="77"/>
        <v>0.0002</v>
      </c>
      <c r="N134" s="75" t="s">
        <v>631</v>
      </c>
      <c r="O134" s="77"/>
      <c r="Z134" s="65">
        <f t="shared" si="78"/>
        <v>0</v>
      </c>
      <c r="AB134" s="65">
        <f t="shared" si="79"/>
        <v>0</v>
      </c>
      <c r="AC134" s="65">
        <f t="shared" si="80"/>
        <v>0</v>
      </c>
      <c r="AD134" s="65">
        <f t="shared" si="81"/>
        <v>0</v>
      </c>
      <c r="AE134" s="65">
        <f t="shared" si="82"/>
        <v>0</v>
      </c>
      <c r="AF134" s="65">
        <f t="shared" si="83"/>
        <v>0</v>
      </c>
      <c r="AG134" s="65">
        <f t="shared" si="84"/>
        <v>0</v>
      </c>
      <c r="AH134" s="65">
        <f t="shared" si="85"/>
        <v>0</v>
      </c>
      <c r="AI134" s="58"/>
      <c r="AJ134" s="48">
        <f t="shared" si="86"/>
        <v>0</v>
      </c>
      <c r="AK134" s="48">
        <f t="shared" si="87"/>
        <v>0</v>
      </c>
      <c r="AL134" s="48">
        <f t="shared" si="88"/>
        <v>0</v>
      </c>
      <c r="AN134" s="65">
        <v>15</v>
      </c>
      <c r="AO134" s="65">
        <f>H134*0.673503836317136</f>
        <v>0</v>
      </c>
      <c r="AP134" s="65">
        <f>H134*(1-0.673503836317136)</f>
        <v>0</v>
      </c>
      <c r="AQ134" s="66" t="s">
        <v>80</v>
      </c>
      <c r="AV134" s="65">
        <f t="shared" si="89"/>
        <v>0</v>
      </c>
      <c r="AW134" s="65">
        <f t="shared" si="90"/>
        <v>0</v>
      </c>
      <c r="AX134" s="65">
        <f t="shared" si="91"/>
        <v>0</v>
      </c>
      <c r="AY134" s="68" t="s">
        <v>651</v>
      </c>
      <c r="AZ134" s="68" t="s">
        <v>670</v>
      </c>
      <c r="BA134" s="58" t="s">
        <v>675</v>
      </c>
      <c r="BC134" s="65">
        <f t="shared" si="92"/>
        <v>0</v>
      </c>
      <c r="BD134" s="65">
        <f t="shared" si="93"/>
        <v>0</v>
      </c>
      <c r="BE134" s="65">
        <v>0</v>
      </c>
      <c r="BF134" s="65">
        <f t="shared" si="94"/>
        <v>0.0002</v>
      </c>
      <c r="BH134" s="48">
        <f t="shared" si="95"/>
        <v>0</v>
      </c>
      <c r="BI134" s="48">
        <f t="shared" si="96"/>
        <v>0</v>
      </c>
      <c r="BJ134" s="48">
        <f t="shared" si="97"/>
        <v>0</v>
      </c>
      <c r="BK134" s="48" t="s">
        <v>680</v>
      </c>
      <c r="BL134" s="65">
        <v>725</v>
      </c>
    </row>
    <row r="135" spans="1:64" ht="12.75">
      <c r="A135" s="80" t="s">
        <v>132</v>
      </c>
      <c r="B135" s="80"/>
      <c r="C135" s="80" t="s">
        <v>279</v>
      </c>
      <c r="D135" s="216" t="s">
        <v>479</v>
      </c>
      <c r="E135" s="217"/>
      <c r="F135" s="80" t="s">
        <v>611</v>
      </c>
      <c r="G135" s="85">
        <v>1</v>
      </c>
      <c r="H135" s="133"/>
      <c r="I135" s="85">
        <f t="shared" si="74"/>
        <v>0</v>
      </c>
      <c r="J135" s="85">
        <f t="shared" si="75"/>
        <v>0</v>
      </c>
      <c r="K135" s="85">
        <f t="shared" si="76"/>
        <v>0</v>
      </c>
      <c r="L135" s="85">
        <v>0.00041</v>
      </c>
      <c r="M135" s="85">
        <f t="shared" si="77"/>
        <v>0.00041</v>
      </c>
      <c r="N135" s="75" t="s">
        <v>631</v>
      </c>
      <c r="O135" s="77"/>
      <c r="Z135" s="65">
        <f t="shared" si="78"/>
        <v>0</v>
      </c>
      <c r="AB135" s="65">
        <f t="shared" si="79"/>
        <v>0</v>
      </c>
      <c r="AC135" s="65">
        <f t="shared" si="80"/>
        <v>0</v>
      </c>
      <c r="AD135" s="65">
        <f t="shared" si="81"/>
        <v>0</v>
      </c>
      <c r="AE135" s="65">
        <f t="shared" si="82"/>
        <v>0</v>
      </c>
      <c r="AF135" s="65">
        <f t="shared" si="83"/>
        <v>0</v>
      </c>
      <c r="AG135" s="65">
        <f t="shared" si="84"/>
        <v>0</v>
      </c>
      <c r="AH135" s="65">
        <f t="shared" si="85"/>
        <v>0</v>
      </c>
      <c r="AI135" s="58"/>
      <c r="AJ135" s="48">
        <f t="shared" si="86"/>
        <v>0</v>
      </c>
      <c r="AK135" s="48">
        <f t="shared" si="87"/>
        <v>0</v>
      </c>
      <c r="AL135" s="48">
        <f t="shared" si="88"/>
        <v>0</v>
      </c>
      <c r="AN135" s="65">
        <v>15</v>
      </c>
      <c r="AO135" s="65">
        <f>H135*0.494415841584158</f>
        <v>0</v>
      </c>
      <c r="AP135" s="65">
        <f>H135*(1-0.494415841584158)</f>
        <v>0</v>
      </c>
      <c r="AQ135" s="66" t="s">
        <v>80</v>
      </c>
      <c r="AV135" s="65">
        <f t="shared" si="89"/>
        <v>0</v>
      </c>
      <c r="AW135" s="65">
        <f t="shared" si="90"/>
        <v>0</v>
      </c>
      <c r="AX135" s="65">
        <f t="shared" si="91"/>
        <v>0</v>
      </c>
      <c r="AY135" s="68" t="s">
        <v>651</v>
      </c>
      <c r="AZ135" s="68" t="s">
        <v>670</v>
      </c>
      <c r="BA135" s="58" t="s">
        <v>675</v>
      </c>
      <c r="BC135" s="65">
        <f t="shared" si="92"/>
        <v>0</v>
      </c>
      <c r="BD135" s="65">
        <f t="shared" si="93"/>
        <v>0</v>
      </c>
      <c r="BE135" s="65">
        <v>0</v>
      </c>
      <c r="BF135" s="65">
        <f t="shared" si="94"/>
        <v>0.00041</v>
      </c>
      <c r="BH135" s="48">
        <f t="shared" si="95"/>
        <v>0</v>
      </c>
      <c r="BI135" s="48">
        <f t="shared" si="96"/>
        <v>0</v>
      </c>
      <c r="BJ135" s="48">
        <f t="shared" si="97"/>
        <v>0</v>
      </c>
      <c r="BK135" s="48" t="s">
        <v>680</v>
      </c>
      <c r="BL135" s="65">
        <v>725</v>
      </c>
    </row>
    <row r="136" spans="1:64" ht="12.75">
      <c r="A136" s="80" t="s">
        <v>133</v>
      </c>
      <c r="B136" s="80"/>
      <c r="C136" s="80" t="s">
        <v>280</v>
      </c>
      <c r="D136" s="216" t="s">
        <v>480</v>
      </c>
      <c r="E136" s="217"/>
      <c r="F136" s="80" t="s">
        <v>611</v>
      </c>
      <c r="G136" s="85">
        <v>2</v>
      </c>
      <c r="H136" s="133"/>
      <c r="I136" s="85">
        <f t="shared" si="74"/>
        <v>0</v>
      </c>
      <c r="J136" s="85">
        <f t="shared" si="75"/>
        <v>0</v>
      </c>
      <c r="K136" s="85">
        <f t="shared" si="76"/>
        <v>0</v>
      </c>
      <c r="L136" s="85">
        <v>4E-05</v>
      </c>
      <c r="M136" s="85">
        <f t="shared" si="77"/>
        <v>8E-05</v>
      </c>
      <c r="N136" s="75" t="s">
        <v>631</v>
      </c>
      <c r="O136" s="77"/>
      <c r="Z136" s="65">
        <f t="shared" si="78"/>
        <v>0</v>
      </c>
      <c r="AB136" s="65">
        <f t="shared" si="79"/>
        <v>0</v>
      </c>
      <c r="AC136" s="65">
        <f t="shared" si="80"/>
        <v>0</v>
      </c>
      <c r="AD136" s="65">
        <f t="shared" si="81"/>
        <v>0</v>
      </c>
      <c r="AE136" s="65">
        <f t="shared" si="82"/>
        <v>0</v>
      </c>
      <c r="AF136" s="65">
        <f t="shared" si="83"/>
        <v>0</v>
      </c>
      <c r="AG136" s="65">
        <f t="shared" si="84"/>
        <v>0</v>
      </c>
      <c r="AH136" s="65">
        <f t="shared" si="85"/>
        <v>0</v>
      </c>
      <c r="AI136" s="58"/>
      <c r="AJ136" s="48">
        <f t="shared" si="86"/>
        <v>0</v>
      </c>
      <c r="AK136" s="48">
        <f t="shared" si="87"/>
        <v>0</v>
      </c>
      <c r="AL136" s="48">
        <f t="shared" si="88"/>
        <v>0</v>
      </c>
      <c r="AN136" s="65">
        <v>15</v>
      </c>
      <c r="AO136" s="65">
        <f>H136*0.0298739495798319</f>
        <v>0</v>
      </c>
      <c r="AP136" s="65">
        <f>H136*(1-0.0298739495798319)</f>
        <v>0</v>
      </c>
      <c r="AQ136" s="66" t="s">
        <v>80</v>
      </c>
      <c r="AV136" s="65">
        <f t="shared" si="89"/>
        <v>0</v>
      </c>
      <c r="AW136" s="65">
        <f t="shared" si="90"/>
        <v>0</v>
      </c>
      <c r="AX136" s="65">
        <f t="shared" si="91"/>
        <v>0</v>
      </c>
      <c r="AY136" s="68" t="s">
        <v>651</v>
      </c>
      <c r="AZ136" s="68" t="s">
        <v>670</v>
      </c>
      <c r="BA136" s="58" t="s">
        <v>675</v>
      </c>
      <c r="BC136" s="65">
        <f t="shared" si="92"/>
        <v>0</v>
      </c>
      <c r="BD136" s="65">
        <f t="shared" si="93"/>
        <v>0</v>
      </c>
      <c r="BE136" s="65">
        <v>0</v>
      </c>
      <c r="BF136" s="65">
        <f t="shared" si="94"/>
        <v>8E-05</v>
      </c>
      <c r="BH136" s="48">
        <f t="shared" si="95"/>
        <v>0</v>
      </c>
      <c r="BI136" s="48">
        <f t="shared" si="96"/>
        <v>0</v>
      </c>
      <c r="BJ136" s="48">
        <f t="shared" si="97"/>
        <v>0</v>
      </c>
      <c r="BK136" s="48" t="s">
        <v>680</v>
      </c>
      <c r="BL136" s="65">
        <v>725</v>
      </c>
    </row>
    <row r="137" spans="1:64" ht="12.75">
      <c r="A137" s="80" t="s">
        <v>134</v>
      </c>
      <c r="B137" s="80"/>
      <c r="C137" s="80" t="s">
        <v>281</v>
      </c>
      <c r="D137" s="216" t="s">
        <v>481</v>
      </c>
      <c r="E137" s="217"/>
      <c r="F137" s="80" t="s">
        <v>611</v>
      </c>
      <c r="G137" s="85">
        <v>1</v>
      </c>
      <c r="H137" s="133"/>
      <c r="I137" s="85">
        <f t="shared" si="74"/>
        <v>0</v>
      </c>
      <c r="J137" s="85">
        <f t="shared" si="75"/>
        <v>0</v>
      </c>
      <c r="K137" s="85">
        <f t="shared" si="76"/>
        <v>0</v>
      </c>
      <c r="L137" s="85">
        <v>0.00013</v>
      </c>
      <c r="M137" s="85">
        <f t="shared" si="77"/>
        <v>0.00013</v>
      </c>
      <c r="N137" s="75" t="s">
        <v>631</v>
      </c>
      <c r="O137" s="77"/>
      <c r="Z137" s="65">
        <f t="shared" si="78"/>
        <v>0</v>
      </c>
      <c r="AB137" s="65">
        <f t="shared" si="79"/>
        <v>0</v>
      </c>
      <c r="AC137" s="65">
        <f t="shared" si="80"/>
        <v>0</v>
      </c>
      <c r="AD137" s="65">
        <f t="shared" si="81"/>
        <v>0</v>
      </c>
      <c r="AE137" s="65">
        <f t="shared" si="82"/>
        <v>0</v>
      </c>
      <c r="AF137" s="65">
        <f t="shared" si="83"/>
        <v>0</v>
      </c>
      <c r="AG137" s="65">
        <f t="shared" si="84"/>
        <v>0</v>
      </c>
      <c r="AH137" s="65">
        <f t="shared" si="85"/>
        <v>0</v>
      </c>
      <c r="AI137" s="58"/>
      <c r="AJ137" s="48">
        <f t="shared" si="86"/>
        <v>0</v>
      </c>
      <c r="AK137" s="48">
        <f t="shared" si="87"/>
        <v>0</v>
      </c>
      <c r="AL137" s="48">
        <f t="shared" si="88"/>
        <v>0</v>
      </c>
      <c r="AN137" s="65">
        <v>15</v>
      </c>
      <c r="AO137" s="65">
        <f>H137*0.209803921568627</f>
        <v>0</v>
      </c>
      <c r="AP137" s="65">
        <f>H137*(1-0.209803921568627)</f>
        <v>0</v>
      </c>
      <c r="AQ137" s="66" t="s">
        <v>80</v>
      </c>
      <c r="AV137" s="65">
        <f t="shared" si="89"/>
        <v>0</v>
      </c>
      <c r="AW137" s="65">
        <f t="shared" si="90"/>
        <v>0</v>
      </c>
      <c r="AX137" s="65">
        <f t="shared" si="91"/>
        <v>0</v>
      </c>
      <c r="AY137" s="68" t="s">
        <v>651</v>
      </c>
      <c r="AZ137" s="68" t="s">
        <v>670</v>
      </c>
      <c r="BA137" s="58" t="s">
        <v>675</v>
      </c>
      <c r="BC137" s="65">
        <f t="shared" si="92"/>
        <v>0</v>
      </c>
      <c r="BD137" s="65">
        <f t="shared" si="93"/>
        <v>0</v>
      </c>
      <c r="BE137" s="65">
        <v>0</v>
      </c>
      <c r="BF137" s="65">
        <f t="shared" si="94"/>
        <v>0.00013</v>
      </c>
      <c r="BH137" s="48">
        <f t="shared" si="95"/>
        <v>0</v>
      </c>
      <c r="BI137" s="48">
        <f t="shared" si="96"/>
        <v>0</v>
      </c>
      <c r="BJ137" s="48">
        <f t="shared" si="97"/>
        <v>0</v>
      </c>
      <c r="BK137" s="48" t="s">
        <v>680</v>
      </c>
      <c r="BL137" s="65">
        <v>725</v>
      </c>
    </row>
    <row r="138" spans="1:64" ht="12.75">
      <c r="A138" s="80" t="s">
        <v>135</v>
      </c>
      <c r="B138" s="80"/>
      <c r="C138" s="80" t="s">
        <v>282</v>
      </c>
      <c r="D138" s="216" t="s">
        <v>482</v>
      </c>
      <c r="E138" s="217"/>
      <c r="F138" s="80" t="s">
        <v>611</v>
      </c>
      <c r="G138" s="85">
        <v>1</v>
      </c>
      <c r="H138" s="133"/>
      <c r="I138" s="85">
        <f t="shared" si="74"/>
        <v>0</v>
      </c>
      <c r="J138" s="85">
        <f t="shared" si="75"/>
        <v>0</v>
      </c>
      <c r="K138" s="85">
        <f t="shared" si="76"/>
        <v>0</v>
      </c>
      <c r="L138" s="85">
        <v>0.0005</v>
      </c>
      <c r="M138" s="85">
        <f t="shared" si="77"/>
        <v>0.0005</v>
      </c>
      <c r="N138" s="75" t="s">
        <v>631</v>
      </c>
      <c r="O138" s="77"/>
      <c r="Z138" s="65">
        <f t="shared" si="78"/>
        <v>0</v>
      </c>
      <c r="AB138" s="65">
        <f t="shared" si="79"/>
        <v>0</v>
      </c>
      <c r="AC138" s="65">
        <f t="shared" si="80"/>
        <v>0</v>
      </c>
      <c r="AD138" s="65">
        <f t="shared" si="81"/>
        <v>0</v>
      </c>
      <c r="AE138" s="65">
        <f t="shared" si="82"/>
        <v>0</v>
      </c>
      <c r="AF138" s="65">
        <f t="shared" si="83"/>
        <v>0</v>
      </c>
      <c r="AG138" s="65">
        <f t="shared" si="84"/>
        <v>0</v>
      </c>
      <c r="AH138" s="65">
        <f t="shared" si="85"/>
        <v>0</v>
      </c>
      <c r="AI138" s="58"/>
      <c r="AJ138" s="48">
        <f t="shared" si="86"/>
        <v>0</v>
      </c>
      <c r="AK138" s="48">
        <f t="shared" si="87"/>
        <v>0</v>
      </c>
      <c r="AL138" s="48">
        <f t="shared" si="88"/>
        <v>0</v>
      </c>
      <c r="AN138" s="65">
        <v>15</v>
      </c>
      <c r="AO138" s="65">
        <f>H138*0.915288652952887</f>
        <v>0</v>
      </c>
      <c r="AP138" s="65">
        <f>H138*(1-0.915288652952887)</f>
        <v>0</v>
      </c>
      <c r="AQ138" s="66" t="s">
        <v>80</v>
      </c>
      <c r="AV138" s="65">
        <f t="shared" si="89"/>
        <v>0</v>
      </c>
      <c r="AW138" s="65">
        <f t="shared" si="90"/>
        <v>0</v>
      </c>
      <c r="AX138" s="65">
        <f t="shared" si="91"/>
        <v>0</v>
      </c>
      <c r="AY138" s="68" t="s">
        <v>651</v>
      </c>
      <c r="AZ138" s="68" t="s">
        <v>670</v>
      </c>
      <c r="BA138" s="58" t="s">
        <v>675</v>
      </c>
      <c r="BC138" s="65">
        <f t="shared" si="92"/>
        <v>0</v>
      </c>
      <c r="BD138" s="65">
        <f t="shared" si="93"/>
        <v>0</v>
      </c>
      <c r="BE138" s="65">
        <v>0</v>
      </c>
      <c r="BF138" s="65">
        <f t="shared" si="94"/>
        <v>0.0005</v>
      </c>
      <c r="BH138" s="48">
        <f t="shared" si="95"/>
        <v>0</v>
      </c>
      <c r="BI138" s="48">
        <f t="shared" si="96"/>
        <v>0</v>
      </c>
      <c r="BJ138" s="48">
        <f t="shared" si="97"/>
        <v>0</v>
      </c>
      <c r="BK138" s="48" t="s">
        <v>680</v>
      </c>
      <c r="BL138" s="65">
        <v>725</v>
      </c>
    </row>
    <row r="139" spans="1:64" ht="12.75">
      <c r="A139" s="80" t="s">
        <v>136</v>
      </c>
      <c r="B139" s="80"/>
      <c r="C139" s="80" t="s">
        <v>283</v>
      </c>
      <c r="D139" s="216" t="s">
        <v>483</v>
      </c>
      <c r="E139" s="217"/>
      <c r="F139" s="80" t="s">
        <v>611</v>
      </c>
      <c r="G139" s="85">
        <v>1</v>
      </c>
      <c r="H139" s="133"/>
      <c r="I139" s="85">
        <f t="shared" si="74"/>
        <v>0</v>
      </c>
      <c r="J139" s="85">
        <f t="shared" si="75"/>
        <v>0</v>
      </c>
      <c r="K139" s="85">
        <f t="shared" si="76"/>
        <v>0</v>
      </c>
      <c r="L139" s="85">
        <v>0.00033</v>
      </c>
      <c r="M139" s="85">
        <f t="shared" si="77"/>
        <v>0.00033</v>
      </c>
      <c r="N139" s="75" t="s">
        <v>631</v>
      </c>
      <c r="O139" s="77"/>
      <c r="Z139" s="65">
        <f t="shared" si="78"/>
        <v>0</v>
      </c>
      <c r="AB139" s="65">
        <f t="shared" si="79"/>
        <v>0</v>
      </c>
      <c r="AC139" s="65">
        <f t="shared" si="80"/>
        <v>0</v>
      </c>
      <c r="AD139" s="65">
        <f t="shared" si="81"/>
        <v>0</v>
      </c>
      <c r="AE139" s="65">
        <f t="shared" si="82"/>
        <v>0</v>
      </c>
      <c r="AF139" s="65">
        <f t="shared" si="83"/>
        <v>0</v>
      </c>
      <c r="AG139" s="65">
        <f t="shared" si="84"/>
        <v>0</v>
      </c>
      <c r="AH139" s="65">
        <f t="shared" si="85"/>
        <v>0</v>
      </c>
      <c r="AI139" s="58"/>
      <c r="AJ139" s="48">
        <f t="shared" si="86"/>
        <v>0</v>
      </c>
      <c r="AK139" s="48">
        <f t="shared" si="87"/>
        <v>0</v>
      </c>
      <c r="AL139" s="48">
        <f t="shared" si="88"/>
        <v>0</v>
      </c>
      <c r="AN139" s="65">
        <v>15</v>
      </c>
      <c r="AO139" s="65">
        <f>H139*0.829103078982597</f>
        <v>0</v>
      </c>
      <c r="AP139" s="65">
        <f>H139*(1-0.829103078982597)</f>
        <v>0</v>
      </c>
      <c r="AQ139" s="66" t="s">
        <v>80</v>
      </c>
      <c r="AV139" s="65">
        <f t="shared" si="89"/>
        <v>0</v>
      </c>
      <c r="AW139" s="65">
        <f t="shared" si="90"/>
        <v>0</v>
      </c>
      <c r="AX139" s="65">
        <f t="shared" si="91"/>
        <v>0</v>
      </c>
      <c r="AY139" s="68" t="s">
        <v>651</v>
      </c>
      <c r="AZ139" s="68" t="s">
        <v>670</v>
      </c>
      <c r="BA139" s="58" t="s">
        <v>675</v>
      </c>
      <c r="BC139" s="65">
        <f t="shared" si="92"/>
        <v>0</v>
      </c>
      <c r="BD139" s="65">
        <f t="shared" si="93"/>
        <v>0</v>
      </c>
      <c r="BE139" s="65">
        <v>0</v>
      </c>
      <c r="BF139" s="65">
        <f t="shared" si="94"/>
        <v>0.00033</v>
      </c>
      <c r="BH139" s="48">
        <f t="shared" si="95"/>
        <v>0</v>
      </c>
      <c r="BI139" s="48">
        <f t="shared" si="96"/>
        <v>0</v>
      </c>
      <c r="BJ139" s="48">
        <f t="shared" si="97"/>
        <v>0</v>
      </c>
      <c r="BK139" s="48" t="s">
        <v>680</v>
      </c>
      <c r="BL139" s="65">
        <v>725</v>
      </c>
    </row>
    <row r="140" spans="1:64" ht="12.75">
      <c r="A140" s="80" t="s">
        <v>137</v>
      </c>
      <c r="B140" s="80"/>
      <c r="C140" s="80" t="s">
        <v>284</v>
      </c>
      <c r="D140" s="216" t="s">
        <v>484</v>
      </c>
      <c r="E140" s="217"/>
      <c r="F140" s="80" t="s">
        <v>614</v>
      </c>
      <c r="G140" s="85">
        <v>7</v>
      </c>
      <c r="H140" s="133"/>
      <c r="I140" s="85">
        <f t="shared" si="74"/>
        <v>0</v>
      </c>
      <c r="J140" s="85">
        <f t="shared" si="75"/>
        <v>0</v>
      </c>
      <c r="K140" s="85">
        <f t="shared" si="76"/>
        <v>0</v>
      </c>
      <c r="L140" s="85">
        <v>0.00017</v>
      </c>
      <c r="M140" s="85">
        <f t="shared" si="77"/>
        <v>0.00119</v>
      </c>
      <c r="N140" s="75" t="s">
        <v>631</v>
      </c>
      <c r="O140" s="77"/>
      <c r="Z140" s="65">
        <f t="shared" si="78"/>
        <v>0</v>
      </c>
      <c r="AB140" s="65">
        <f t="shared" si="79"/>
        <v>0</v>
      </c>
      <c r="AC140" s="65">
        <f t="shared" si="80"/>
        <v>0</v>
      </c>
      <c r="AD140" s="65">
        <f t="shared" si="81"/>
        <v>0</v>
      </c>
      <c r="AE140" s="65">
        <f t="shared" si="82"/>
        <v>0</v>
      </c>
      <c r="AF140" s="65">
        <f t="shared" si="83"/>
        <v>0</v>
      </c>
      <c r="AG140" s="65">
        <f t="shared" si="84"/>
        <v>0</v>
      </c>
      <c r="AH140" s="65">
        <f t="shared" si="85"/>
        <v>0</v>
      </c>
      <c r="AI140" s="58"/>
      <c r="AJ140" s="48">
        <f t="shared" si="86"/>
        <v>0</v>
      </c>
      <c r="AK140" s="48">
        <f t="shared" si="87"/>
        <v>0</v>
      </c>
      <c r="AL140" s="48">
        <f t="shared" si="88"/>
        <v>0</v>
      </c>
      <c r="AN140" s="65">
        <v>15</v>
      </c>
      <c r="AO140" s="65">
        <f>H140*0.523036437246963</f>
        <v>0</v>
      </c>
      <c r="AP140" s="65">
        <f>H140*(1-0.523036437246963)</f>
        <v>0</v>
      </c>
      <c r="AQ140" s="66" t="s">
        <v>80</v>
      </c>
      <c r="AV140" s="65">
        <f t="shared" si="89"/>
        <v>0</v>
      </c>
      <c r="AW140" s="65">
        <f t="shared" si="90"/>
        <v>0</v>
      </c>
      <c r="AX140" s="65">
        <f t="shared" si="91"/>
        <v>0</v>
      </c>
      <c r="AY140" s="68" t="s">
        <v>651</v>
      </c>
      <c r="AZ140" s="68" t="s">
        <v>670</v>
      </c>
      <c r="BA140" s="58" t="s">
        <v>675</v>
      </c>
      <c r="BC140" s="65">
        <f t="shared" si="92"/>
        <v>0</v>
      </c>
      <c r="BD140" s="65">
        <f t="shared" si="93"/>
        <v>0</v>
      </c>
      <c r="BE140" s="65">
        <v>0</v>
      </c>
      <c r="BF140" s="65">
        <f t="shared" si="94"/>
        <v>0.00119</v>
      </c>
      <c r="BH140" s="48">
        <f t="shared" si="95"/>
        <v>0</v>
      </c>
      <c r="BI140" s="48">
        <f t="shared" si="96"/>
        <v>0</v>
      </c>
      <c r="BJ140" s="48">
        <f t="shared" si="97"/>
        <v>0</v>
      </c>
      <c r="BK140" s="48" t="s">
        <v>680</v>
      </c>
      <c r="BL140" s="65">
        <v>725</v>
      </c>
    </row>
    <row r="141" spans="1:64" ht="12.75">
      <c r="A141" s="116" t="s">
        <v>138</v>
      </c>
      <c r="B141" s="116"/>
      <c r="C141" s="116" t="s">
        <v>285</v>
      </c>
      <c r="D141" s="225" t="s">
        <v>485</v>
      </c>
      <c r="E141" s="217"/>
      <c r="F141" s="116" t="s">
        <v>611</v>
      </c>
      <c r="G141" s="117">
        <v>2</v>
      </c>
      <c r="H141" s="135"/>
      <c r="I141" s="117">
        <f t="shared" si="74"/>
        <v>0</v>
      </c>
      <c r="J141" s="117">
        <f t="shared" si="75"/>
        <v>0</v>
      </c>
      <c r="K141" s="117">
        <f t="shared" si="76"/>
        <v>0</v>
      </c>
      <c r="L141" s="117">
        <v>0.00164</v>
      </c>
      <c r="M141" s="117">
        <f t="shared" si="77"/>
        <v>0.00328</v>
      </c>
      <c r="N141" s="115" t="s">
        <v>631</v>
      </c>
      <c r="O141" s="77"/>
      <c r="Z141" s="65">
        <f t="shared" si="78"/>
        <v>0</v>
      </c>
      <c r="AB141" s="65">
        <f t="shared" si="79"/>
        <v>0</v>
      </c>
      <c r="AC141" s="65">
        <f t="shared" si="80"/>
        <v>0</v>
      </c>
      <c r="AD141" s="65">
        <f t="shared" si="81"/>
        <v>0</v>
      </c>
      <c r="AE141" s="65">
        <f t="shared" si="82"/>
        <v>0</v>
      </c>
      <c r="AF141" s="65">
        <f t="shared" si="83"/>
        <v>0</v>
      </c>
      <c r="AG141" s="65">
        <f t="shared" si="84"/>
        <v>0</v>
      </c>
      <c r="AH141" s="65">
        <f t="shared" si="85"/>
        <v>0</v>
      </c>
      <c r="AI141" s="58"/>
      <c r="AJ141" s="48">
        <f t="shared" si="86"/>
        <v>0</v>
      </c>
      <c r="AK141" s="48">
        <f t="shared" si="87"/>
        <v>0</v>
      </c>
      <c r="AL141" s="48">
        <f t="shared" si="88"/>
        <v>0</v>
      </c>
      <c r="AN141" s="65">
        <v>15</v>
      </c>
      <c r="AO141" s="65">
        <f>H141*0.886520884520885</f>
        <v>0</v>
      </c>
      <c r="AP141" s="65">
        <f>H141*(1-0.886520884520885)</f>
        <v>0</v>
      </c>
      <c r="AQ141" s="66" t="s">
        <v>80</v>
      </c>
      <c r="AV141" s="65">
        <f t="shared" si="89"/>
        <v>0</v>
      </c>
      <c r="AW141" s="65">
        <f t="shared" si="90"/>
        <v>0</v>
      </c>
      <c r="AX141" s="65">
        <f t="shared" si="91"/>
        <v>0</v>
      </c>
      <c r="AY141" s="68" t="s">
        <v>651</v>
      </c>
      <c r="AZ141" s="68" t="s">
        <v>670</v>
      </c>
      <c r="BA141" s="58" t="s">
        <v>675</v>
      </c>
      <c r="BC141" s="65">
        <f t="shared" si="92"/>
        <v>0</v>
      </c>
      <c r="BD141" s="65">
        <f t="shared" si="93"/>
        <v>0</v>
      </c>
      <c r="BE141" s="65">
        <v>0</v>
      </c>
      <c r="BF141" s="65">
        <f t="shared" si="94"/>
        <v>0.00328</v>
      </c>
      <c r="BH141" s="48">
        <f t="shared" si="95"/>
        <v>0</v>
      </c>
      <c r="BI141" s="48">
        <f t="shared" si="96"/>
        <v>0</v>
      </c>
      <c r="BJ141" s="48">
        <f t="shared" si="97"/>
        <v>0</v>
      </c>
      <c r="BK141" s="48" t="s">
        <v>680</v>
      </c>
      <c r="BL141" s="65">
        <v>725</v>
      </c>
    </row>
    <row r="142" spans="1:64" ht="12.75">
      <c r="A142" s="116" t="s">
        <v>139</v>
      </c>
      <c r="B142" s="116"/>
      <c r="C142" s="116" t="s">
        <v>286</v>
      </c>
      <c r="D142" s="225" t="s">
        <v>486</v>
      </c>
      <c r="E142" s="217"/>
      <c r="F142" s="116" t="s">
        <v>611</v>
      </c>
      <c r="G142" s="117">
        <v>1</v>
      </c>
      <c r="H142" s="135"/>
      <c r="I142" s="117">
        <f t="shared" si="74"/>
        <v>0</v>
      </c>
      <c r="J142" s="117">
        <f t="shared" si="75"/>
        <v>0</v>
      </c>
      <c r="K142" s="117">
        <f t="shared" si="76"/>
        <v>0</v>
      </c>
      <c r="L142" s="117">
        <v>0.00152</v>
      </c>
      <c r="M142" s="117">
        <f t="shared" si="77"/>
        <v>0.00152</v>
      </c>
      <c r="N142" s="115" t="s">
        <v>631</v>
      </c>
      <c r="O142" s="77"/>
      <c r="Z142" s="65">
        <f t="shared" si="78"/>
        <v>0</v>
      </c>
      <c r="AB142" s="65">
        <f t="shared" si="79"/>
        <v>0</v>
      </c>
      <c r="AC142" s="65">
        <f t="shared" si="80"/>
        <v>0</v>
      </c>
      <c r="AD142" s="65">
        <f t="shared" si="81"/>
        <v>0</v>
      </c>
      <c r="AE142" s="65">
        <f t="shared" si="82"/>
        <v>0</v>
      </c>
      <c r="AF142" s="65">
        <f t="shared" si="83"/>
        <v>0</v>
      </c>
      <c r="AG142" s="65">
        <f t="shared" si="84"/>
        <v>0</v>
      </c>
      <c r="AH142" s="65">
        <f t="shared" si="85"/>
        <v>0</v>
      </c>
      <c r="AI142" s="58"/>
      <c r="AJ142" s="48">
        <f t="shared" si="86"/>
        <v>0</v>
      </c>
      <c r="AK142" s="48">
        <f t="shared" si="87"/>
        <v>0</v>
      </c>
      <c r="AL142" s="48">
        <f t="shared" si="88"/>
        <v>0</v>
      </c>
      <c r="AN142" s="65">
        <v>15</v>
      </c>
      <c r="AO142" s="65">
        <f>H142*0.852484261501211</f>
        <v>0</v>
      </c>
      <c r="AP142" s="65">
        <f>H142*(1-0.852484261501211)</f>
        <v>0</v>
      </c>
      <c r="AQ142" s="66" t="s">
        <v>80</v>
      </c>
      <c r="AV142" s="65">
        <f t="shared" si="89"/>
        <v>0</v>
      </c>
      <c r="AW142" s="65">
        <f t="shared" si="90"/>
        <v>0</v>
      </c>
      <c r="AX142" s="65">
        <f t="shared" si="91"/>
        <v>0</v>
      </c>
      <c r="AY142" s="68" t="s">
        <v>651</v>
      </c>
      <c r="AZ142" s="68" t="s">
        <v>670</v>
      </c>
      <c r="BA142" s="58" t="s">
        <v>675</v>
      </c>
      <c r="BC142" s="65">
        <f t="shared" si="92"/>
        <v>0</v>
      </c>
      <c r="BD142" s="65">
        <f t="shared" si="93"/>
        <v>0</v>
      </c>
      <c r="BE142" s="65">
        <v>0</v>
      </c>
      <c r="BF142" s="65">
        <f t="shared" si="94"/>
        <v>0.00152</v>
      </c>
      <c r="BH142" s="48">
        <f t="shared" si="95"/>
        <v>0</v>
      </c>
      <c r="BI142" s="48">
        <f t="shared" si="96"/>
        <v>0</v>
      </c>
      <c r="BJ142" s="48">
        <f t="shared" si="97"/>
        <v>0</v>
      </c>
      <c r="BK142" s="48" t="s">
        <v>680</v>
      </c>
      <c r="BL142" s="65">
        <v>725</v>
      </c>
    </row>
    <row r="143" spans="1:64" ht="12.75">
      <c r="A143" s="116" t="s">
        <v>140</v>
      </c>
      <c r="B143" s="116"/>
      <c r="C143" s="116" t="s">
        <v>287</v>
      </c>
      <c r="D143" s="225" t="s">
        <v>487</v>
      </c>
      <c r="E143" s="217"/>
      <c r="F143" s="116" t="s">
        <v>614</v>
      </c>
      <c r="G143" s="117">
        <v>1</v>
      </c>
      <c r="H143" s="135"/>
      <c r="I143" s="117">
        <f t="shared" si="74"/>
        <v>0</v>
      </c>
      <c r="J143" s="117">
        <f t="shared" si="75"/>
        <v>0</v>
      </c>
      <c r="K143" s="117">
        <f t="shared" si="76"/>
        <v>0</v>
      </c>
      <c r="L143" s="117">
        <v>0.00024</v>
      </c>
      <c r="M143" s="117">
        <f t="shared" si="77"/>
        <v>0.00024</v>
      </c>
      <c r="N143" s="115" t="s">
        <v>631</v>
      </c>
      <c r="O143" s="77"/>
      <c r="Z143" s="65">
        <f t="shared" si="78"/>
        <v>0</v>
      </c>
      <c r="AB143" s="65">
        <f t="shared" si="79"/>
        <v>0</v>
      </c>
      <c r="AC143" s="65">
        <f t="shared" si="80"/>
        <v>0</v>
      </c>
      <c r="AD143" s="65">
        <f t="shared" si="81"/>
        <v>0</v>
      </c>
      <c r="AE143" s="65">
        <f t="shared" si="82"/>
        <v>0</v>
      </c>
      <c r="AF143" s="65">
        <f t="shared" si="83"/>
        <v>0</v>
      </c>
      <c r="AG143" s="65">
        <f t="shared" si="84"/>
        <v>0</v>
      </c>
      <c r="AH143" s="65">
        <f t="shared" si="85"/>
        <v>0</v>
      </c>
      <c r="AI143" s="58"/>
      <c r="AJ143" s="48">
        <f t="shared" si="86"/>
        <v>0</v>
      </c>
      <c r="AK143" s="48">
        <f t="shared" si="87"/>
        <v>0</v>
      </c>
      <c r="AL143" s="48">
        <f t="shared" si="88"/>
        <v>0</v>
      </c>
      <c r="AN143" s="65">
        <v>15</v>
      </c>
      <c r="AO143" s="65">
        <f>H143*0.894161184210526</f>
        <v>0</v>
      </c>
      <c r="AP143" s="65">
        <f>H143*(1-0.894161184210526)</f>
        <v>0</v>
      </c>
      <c r="AQ143" s="66" t="s">
        <v>80</v>
      </c>
      <c r="AV143" s="65">
        <f t="shared" si="89"/>
        <v>0</v>
      </c>
      <c r="AW143" s="65">
        <f t="shared" si="90"/>
        <v>0</v>
      </c>
      <c r="AX143" s="65">
        <f t="shared" si="91"/>
        <v>0</v>
      </c>
      <c r="AY143" s="68" t="s">
        <v>651</v>
      </c>
      <c r="AZ143" s="68" t="s">
        <v>670</v>
      </c>
      <c r="BA143" s="58" t="s">
        <v>675</v>
      </c>
      <c r="BC143" s="65">
        <f t="shared" si="92"/>
        <v>0</v>
      </c>
      <c r="BD143" s="65">
        <f t="shared" si="93"/>
        <v>0</v>
      </c>
      <c r="BE143" s="65">
        <v>0</v>
      </c>
      <c r="BF143" s="65">
        <f t="shared" si="94"/>
        <v>0.00024</v>
      </c>
      <c r="BH143" s="48">
        <f t="shared" si="95"/>
        <v>0</v>
      </c>
      <c r="BI143" s="48">
        <f t="shared" si="96"/>
        <v>0</v>
      </c>
      <c r="BJ143" s="48">
        <f t="shared" si="97"/>
        <v>0</v>
      </c>
      <c r="BK143" s="48" t="s">
        <v>680</v>
      </c>
      <c r="BL143" s="65">
        <v>725</v>
      </c>
    </row>
    <row r="144" spans="1:64" ht="12.75">
      <c r="A144" s="80" t="s">
        <v>141</v>
      </c>
      <c r="B144" s="80"/>
      <c r="C144" s="80" t="s">
        <v>288</v>
      </c>
      <c r="D144" s="216" t="s">
        <v>488</v>
      </c>
      <c r="E144" s="217"/>
      <c r="F144" s="80" t="s">
        <v>614</v>
      </c>
      <c r="G144" s="85">
        <v>1</v>
      </c>
      <c r="H144" s="133"/>
      <c r="I144" s="85">
        <f t="shared" si="74"/>
        <v>0</v>
      </c>
      <c r="J144" s="85">
        <f t="shared" si="75"/>
        <v>0</v>
      </c>
      <c r="K144" s="85">
        <f t="shared" si="76"/>
        <v>0</v>
      </c>
      <c r="L144" s="85">
        <v>0.00186</v>
      </c>
      <c r="M144" s="85">
        <f t="shared" si="77"/>
        <v>0.00186</v>
      </c>
      <c r="N144" s="75" t="s">
        <v>631</v>
      </c>
      <c r="O144" s="77"/>
      <c r="Z144" s="65">
        <f t="shared" si="78"/>
        <v>0</v>
      </c>
      <c r="AB144" s="65">
        <f t="shared" si="79"/>
        <v>0</v>
      </c>
      <c r="AC144" s="65">
        <f t="shared" si="80"/>
        <v>0</v>
      </c>
      <c r="AD144" s="65">
        <f t="shared" si="81"/>
        <v>0</v>
      </c>
      <c r="AE144" s="65">
        <f t="shared" si="82"/>
        <v>0</v>
      </c>
      <c r="AF144" s="65">
        <f t="shared" si="83"/>
        <v>0</v>
      </c>
      <c r="AG144" s="65">
        <f t="shared" si="84"/>
        <v>0</v>
      </c>
      <c r="AH144" s="65">
        <f t="shared" si="85"/>
        <v>0</v>
      </c>
      <c r="AI144" s="58"/>
      <c r="AJ144" s="48">
        <f t="shared" si="86"/>
        <v>0</v>
      </c>
      <c r="AK144" s="48">
        <f t="shared" si="87"/>
        <v>0</v>
      </c>
      <c r="AL144" s="48">
        <f t="shared" si="88"/>
        <v>0</v>
      </c>
      <c r="AN144" s="65">
        <v>15</v>
      </c>
      <c r="AO144" s="65">
        <f>H144*0.449284009546539</f>
        <v>0</v>
      </c>
      <c r="AP144" s="65">
        <f>H144*(1-0.449284009546539)</f>
        <v>0</v>
      </c>
      <c r="AQ144" s="66" t="s">
        <v>80</v>
      </c>
      <c r="AV144" s="65">
        <f t="shared" si="89"/>
        <v>0</v>
      </c>
      <c r="AW144" s="65">
        <f t="shared" si="90"/>
        <v>0</v>
      </c>
      <c r="AX144" s="65">
        <f t="shared" si="91"/>
        <v>0</v>
      </c>
      <c r="AY144" s="68" t="s">
        <v>651</v>
      </c>
      <c r="AZ144" s="68" t="s">
        <v>670</v>
      </c>
      <c r="BA144" s="58" t="s">
        <v>675</v>
      </c>
      <c r="BC144" s="65">
        <f t="shared" si="92"/>
        <v>0</v>
      </c>
      <c r="BD144" s="65">
        <f t="shared" si="93"/>
        <v>0</v>
      </c>
      <c r="BE144" s="65">
        <v>0</v>
      </c>
      <c r="BF144" s="65">
        <f t="shared" si="94"/>
        <v>0.00186</v>
      </c>
      <c r="BH144" s="48">
        <f t="shared" si="95"/>
        <v>0</v>
      </c>
      <c r="BI144" s="48">
        <f t="shared" si="96"/>
        <v>0</v>
      </c>
      <c r="BJ144" s="48">
        <f t="shared" si="97"/>
        <v>0</v>
      </c>
      <c r="BK144" s="48" t="s">
        <v>680</v>
      </c>
      <c r="BL144" s="65">
        <v>725</v>
      </c>
    </row>
    <row r="145" spans="1:64" ht="12.75">
      <c r="A145" s="116" t="s">
        <v>142</v>
      </c>
      <c r="B145" s="116"/>
      <c r="C145" s="116" t="s">
        <v>289</v>
      </c>
      <c r="D145" s="225" t="s">
        <v>489</v>
      </c>
      <c r="E145" s="217"/>
      <c r="F145" s="116" t="s">
        <v>614</v>
      </c>
      <c r="G145" s="117">
        <v>1</v>
      </c>
      <c r="H145" s="135"/>
      <c r="I145" s="117">
        <f t="shared" si="74"/>
        <v>0</v>
      </c>
      <c r="J145" s="117">
        <f t="shared" si="75"/>
        <v>0</v>
      </c>
      <c r="K145" s="117">
        <f t="shared" si="76"/>
        <v>0</v>
      </c>
      <c r="L145" s="117">
        <v>0.02822</v>
      </c>
      <c r="M145" s="117">
        <f t="shared" si="77"/>
        <v>0.02822</v>
      </c>
      <c r="N145" s="115" t="s">
        <v>631</v>
      </c>
      <c r="O145" s="77"/>
      <c r="Z145" s="65">
        <f t="shared" si="78"/>
        <v>0</v>
      </c>
      <c r="AB145" s="65">
        <f t="shared" si="79"/>
        <v>0</v>
      </c>
      <c r="AC145" s="65">
        <f t="shared" si="80"/>
        <v>0</v>
      </c>
      <c r="AD145" s="65">
        <f t="shared" si="81"/>
        <v>0</v>
      </c>
      <c r="AE145" s="65">
        <f t="shared" si="82"/>
        <v>0</v>
      </c>
      <c r="AF145" s="65">
        <f t="shared" si="83"/>
        <v>0</v>
      </c>
      <c r="AG145" s="65">
        <f t="shared" si="84"/>
        <v>0</v>
      </c>
      <c r="AH145" s="65">
        <f t="shared" si="85"/>
        <v>0</v>
      </c>
      <c r="AI145" s="58"/>
      <c r="AJ145" s="48">
        <f t="shared" si="86"/>
        <v>0</v>
      </c>
      <c r="AK145" s="48">
        <f t="shared" si="87"/>
        <v>0</v>
      </c>
      <c r="AL145" s="48">
        <f t="shared" si="88"/>
        <v>0</v>
      </c>
      <c r="AN145" s="65">
        <v>15</v>
      </c>
      <c r="AO145" s="65">
        <f>H145*0.903139255014327</f>
        <v>0</v>
      </c>
      <c r="AP145" s="65">
        <f>H145*(1-0.903139255014327)</f>
        <v>0</v>
      </c>
      <c r="AQ145" s="66" t="s">
        <v>80</v>
      </c>
      <c r="AV145" s="65">
        <f t="shared" si="89"/>
        <v>0</v>
      </c>
      <c r="AW145" s="65">
        <f t="shared" si="90"/>
        <v>0</v>
      </c>
      <c r="AX145" s="65">
        <f t="shared" si="91"/>
        <v>0</v>
      </c>
      <c r="AY145" s="68" t="s">
        <v>651</v>
      </c>
      <c r="AZ145" s="68" t="s">
        <v>670</v>
      </c>
      <c r="BA145" s="58" t="s">
        <v>675</v>
      </c>
      <c r="BC145" s="65">
        <f t="shared" si="92"/>
        <v>0</v>
      </c>
      <c r="BD145" s="65">
        <f t="shared" si="93"/>
        <v>0</v>
      </c>
      <c r="BE145" s="65">
        <v>0</v>
      </c>
      <c r="BF145" s="65">
        <f t="shared" si="94"/>
        <v>0.02822</v>
      </c>
      <c r="BH145" s="48">
        <f t="shared" si="95"/>
        <v>0</v>
      </c>
      <c r="BI145" s="48">
        <f t="shared" si="96"/>
        <v>0</v>
      </c>
      <c r="BJ145" s="48">
        <f t="shared" si="97"/>
        <v>0</v>
      </c>
      <c r="BK145" s="48" t="s">
        <v>680</v>
      </c>
      <c r="BL145" s="65">
        <v>725</v>
      </c>
    </row>
    <row r="146" spans="1:64" ht="12.75">
      <c r="A146" s="116" t="s">
        <v>143</v>
      </c>
      <c r="B146" s="116"/>
      <c r="C146" s="116" t="s">
        <v>290</v>
      </c>
      <c r="D146" s="225" t="s">
        <v>490</v>
      </c>
      <c r="E146" s="217"/>
      <c r="F146" s="116" t="s">
        <v>614</v>
      </c>
      <c r="G146" s="117">
        <v>1</v>
      </c>
      <c r="H146" s="135"/>
      <c r="I146" s="117">
        <f t="shared" si="74"/>
        <v>0</v>
      </c>
      <c r="J146" s="117">
        <f t="shared" si="75"/>
        <v>0</v>
      </c>
      <c r="K146" s="117">
        <f t="shared" si="76"/>
        <v>0</v>
      </c>
      <c r="L146" s="117">
        <v>0.0023</v>
      </c>
      <c r="M146" s="117">
        <f t="shared" si="77"/>
        <v>0.0023</v>
      </c>
      <c r="N146" s="115" t="s">
        <v>631</v>
      </c>
      <c r="O146" s="77"/>
      <c r="Z146" s="65">
        <f t="shared" si="78"/>
        <v>0</v>
      </c>
      <c r="AB146" s="65">
        <f t="shared" si="79"/>
        <v>0</v>
      </c>
      <c r="AC146" s="65">
        <f t="shared" si="80"/>
        <v>0</v>
      </c>
      <c r="AD146" s="65">
        <f t="shared" si="81"/>
        <v>0</v>
      </c>
      <c r="AE146" s="65">
        <f t="shared" si="82"/>
        <v>0</v>
      </c>
      <c r="AF146" s="65">
        <f t="shared" si="83"/>
        <v>0</v>
      </c>
      <c r="AG146" s="65">
        <f t="shared" si="84"/>
        <v>0</v>
      </c>
      <c r="AH146" s="65">
        <f t="shared" si="85"/>
        <v>0</v>
      </c>
      <c r="AI146" s="58"/>
      <c r="AJ146" s="48">
        <f t="shared" si="86"/>
        <v>0</v>
      </c>
      <c r="AK146" s="48">
        <f t="shared" si="87"/>
        <v>0</v>
      </c>
      <c r="AL146" s="48">
        <f t="shared" si="88"/>
        <v>0</v>
      </c>
      <c r="AN146" s="65">
        <v>15</v>
      </c>
      <c r="AO146" s="65">
        <f>H146*0.899027654748312</f>
        <v>0</v>
      </c>
      <c r="AP146" s="65">
        <f>H146*(1-0.899027654748312)</f>
        <v>0</v>
      </c>
      <c r="AQ146" s="66" t="s">
        <v>80</v>
      </c>
      <c r="AV146" s="65">
        <f t="shared" si="89"/>
        <v>0</v>
      </c>
      <c r="AW146" s="65">
        <f t="shared" si="90"/>
        <v>0</v>
      </c>
      <c r="AX146" s="65">
        <f t="shared" si="91"/>
        <v>0</v>
      </c>
      <c r="AY146" s="68" t="s">
        <v>651</v>
      </c>
      <c r="AZ146" s="68" t="s">
        <v>670</v>
      </c>
      <c r="BA146" s="58" t="s">
        <v>675</v>
      </c>
      <c r="BC146" s="65">
        <f t="shared" si="92"/>
        <v>0</v>
      </c>
      <c r="BD146" s="65">
        <f t="shared" si="93"/>
        <v>0</v>
      </c>
      <c r="BE146" s="65">
        <v>0</v>
      </c>
      <c r="BF146" s="65">
        <f t="shared" si="94"/>
        <v>0.0023</v>
      </c>
      <c r="BH146" s="48">
        <f t="shared" si="95"/>
        <v>0</v>
      </c>
      <c r="BI146" s="48">
        <f t="shared" si="96"/>
        <v>0</v>
      </c>
      <c r="BJ146" s="48">
        <f t="shared" si="97"/>
        <v>0</v>
      </c>
      <c r="BK146" s="48" t="s">
        <v>680</v>
      </c>
      <c r="BL146" s="65">
        <v>725</v>
      </c>
    </row>
    <row r="147" spans="1:64" ht="12.75">
      <c r="A147" s="116" t="s">
        <v>144</v>
      </c>
      <c r="B147" s="116"/>
      <c r="C147" s="116" t="s">
        <v>291</v>
      </c>
      <c r="D147" s="225" t="s">
        <v>491</v>
      </c>
      <c r="E147" s="217"/>
      <c r="F147" s="116" t="s">
        <v>614</v>
      </c>
      <c r="G147" s="117">
        <v>2</v>
      </c>
      <c r="H147" s="135"/>
      <c r="I147" s="117">
        <f t="shared" si="74"/>
        <v>0</v>
      </c>
      <c r="J147" s="117">
        <f t="shared" si="75"/>
        <v>0</v>
      </c>
      <c r="K147" s="117">
        <f t="shared" si="76"/>
        <v>0</v>
      </c>
      <c r="L147" s="117">
        <v>0.0011</v>
      </c>
      <c r="M147" s="117">
        <f t="shared" si="77"/>
        <v>0.0022</v>
      </c>
      <c r="N147" s="115" t="s">
        <v>631</v>
      </c>
      <c r="O147" s="77"/>
      <c r="Z147" s="65">
        <f t="shared" si="78"/>
        <v>0</v>
      </c>
      <c r="AB147" s="65">
        <f t="shared" si="79"/>
        <v>0</v>
      </c>
      <c r="AC147" s="65">
        <f t="shared" si="80"/>
        <v>0</v>
      </c>
      <c r="AD147" s="65">
        <f t="shared" si="81"/>
        <v>0</v>
      </c>
      <c r="AE147" s="65">
        <f t="shared" si="82"/>
        <v>0</v>
      </c>
      <c r="AF147" s="65">
        <f t="shared" si="83"/>
        <v>0</v>
      </c>
      <c r="AG147" s="65">
        <f t="shared" si="84"/>
        <v>0</v>
      </c>
      <c r="AH147" s="65">
        <f t="shared" si="85"/>
        <v>0</v>
      </c>
      <c r="AI147" s="58"/>
      <c r="AJ147" s="48">
        <f t="shared" si="86"/>
        <v>0</v>
      </c>
      <c r="AK147" s="48">
        <f t="shared" si="87"/>
        <v>0</v>
      </c>
      <c r="AL147" s="48">
        <f t="shared" si="88"/>
        <v>0</v>
      </c>
      <c r="AN147" s="65">
        <v>15</v>
      </c>
      <c r="AO147" s="65">
        <f>H147*0.778173575129534</f>
        <v>0</v>
      </c>
      <c r="AP147" s="65">
        <f>H147*(1-0.778173575129534)</f>
        <v>0</v>
      </c>
      <c r="AQ147" s="66" t="s">
        <v>80</v>
      </c>
      <c r="AV147" s="65">
        <f t="shared" si="89"/>
        <v>0</v>
      </c>
      <c r="AW147" s="65">
        <f t="shared" si="90"/>
        <v>0</v>
      </c>
      <c r="AX147" s="65">
        <f t="shared" si="91"/>
        <v>0</v>
      </c>
      <c r="AY147" s="68" t="s">
        <v>651</v>
      </c>
      <c r="AZ147" s="68" t="s">
        <v>670</v>
      </c>
      <c r="BA147" s="58" t="s">
        <v>675</v>
      </c>
      <c r="BC147" s="65">
        <f t="shared" si="92"/>
        <v>0</v>
      </c>
      <c r="BD147" s="65">
        <f t="shared" si="93"/>
        <v>0</v>
      </c>
      <c r="BE147" s="65">
        <v>0</v>
      </c>
      <c r="BF147" s="65">
        <f t="shared" si="94"/>
        <v>0.0022</v>
      </c>
      <c r="BH147" s="48">
        <f t="shared" si="95"/>
        <v>0</v>
      </c>
      <c r="BI147" s="48">
        <f t="shared" si="96"/>
        <v>0</v>
      </c>
      <c r="BJ147" s="48">
        <f t="shared" si="97"/>
        <v>0</v>
      </c>
      <c r="BK147" s="48" t="s">
        <v>680</v>
      </c>
      <c r="BL147" s="65">
        <v>725</v>
      </c>
    </row>
    <row r="148" spans="1:64" ht="12.75">
      <c r="A148" s="116" t="s">
        <v>145</v>
      </c>
      <c r="B148" s="116"/>
      <c r="C148" s="116" t="s">
        <v>292</v>
      </c>
      <c r="D148" s="225" t="s">
        <v>492</v>
      </c>
      <c r="E148" s="217"/>
      <c r="F148" s="116" t="s">
        <v>614</v>
      </c>
      <c r="G148" s="117">
        <v>1</v>
      </c>
      <c r="H148" s="135"/>
      <c r="I148" s="117">
        <f t="shared" si="74"/>
        <v>0</v>
      </c>
      <c r="J148" s="117">
        <f t="shared" si="75"/>
        <v>0</v>
      </c>
      <c r="K148" s="117">
        <f t="shared" si="76"/>
        <v>0</v>
      </c>
      <c r="L148" s="117">
        <v>0.0013</v>
      </c>
      <c r="M148" s="117">
        <f t="shared" si="77"/>
        <v>0.0013</v>
      </c>
      <c r="N148" s="115" t="s">
        <v>631</v>
      </c>
      <c r="O148" s="77"/>
      <c r="Z148" s="65">
        <f t="shared" si="78"/>
        <v>0</v>
      </c>
      <c r="AB148" s="65">
        <f t="shared" si="79"/>
        <v>0</v>
      </c>
      <c r="AC148" s="65">
        <f t="shared" si="80"/>
        <v>0</v>
      </c>
      <c r="AD148" s="65">
        <f t="shared" si="81"/>
        <v>0</v>
      </c>
      <c r="AE148" s="65">
        <f t="shared" si="82"/>
        <v>0</v>
      </c>
      <c r="AF148" s="65">
        <f t="shared" si="83"/>
        <v>0</v>
      </c>
      <c r="AG148" s="65">
        <f t="shared" si="84"/>
        <v>0</v>
      </c>
      <c r="AH148" s="65">
        <f t="shared" si="85"/>
        <v>0</v>
      </c>
      <c r="AI148" s="58"/>
      <c r="AJ148" s="48">
        <f t="shared" si="86"/>
        <v>0</v>
      </c>
      <c r="AK148" s="48">
        <f t="shared" si="87"/>
        <v>0</v>
      </c>
      <c r="AL148" s="48">
        <f t="shared" si="88"/>
        <v>0</v>
      </c>
      <c r="AN148" s="65">
        <v>15</v>
      </c>
      <c r="AO148" s="65">
        <f>H148*0.785401002506266</f>
        <v>0</v>
      </c>
      <c r="AP148" s="65">
        <f>H148*(1-0.785401002506266)</f>
        <v>0</v>
      </c>
      <c r="AQ148" s="66" t="s">
        <v>80</v>
      </c>
      <c r="AV148" s="65">
        <f t="shared" si="89"/>
        <v>0</v>
      </c>
      <c r="AW148" s="65">
        <f t="shared" si="90"/>
        <v>0</v>
      </c>
      <c r="AX148" s="65">
        <f t="shared" si="91"/>
        <v>0</v>
      </c>
      <c r="AY148" s="68" t="s">
        <v>651</v>
      </c>
      <c r="AZ148" s="68" t="s">
        <v>670</v>
      </c>
      <c r="BA148" s="58" t="s">
        <v>675</v>
      </c>
      <c r="BC148" s="65">
        <f t="shared" si="92"/>
        <v>0</v>
      </c>
      <c r="BD148" s="65">
        <f t="shared" si="93"/>
        <v>0</v>
      </c>
      <c r="BE148" s="65">
        <v>0</v>
      </c>
      <c r="BF148" s="65">
        <f t="shared" si="94"/>
        <v>0.0013</v>
      </c>
      <c r="BH148" s="48">
        <f t="shared" si="95"/>
        <v>0</v>
      </c>
      <c r="BI148" s="48">
        <f t="shared" si="96"/>
        <v>0</v>
      </c>
      <c r="BJ148" s="48">
        <f t="shared" si="97"/>
        <v>0</v>
      </c>
      <c r="BK148" s="48" t="s">
        <v>680</v>
      </c>
      <c r="BL148" s="65">
        <v>725</v>
      </c>
    </row>
    <row r="149" spans="1:64" ht="12.75">
      <c r="A149" s="116" t="s">
        <v>146</v>
      </c>
      <c r="B149" s="116"/>
      <c r="C149" s="116" t="s">
        <v>293</v>
      </c>
      <c r="D149" s="225" t="s">
        <v>493</v>
      </c>
      <c r="E149" s="221"/>
      <c r="F149" s="116" t="s">
        <v>611</v>
      </c>
      <c r="G149" s="117">
        <v>1</v>
      </c>
      <c r="H149" s="135"/>
      <c r="I149" s="117">
        <f t="shared" si="74"/>
        <v>0</v>
      </c>
      <c r="J149" s="117">
        <f t="shared" si="75"/>
        <v>0</v>
      </c>
      <c r="K149" s="117">
        <f t="shared" si="76"/>
        <v>0</v>
      </c>
      <c r="L149" s="117">
        <v>0.008</v>
      </c>
      <c r="M149" s="117">
        <f t="shared" si="77"/>
        <v>0.008</v>
      </c>
      <c r="N149" s="115" t="s">
        <v>631</v>
      </c>
      <c r="O149" s="77"/>
      <c r="Z149" s="65">
        <f t="shared" si="78"/>
        <v>0</v>
      </c>
      <c r="AB149" s="65">
        <f t="shared" si="79"/>
        <v>0</v>
      </c>
      <c r="AC149" s="65">
        <f t="shared" si="80"/>
        <v>0</v>
      </c>
      <c r="AD149" s="65">
        <f t="shared" si="81"/>
        <v>0</v>
      </c>
      <c r="AE149" s="65">
        <f t="shared" si="82"/>
        <v>0</v>
      </c>
      <c r="AF149" s="65">
        <f t="shared" si="83"/>
        <v>0</v>
      </c>
      <c r="AG149" s="65">
        <f t="shared" si="84"/>
        <v>0</v>
      </c>
      <c r="AH149" s="65">
        <f t="shared" si="85"/>
        <v>0</v>
      </c>
      <c r="AI149" s="58"/>
      <c r="AJ149" s="50">
        <f t="shared" si="86"/>
        <v>0</v>
      </c>
      <c r="AK149" s="50">
        <f t="shared" si="87"/>
        <v>0</v>
      </c>
      <c r="AL149" s="50">
        <f t="shared" si="88"/>
        <v>0</v>
      </c>
      <c r="AN149" s="65">
        <v>15</v>
      </c>
      <c r="AO149" s="65">
        <f>H149*1</f>
        <v>0</v>
      </c>
      <c r="AP149" s="65">
        <f>H149*(1-1)</f>
        <v>0</v>
      </c>
      <c r="AQ149" s="67" t="s">
        <v>80</v>
      </c>
      <c r="AV149" s="65">
        <f t="shared" si="89"/>
        <v>0</v>
      </c>
      <c r="AW149" s="65">
        <f t="shared" si="90"/>
        <v>0</v>
      </c>
      <c r="AX149" s="65">
        <f t="shared" si="91"/>
        <v>0</v>
      </c>
      <c r="AY149" s="68" t="s">
        <v>651</v>
      </c>
      <c r="AZ149" s="68" t="s">
        <v>670</v>
      </c>
      <c r="BA149" s="58" t="s">
        <v>675</v>
      </c>
      <c r="BC149" s="65">
        <f t="shared" si="92"/>
        <v>0</v>
      </c>
      <c r="BD149" s="65">
        <f t="shared" si="93"/>
        <v>0</v>
      </c>
      <c r="BE149" s="65">
        <v>0</v>
      </c>
      <c r="BF149" s="65">
        <f t="shared" si="94"/>
        <v>0.008</v>
      </c>
      <c r="BH149" s="50">
        <f t="shared" si="95"/>
        <v>0</v>
      </c>
      <c r="BI149" s="50">
        <f t="shared" si="96"/>
        <v>0</v>
      </c>
      <c r="BJ149" s="50">
        <f t="shared" si="97"/>
        <v>0</v>
      </c>
      <c r="BK149" s="50" t="s">
        <v>681</v>
      </c>
      <c r="BL149" s="65">
        <v>725</v>
      </c>
    </row>
    <row r="150" spans="1:64" ht="12.75">
      <c r="A150" s="116" t="s">
        <v>147</v>
      </c>
      <c r="B150" s="116"/>
      <c r="C150" s="116" t="s">
        <v>237</v>
      </c>
      <c r="D150" s="225" t="s">
        <v>494</v>
      </c>
      <c r="E150" s="221"/>
      <c r="F150" s="116" t="s">
        <v>611</v>
      </c>
      <c r="G150" s="117">
        <v>1</v>
      </c>
      <c r="H150" s="135"/>
      <c r="I150" s="117">
        <f t="shared" si="74"/>
        <v>0</v>
      </c>
      <c r="J150" s="117">
        <f t="shared" si="75"/>
        <v>0</v>
      </c>
      <c r="K150" s="117">
        <f t="shared" si="76"/>
        <v>0</v>
      </c>
      <c r="L150" s="117">
        <v>0.002</v>
      </c>
      <c r="M150" s="117">
        <f t="shared" si="77"/>
        <v>0.002</v>
      </c>
      <c r="N150" s="115" t="s">
        <v>237</v>
      </c>
      <c r="O150" s="77"/>
      <c r="Z150" s="65">
        <f t="shared" si="78"/>
        <v>0</v>
      </c>
      <c r="AB150" s="65">
        <f t="shared" si="79"/>
        <v>0</v>
      </c>
      <c r="AC150" s="65">
        <f t="shared" si="80"/>
        <v>0</v>
      </c>
      <c r="AD150" s="65">
        <f t="shared" si="81"/>
        <v>0</v>
      </c>
      <c r="AE150" s="65">
        <f t="shared" si="82"/>
        <v>0</v>
      </c>
      <c r="AF150" s="65">
        <f t="shared" si="83"/>
        <v>0</v>
      </c>
      <c r="AG150" s="65">
        <f t="shared" si="84"/>
        <v>0</v>
      </c>
      <c r="AH150" s="65">
        <f t="shared" si="85"/>
        <v>0</v>
      </c>
      <c r="AI150" s="58"/>
      <c r="AJ150" s="50">
        <f t="shared" si="86"/>
        <v>0</v>
      </c>
      <c r="AK150" s="50">
        <f t="shared" si="87"/>
        <v>0</v>
      </c>
      <c r="AL150" s="50">
        <f t="shared" si="88"/>
        <v>0</v>
      </c>
      <c r="AN150" s="65">
        <v>15</v>
      </c>
      <c r="AO150" s="65">
        <f>H150*1</f>
        <v>0</v>
      </c>
      <c r="AP150" s="65">
        <f>H150*(1-1)</f>
        <v>0</v>
      </c>
      <c r="AQ150" s="67" t="s">
        <v>80</v>
      </c>
      <c r="AV150" s="65">
        <f t="shared" si="89"/>
        <v>0</v>
      </c>
      <c r="AW150" s="65">
        <f t="shared" si="90"/>
        <v>0</v>
      </c>
      <c r="AX150" s="65">
        <f t="shared" si="91"/>
        <v>0</v>
      </c>
      <c r="AY150" s="68" t="s">
        <v>651</v>
      </c>
      <c r="AZ150" s="68" t="s">
        <v>670</v>
      </c>
      <c r="BA150" s="58" t="s">
        <v>675</v>
      </c>
      <c r="BC150" s="65">
        <f t="shared" si="92"/>
        <v>0</v>
      </c>
      <c r="BD150" s="65">
        <f t="shared" si="93"/>
        <v>0</v>
      </c>
      <c r="BE150" s="65">
        <v>0</v>
      </c>
      <c r="BF150" s="65">
        <f t="shared" si="94"/>
        <v>0.002</v>
      </c>
      <c r="BH150" s="50">
        <f t="shared" si="95"/>
        <v>0</v>
      </c>
      <c r="BI150" s="50">
        <f t="shared" si="96"/>
        <v>0</v>
      </c>
      <c r="BJ150" s="50">
        <f t="shared" si="97"/>
        <v>0</v>
      </c>
      <c r="BK150" s="50" t="s">
        <v>681</v>
      </c>
      <c r="BL150" s="65">
        <v>725</v>
      </c>
    </row>
    <row r="151" spans="1:64" ht="12.75">
      <c r="A151" s="116" t="s">
        <v>148</v>
      </c>
      <c r="B151" s="116"/>
      <c r="C151" s="116" t="s">
        <v>237</v>
      </c>
      <c r="D151" s="225" t="s">
        <v>495</v>
      </c>
      <c r="E151" s="221"/>
      <c r="F151" s="116" t="s">
        <v>611</v>
      </c>
      <c r="G151" s="117">
        <v>1</v>
      </c>
      <c r="H151" s="135"/>
      <c r="I151" s="117">
        <f t="shared" si="74"/>
        <v>0</v>
      </c>
      <c r="J151" s="117">
        <f t="shared" si="75"/>
        <v>0</v>
      </c>
      <c r="K151" s="117">
        <f t="shared" si="76"/>
        <v>0</v>
      </c>
      <c r="L151" s="117">
        <v>0.002</v>
      </c>
      <c r="M151" s="117">
        <f t="shared" si="77"/>
        <v>0.002</v>
      </c>
      <c r="N151" s="115" t="s">
        <v>237</v>
      </c>
      <c r="O151" s="77"/>
      <c r="Z151" s="65">
        <f t="shared" si="78"/>
        <v>0</v>
      </c>
      <c r="AB151" s="65">
        <f t="shared" si="79"/>
        <v>0</v>
      </c>
      <c r="AC151" s="65">
        <f t="shared" si="80"/>
        <v>0</v>
      </c>
      <c r="AD151" s="65">
        <f t="shared" si="81"/>
        <v>0</v>
      </c>
      <c r="AE151" s="65">
        <f t="shared" si="82"/>
        <v>0</v>
      </c>
      <c r="AF151" s="65">
        <f t="shared" si="83"/>
        <v>0</v>
      </c>
      <c r="AG151" s="65">
        <f t="shared" si="84"/>
        <v>0</v>
      </c>
      <c r="AH151" s="65">
        <f t="shared" si="85"/>
        <v>0</v>
      </c>
      <c r="AI151" s="58"/>
      <c r="AJ151" s="50">
        <f t="shared" si="86"/>
        <v>0</v>
      </c>
      <c r="AK151" s="50">
        <f t="shared" si="87"/>
        <v>0</v>
      </c>
      <c r="AL151" s="50">
        <f t="shared" si="88"/>
        <v>0</v>
      </c>
      <c r="AN151" s="65">
        <v>15</v>
      </c>
      <c r="AO151" s="65">
        <f>H151*1</f>
        <v>0</v>
      </c>
      <c r="AP151" s="65">
        <f>H151*(1-1)</f>
        <v>0</v>
      </c>
      <c r="AQ151" s="67" t="s">
        <v>80</v>
      </c>
      <c r="AV151" s="65">
        <f t="shared" si="89"/>
        <v>0</v>
      </c>
      <c r="AW151" s="65">
        <f t="shared" si="90"/>
        <v>0</v>
      </c>
      <c r="AX151" s="65">
        <f t="shared" si="91"/>
        <v>0</v>
      </c>
      <c r="AY151" s="68" t="s">
        <v>651</v>
      </c>
      <c r="AZ151" s="68" t="s">
        <v>670</v>
      </c>
      <c r="BA151" s="58" t="s">
        <v>675</v>
      </c>
      <c r="BC151" s="65">
        <f t="shared" si="92"/>
        <v>0</v>
      </c>
      <c r="BD151" s="65">
        <f t="shared" si="93"/>
        <v>0</v>
      </c>
      <c r="BE151" s="65">
        <v>0</v>
      </c>
      <c r="BF151" s="65">
        <f t="shared" si="94"/>
        <v>0.002</v>
      </c>
      <c r="BH151" s="50">
        <f t="shared" si="95"/>
        <v>0</v>
      </c>
      <c r="BI151" s="50">
        <f t="shared" si="96"/>
        <v>0</v>
      </c>
      <c r="BJ151" s="50">
        <f t="shared" si="97"/>
        <v>0</v>
      </c>
      <c r="BK151" s="50" t="s">
        <v>681</v>
      </c>
      <c r="BL151" s="65">
        <v>725</v>
      </c>
    </row>
    <row r="152" spans="1:64" ht="12.75">
      <c r="A152" s="80" t="s">
        <v>149</v>
      </c>
      <c r="B152" s="80"/>
      <c r="C152" s="80" t="s">
        <v>294</v>
      </c>
      <c r="D152" s="216" t="s">
        <v>496</v>
      </c>
      <c r="E152" s="217"/>
      <c r="F152" s="80" t="s">
        <v>612</v>
      </c>
      <c r="G152" s="85">
        <v>0.3</v>
      </c>
      <c r="H152" s="133"/>
      <c r="I152" s="85">
        <f t="shared" si="74"/>
        <v>0</v>
      </c>
      <c r="J152" s="85">
        <f t="shared" si="75"/>
        <v>0</v>
      </c>
      <c r="K152" s="85">
        <f t="shared" si="76"/>
        <v>0</v>
      </c>
      <c r="L152" s="85">
        <v>0</v>
      </c>
      <c r="M152" s="85">
        <f t="shared" si="77"/>
        <v>0</v>
      </c>
      <c r="N152" s="75" t="s">
        <v>631</v>
      </c>
      <c r="O152" s="77"/>
      <c r="Z152" s="65">
        <f t="shared" si="78"/>
        <v>0</v>
      </c>
      <c r="AB152" s="65">
        <f t="shared" si="79"/>
        <v>0</v>
      </c>
      <c r="AC152" s="65">
        <f t="shared" si="80"/>
        <v>0</v>
      </c>
      <c r="AD152" s="65">
        <f t="shared" si="81"/>
        <v>0</v>
      </c>
      <c r="AE152" s="65">
        <f t="shared" si="82"/>
        <v>0</v>
      </c>
      <c r="AF152" s="65">
        <f t="shared" si="83"/>
        <v>0</v>
      </c>
      <c r="AG152" s="65">
        <f t="shared" si="84"/>
        <v>0</v>
      </c>
      <c r="AH152" s="65">
        <f t="shared" si="85"/>
        <v>0</v>
      </c>
      <c r="AI152" s="58"/>
      <c r="AJ152" s="48">
        <f t="shared" si="86"/>
        <v>0</v>
      </c>
      <c r="AK152" s="48">
        <f t="shared" si="87"/>
        <v>0</v>
      </c>
      <c r="AL152" s="48">
        <f t="shared" si="88"/>
        <v>0</v>
      </c>
      <c r="AN152" s="65">
        <v>15</v>
      </c>
      <c r="AO152" s="65">
        <f>H152*0</f>
        <v>0</v>
      </c>
      <c r="AP152" s="65">
        <f>H152*(1-0)</f>
        <v>0</v>
      </c>
      <c r="AQ152" s="66" t="s">
        <v>80</v>
      </c>
      <c r="AV152" s="65">
        <f t="shared" si="89"/>
        <v>0</v>
      </c>
      <c r="AW152" s="65">
        <f t="shared" si="90"/>
        <v>0</v>
      </c>
      <c r="AX152" s="65">
        <f t="shared" si="91"/>
        <v>0</v>
      </c>
      <c r="AY152" s="68" t="s">
        <v>651</v>
      </c>
      <c r="AZ152" s="68" t="s">
        <v>670</v>
      </c>
      <c r="BA152" s="58" t="s">
        <v>675</v>
      </c>
      <c r="BC152" s="65">
        <f t="shared" si="92"/>
        <v>0</v>
      </c>
      <c r="BD152" s="65">
        <f t="shared" si="93"/>
        <v>0</v>
      </c>
      <c r="BE152" s="65">
        <v>0</v>
      </c>
      <c r="BF152" s="65">
        <f t="shared" si="94"/>
        <v>0</v>
      </c>
      <c r="BH152" s="48">
        <f t="shared" si="95"/>
        <v>0</v>
      </c>
      <c r="BI152" s="48">
        <f t="shared" si="96"/>
        <v>0</v>
      </c>
      <c r="BJ152" s="48">
        <f t="shared" si="97"/>
        <v>0</v>
      </c>
      <c r="BK152" s="48" t="s">
        <v>680</v>
      </c>
      <c r="BL152" s="65">
        <v>725</v>
      </c>
    </row>
    <row r="153" spans="1:47" ht="12.75">
      <c r="A153" s="93"/>
      <c r="B153" s="94"/>
      <c r="C153" s="94" t="s">
        <v>295</v>
      </c>
      <c r="D153" s="218" t="s">
        <v>497</v>
      </c>
      <c r="E153" s="219"/>
      <c r="F153" s="93" t="s">
        <v>73</v>
      </c>
      <c r="G153" s="93" t="s">
        <v>73</v>
      </c>
      <c r="H153" s="93" t="s">
        <v>73</v>
      </c>
      <c r="I153" s="95">
        <f>SUM(I154:I157)</f>
        <v>0</v>
      </c>
      <c r="J153" s="95">
        <f>SUM(J154:J157)</f>
        <v>0</v>
      </c>
      <c r="K153" s="95">
        <f>SUM(K154:K157)</f>
        <v>0</v>
      </c>
      <c r="L153" s="96"/>
      <c r="M153" s="95">
        <f>SUM(M154:M157)</f>
        <v>0.0001</v>
      </c>
      <c r="N153" s="92"/>
      <c r="O153" s="77"/>
      <c r="AI153" s="58"/>
      <c r="AS153" s="71">
        <f>SUM(AJ154:AJ157)</f>
        <v>0</v>
      </c>
      <c r="AT153" s="71">
        <f>SUM(AK154:AK157)</f>
        <v>0</v>
      </c>
      <c r="AU153" s="71">
        <f>SUM(AL154:AL157)</f>
        <v>0</v>
      </c>
    </row>
    <row r="154" spans="1:64" ht="12.75">
      <c r="A154" s="80" t="s">
        <v>150</v>
      </c>
      <c r="B154" s="80"/>
      <c r="C154" s="80" t="s">
        <v>296</v>
      </c>
      <c r="D154" s="216" t="s">
        <v>498</v>
      </c>
      <c r="E154" s="217"/>
      <c r="F154" s="80" t="s">
        <v>611</v>
      </c>
      <c r="G154" s="85">
        <v>2</v>
      </c>
      <c r="H154" s="133"/>
      <c r="I154" s="85">
        <f>G154*AO154</f>
        <v>0</v>
      </c>
      <c r="J154" s="85">
        <f>G154*AP154</f>
        <v>0</v>
      </c>
      <c r="K154" s="85">
        <f>G154*H154</f>
        <v>0</v>
      </c>
      <c r="L154" s="85">
        <v>0</v>
      </c>
      <c r="M154" s="85">
        <f>G154*L154</f>
        <v>0</v>
      </c>
      <c r="N154" s="75" t="s">
        <v>631</v>
      </c>
      <c r="O154" s="77"/>
      <c r="Z154" s="65">
        <f>IF(AQ154="5",BJ154,0)</f>
        <v>0</v>
      </c>
      <c r="AB154" s="65">
        <f>IF(AQ154="1",BH154,0)</f>
        <v>0</v>
      </c>
      <c r="AC154" s="65">
        <f>IF(AQ154="1",BI154,0)</f>
        <v>0</v>
      </c>
      <c r="AD154" s="65">
        <f>IF(AQ154="7",BH154,0)</f>
        <v>0</v>
      </c>
      <c r="AE154" s="65">
        <f>IF(AQ154="7",BI154,0)</f>
        <v>0</v>
      </c>
      <c r="AF154" s="65">
        <f>IF(AQ154="2",BH154,0)</f>
        <v>0</v>
      </c>
      <c r="AG154" s="65">
        <f>IF(AQ154="2",BI154,0)</f>
        <v>0</v>
      </c>
      <c r="AH154" s="65">
        <f>IF(AQ154="0",BJ154,0)</f>
        <v>0</v>
      </c>
      <c r="AI154" s="58"/>
      <c r="AJ154" s="48">
        <f>IF(AN154=0,K154,0)</f>
        <v>0</v>
      </c>
      <c r="AK154" s="48">
        <f>IF(AN154=15,K154,0)</f>
        <v>0</v>
      </c>
      <c r="AL154" s="48">
        <f>IF(AN154=21,K154,0)</f>
        <v>0</v>
      </c>
      <c r="AN154" s="65">
        <v>15</v>
      </c>
      <c r="AO154" s="65">
        <f>H154*0</f>
        <v>0</v>
      </c>
      <c r="AP154" s="65">
        <f>H154*(1-0)</f>
        <v>0</v>
      </c>
      <c r="AQ154" s="66" t="s">
        <v>80</v>
      </c>
      <c r="AV154" s="65">
        <f>AW154+AX154</f>
        <v>0</v>
      </c>
      <c r="AW154" s="65">
        <f>G154*AO154</f>
        <v>0</v>
      </c>
      <c r="AX154" s="65">
        <f>G154*AP154</f>
        <v>0</v>
      </c>
      <c r="AY154" s="68" t="s">
        <v>652</v>
      </c>
      <c r="AZ154" s="68" t="s">
        <v>670</v>
      </c>
      <c r="BA154" s="58" t="s">
        <v>675</v>
      </c>
      <c r="BC154" s="65">
        <f>AW154+AX154</f>
        <v>0</v>
      </c>
      <c r="BD154" s="65">
        <f>H154/(100-BE154)*100</f>
        <v>0</v>
      </c>
      <c r="BE154" s="65">
        <v>0</v>
      </c>
      <c r="BF154" s="65">
        <f>M154</f>
        <v>0</v>
      </c>
      <c r="BH154" s="48">
        <f>G154*AO154</f>
        <v>0</v>
      </c>
      <c r="BI154" s="48">
        <f>G154*AP154</f>
        <v>0</v>
      </c>
      <c r="BJ154" s="48">
        <f>G154*H154</f>
        <v>0</v>
      </c>
      <c r="BK154" s="48" t="s">
        <v>680</v>
      </c>
      <c r="BL154" s="65">
        <v>728</v>
      </c>
    </row>
    <row r="155" spans="1:64" ht="12.75">
      <c r="A155" s="98" t="s">
        <v>151</v>
      </c>
      <c r="B155" s="98"/>
      <c r="C155" s="98" t="s">
        <v>297</v>
      </c>
      <c r="D155" s="220" t="s">
        <v>499</v>
      </c>
      <c r="E155" s="221"/>
      <c r="F155" s="98" t="s">
        <v>611</v>
      </c>
      <c r="G155" s="99">
        <v>2</v>
      </c>
      <c r="H155" s="134"/>
      <c r="I155" s="99">
        <f>G155*AO155</f>
        <v>0</v>
      </c>
      <c r="J155" s="99">
        <f>G155*AP155</f>
        <v>0</v>
      </c>
      <c r="K155" s="99">
        <f>G155*H155</f>
        <v>0</v>
      </c>
      <c r="L155" s="99">
        <v>5E-05</v>
      </c>
      <c r="M155" s="99">
        <f>G155*L155</f>
        <v>0.0001</v>
      </c>
      <c r="N155" s="97" t="s">
        <v>631</v>
      </c>
      <c r="O155" s="77"/>
      <c r="Z155" s="65">
        <f>IF(AQ155="5",BJ155,0)</f>
        <v>0</v>
      </c>
      <c r="AB155" s="65">
        <f>IF(AQ155="1",BH155,0)</f>
        <v>0</v>
      </c>
      <c r="AC155" s="65">
        <f>IF(AQ155="1",BI155,0)</f>
        <v>0</v>
      </c>
      <c r="AD155" s="65">
        <f>IF(AQ155="7",BH155,0)</f>
        <v>0</v>
      </c>
      <c r="AE155" s="65">
        <f>IF(AQ155="7",BI155,0)</f>
        <v>0</v>
      </c>
      <c r="AF155" s="65">
        <f>IF(AQ155="2",BH155,0)</f>
        <v>0</v>
      </c>
      <c r="AG155" s="65">
        <f>IF(AQ155="2",BI155,0)</f>
        <v>0</v>
      </c>
      <c r="AH155" s="65">
        <f>IF(AQ155="0",BJ155,0)</f>
        <v>0</v>
      </c>
      <c r="AI155" s="58"/>
      <c r="AJ155" s="50">
        <f>IF(AN155=0,K155,0)</f>
        <v>0</v>
      </c>
      <c r="AK155" s="50">
        <f>IF(AN155=15,K155,0)</f>
        <v>0</v>
      </c>
      <c r="AL155" s="50">
        <f>IF(AN155=21,K155,0)</f>
        <v>0</v>
      </c>
      <c r="AN155" s="65">
        <v>15</v>
      </c>
      <c r="AO155" s="65">
        <f>H155*1</f>
        <v>0</v>
      </c>
      <c r="AP155" s="65">
        <f>H155*(1-1)</f>
        <v>0</v>
      </c>
      <c r="AQ155" s="67" t="s">
        <v>80</v>
      </c>
      <c r="AV155" s="65">
        <f>AW155+AX155</f>
        <v>0</v>
      </c>
      <c r="AW155" s="65">
        <f>G155*AO155</f>
        <v>0</v>
      </c>
      <c r="AX155" s="65">
        <f>G155*AP155</f>
        <v>0</v>
      </c>
      <c r="AY155" s="68" t="s">
        <v>652</v>
      </c>
      <c r="AZ155" s="68" t="s">
        <v>670</v>
      </c>
      <c r="BA155" s="58" t="s">
        <v>675</v>
      </c>
      <c r="BC155" s="65">
        <f>AW155+AX155</f>
        <v>0</v>
      </c>
      <c r="BD155" s="65">
        <f>H155/(100-BE155)*100</f>
        <v>0</v>
      </c>
      <c r="BE155" s="65">
        <v>0</v>
      </c>
      <c r="BF155" s="65">
        <f>M155</f>
        <v>0.0001</v>
      </c>
      <c r="BH155" s="50">
        <f>G155*AO155</f>
        <v>0</v>
      </c>
      <c r="BI155" s="50">
        <f>G155*AP155</f>
        <v>0</v>
      </c>
      <c r="BJ155" s="50">
        <f>G155*H155</f>
        <v>0</v>
      </c>
      <c r="BK155" s="50" t="s">
        <v>681</v>
      </c>
      <c r="BL155" s="65">
        <v>728</v>
      </c>
    </row>
    <row r="156" spans="1:64" ht="12.75">
      <c r="A156" s="80" t="s">
        <v>152</v>
      </c>
      <c r="B156" s="80"/>
      <c r="C156" s="80" t="s">
        <v>237</v>
      </c>
      <c r="D156" s="216" t="s">
        <v>500</v>
      </c>
      <c r="E156" s="217"/>
      <c r="F156" s="80" t="s">
        <v>611</v>
      </c>
      <c r="G156" s="85">
        <v>1</v>
      </c>
      <c r="H156" s="133"/>
      <c r="I156" s="85">
        <f>G156*AO156</f>
        <v>0</v>
      </c>
      <c r="J156" s="85">
        <f>G156*AP156</f>
        <v>0</v>
      </c>
      <c r="K156" s="85">
        <f>G156*H156</f>
        <v>0</v>
      </c>
      <c r="L156" s="85">
        <v>0</v>
      </c>
      <c r="M156" s="85">
        <f>G156*L156</f>
        <v>0</v>
      </c>
      <c r="N156" s="75" t="s">
        <v>237</v>
      </c>
      <c r="O156" s="77"/>
      <c r="Z156" s="65">
        <f>IF(AQ156="5",BJ156,0)</f>
        <v>0</v>
      </c>
      <c r="AB156" s="65">
        <f>IF(AQ156="1",BH156,0)</f>
        <v>0</v>
      </c>
      <c r="AC156" s="65">
        <f>IF(AQ156="1",BI156,0)</f>
        <v>0</v>
      </c>
      <c r="AD156" s="65">
        <f>IF(AQ156="7",BH156,0)</f>
        <v>0</v>
      </c>
      <c r="AE156" s="65">
        <f>IF(AQ156="7",BI156,0)</f>
        <v>0</v>
      </c>
      <c r="AF156" s="65">
        <f>IF(AQ156="2",BH156,0)</f>
        <v>0</v>
      </c>
      <c r="AG156" s="65">
        <f>IF(AQ156="2",BI156,0)</f>
        <v>0</v>
      </c>
      <c r="AH156" s="65">
        <f>IF(AQ156="0",BJ156,0)</f>
        <v>0</v>
      </c>
      <c r="AI156" s="58"/>
      <c r="AJ156" s="48">
        <f>IF(AN156=0,K156,0)</f>
        <v>0</v>
      </c>
      <c r="AK156" s="48">
        <f>IF(AN156=15,K156,0)</f>
        <v>0</v>
      </c>
      <c r="AL156" s="48">
        <f>IF(AN156=21,K156,0)</f>
        <v>0</v>
      </c>
      <c r="AN156" s="65">
        <v>15</v>
      </c>
      <c r="AO156" s="65">
        <f>H156*0</f>
        <v>0</v>
      </c>
      <c r="AP156" s="65">
        <f>H156*(1-0)</f>
        <v>0</v>
      </c>
      <c r="AQ156" s="66" t="s">
        <v>78</v>
      </c>
      <c r="AV156" s="65">
        <f>AW156+AX156</f>
        <v>0</v>
      </c>
      <c r="AW156" s="65">
        <f>G156*AO156</f>
        <v>0</v>
      </c>
      <c r="AX156" s="65">
        <f>G156*AP156</f>
        <v>0</v>
      </c>
      <c r="AY156" s="68" t="s">
        <v>652</v>
      </c>
      <c r="AZ156" s="68" t="s">
        <v>670</v>
      </c>
      <c r="BA156" s="58" t="s">
        <v>675</v>
      </c>
      <c r="BC156" s="65">
        <f>AW156+AX156</f>
        <v>0</v>
      </c>
      <c r="BD156" s="65">
        <f>H156/(100-BE156)*100</f>
        <v>0</v>
      </c>
      <c r="BE156" s="65">
        <v>0</v>
      </c>
      <c r="BF156" s="65">
        <f>M156</f>
        <v>0</v>
      </c>
      <c r="BH156" s="48">
        <f>G156*AO156</f>
        <v>0</v>
      </c>
      <c r="BI156" s="48">
        <f>G156*AP156</f>
        <v>0</v>
      </c>
      <c r="BJ156" s="48">
        <f>G156*H156</f>
        <v>0</v>
      </c>
      <c r="BK156" s="48" t="s">
        <v>680</v>
      </c>
      <c r="BL156" s="65">
        <v>728</v>
      </c>
    </row>
    <row r="157" spans="1:64" ht="12.75">
      <c r="A157" s="80" t="s">
        <v>153</v>
      </c>
      <c r="B157" s="80"/>
      <c r="C157" s="80" t="s">
        <v>298</v>
      </c>
      <c r="D157" s="216" t="s">
        <v>501</v>
      </c>
      <c r="E157" s="217"/>
      <c r="F157" s="80" t="s">
        <v>612</v>
      </c>
      <c r="G157" s="85">
        <v>0.01</v>
      </c>
      <c r="H157" s="133"/>
      <c r="I157" s="85">
        <f>G157*AO157</f>
        <v>0</v>
      </c>
      <c r="J157" s="85">
        <f>G157*AP157</f>
        <v>0</v>
      </c>
      <c r="K157" s="85">
        <f>G157*H157</f>
        <v>0</v>
      </c>
      <c r="L157" s="85">
        <v>0</v>
      </c>
      <c r="M157" s="85">
        <f>G157*L157</f>
        <v>0</v>
      </c>
      <c r="N157" s="75" t="s">
        <v>631</v>
      </c>
      <c r="O157" s="77"/>
      <c r="Z157" s="65">
        <f>IF(AQ157="5",BJ157,0)</f>
        <v>0</v>
      </c>
      <c r="AB157" s="65">
        <f>IF(AQ157="1",BH157,0)</f>
        <v>0</v>
      </c>
      <c r="AC157" s="65">
        <f>IF(AQ157="1",BI157,0)</f>
        <v>0</v>
      </c>
      <c r="AD157" s="65">
        <f>IF(AQ157="7",BH157,0)</f>
        <v>0</v>
      </c>
      <c r="AE157" s="65">
        <f>IF(AQ157="7",BI157,0)</f>
        <v>0</v>
      </c>
      <c r="AF157" s="65">
        <f>IF(AQ157="2",BH157,0)</f>
        <v>0</v>
      </c>
      <c r="AG157" s="65">
        <f>IF(AQ157="2",BI157,0)</f>
        <v>0</v>
      </c>
      <c r="AH157" s="65">
        <f>IF(AQ157="0",BJ157,0)</f>
        <v>0</v>
      </c>
      <c r="AI157" s="58"/>
      <c r="AJ157" s="48">
        <f>IF(AN157=0,K157,0)</f>
        <v>0</v>
      </c>
      <c r="AK157" s="48">
        <f>IF(AN157=15,K157,0)</f>
        <v>0</v>
      </c>
      <c r="AL157" s="48">
        <f>IF(AN157=21,K157,0)</f>
        <v>0</v>
      </c>
      <c r="AN157" s="65">
        <v>15</v>
      </c>
      <c r="AO157" s="65">
        <f>H157*0</f>
        <v>0</v>
      </c>
      <c r="AP157" s="65">
        <f>H157*(1-0)</f>
        <v>0</v>
      </c>
      <c r="AQ157" s="66" t="s">
        <v>78</v>
      </c>
      <c r="AV157" s="65">
        <f>AW157+AX157</f>
        <v>0</v>
      </c>
      <c r="AW157" s="65">
        <f>G157*AO157</f>
        <v>0</v>
      </c>
      <c r="AX157" s="65">
        <f>G157*AP157</f>
        <v>0</v>
      </c>
      <c r="AY157" s="68" t="s">
        <v>652</v>
      </c>
      <c r="AZ157" s="68" t="s">
        <v>670</v>
      </c>
      <c r="BA157" s="58" t="s">
        <v>675</v>
      </c>
      <c r="BC157" s="65">
        <f>AW157+AX157</f>
        <v>0</v>
      </c>
      <c r="BD157" s="65">
        <f>H157/(100-BE157)*100</f>
        <v>0</v>
      </c>
      <c r="BE157" s="65">
        <v>0</v>
      </c>
      <c r="BF157" s="65">
        <f>M157</f>
        <v>0</v>
      </c>
      <c r="BH157" s="48">
        <f>G157*AO157</f>
        <v>0</v>
      </c>
      <c r="BI157" s="48">
        <f>G157*AP157</f>
        <v>0</v>
      </c>
      <c r="BJ157" s="48">
        <f>G157*H157</f>
        <v>0</v>
      </c>
      <c r="BK157" s="48" t="s">
        <v>680</v>
      </c>
      <c r="BL157" s="65">
        <v>728</v>
      </c>
    </row>
    <row r="158" spans="1:47" ht="12.75">
      <c r="A158" s="93"/>
      <c r="B158" s="94"/>
      <c r="C158" s="94" t="s">
        <v>299</v>
      </c>
      <c r="D158" s="218" t="s">
        <v>502</v>
      </c>
      <c r="E158" s="219"/>
      <c r="F158" s="93" t="s">
        <v>73</v>
      </c>
      <c r="G158" s="93" t="s">
        <v>73</v>
      </c>
      <c r="H158" s="93" t="s">
        <v>73</v>
      </c>
      <c r="I158" s="95">
        <f>SUM(I159:I171)</f>
        <v>0</v>
      </c>
      <c r="J158" s="95">
        <f>SUM(J159:J171)</f>
        <v>0</v>
      </c>
      <c r="K158" s="95">
        <f>SUM(K159:K171)</f>
        <v>0</v>
      </c>
      <c r="L158" s="96"/>
      <c r="M158" s="95">
        <f>SUM(M159:M171)</f>
        <v>0.5762999999999999</v>
      </c>
      <c r="N158" s="92"/>
      <c r="O158" s="77"/>
      <c r="AI158" s="58"/>
      <c r="AS158" s="71">
        <f>SUM(AJ159:AJ171)</f>
        <v>0</v>
      </c>
      <c r="AT158" s="71">
        <f>SUM(AK159:AK171)</f>
        <v>0</v>
      </c>
      <c r="AU158" s="71">
        <f>SUM(AL159:AL171)</f>
        <v>0</v>
      </c>
    </row>
    <row r="159" spans="1:64" ht="12.75">
      <c r="A159" s="80" t="s">
        <v>154</v>
      </c>
      <c r="B159" s="80"/>
      <c r="C159" s="80" t="s">
        <v>300</v>
      </c>
      <c r="D159" s="216" t="s">
        <v>503</v>
      </c>
      <c r="E159" s="217"/>
      <c r="F159" s="80" t="s">
        <v>611</v>
      </c>
      <c r="G159" s="85">
        <v>4</v>
      </c>
      <c r="H159" s="133"/>
      <c r="I159" s="85">
        <f aca="true" t="shared" si="98" ref="I159:I171">G159*AO159</f>
        <v>0</v>
      </c>
      <c r="J159" s="85">
        <f aca="true" t="shared" si="99" ref="J159:J171">G159*AP159</f>
        <v>0</v>
      </c>
      <c r="K159" s="85">
        <f aca="true" t="shared" si="100" ref="K159:K171">G159*H159</f>
        <v>0</v>
      </c>
      <c r="L159" s="85">
        <v>0.0018</v>
      </c>
      <c r="M159" s="85">
        <f aca="true" t="shared" si="101" ref="M159:M171">G159*L159</f>
        <v>0.0072</v>
      </c>
      <c r="N159" s="75" t="s">
        <v>631</v>
      </c>
      <c r="O159" s="77"/>
      <c r="Z159" s="65">
        <f aca="true" t="shared" si="102" ref="Z159:Z171">IF(AQ159="5",BJ159,0)</f>
        <v>0</v>
      </c>
      <c r="AB159" s="65">
        <f aca="true" t="shared" si="103" ref="AB159:AB171">IF(AQ159="1",BH159,0)</f>
        <v>0</v>
      </c>
      <c r="AC159" s="65">
        <f aca="true" t="shared" si="104" ref="AC159:AC171">IF(AQ159="1",BI159,0)</f>
        <v>0</v>
      </c>
      <c r="AD159" s="65">
        <f aca="true" t="shared" si="105" ref="AD159:AD171">IF(AQ159="7",BH159,0)</f>
        <v>0</v>
      </c>
      <c r="AE159" s="65">
        <f aca="true" t="shared" si="106" ref="AE159:AE171">IF(AQ159="7",BI159,0)</f>
        <v>0</v>
      </c>
      <c r="AF159" s="65">
        <f aca="true" t="shared" si="107" ref="AF159:AF171">IF(AQ159="2",BH159,0)</f>
        <v>0</v>
      </c>
      <c r="AG159" s="65">
        <f aca="true" t="shared" si="108" ref="AG159:AG171">IF(AQ159="2",BI159,0)</f>
        <v>0</v>
      </c>
      <c r="AH159" s="65">
        <f aca="true" t="shared" si="109" ref="AH159:AH171">IF(AQ159="0",BJ159,0)</f>
        <v>0</v>
      </c>
      <c r="AI159" s="58"/>
      <c r="AJ159" s="48">
        <f aca="true" t="shared" si="110" ref="AJ159:AJ171">IF(AN159=0,K159,0)</f>
        <v>0</v>
      </c>
      <c r="AK159" s="48">
        <f aca="true" t="shared" si="111" ref="AK159:AK171">IF(AN159=15,K159,0)</f>
        <v>0</v>
      </c>
      <c r="AL159" s="48">
        <f aca="true" t="shared" si="112" ref="AL159:AL171">IF(AN159=21,K159,0)</f>
        <v>0</v>
      </c>
      <c r="AN159" s="65">
        <v>15</v>
      </c>
      <c r="AO159" s="65">
        <f>H159*0</f>
        <v>0</v>
      </c>
      <c r="AP159" s="65">
        <f>H159*(1-0)</f>
        <v>0</v>
      </c>
      <c r="AQ159" s="66" t="s">
        <v>80</v>
      </c>
      <c r="AV159" s="65">
        <f aca="true" t="shared" si="113" ref="AV159:AV171">AW159+AX159</f>
        <v>0</v>
      </c>
      <c r="AW159" s="65">
        <f aca="true" t="shared" si="114" ref="AW159:AW171">G159*AO159</f>
        <v>0</v>
      </c>
      <c r="AX159" s="65">
        <f aca="true" t="shared" si="115" ref="AX159:AX171">G159*AP159</f>
        <v>0</v>
      </c>
      <c r="AY159" s="68" t="s">
        <v>653</v>
      </c>
      <c r="AZ159" s="68" t="s">
        <v>671</v>
      </c>
      <c r="BA159" s="58" t="s">
        <v>675</v>
      </c>
      <c r="BC159" s="65">
        <f aca="true" t="shared" si="116" ref="BC159:BC171">AW159+AX159</f>
        <v>0</v>
      </c>
      <c r="BD159" s="65">
        <f aca="true" t="shared" si="117" ref="BD159:BD171">H159/(100-BE159)*100</f>
        <v>0</v>
      </c>
      <c r="BE159" s="65">
        <v>0</v>
      </c>
      <c r="BF159" s="65">
        <f aca="true" t="shared" si="118" ref="BF159:BF171">M159</f>
        <v>0.0072</v>
      </c>
      <c r="BH159" s="48">
        <f aca="true" t="shared" si="119" ref="BH159:BH171">G159*AO159</f>
        <v>0</v>
      </c>
      <c r="BI159" s="48">
        <f aca="true" t="shared" si="120" ref="BI159:BI171">G159*AP159</f>
        <v>0</v>
      </c>
      <c r="BJ159" s="48">
        <f aca="true" t="shared" si="121" ref="BJ159:BJ171">G159*H159</f>
        <v>0</v>
      </c>
      <c r="BK159" s="48" t="s">
        <v>680</v>
      </c>
      <c r="BL159" s="65">
        <v>766</v>
      </c>
    </row>
    <row r="160" spans="1:64" ht="12.75">
      <c r="A160" s="80" t="s">
        <v>155</v>
      </c>
      <c r="B160" s="80"/>
      <c r="C160" s="80" t="s">
        <v>301</v>
      </c>
      <c r="D160" s="216" t="s">
        <v>504</v>
      </c>
      <c r="E160" s="217"/>
      <c r="F160" s="80" t="s">
        <v>611</v>
      </c>
      <c r="G160" s="85">
        <v>1</v>
      </c>
      <c r="H160" s="133"/>
      <c r="I160" s="85">
        <f t="shared" si="98"/>
        <v>0</v>
      </c>
      <c r="J160" s="85">
        <f t="shared" si="99"/>
        <v>0</v>
      </c>
      <c r="K160" s="85">
        <f t="shared" si="100"/>
        <v>0</v>
      </c>
      <c r="L160" s="85">
        <v>0.174</v>
      </c>
      <c r="M160" s="85">
        <f t="shared" si="101"/>
        <v>0.174</v>
      </c>
      <c r="N160" s="75" t="s">
        <v>631</v>
      </c>
      <c r="O160" s="77"/>
      <c r="Z160" s="65">
        <f t="shared" si="102"/>
        <v>0</v>
      </c>
      <c r="AB160" s="65">
        <f t="shared" si="103"/>
        <v>0</v>
      </c>
      <c r="AC160" s="65">
        <f t="shared" si="104"/>
        <v>0</v>
      </c>
      <c r="AD160" s="65">
        <f t="shared" si="105"/>
        <v>0</v>
      </c>
      <c r="AE160" s="65">
        <f t="shared" si="106"/>
        <v>0</v>
      </c>
      <c r="AF160" s="65">
        <f t="shared" si="107"/>
        <v>0</v>
      </c>
      <c r="AG160" s="65">
        <f t="shared" si="108"/>
        <v>0</v>
      </c>
      <c r="AH160" s="65">
        <f t="shared" si="109"/>
        <v>0</v>
      </c>
      <c r="AI160" s="58"/>
      <c r="AJ160" s="48">
        <f t="shared" si="110"/>
        <v>0</v>
      </c>
      <c r="AK160" s="48">
        <f t="shared" si="111"/>
        <v>0</v>
      </c>
      <c r="AL160" s="48">
        <f t="shared" si="112"/>
        <v>0</v>
      </c>
      <c r="AN160" s="65">
        <v>15</v>
      </c>
      <c r="AO160" s="65">
        <f>H160*0</f>
        <v>0</v>
      </c>
      <c r="AP160" s="65">
        <f>H160*(1-0)</f>
        <v>0</v>
      </c>
      <c r="AQ160" s="66" t="s">
        <v>80</v>
      </c>
      <c r="AV160" s="65">
        <f t="shared" si="113"/>
        <v>0</v>
      </c>
      <c r="AW160" s="65">
        <f t="shared" si="114"/>
        <v>0</v>
      </c>
      <c r="AX160" s="65">
        <f t="shared" si="115"/>
        <v>0</v>
      </c>
      <c r="AY160" s="68" t="s">
        <v>653</v>
      </c>
      <c r="AZ160" s="68" t="s">
        <v>671</v>
      </c>
      <c r="BA160" s="58" t="s">
        <v>675</v>
      </c>
      <c r="BC160" s="65">
        <f t="shared" si="116"/>
        <v>0</v>
      </c>
      <c r="BD160" s="65">
        <f t="shared" si="117"/>
        <v>0</v>
      </c>
      <c r="BE160" s="65">
        <v>0</v>
      </c>
      <c r="BF160" s="65">
        <f t="shared" si="118"/>
        <v>0.174</v>
      </c>
      <c r="BH160" s="48">
        <f t="shared" si="119"/>
        <v>0</v>
      </c>
      <c r="BI160" s="48">
        <f t="shared" si="120"/>
        <v>0</v>
      </c>
      <c r="BJ160" s="48">
        <f t="shared" si="121"/>
        <v>0</v>
      </c>
      <c r="BK160" s="48" t="s">
        <v>680</v>
      </c>
      <c r="BL160" s="65">
        <v>766</v>
      </c>
    </row>
    <row r="161" spans="1:64" ht="12.75">
      <c r="A161" s="80" t="s">
        <v>156</v>
      </c>
      <c r="B161" s="80"/>
      <c r="C161" s="80" t="s">
        <v>302</v>
      </c>
      <c r="D161" s="216" t="s">
        <v>505</v>
      </c>
      <c r="E161" s="217"/>
      <c r="F161" s="80" t="s">
        <v>611</v>
      </c>
      <c r="G161" s="85">
        <v>3</v>
      </c>
      <c r="H161" s="133"/>
      <c r="I161" s="85">
        <f t="shared" si="98"/>
        <v>0</v>
      </c>
      <c r="J161" s="85">
        <f t="shared" si="99"/>
        <v>0</v>
      </c>
      <c r="K161" s="85">
        <f t="shared" si="100"/>
        <v>0</v>
      </c>
      <c r="L161" s="85">
        <v>0.1104</v>
      </c>
      <c r="M161" s="85">
        <f t="shared" si="101"/>
        <v>0.3312</v>
      </c>
      <c r="N161" s="75" t="s">
        <v>631</v>
      </c>
      <c r="O161" s="77"/>
      <c r="Z161" s="65">
        <f t="shared" si="102"/>
        <v>0</v>
      </c>
      <c r="AB161" s="65">
        <f t="shared" si="103"/>
        <v>0</v>
      </c>
      <c r="AC161" s="65">
        <f t="shared" si="104"/>
        <v>0</v>
      </c>
      <c r="AD161" s="65">
        <f t="shared" si="105"/>
        <v>0</v>
      </c>
      <c r="AE161" s="65">
        <f t="shared" si="106"/>
        <v>0</v>
      </c>
      <c r="AF161" s="65">
        <f t="shared" si="107"/>
        <v>0</v>
      </c>
      <c r="AG161" s="65">
        <f t="shared" si="108"/>
        <v>0</v>
      </c>
      <c r="AH161" s="65">
        <f t="shared" si="109"/>
        <v>0</v>
      </c>
      <c r="AI161" s="58"/>
      <c r="AJ161" s="48">
        <f t="shared" si="110"/>
        <v>0</v>
      </c>
      <c r="AK161" s="48">
        <f t="shared" si="111"/>
        <v>0</v>
      </c>
      <c r="AL161" s="48">
        <f t="shared" si="112"/>
        <v>0</v>
      </c>
      <c r="AN161" s="65">
        <v>15</v>
      </c>
      <c r="AO161" s="65">
        <f>H161*0</f>
        <v>0</v>
      </c>
      <c r="AP161" s="65">
        <f>H161*(1-0)</f>
        <v>0</v>
      </c>
      <c r="AQ161" s="66" t="s">
        <v>80</v>
      </c>
      <c r="AV161" s="65">
        <f t="shared" si="113"/>
        <v>0</v>
      </c>
      <c r="AW161" s="65">
        <f t="shared" si="114"/>
        <v>0</v>
      </c>
      <c r="AX161" s="65">
        <f t="shared" si="115"/>
        <v>0</v>
      </c>
      <c r="AY161" s="68" t="s">
        <v>653</v>
      </c>
      <c r="AZ161" s="68" t="s">
        <v>671</v>
      </c>
      <c r="BA161" s="58" t="s">
        <v>675</v>
      </c>
      <c r="BC161" s="65">
        <f t="shared" si="116"/>
        <v>0</v>
      </c>
      <c r="BD161" s="65">
        <f t="shared" si="117"/>
        <v>0</v>
      </c>
      <c r="BE161" s="65">
        <v>0</v>
      </c>
      <c r="BF161" s="65">
        <f t="shared" si="118"/>
        <v>0.3312</v>
      </c>
      <c r="BH161" s="48">
        <f t="shared" si="119"/>
        <v>0</v>
      </c>
      <c r="BI161" s="48">
        <f t="shared" si="120"/>
        <v>0</v>
      </c>
      <c r="BJ161" s="48">
        <f t="shared" si="121"/>
        <v>0</v>
      </c>
      <c r="BK161" s="48" t="s">
        <v>680</v>
      </c>
      <c r="BL161" s="65">
        <v>766</v>
      </c>
    </row>
    <row r="162" spans="1:64" ht="12.75">
      <c r="A162" s="80" t="s">
        <v>157</v>
      </c>
      <c r="B162" s="80"/>
      <c r="C162" s="80" t="s">
        <v>303</v>
      </c>
      <c r="D162" s="216" t="s">
        <v>506</v>
      </c>
      <c r="E162" s="217"/>
      <c r="F162" s="80" t="s">
        <v>611</v>
      </c>
      <c r="G162" s="85">
        <v>3</v>
      </c>
      <c r="H162" s="133"/>
      <c r="I162" s="85">
        <f t="shared" si="98"/>
        <v>0</v>
      </c>
      <c r="J162" s="85">
        <f t="shared" si="99"/>
        <v>0</v>
      </c>
      <c r="K162" s="85">
        <f t="shared" si="100"/>
        <v>0</v>
      </c>
      <c r="L162" s="85">
        <v>0</v>
      </c>
      <c r="M162" s="85">
        <f t="shared" si="101"/>
        <v>0</v>
      </c>
      <c r="N162" s="75" t="s">
        <v>631</v>
      </c>
      <c r="O162" s="77"/>
      <c r="Z162" s="65">
        <f t="shared" si="102"/>
        <v>0</v>
      </c>
      <c r="AB162" s="65">
        <f t="shared" si="103"/>
        <v>0</v>
      </c>
      <c r="AC162" s="65">
        <f t="shared" si="104"/>
        <v>0</v>
      </c>
      <c r="AD162" s="65">
        <f t="shared" si="105"/>
        <v>0</v>
      </c>
      <c r="AE162" s="65">
        <f t="shared" si="106"/>
        <v>0</v>
      </c>
      <c r="AF162" s="65">
        <f t="shared" si="107"/>
        <v>0</v>
      </c>
      <c r="AG162" s="65">
        <f t="shared" si="108"/>
        <v>0</v>
      </c>
      <c r="AH162" s="65">
        <f t="shared" si="109"/>
        <v>0</v>
      </c>
      <c r="AI162" s="58"/>
      <c r="AJ162" s="48">
        <f t="shared" si="110"/>
        <v>0</v>
      </c>
      <c r="AK162" s="48">
        <f t="shared" si="111"/>
        <v>0</v>
      </c>
      <c r="AL162" s="48">
        <f t="shared" si="112"/>
        <v>0</v>
      </c>
      <c r="AN162" s="65">
        <v>15</v>
      </c>
      <c r="AO162" s="65">
        <f>H162*0</f>
        <v>0</v>
      </c>
      <c r="AP162" s="65">
        <f>H162*(1-0)</f>
        <v>0</v>
      </c>
      <c r="AQ162" s="66" t="s">
        <v>80</v>
      </c>
      <c r="AV162" s="65">
        <f t="shared" si="113"/>
        <v>0</v>
      </c>
      <c r="AW162" s="65">
        <f t="shared" si="114"/>
        <v>0</v>
      </c>
      <c r="AX162" s="65">
        <f t="shared" si="115"/>
        <v>0</v>
      </c>
      <c r="AY162" s="68" t="s">
        <v>653</v>
      </c>
      <c r="AZ162" s="68" t="s">
        <v>671</v>
      </c>
      <c r="BA162" s="58" t="s">
        <v>675</v>
      </c>
      <c r="BC162" s="65">
        <f t="shared" si="116"/>
        <v>0</v>
      </c>
      <c r="BD162" s="65">
        <f t="shared" si="117"/>
        <v>0</v>
      </c>
      <c r="BE162" s="65">
        <v>0</v>
      </c>
      <c r="BF162" s="65">
        <f t="shared" si="118"/>
        <v>0</v>
      </c>
      <c r="BH162" s="48">
        <f t="shared" si="119"/>
        <v>0</v>
      </c>
      <c r="BI162" s="48">
        <f t="shared" si="120"/>
        <v>0</v>
      </c>
      <c r="BJ162" s="48">
        <f t="shared" si="121"/>
        <v>0</v>
      </c>
      <c r="BK162" s="48" t="s">
        <v>680</v>
      </c>
      <c r="BL162" s="65">
        <v>766</v>
      </c>
    </row>
    <row r="163" spans="1:64" ht="12.75">
      <c r="A163" s="98" t="s">
        <v>158</v>
      </c>
      <c r="B163" s="98"/>
      <c r="C163" s="98" t="s">
        <v>304</v>
      </c>
      <c r="D163" s="220" t="s">
        <v>507</v>
      </c>
      <c r="E163" s="221"/>
      <c r="F163" s="98" t="s">
        <v>611</v>
      </c>
      <c r="G163" s="99">
        <v>2</v>
      </c>
      <c r="H163" s="134"/>
      <c r="I163" s="99">
        <f t="shared" si="98"/>
        <v>0</v>
      </c>
      <c r="J163" s="99">
        <f t="shared" si="99"/>
        <v>0</v>
      </c>
      <c r="K163" s="99">
        <f t="shared" si="100"/>
        <v>0</v>
      </c>
      <c r="L163" s="99">
        <v>0.0205</v>
      </c>
      <c r="M163" s="99">
        <f t="shared" si="101"/>
        <v>0.041</v>
      </c>
      <c r="N163" s="97" t="s">
        <v>631</v>
      </c>
      <c r="O163" s="77"/>
      <c r="Z163" s="65">
        <f t="shared" si="102"/>
        <v>0</v>
      </c>
      <c r="AB163" s="65">
        <f t="shared" si="103"/>
        <v>0</v>
      </c>
      <c r="AC163" s="65">
        <f t="shared" si="104"/>
        <v>0</v>
      </c>
      <c r="AD163" s="65">
        <f t="shared" si="105"/>
        <v>0</v>
      </c>
      <c r="AE163" s="65">
        <f t="shared" si="106"/>
        <v>0</v>
      </c>
      <c r="AF163" s="65">
        <f t="shared" si="107"/>
        <v>0</v>
      </c>
      <c r="AG163" s="65">
        <f t="shared" si="108"/>
        <v>0</v>
      </c>
      <c r="AH163" s="65">
        <f t="shared" si="109"/>
        <v>0</v>
      </c>
      <c r="AI163" s="58"/>
      <c r="AJ163" s="50">
        <f t="shared" si="110"/>
        <v>0</v>
      </c>
      <c r="AK163" s="50">
        <f t="shared" si="111"/>
        <v>0</v>
      </c>
      <c r="AL163" s="50">
        <f t="shared" si="112"/>
        <v>0</v>
      </c>
      <c r="AN163" s="65">
        <v>15</v>
      </c>
      <c r="AO163" s="65">
        <f>H163*1</f>
        <v>0</v>
      </c>
      <c r="AP163" s="65">
        <f>H163*(1-1)</f>
        <v>0</v>
      </c>
      <c r="AQ163" s="67" t="s">
        <v>80</v>
      </c>
      <c r="AV163" s="65">
        <f t="shared" si="113"/>
        <v>0</v>
      </c>
      <c r="AW163" s="65">
        <f t="shared" si="114"/>
        <v>0</v>
      </c>
      <c r="AX163" s="65">
        <f t="shared" si="115"/>
        <v>0</v>
      </c>
      <c r="AY163" s="68" t="s">
        <v>653</v>
      </c>
      <c r="AZ163" s="68" t="s">
        <v>671</v>
      </c>
      <c r="BA163" s="58" t="s">
        <v>675</v>
      </c>
      <c r="BC163" s="65">
        <f t="shared" si="116"/>
        <v>0</v>
      </c>
      <c r="BD163" s="65">
        <f t="shared" si="117"/>
        <v>0</v>
      </c>
      <c r="BE163" s="65">
        <v>0</v>
      </c>
      <c r="BF163" s="65">
        <f t="shared" si="118"/>
        <v>0.041</v>
      </c>
      <c r="BH163" s="50">
        <f t="shared" si="119"/>
        <v>0</v>
      </c>
      <c r="BI163" s="50">
        <f t="shared" si="120"/>
        <v>0</v>
      </c>
      <c r="BJ163" s="50">
        <f t="shared" si="121"/>
        <v>0</v>
      </c>
      <c r="BK163" s="50" t="s">
        <v>681</v>
      </c>
      <c r="BL163" s="65">
        <v>766</v>
      </c>
    </row>
    <row r="164" spans="1:64" ht="12.75">
      <c r="A164" s="98" t="s">
        <v>159</v>
      </c>
      <c r="B164" s="98"/>
      <c r="C164" s="98" t="s">
        <v>237</v>
      </c>
      <c r="D164" s="220" t="s">
        <v>508</v>
      </c>
      <c r="E164" s="221"/>
      <c r="F164" s="98" t="s">
        <v>611</v>
      </c>
      <c r="G164" s="99">
        <v>1</v>
      </c>
      <c r="H164" s="134"/>
      <c r="I164" s="99">
        <f t="shared" si="98"/>
        <v>0</v>
      </c>
      <c r="J164" s="99">
        <f t="shared" si="99"/>
        <v>0</v>
      </c>
      <c r="K164" s="99">
        <f t="shared" si="100"/>
        <v>0</v>
      </c>
      <c r="L164" s="99">
        <v>0.0205</v>
      </c>
      <c r="M164" s="99">
        <f t="shared" si="101"/>
        <v>0.0205</v>
      </c>
      <c r="N164" s="97" t="s">
        <v>237</v>
      </c>
      <c r="O164" s="77"/>
      <c r="Z164" s="65">
        <f t="shared" si="102"/>
        <v>0</v>
      </c>
      <c r="AB164" s="65">
        <f t="shared" si="103"/>
        <v>0</v>
      </c>
      <c r="AC164" s="65">
        <f t="shared" si="104"/>
        <v>0</v>
      </c>
      <c r="AD164" s="65">
        <f t="shared" si="105"/>
        <v>0</v>
      </c>
      <c r="AE164" s="65">
        <f t="shared" si="106"/>
        <v>0</v>
      </c>
      <c r="AF164" s="65">
        <f t="shared" si="107"/>
        <v>0</v>
      </c>
      <c r="AG164" s="65">
        <f t="shared" si="108"/>
        <v>0</v>
      </c>
      <c r="AH164" s="65">
        <f t="shared" si="109"/>
        <v>0</v>
      </c>
      <c r="AI164" s="58"/>
      <c r="AJ164" s="50">
        <f t="shared" si="110"/>
        <v>0</v>
      </c>
      <c r="AK164" s="50">
        <f t="shared" si="111"/>
        <v>0</v>
      </c>
      <c r="AL164" s="50">
        <f t="shared" si="112"/>
        <v>0</v>
      </c>
      <c r="AN164" s="65">
        <v>15</v>
      </c>
      <c r="AO164" s="65">
        <f>H164*1</f>
        <v>0</v>
      </c>
      <c r="AP164" s="65">
        <f>H164*(1-1)</f>
        <v>0</v>
      </c>
      <c r="AQ164" s="67" t="s">
        <v>80</v>
      </c>
      <c r="AV164" s="65">
        <f t="shared" si="113"/>
        <v>0</v>
      </c>
      <c r="AW164" s="65">
        <f t="shared" si="114"/>
        <v>0</v>
      </c>
      <c r="AX164" s="65">
        <f t="shared" si="115"/>
        <v>0</v>
      </c>
      <c r="AY164" s="68" t="s">
        <v>653</v>
      </c>
      <c r="AZ164" s="68" t="s">
        <v>671</v>
      </c>
      <c r="BA164" s="58" t="s">
        <v>675</v>
      </c>
      <c r="BC164" s="65">
        <f t="shared" si="116"/>
        <v>0</v>
      </c>
      <c r="BD164" s="65">
        <f t="shared" si="117"/>
        <v>0</v>
      </c>
      <c r="BE164" s="65">
        <v>0</v>
      </c>
      <c r="BF164" s="65">
        <f t="shared" si="118"/>
        <v>0.0205</v>
      </c>
      <c r="BH164" s="50">
        <f t="shared" si="119"/>
        <v>0</v>
      </c>
      <c r="BI164" s="50">
        <f t="shared" si="120"/>
        <v>0</v>
      </c>
      <c r="BJ164" s="50">
        <f t="shared" si="121"/>
        <v>0</v>
      </c>
      <c r="BK164" s="50" t="s">
        <v>681</v>
      </c>
      <c r="BL164" s="65">
        <v>766</v>
      </c>
    </row>
    <row r="165" spans="1:64" ht="12.75">
      <c r="A165" s="80" t="s">
        <v>160</v>
      </c>
      <c r="B165" s="80"/>
      <c r="C165" s="80" t="s">
        <v>305</v>
      </c>
      <c r="D165" s="216" t="s">
        <v>509</v>
      </c>
      <c r="E165" s="217"/>
      <c r="F165" s="80" t="s">
        <v>611</v>
      </c>
      <c r="G165" s="85">
        <v>2</v>
      </c>
      <c r="H165" s="133"/>
      <c r="I165" s="85">
        <f t="shared" si="98"/>
        <v>0</v>
      </c>
      <c r="J165" s="85">
        <f t="shared" si="99"/>
        <v>0</v>
      </c>
      <c r="K165" s="85">
        <f t="shared" si="100"/>
        <v>0</v>
      </c>
      <c r="L165" s="85">
        <v>0</v>
      </c>
      <c r="M165" s="85">
        <f t="shared" si="101"/>
        <v>0</v>
      </c>
      <c r="N165" s="75" t="s">
        <v>631</v>
      </c>
      <c r="O165" s="77"/>
      <c r="Z165" s="65">
        <f t="shared" si="102"/>
        <v>0</v>
      </c>
      <c r="AB165" s="65">
        <f t="shared" si="103"/>
        <v>0</v>
      </c>
      <c r="AC165" s="65">
        <f t="shared" si="104"/>
        <v>0</v>
      </c>
      <c r="AD165" s="65">
        <f t="shared" si="105"/>
        <v>0</v>
      </c>
      <c r="AE165" s="65">
        <f t="shared" si="106"/>
        <v>0</v>
      </c>
      <c r="AF165" s="65">
        <f t="shared" si="107"/>
        <v>0</v>
      </c>
      <c r="AG165" s="65">
        <f t="shared" si="108"/>
        <v>0</v>
      </c>
      <c r="AH165" s="65">
        <f t="shared" si="109"/>
        <v>0</v>
      </c>
      <c r="AI165" s="58"/>
      <c r="AJ165" s="48">
        <f t="shared" si="110"/>
        <v>0</v>
      </c>
      <c r="AK165" s="48">
        <f t="shared" si="111"/>
        <v>0</v>
      </c>
      <c r="AL165" s="48">
        <f t="shared" si="112"/>
        <v>0</v>
      </c>
      <c r="AN165" s="65">
        <v>15</v>
      </c>
      <c r="AO165" s="65">
        <f>H165*0</f>
        <v>0</v>
      </c>
      <c r="AP165" s="65">
        <f>H165*(1-0)</f>
        <v>0</v>
      </c>
      <c r="AQ165" s="66" t="s">
        <v>80</v>
      </c>
      <c r="AV165" s="65">
        <f t="shared" si="113"/>
        <v>0</v>
      </c>
      <c r="AW165" s="65">
        <f t="shared" si="114"/>
        <v>0</v>
      </c>
      <c r="AX165" s="65">
        <f t="shared" si="115"/>
        <v>0</v>
      </c>
      <c r="AY165" s="68" t="s">
        <v>653</v>
      </c>
      <c r="AZ165" s="68" t="s">
        <v>671</v>
      </c>
      <c r="BA165" s="58" t="s">
        <v>675</v>
      </c>
      <c r="BC165" s="65">
        <f t="shared" si="116"/>
        <v>0</v>
      </c>
      <c r="BD165" s="65">
        <f t="shared" si="117"/>
        <v>0</v>
      </c>
      <c r="BE165" s="65">
        <v>0</v>
      </c>
      <c r="BF165" s="65">
        <f t="shared" si="118"/>
        <v>0</v>
      </c>
      <c r="BH165" s="48">
        <f t="shared" si="119"/>
        <v>0</v>
      </c>
      <c r="BI165" s="48">
        <f t="shared" si="120"/>
        <v>0</v>
      </c>
      <c r="BJ165" s="48">
        <f t="shared" si="121"/>
        <v>0</v>
      </c>
      <c r="BK165" s="48" t="s">
        <v>680</v>
      </c>
      <c r="BL165" s="65">
        <v>766</v>
      </c>
    </row>
    <row r="166" spans="1:64" ht="12.75">
      <c r="A166" s="98" t="s">
        <v>161</v>
      </c>
      <c r="B166" s="98"/>
      <c r="C166" s="98" t="s">
        <v>306</v>
      </c>
      <c r="D166" s="220" t="s">
        <v>510</v>
      </c>
      <c r="E166" s="221"/>
      <c r="F166" s="98" t="s">
        <v>611</v>
      </c>
      <c r="G166" s="99">
        <v>2</v>
      </c>
      <c r="H166" s="134"/>
      <c r="I166" s="99">
        <f t="shared" si="98"/>
        <v>0</v>
      </c>
      <c r="J166" s="99">
        <f t="shared" si="99"/>
        <v>0</v>
      </c>
      <c r="K166" s="99">
        <f t="shared" si="100"/>
        <v>0</v>
      </c>
      <c r="L166" s="99">
        <v>0.00075</v>
      </c>
      <c r="M166" s="99">
        <f t="shared" si="101"/>
        <v>0.0015</v>
      </c>
      <c r="N166" s="97" t="s">
        <v>631</v>
      </c>
      <c r="O166" s="77"/>
      <c r="Z166" s="65">
        <f t="shared" si="102"/>
        <v>0</v>
      </c>
      <c r="AB166" s="65">
        <f t="shared" si="103"/>
        <v>0</v>
      </c>
      <c r="AC166" s="65">
        <f t="shared" si="104"/>
        <v>0</v>
      </c>
      <c r="AD166" s="65">
        <f t="shared" si="105"/>
        <v>0</v>
      </c>
      <c r="AE166" s="65">
        <f t="shared" si="106"/>
        <v>0</v>
      </c>
      <c r="AF166" s="65">
        <f t="shared" si="107"/>
        <v>0</v>
      </c>
      <c r="AG166" s="65">
        <f t="shared" si="108"/>
        <v>0</v>
      </c>
      <c r="AH166" s="65">
        <f t="shared" si="109"/>
        <v>0</v>
      </c>
      <c r="AI166" s="58"/>
      <c r="AJ166" s="50">
        <f t="shared" si="110"/>
        <v>0</v>
      </c>
      <c r="AK166" s="50">
        <f t="shared" si="111"/>
        <v>0</v>
      </c>
      <c r="AL166" s="50">
        <f t="shared" si="112"/>
        <v>0</v>
      </c>
      <c r="AN166" s="65">
        <v>15</v>
      </c>
      <c r="AO166" s="65">
        <f>H166*1</f>
        <v>0</v>
      </c>
      <c r="AP166" s="65">
        <f>H166*(1-1)</f>
        <v>0</v>
      </c>
      <c r="AQ166" s="67" t="s">
        <v>80</v>
      </c>
      <c r="AV166" s="65">
        <f t="shared" si="113"/>
        <v>0</v>
      </c>
      <c r="AW166" s="65">
        <f t="shared" si="114"/>
        <v>0</v>
      </c>
      <c r="AX166" s="65">
        <f t="shared" si="115"/>
        <v>0</v>
      </c>
      <c r="AY166" s="68" t="s">
        <v>653</v>
      </c>
      <c r="AZ166" s="68" t="s">
        <v>671</v>
      </c>
      <c r="BA166" s="58" t="s">
        <v>675</v>
      </c>
      <c r="BC166" s="65">
        <f t="shared" si="116"/>
        <v>0</v>
      </c>
      <c r="BD166" s="65">
        <f t="shared" si="117"/>
        <v>0</v>
      </c>
      <c r="BE166" s="65">
        <v>0</v>
      </c>
      <c r="BF166" s="65">
        <f t="shared" si="118"/>
        <v>0.0015</v>
      </c>
      <c r="BH166" s="50">
        <f t="shared" si="119"/>
        <v>0</v>
      </c>
      <c r="BI166" s="50">
        <f t="shared" si="120"/>
        <v>0</v>
      </c>
      <c r="BJ166" s="50">
        <f t="shared" si="121"/>
        <v>0</v>
      </c>
      <c r="BK166" s="50" t="s">
        <v>681</v>
      </c>
      <c r="BL166" s="65">
        <v>766</v>
      </c>
    </row>
    <row r="167" spans="1:64" ht="12.75">
      <c r="A167" s="98" t="s">
        <v>162</v>
      </c>
      <c r="B167" s="98"/>
      <c r="C167" s="98" t="s">
        <v>307</v>
      </c>
      <c r="D167" s="220" t="s">
        <v>511</v>
      </c>
      <c r="E167" s="221"/>
      <c r="F167" s="98" t="s">
        <v>611</v>
      </c>
      <c r="G167" s="99">
        <v>2</v>
      </c>
      <c r="H167" s="134"/>
      <c r="I167" s="99">
        <f t="shared" si="98"/>
        <v>0</v>
      </c>
      <c r="J167" s="99">
        <f t="shared" si="99"/>
        <v>0</v>
      </c>
      <c r="K167" s="99">
        <f t="shared" si="100"/>
        <v>0</v>
      </c>
      <c r="L167" s="99">
        <v>0.00045</v>
      </c>
      <c r="M167" s="99">
        <f t="shared" si="101"/>
        <v>0.0009</v>
      </c>
      <c r="N167" s="97" t="s">
        <v>631</v>
      </c>
      <c r="O167" s="77"/>
      <c r="Z167" s="65">
        <f t="shared" si="102"/>
        <v>0</v>
      </c>
      <c r="AB167" s="65">
        <f t="shared" si="103"/>
        <v>0</v>
      </c>
      <c r="AC167" s="65">
        <f t="shared" si="104"/>
        <v>0</v>
      </c>
      <c r="AD167" s="65">
        <f t="shared" si="105"/>
        <v>0</v>
      </c>
      <c r="AE167" s="65">
        <f t="shared" si="106"/>
        <v>0</v>
      </c>
      <c r="AF167" s="65">
        <f t="shared" si="107"/>
        <v>0</v>
      </c>
      <c r="AG167" s="65">
        <f t="shared" si="108"/>
        <v>0</v>
      </c>
      <c r="AH167" s="65">
        <f t="shared" si="109"/>
        <v>0</v>
      </c>
      <c r="AI167" s="58"/>
      <c r="AJ167" s="50">
        <f t="shared" si="110"/>
        <v>0</v>
      </c>
      <c r="AK167" s="50">
        <f t="shared" si="111"/>
        <v>0</v>
      </c>
      <c r="AL167" s="50">
        <f t="shared" si="112"/>
        <v>0</v>
      </c>
      <c r="AN167" s="65">
        <v>15</v>
      </c>
      <c r="AO167" s="65">
        <f>H167*1</f>
        <v>0</v>
      </c>
      <c r="AP167" s="65">
        <f>H167*(1-1)</f>
        <v>0</v>
      </c>
      <c r="AQ167" s="67" t="s">
        <v>80</v>
      </c>
      <c r="AV167" s="65">
        <f t="shared" si="113"/>
        <v>0</v>
      </c>
      <c r="AW167" s="65">
        <f t="shared" si="114"/>
        <v>0</v>
      </c>
      <c r="AX167" s="65">
        <f t="shared" si="115"/>
        <v>0</v>
      </c>
      <c r="AY167" s="68" t="s">
        <v>653</v>
      </c>
      <c r="AZ167" s="68" t="s">
        <v>671</v>
      </c>
      <c r="BA167" s="58" t="s">
        <v>675</v>
      </c>
      <c r="BC167" s="65">
        <f t="shared" si="116"/>
        <v>0</v>
      </c>
      <c r="BD167" s="65">
        <f t="shared" si="117"/>
        <v>0</v>
      </c>
      <c r="BE167" s="65">
        <v>0</v>
      </c>
      <c r="BF167" s="65">
        <f t="shared" si="118"/>
        <v>0.0009</v>
      </c>
      <c r="BH167" s="50">
        <f t="shared" si="119"/>
        <v>0</v>
      </c>
      <c r="BI167" s="50">
        <f t="shared" si="120"/>
        <v>0</v>
      </c>
      <c r="BJ167" s="50">
        <f t="shared" si="121"/>
        <v>0</v>
      </c>
      <c r="BK167" s="50" t="s">
        <v>681</v>
      </c>
      <c r="BL167" s="65">
        <v>766</v>
      </c>
    </row>
    <row r="168" spans="1:64" ht="12.75">
      <c r="A168" s="80" t="s">
        <v>163</v>
      </c>
      <c r="B168" s="80"/>
      <c r="C168" s="80" t="s">
        <v>308</v>
      </c>
      <c r="D168" s="216" t="s">
        <v>512</v>
      </c>
      <c r="E168" s="217"/>
      <c r="F168" s="80" t="s">
        <v>611</v>
      </c>
      <c r="G168" s="85">
        <v>3</v>
      </c>
      <c r="H168" s="133"/>
      <c r="I168" s="85">
        <f t="shared" si="98"/>
        <v>0</v>
      </c>
      <c r="J168" s="85">
        <f t="shared" si="99"/>
        <v>0</v>
      </c>
      <c r="K168" s="85">
        <f t="shared" si="100"/>
        <v>0</v>
      </c>
      <c r="L168" s="85">
        <v>0</v>
      </c>
      <c r="M168" s="85">
        <f t="shared" si="101"/>
        <v>0</v>
      </c>
      <c r="N168" s="75" t="s">
        <v>631</v>
      </c>
      <c r="O168" s="77"/>
      <c r="Z168" s="65">
        <f t="shared" si="102"/>
        <v>0</v>
      </c>
      <c r="AB168" s="65">
        <f t="shared" si="103"/>
        <v>0</v>
      </c>
      <c r="AC168" s="65">
        <f t="shared" si="104"/>
        <v>0</v>
      </c>
      <c r="AD168" s="65">
        <f t="shared" si="105"/>
        <v>0</v>
      </c>
      <c r="AE168" s="65">
        <f t="shared" si="106"/>
        <v>0</v>
      </c>
      <c r="AF168" s="65">
        <f t="shared" si="107"/>
        <v>0</v>
      </c>
      <c r="AG168" s="65">
        <f t="shared" si="108"/>
        <v>0</v>
      </c>
      <c r="AH168" s="65">
        <f t="shared" si="109"/>
        <v>0</v>
      </c>
      <c r="AI168" s="58"/>
      <c r="AJ168" s="48">
        <f t="shared" si="110"/>
        <v>0</v>
      </c>
      <c r="AK168" s="48">
        <f t="shared" si="111"/>
        <v>0</v>
      </c>
      <c r="AL168" s="48">
        <f t="shared" si="112"/>
        <v>0</v>
      </c>
      <c r="AN168" s="65">
        <v>15</v>
      </c>
      <c r="AO168" s="65">
        <f>H168*0</f>
        <v>0</v>
      </c>
      <c r="AP168" s="65">
        <f>H168*(1-0)</f>
        <v>0</v>
      </c>
      <c r="AQ168" s="66" t="s">
        <v>80</v>
      </c>
      <c r="AV168" s="65">
        <f t="shared" si="113"/>
        <v>0</v>
      </c>
      <c r="AW168" s="65">
        <f t="shared" si="114"/>
        <v>0</v>
      </c>
      <c r="AX168" s="65">
        <f t="shared" si="115"/>
        <v>0</v>
      </c>
      <c r="AY168" s="68" t="s">
        <v>653</v>
      </c>
      <c r="AZ168" s="68" t="s">
        <v>671</v>
      </c>
      <c r="BA168" s="58" t="s">
        <v>675</v>
      </c>
      <c r="BC168" s="65">
        <f t="shared" si="116"/>
        <v>0</v>
      </c>
      <c r="BD168" s="65">
        <f t="shared" si="117"/>
        <v>0</v>
      </c>
      <c r="BE168" s="65">
        <v>0</v>
      </c>
      <c r="BF168" s="65">
        <f t="shared" si="118"/>
        <v>0</v>
      </c>
      <c r="BH168" s="48">
        <f t="shared" si="119"/>
        <v>0</v>
      </c>
      <c r="BI168" s="48">
        <f t="shared" si="120"/>
        <v>0</v>
      </c>
      <c r="BJ168" s="48">
        <f t="shared" si="121"/>
        <v>0</v>
      </c>
      <c r="BK168" s="48" t="s">
        <v>680</v>
      </c>
      <c r="BL168" s="65">
        <v>766</v>
      </c>
    </row>
    <row r="169" spans="1:64" ht="12.75">
      <c r="A169" s="80" t="s">
        <v>164</v>
      </c>
      <c r="B169" s="80"/>
      <c r="C169" s="80" t="s">
        <v>309</v>
      </c>
      <c r="D169" s="216" t="s">
        <v>513</v>
      </c>
      <c r="E169" s="217"/>
      <c r="F169" s="80" t="s">
        <v>611</v>
      </c>
      <c r="G169" s="85">
        <v>1</v>
      </c>
      <c r="H169" s="133"/>
      <c r="I169" s="85">
        <f t="shared" si="98"/>
        <v>0</v>
      </c>
      <c r="J169" s="85">
        <f t="shared" si="99"/>
        <v>0</v>
      </c>
      <c r="K169" s="85">
        <f t="shared" si="100"/>
        <v>0</v>
      </c>
      <c r="L169" s="85">
        <v>0</v>
      </c>
      <c r="M169" s="85">
        <f t="shared" si="101"/>
        <v>0</v>
      </c>
      <c r="N169" s="75" t="s">
        <v>631</v>
      </c>
      <c r="O169" s="77"/>
      <c r="Z169" s="65">
        <f t="shared" si="102"/>
        <v>0</v>
      </c>
      <c r="AB169" s="65">
        <f t="shared" si="103"/>
        <v>0</v>
      </c>
      <c r="AC169" s="65">
        <f t="shared" si="104"/>
        <v>0</v>
      </c>
      <c r="AD169" s="65">
        <f t="shared" si="105"/>
        <v>0</v>
      </c>
      <c r="AE169" s="65">
        <f t="shared" si="106"/>
        <v>0</v>
      </c>
      <c r="AF169" s="65">
        <f t="shared" si="107"/>
        <v>0</v>
      </c>
      <c r="AG169" s="65">
        <f t="shared" si="108"/>
        <v>0</v>
      </c>
      <c r="AH169" s="65">
        <f t="shared" si="109"/>
        <v>0</v>
      </c>
      <c r="AI169" s="58"/>
      <c r="AJ169" s="48">
        <f t="shared" si="110"/>
        <v>0</v>
      </c>
      <c r="AK169" s="48">
        <f t="shared" si="111"/>
        <v>0</v>
      </c>
      <c r="AL169" s="48">
        <f t="shared" si="112"/>
        <v>0</v>
      </c>
      <c r="AN169" s="65">
        <v>15</v>
      </c>
      <c r="AO169" s="65">
        <f>H169*0</f>
        <v>0</v>
      </c>
      <c r="AP169" s="65">
        <f>H169*(1-0)</f>
        <v>0</v>
      </c>
      <c r="AQ169" s="66" t="s">
        <v>80</v>
      </c>
      <c r="AV169" s="65">
        <f t="shared" si="113"/>
        <v>0</v>
      </c>
      <c r="AW169" s="65">
        <f t="shared" si="114"/>
        <v>0</v>
      </c>
      <c r="AX169" s="65">
        <f t="shared" si="115"/>
        <v>0</v>
      </c>
      <c r="AY169" s="68" t="s">
        <v>653</v>
      </c>
      <c r="AZ169" s="68" t="s">
        <v>671</v>
      </c>
      <c r="BA169" s="58" t="s">
        <v>675</v>
      </c>
      <c r="BC169" s="65">
        <f t="shared" si="116"/>
        <v>0</v>
      </c>
      <c r="BD169" s="65">
        <f t="shared" si="117"/>
        <v>0</v>
      </c>
      <c r="BE169" s="65">
        <v>0</v>
      </c>
      <c r="BF169" s="65">
        <f t="shared" si="118"/>
        <v>0</v>
      </c>
      <c r="BH169" s="48">
        <f t="shared" si="119"/>
        <v>0</v>
      </c>
      <c r="BI169" s="48">
        <f t="shared" si="120"/>
        <v>0</v>
      </c>
      <c r="BJ169" s="48">
        <f t="shared" si="121"/>
        <v>0</v>
      </c>
      <c r="BK169" s="48" t="s">
        <v>680</v>
      </c>
      <c r="BL169" s="65">
        <v>766</v>
      </c>
    </row>
    <row r="170" spans="1:64" ht="12.75">
      <c r="A170" s="98" t="s">
        <v>165</v>
      </c>
      <c r="B170" s="98"/>
      <c r="C170" s="98" t="s">
        <v>237</v>
      </c>
      <c r="D170" s="220" t="s">
        <v>514</v>
      </c>
      <c r="E170" s="221"/>
      <c r="F170" s="98" t="s">
        <v>615</v>
      </c>
      <c r="G170" s="99">
        <v>1</v>
      </c>
      <c r="H170" s="134"/>
      <c r="I170" s="99">
        <f t="shared" si="98"/>
        <v>0</v>
      </c>
      <c r="J170" s="99">
        <f t="shared" si="99"/>
        <v>0</v>
      </c>
      <c r="K170" s="99">
        <f t="shared" si="100"/>
        <v>0</v>
      </c>
      <c r="L170" s="99">
        <v>0</v>
      </c>
      <c r="M170" s="99">
        <f t="shared" si="101"/>
        <v>0</v>
      </c>
      <c r="N170" s="97" t="s">
        <v>237</v>
      </c>
      <c r="O170" s="77"/>
      <c r="Z170" s="65">
        <f t="shared" si="102"/>
        <v>0</v>
      </c>
      <c r="AB170" s="65">
        <f t="shared" si="103"/>
        <v>0</v>
      </c>
      <c r="AC170" s="65">
        <f t="shared" si="104"/>
        <v>0</v>
      </c>
      <c r="AD170" s="65">
        <f t="shared" si="105"/>
        <v>0</v>
      </c>
      <c r="AE170" s="65">
        <f t="shared" si="106"/>
        <v>0</v>
      </c>
      <c r="AF170" s="65">
        <f t="shared" si="107"/>
        <v>0</v>
      </c>
      <c r="AG170" s="65">
        <f t="shared" si="108"/>
        <v>0</v>
      </c>
      <c r="AH170" s="65">
        <f t="shared" si="109"/>
        <v>0</v>
      </c>
      <c r="AI170" s="58"/>
      <c r="AJ170" s="50">
        <f t="shared" si="110"/>
        <v>0</v>
      </c>
      <c r="AK170" s="50">
        <f t="shared" si="111"/>
        <v>0</v>
      </c>
      <c r="AL170" s="50">
        <f t="shared" si="112"/>
        <v>0</v>
      </c>
      <c r="AN170" s="65">
        <v>15</v>
      </c>
      <c r="AO170" s="65">
        <f>H170*1</f>
        <v>0</v>
      </c>
      <c r="AP170" s="65">
        <f>H170*(1-1)</f>
        <v>0</v>
      </c>
      <c r="AQ170" s="67" t="s">
        <v>80</v>
      </c>
      <c r="AV170" s="65">
        <f t="shared" si="113"/>
        <v>0</v>
      </c>
      <c r="AW170" s="65">
        <f t="shared" si="114"/>
        <v>0</v>
      </c>
      <c r="AX170" s="65">
        <f t="shared" si="115"/>
        <v>0</v>
      </c>
      <c r="AY170" s="68" t="s">
        <v>653</v>
      </c>
      <c r="AZ170" s="68" t="s">
        <v>671</v>
      </c>
      <c r="BA170" s="58" t="s">
        <v>675</v>
      </c>
      <c r="BC170" s="65">
        <f t="shared" si="116"/>
        <v>0</v>
      </c>
      <c r="BD170" s="65">
        <f t="shared" si="117"/>
        <v>0</v>
      </c>
      <c r="BE170" s="65">
        <v>0</v>
      </c>
      <c r="BF170" s="65">
        <f t="shared" si="118"/>
        <v>0</v>
      </c>
      <c r="BH170" s="50">
        <f t="shared" si="119"/>
        <v>0</v>
      </c>
      <c r="BI170" s="50">
        <f t="shared" si="120"/>
        <v>0</v>
      </c>
      <c r="BJ170" s="50">
        <f t="shared" si="121"/>
        <v>0</v>
      </c>
      <c r="BK170" s="50" t="s">
        <v>681</v>
      </c>
      <c r="BL170" s="65">
        <v>766</v>
      </c>
    </row>
    <row r="171" spans="1:64" ht="12.75">
      <c r="A171" s="80" t="s">
        <v>166</v>
      </c>
      <c r="B171" s="80"/>
      <c r="C171" s="80" t="s">
        <v>310</v>
      </c>
      <c r="D171" s="216" t="s">
        <v>515</v>
      </c>
      <c r="E171" s="217"/>
      <c r="F171" s="80" t="s">
        <v>612</v>
      </c>
      <c r="G171" s="85">
        <v>0.6</v>
      </c>
      <c r="H171" s="133"/>
      <c r="I171" s="85">
        <f t="shared" si="98"/>
        <v>0</v>
      </c>
      <c r="J171" s="85">
        <f t="shared" si="99"/>
        <v>0</v>
      </c>
      <c r="K171" s="85">
        <f t="shared" si="100"/>
        <v>0</v>
      </c>
      <c r="L171" s="85">
        <v>0</v>
      </c>
      <c r="M171" s="85">
        <f t="shared" si="101"/>
        <v>0</v>
      </c>
      <c r="N171" s="75" t="s">
        <v>631</v>
      </c>
      <c r="O171" s="77"/>
      <c r="Z171" s="65">
        <f t="shared" si="102"/>
        <v>0</v>
      </c>
      <c r="AB171" s="65">
        <f t="shared" si="103"/>
        <v>0</v>
      </c>
      <c r="AC171" s="65">
        <f t="shared" si="104"/>
        <v>0</v>
      </c>
      <c r="AD171" s="65">
        <f t="shared" si="105"/>
        <v>0</v>
      </c>
      <c r="AE171" s="65">
        <f t="shared" si="106"/>
        <v>0</v>
      </c>
      <c r="AF171" s="65">
        <f t="shared" si="107"/>
        <v>0</v>
      </c>
      <c r="AG171" s="65">
        <f t="shared" si="108"/>
        <v>0</v>
      </c>
      <c r="AH171" s="65">
        <f t="shared" si="109"/>
        <v>0</v>
      </c>
      <c r="AI171" s="58"/>
      <c r="AJ171" s="48">
        <f t="shared" si="110"/>
        <v>0</v>
      </c>
      <c r="AK171" s="48">
        <f t="shared" si="111"/>
        <v>0</v>
      </c>
      <c r="AL171" s="48">
        <f t="shared" si="112"/>
        <v>0</v>
      </c>
      <c r="AN171" s="65">
        <v>15</v>
      </c>
      <c r="AO171" s="65">
        <f>H171*0</f>
        <v>0</v>
      </c>
      <c r="AP171" s="65">
        <f>H171*(1-0)</f>
        <v>0</v>
      </c>
      <c r="AQ171" s="66" t="s">
        <v>78</v>
      </c>
      <c r="AV171" s="65">
        <f t="shared" si="113"/>
        <v>0</v>
      </c>
      <c r="AW171" s="65">
        <f t="shared" si="114"/>
        <v>0</v>
      </c>
      <c r="AX171" s="65">
        <f t="shared" si="115"/>
        <v>0</v>
      </c>
      <c r="AY171" s="68" t="s">
        <v>653</v>
      </c>
      <c r="AZ171" s="68" t="s">
        <v>671</v>
      </c>
      <c r="BA171" s="58" t="s">
        <v>675</v>
      </c>
      <c r="BC171" s="65">
        <f t="shared" si="116"/>
        <v>0</v>
      </c>
      <c r="BD171" s="65">
        <f t="shared" si="117"/>
        <v>0</v>
      </c>
      <c r="BE171" s="65">
        <v>0</v>
      </c>
      <c r="BF171" s="65">
        <f t="shared" si="118"/>
        <v>0</v>
      </c>
      <c r="BH171" s="48">
        <f t="shared" si="119"/>
        <v>0</v>
      </c>
      <c r="BI171" s="48">
        <f t="shared" si="120"/>
        <v>0</v>
      </c>
      <c r="BJ171" s="48">
        <f t="shared" si="121"/>
        <v>0</v>
      </c>
      <c r="BK171" s="48" t="s">
        <v>680</v>
      </c>
      <c r="BL171" s="65">
        <v>766</v>
      </c>
    </row>
    <row r="172" spans="1:47" ht="12.75">
      <c r="A172" s="93"/>
      <c r="B172" s="94"/>
      <c r="C172" s="94" t="s">
        <v>311</v>
      </c>
      <c r="D172" s="218" t="s">
        <v>516</v>
      </c>
      <c r="E172" s="219"/>
      <c r="F172" s="93" t="s">
        <v>73</v>
      </c>
      <c r="G172" s="93" t="s">
        <v>73</v>
      </c>
      <c r="H172" s="93" t="s">
        <v>73</v>
      </c>
      <c r="I172" s="95">
        <f>SUM(I173:I182)</f>
        <v>0</v>
      </c>
      <c r="J172" s="95">
        <f>SUM(J173:J182)</f>
        <v>0</v>
      </c>
      <c r="K172" s="95">
        <f>SUM(K173:K182)</f>
        <v>0</v>
      </c>
      <c r="L172" s="96"/>
      <c r="M172" s="95">
        <f>SUM(M173:M182)</f>
        <v>0.140537964</v>
      </c>
      <c r="N172" s="92"/>
      <c r="O172" s="77"/>
      <c r="AI172" s="58"/>
      <c r="AS172" s="71">
        <f>SUM(AJ173:AJ182)</f>
        <v>0</v>
      </c>
      <c r="AT172" s="71">
        <f>SUM(AK173:AK182)</f>
        <v>0</v>
      </c>
      <c r="AU172" s="71">
        <f>SUM(AL173:AL182)</f>
        <v>0</v>
      </c>
    </row>
    <row r="173" spans="1:64" ht="12.75">
      <c r="A173" s="80" t="s">
        <v>167</v>
      </c>
      <c r="B173" s="80"/>
      <c r="C173" s="80" t="s">
        <v>312</v>
      </c>
      <c r="D173" s="216" t="s">
        <v>517</v>
      </c>
      <c r="E173" s="217"/>
      <c r="F173" s="80" t="s">
        <v>609</v>
      </c>
      <c r="G173" s="85">
        <v>5.37225</v>
      </c>
      <c r="H173" s="133"/>
      <c r="I173" s="85">
        <f>G173*AO173</f>
        <v>0</v>
      </c>
      <c r="J173" s="85">
        <f>G173*AP173</f>
        <v>0</v>
      </c>
      <c r="K173" s="85">
        <f>G173*H173</f>
        <v>0</v>
      </c>
      <c r="L173" s="85">
        <v>0.00483</v>
      </c>
      <c r="M173" s="85">
        <f>G173*L173</f>
        <v>0.025947967500000002</v>
      </c>
      <c r="N173" s="75" t="s">
        <v>631</v>
      </c>
      <c r="O173" s="77"/>
      <c r="Z173" s="65">
        <f>IF(AQ173="5",BJ173,0)</f>
        <v>0</v>
      </c>
      <c r="AB173" s="65">
        <f>IF(AQ173="1",BH173,0)</f>
        <v>0</v>
      </c>
      <c r="AC173" s="65">
        <f>IF(AQ173="1",BI173,0)</f>
        <v>0</v>
      </c>
      <c r="AD173" s="65">
        <f>IF(AQ173="7",BH173,0)</f>
        <v>0</v>
      </c>
      <c r="AE173" s="65">
        <f>IF(AQ173="7",BI173,0)</f>
        <v>0</v>
      </c>
      <c r="AF173" s="65">
        <f>IF(AQ173="2",BH173,0)</f>
        <v>0</v>
      </c>
      <c r="AG173" s="65">
        <f>IF(AQ173="2",BI173,0)</f>
        <v>0</v>
      </c>
      <c r="AH173" s="65">
        <f>IF(AQ173="0",BJ173,0)</f>
        <v>0</v>
      </c>
      <c r="AI173" s="58"/>
      <c r="AJ173" s="48">
        <f>IF(AN173=0,K173,0)</f>
        <v>0</v>
      </c>
      <c r="AK173" s="48">
        <f>IF(AN173=15,K173,0)</f>
        <v>0</v>
      </c>
      <c r="AL173" s="48">
        <f>IF(AN173=21,K173,0)</f>
        <v>0</v>
      </c>
      <c r="AN173" s="65">
        <v>15</v>
      </c>
      <c r="AO173" s="65">
        <f>H173*0.159916415732851</f>
        <v>0</v>
      </c>
      <c r="AP173" s="65">
        <f>H173*(1-0.159916415732851)</f>
        <v>0</v>
      </c>
      <c r="AQ173" s="66" t="s">
        <v>80</v>
      </c>
      <c r="AV173" s="65">
        <f>AW173+AX173</f>
        <v>0</v>
      </c>
      <c r="AW173" s="65">
        <f>G173*AO173</f>
        <v>0</v>
      </c>
      <c r="AX173" s="65">
        <f>G173*AP173</f>
        <v>0</v>
      </c>
      <c r="AY173" s="68" t="s">
        <v>654</v>
      </c>
      <c r="AZ173" s="68" t="s">
        <v>672</v>
      </c>
      <c r="BA173" s="58" t="s">
        <v>675</v>
      </c>
      <c r="BC173" s="65">
        <f>AW173+AX173</f>
        <v>0</v>
      </c>
      <c r="BD173" s="65">
        <f>H173/(100-BE173)*100</f>
        <v>0</v>
      </c>
      <c r="BE173" s="65">
        <v>0</v>
      </c>
      <c r="BF173" s="65">
        <f>M173</f>
        <v>0.025947967500000002</v>
      </c>
      <c r="BH173" s="48">
        <f>G173*AO173</f>
        <v>0</v>
      </c>
      <c r="BI173" s="48">
        <f>G173*AP173</f>
        <v>0</v>
      </c>
      <c r="BJ173" s="48">
        <f>G173*H173</f>
        <v>0</v>
      </c>
      <c r="BK173" s="48" t="s">
        <v>680</v>
      </c>
      <c r="BL173" s="65">
        <v>771</v>
      </c>
    </row>
    <row r="174" spans="1:15" ht="12.75">
      <c r="A174" s="87"/>
      <c r="B174" s="88"/>
      <c r="C174" s="88"/>
      <c r="D174" s="89" t="s">
        <v>518</v>
      </c>
      <c r="E174" s="90"/>
      <c r="F174" s="88"/>
      <c r="G174" s="91">
        <v>0</v>
      </c>
      <c r="H174" s="88"/>
      <c r="I174" s="88"/>
      <c r="J174" s="88"/>
      <c r="K174" s="88"/>
      <c r="L174" s="88"/>
      <c r="M174" s="88"/>
      <c r="N174" s="78"/>
      <c r="O174" s="77"/>
    </row>
    <row r="175" spans="1:15" ht="12.75">
      <c r="A175" s="87"/>
      <c r="B175" s="88"/>
      <c r="C175" s="88"/>
      <c r="D175" s="89" t="s">
        <v>395</v>
      </c>
      <c r="E175" s="90"/>
      <c r="F175" s="88"/>
      <c r="G175" s="91">
        <v>5.37225</v>
      </c>
      <c r="H175" s="88"/>
      <c r="I175" s="88"/>
      <c r="J175" s="88"/>
      <c r="K175" s="88"/>
      <c r="L175" s="88"/>
      <c r="M175" s="88"/>
      <c r="N175" s="78"/>
      <c r="O175" s="77"/>
    </row>
    <row r="176" spans="1:64" ht="12.75">
      <c r="A176" s="80" t="s">
        <v>168</v>
      </c>
      <c r="B176" s="80"/>
      <c r="C176" s="80" t="s">
        <v>313</v>
      </c>
      <c r="D176" s="216" t="s">
        <v>519</v>
      </c>
      <c r="E176" s="217"/>
      <c r="F176" s="80" t="s">
        <v>609</v>
      </c>
      <c r="G176" s="85">
        <v>5.37225</v>
      </c>
      <c r="H176" s="133"/>
      <c r="I176" s="85">
        <f>G176*AO176</f>
        <v>0</v>
      </c>
      <c r="J176" s="85">
        <f>G176*AP176</f>
        <v>0</v>
      </c>
      <c r="K176" s="85">
        <f>G176*H176</f>
        <v>0</v>
      </c>
      <c r="L176" s="85">
        <v>0</v>
      </c>
      <c r="M176" s="85">
        <f>G176*L176</f>
        <v>0</v>
      </c>
      <c r="N176" s="75" t="s">
        <v>631</v>
      </c>
      <c r="O176" s="77"/>
      <c r="Z176" s="65">
        <f>IF(AQ176="5",BJ176,0)</f>
        <v>0</v>
      </c>
      <c r="AB176" s="65">
        <f>IF(AQ176="1",BH176,0)</f>
        <v>0</v>
      </c>
      <c r="AC176" s="65">
        <f>IF(AQ176="1",BI176,0)</f>
        <v>0</v>
      </c>
      <c r="AD176" s="65">
        <f>IF(AQ176="7",BH176,0)</f>
        <v>0</v>
      </c>
      <c r="AE176" s="65">
        <f>IF(AQ176="7",BI176,0)</f>
        <v>0</v>
      </c>
      <c r="AF176" s="65">
        <f>IF(AQ176="2",BH176,0)</f>
        <v>0</v>
      </c>
      <c r="AG176" s="65">
        <f>IF(AQ176="2",BI176,0)</f>
        <v>0</v>
      </c>
      <c r="AH176" s="65">
        <f>IF(AQ176="0",BJ176,0)</f>
        <v>0</v>
      </c>
      <c r="AI176" s="58"/>
      <c r="AJ176" s="48">
        <f>IF(AN176=0,K176,0)</f>
        <v>0</v>
      </c>
      <c r="AK176" s="48">
        <f>IF(AN176=15,K176,0)</f>
        <v>0</v>
      </c>
      <c r="AL176" s="48">
        <f>IF(AN176=21,K176,0)</f>
        <v>0</v>
      </c>
      <c r="AN176" s="65">
        <v>15</v>
      </c>
      <c r="AO176" s="65">
        <f>H176*0</f>
        <v>0</v>
      </c>
      <c r="AP176" s="65">
        <f>H176*(1-0)</f>
        <v>0</v>
      </c>
      <c r="AQ176" s="66" t="s">
        <v>80</v>
      </c>
      <c r="AV176" s="65">
        <f>AW176+AX176</f>
        <v>0</v>
      </c>
      <c r="AW176" s="65">
        <f>G176*AO176</f>
        <v>0</v>
      </c>
      <c r="AX176" s="65">
        <f>G176*AP176</f>
        <v>0</v>
      </c>
      <c r="AY176" s="68" t="s">
        <v>654</v>
      </c>
      <c r="AZ176" s="68" t="s">
        <v>672</v>
      </c>
      <c r="BA176" s="58" t="s">
        <v>675</v>
      </c>
      <c r="BC176" s="65">
        <f>AW176+AX176</f>
        <v>0</v>
      </c>
      <c r="BD176" s="65">
        <f>H176/(100-BE176)*100</f>
        <v>0</v>
      </c>
      <c r="BE176" s="65">
        <v>0</v>
      </c>
      <c r="BF176" s="65">
        <f>M176</f>
        <v>0</v>
      </c>
      <c r="BH176" s="48">
        <f>G176*AO176</f>
        <v>0</v>
      </c>
      <c r="BI176" s="48">
        <f>G176*AP176</f>
        <v>0</v>
      </c>
      <c r="BJ176" s="48">
        <f>G176*H176</f>
        <v>0</v>
      </c>
      <c r="BK176" s="48" t="s">
        <v>680</v>
      </c>
      <c r="BL176" s="65">
        <v>771</v>
      </c>
    </row>
    <row r="177" spans="1:64" ht="12.75">
      <c r="A177" s="80" t="s">
        <v>169</v>
      </c>
      <c r="B177" s="80"/>
      <c r="C177" s="80" t="s">
        <v>314</v>
      </c>
      <c r="D177" s="216" t="s">
        <v>520</v>
      </c>
      <c r="E177" s="217"/>
      <c r="F177" s="80" t="s">
        <v>609</v>
      </c>
      <c r="G177" s="85">
        <v>5.37225</v>
      </c>
      <c r="H177" s="133"/>
      <c r="I177" s="85">
        <f>G177*AO177</f>
        <v>0</v>
      </c>
      <c r="J177" s="85">
        <f>G177*AP177</f>
        <v>0</v>
      </c>
      <c r="K177" s="85">
        <f>G177*H177</f>
        <v>0</v>
      </c>
      <c r="L177" s="85">
        <v>0</v>
      </c>
      <c r="M177" s="85">
        <f>G177*L177</f>
        <v>0</v>
      </c>
      <c r="N177" s="75" t="s">
        <v>631</v>
      </c>
      <c r="O177" s="77"/>
      <c r="Z177" s="65">
        <f>IF(AQ177="5",BJ177,0)</f>
        <v>0</v>
      </c>
      <c r="AB177" s="65">
        <f>IF(AQ177="1",BH177,0)</f>
        <v>0</v>
      </c>
      <c r="AC177" s="65">
        <f>IF(AQ177="1",BI177,0)</f>
        <v>0</v>
      </c>
      <c r="AD177" s="65">
        <f>IF(AQ177="7",BH177,0)</f>
        <v>0</v>
      </c>
      <c r="AE177" s="65">
        <f>IF(AQ177="7",BI177,0)</f>
        <v>0</v>
      </c>
      <c r="AF177" s="65">
        <f>IF(AQ177="2",BH177,0)</f>
        <v>0</v>
      </c>
      <c r="AG177" s="65">
        <f>IF(AQ177="2",BI177,0)</f>
        <v>0</v>
      </c>
      <c r="AH177" s="65">
        <f>IF(AQ177="0",BJ177,0)</f>
        <v>0</v>
      </c>
      <c r="AI177" s="58"/>
      <c r="AJ177" s="48">
        <f>IF(AN177=0,K177,0)</f>
        <v>0</v>
      </c>
      <c r="AK177" s="48">
        <f>IF(AN177=15,K177,0)</f>
        <v>0</v>
      </c>
      <c r="AL177" s="48">
        <f>IF(AN177=21,K177,0)</f>
        <v>0</v>
      </c>
      <c r="AN177" s="65">
        <v>15</v>
      </c>
      <c r="AO177" s="65">
        <f>H177*0</f>
        <v>0</v>
      </c>
      <c r="AP177" s="65">
        <f>H177*(1-0)</f>
        <v>0</v>
      </c>
      <c r="AQ177" s="66" t="s">
        <v>80</v>
      </c>
      <c r="AV177" s="65">
        <f>AW177+AX177</f>
        <v>0</v>
      </c>
      <c r="AW177" s="65">
        <f>G177*AO177</f>
        <v>0</v>
      </c>
      <c r="AX177" s="65">
        <f>G177*AP177</f>
        <v>0</v>
      </c>
      <c r="AY177" s="68" t="s">
        <v>654</v>
      </c>
      <c r="AZ177" s="68" t="s">
        <v>672</v>
      </c>
      <c r="BA177" s="58" t="s">
        <v>675</v>
      </c>
      <c r="BC177" s="65">
        <f>AW177+AX177</f>
        <v>0</v>
      </c>
      <c r="BD177" s="65">
        <f>H177/(100-BE177)*100</f>
        <v>0</v>
      </c>
      <c r="BE177" s="65">
        <v>0</v>
      </c>
      <c r="BF177" s="65">
        <f>M177</f>
        <v>0</v>
      </c>
      <c r="BH177" s="48">
        <f>G177*AO177</f>
        <v>0</v>
      </c>
      <c r="BI177" s="48">
        <f>G177*AP177</f>
        <v>0</v>
      </c>
      <c r="BJ177" s="48">
        <f>G177*H177</f>
        <v>0</v>
      </c>
      <c r="BK177" s="48" t="s">
        <v>680</v>
      </c>
      <c r="BL177" s="65">
        <v>771</v>
      </c>
    </row>
    <row r="178" spans="1:64" ht="12.75">
      <c r="A178" s="80" t="s">
        <v>170</v>
      </c>
      <c r="B178" s="80"/>
      <c r="C178" s="80" t="s">
        <v>315</v>
      </c>
      <c r="D178" s="216" t="s">
        <v>521</v>
      </c>
      <c r="E178" s="217"/>
      <c r="F178" s="80" t="s">
        <v>609</v>
      </c>
      <c r="G178" s="85">
        <v>5.37225</v>
      </c>
      <c r="H178" s="133"/>
      <c r="I178" s="85">
        <f>G178*AO178</f>
        <v>0</v>
      </c>
      <c r="J178" s="85">
        <f>G178*AP178</f>
        <v>0</v>
      </c>
      <c r="K178" s="85">
        <f>G178*H178</f>
        <v>0</v>
      </c>
      <c r="L178" s="85">
        <v>0</v>
      </c>
      <c r="M178" s="85">
        <f>G178*L178</f>
        <v>0</v>
      </c>
      <c r="N178" s="75" t="s">
        <v>631</v>
      </c>
      <c r="O178" s="77"/>
      <c r="Z178" s="65">
        <f>IF(AQ178="5",BJ178,0)</f>
        <v>0</v>
      </c>
      <c r="AB178" s="65">
        <f>IF(AQ178="1",BH178,0)</f>
        <v>0</v>
      </c>
      <c r="AC178" s="65">
        <f>IF(AQ178="1",BI178,0)</f>
        <v>0</v>
      </c>
      <c r="AD178" s="65">
        <f>IF(AQ178="7",BH178,0)</f>
        <v>0</v>
      </c>
      <c r="AE178" s="65">
        <f>IF(AQ178="7",BI178,0)</f>
        <v>0</v>
      </c>
      <c r="AF178" s="65">
        <f>IF(AQ178="2",BH178,0)</f>
        <v>0</v>
      </c>
      <c r="AG178" s="65">
        <f>IF(AQ178="2",BI178,0)</f>
        <v>0</v>
      </c>
      <c r="AH178" s="65">
        <f>IF(AQ178="0",BJ178,0)</f>
        <v>0</v>
      </c>
      <c r="AI178" s="58"/>
      <c r="AJ178" s="48">
        <f>IF(AN178=0,K178,0)</f>
        <v>0</v>
      </c>
      <c r="AK178" s="48">
        <f>IF(AN178=15,K178,0)</f>
        <v>0</v>
      </c>
      <c r="AL178" s="48">
        <f>IF(AN178=21,K178,0)</f>
        <v>0</v>
      </c>
      <c r="AN178" s="65">
        <v>15</v>
      </c>
      <c r="AO178" s="65">
        <f>H178*0</f>
        <v>0</v>
      </c>
      <c r="AP178" s="65">
        <f>H178*(1-0)</f>
        <v>0</v>
      </c>
      <c r="AQ178" s="66" t="s">
        <v>80</v>
      </c>
      <c r="AV178" s="65">
        <f>AW178+AX178</f>
        <v>0</v>
      </c>
      <c r="AW178" s="65">
        <f>G178*AO178</f>
        <v>0</v>
      </c>
      <c r="AX178" s="65">
        <f>G178*AP178</f>
        <v>0</v>
      </c>
      <c r="AY178" s="68" t="s">
        <v>654</v>
      </c>
      <c r="AZ178" s="68" t="s">
        <v>672</v>
      </c>
      <c r="BA178" s="58" t="s">
        <v>675</v>
      </c>
      <c r="BC178" s="65">
        <f>AW178+AX178</f>
        <v>0</v>
      </c>
      <c r="BD178" s="65">
        <f>H178/(100-BE178)*100</f>
        <v>0</v>
      </c>
      <c r="BE178" s="65">
        <v>0</v>
      </c>
      <c r="BF178" s="65">
        <f>M178</f>
        <v>0</v>
      </c>
      <c r="BH178" s="48">
        <f>G178*AO178</f>
        <v>0</v>
      </c>
      <c r="BI178" s="48">
        <f>G178*AP178</f>
        <v>0</v>
      </c>
      <c r="BJ178" s="48">
        <f>G178*H178</f>
        <v>0</v>
      </c>
      <c r="BK178" s="48" t="s">
        <v>680</v>
      </c>
      <c r="BL178" s="65">
        <v>771</v>
      </c>
    </row>
    <row r="179" spans="1:64" ht="12.75">
      <c r="A179" s="80" t="s">
        <v>171</v>
      </c>
      <c r="B179" s="80"/>
      <c r="C179" s="80" t="s">
        <v>316</v>
      </c>
      <c r="D179" s="216" t="s">
        <v>522</v>
      </c>
      <c r="E179" s="217"/>
      <c r="F179" s="80" t="s">
        <v>609</v>
      </c>
      <c r="G179" s="85">
        <v>5.37225</v>
      </c>
      <c r="H179" s="133"/>
      <c r="I179" s="85">
        <f>G179*AO179</f>
        <v>0</v>
      </c>
      <c r="J179" s="85">
        <f>G179*AP179</f>
        <v>0</v>
      </c>
      <c r="K179" s="85">
        <f>G179*H179</f>
        <v>0</v>
      </c>
      <c r="L179" s="85">
        <v>0.00021</v>
      </c>
      <c r="M179" s="85">
        <f>G179*L179</f>
        <v>0.0011281725000000002</v>
      </c>
      <c r="N179" s="75" t="s">
        <v>631</v>
      </c>
      <c r="O179" s="77"/>
      <c r="Z179" s="65">
        <f>IF(AQ179="5",BJ179,0)</f>
        <v>0</v>
      </c>
      <c r="AB179" s="65">
        <f>IF(AQ179="1",BH179,0)</f>
        <v>0</v>
      </c>
      <c r="AC179" s="65">
        <f>IF(AQ179="1",BI179,0)</f>
        <v>0</v>
      </c>
      <c r="AD179" s="65">
        <f>IF(AQ179="7",BH179,0)</f>
        <v>0</v>
      </c>
      <c r="AE179" s="65">
        <f>IF(AQ179="7",BI179,0)</f>
        <v>0</v>
      </c>
      <c r="AF179" s="65">
        <f>IF(AQ179="2",BH179,0)</f>
        <v>0</v>
      </c>
      <c r="AG179" s="65">
        <f>IF(AQ179="2",BI179,0)</f>
        <v>0</v>
      </c>
      <c r="AH179" s="65">
        <f>IF(AQ179="0",BJ179,0)</f>
        <v>0</v>
      </c>
      <c r="AI179" s="58"/>
      <c r="AJ179" s="48">
        <f>IF(AN179=0,K179,0)</f>
        <v>0</v>
      </c>
      <c r="AK179" s="48">
        <f>IF(AN179=15,K179,0)</f>
        <v>0</v>
      </c>
      <c r="AL179" s="48">
        <f>IF(AN179=21,K179,0)</f>
        <v>0</v>
      </c>
      <c r="AN179" s="65">
        <v>15</v>
      </c>
      <c r="AO179" s="65">
        <f>H179*0.506654619930639</f>
        <v>0</v>
      </c>
      <c r="AP179" s="65">
        <f>H179*(1-0.506654619930639)</f>
        <v>0</v>
      </c>
      <c r="AQ179" s="66" t="s">
        <v>80</v>
      </c>
      <c r="AV179" s="65">
        <f>AW179+AX179</f>
        <v>0</v>
      </c>
      <c r="AW179" s="65">
        <f>G179*AO179</f>
        <v>0</v>
      </c>
      <c r="AX179" s="65">
        <f>G179*AP179</f>
        <v>0</v>
      </c>
      <c r="AY179" s="68" t="s">
        <v>654</v>
      </c>
      <c r="AZ179" s="68" t="s">
        <v>672</v>
      </c>
      <c r="BA179" s="58" t="s">
        <v>675</v>
      </c>
      <c r="BC179" s="65">
        <f>AW179+AX179</f>
        <v>0</v>
      </c>
      <c r="BD179" s="65">
        <f>H179/(100-BE179)*100</f>
        <v>0</v>
      </c>
      <c r="BE179" s="65">
        <v>0</v>
      </c>
      <c r="BF179" s="65">
        <f>M179</f>
        <v>0.0011281725000000002</v>
      </c>
      <c r="BH179" s="48">
        <f>G179*AO179</f>
        <v>0</v>
      </c>
      <c r="BI179" s="48">
        <f>G179*AP179</f>
        <v>0</v>
      </c>
      <c r="BJ179" s="48">
        <f>G179*H179</f>
        <v>0</v>
      </c>
      <c r="BK179" s="48" t="s">
        <v>680</v>
      </c>
      <c r="BL179" s="65">
        <v>771</v>
      </c>
    </row>
    <row r="180" spans="1:64" ht="12.75">
      <c r="A180" s="98" t="s">
        <v>172</v>
      </c>
      <c r="B180" s="98"/>
      <c r="C180" s="98" t="s">
        <v>317</v>
      </c>
      <c r="D180" s="220" t="s">
        <v>523</v>
      </c>
      <c r="E180" s="221"/>
      <c r="F180" s="98" t="s">
        <v>609</v>
      </c>
      <c r="G180" s="99">
        <v>5.90947</v>
      </c>
      <c r="H180" s="134"/>
      <c r="I180" s="99">
        <f>G180*AO180</f>
        <v>0</v>
      </c>
      <c r="J180" s="99">
        <f>G180*AP180</f>
        <v>0</v>
      </c>
      <c r="K180" s="99">
        <f>G180*H180</f>
        <v>0</v>
      </c>
      <c r="L180" s="99">
        <v>0.0192</v>
      </c>
      <c r="M180" s="99">
        <f>G180*L180</f>
        <v>0.11346182399999999</v>
      </c>
      <c r="N180" s="97" t="s">
        <v>631</v>
      </c>
      <c r="O180" s="77"/>
      <c r="Z180" s="65">
        <f>IF(AQ180="5",BJ180,0)</f>
        <v>0</v>
      </c>
      <c r="AB180" s="65">
        <f>IF(AQ180="1",BH180,0)</f>
        <v>0</v>
      </c>
      <c r="AC180" s="65">
        <f>IF(AQ180="1",BI180,0)</f>
        <v>0</v>
      </c>
      <c r="AD180" s="65">
        <f>IF(AQ180="7",BH180,0)</f>
        <v>0</v>
      </c>
      <c r="AE180" s="65">
        <f>IF(AQ180="7",BI180,0)</f>
        <v>0</v>
      </c>
      <c r="AF180" s="65">
        <f>IF(AQ180="2",BH180,0)</f>
        <v>0</v>
      </c>
      <c r="AG180" s="65">
        <f>IF(AQ180="2",BI180,0)</f>
        <v>0</v>
      </c>
      <c r="AH180" s="65">
        <f>IF(AQ180="0",BJ180,0)</f>
        <v>0</v>
      </c>
      <c r="AI180" s="58"/>
      <c r="AJ180" s="50">
        <f>IF(AN180=0,K180,0)</f>
        <v>0</v>
      </c>
      <c r="AK180" s="50">
        <f>IF(AN180=15,K180,0)</f>
        <v>0</v>
      </c>
      <c r="AL180" s="50">
        <f>IF(AN180=21,K180,0)</f>
        <v>0</v>
      </c>
      <c r="AN180" s="65">
        <v>15</v>
      </c>
      <c r="AO180" s="65">
        <f>H180*1</f>
        <v>0</v>
      </c>
      <c r="AP180" s="65">
        <f>H180*(1-1)</f>
        <v>0</v>
      </c>
      <c r="AQ180" s="67" t="s">
        <v>80</v>
      </c>
      <c r="AV180" s="65">
        <f>AW180+AX180</f>
        <v>0</v>
      </c>
      <c r="AW180" s="65">
        <f>G180*AO180</f>
        <v>0</v>
      </c>
      <c r="AX180" s="65">
        <f>G180*AP180</f>
        <v>0</v>
      </c>
      <c r="AY180" s="68" t="s">
        <v>654</v>
      </c>
      <c r="AZ180" s="68" t="s">
        <v>672</v>
      </c>
      <c r="BA180" s="58" t="s">
        <v>675</v>
      </c>
      <c r="BC180" s="65">
        <f>AW180+AX180</f>
        <v>0</v>
      </c>
      <c r="BD180" s="65">
        <f>H180/(100-BE180)*100</f>
        <v>0</v>
      </c>
      <c r="BE180" s="65">
        <v>0</v>
      </c>
      <c r="BF180" s="65">
        <f>M180</f>
        <v>0.11346182399999999</v>
      </c>
      <c r="BH180" s="50">
        <f>G180*AO180</f>
        <v>0</v>
      </c>
      <c r="BI180" s="50">
        <f>G180*AP180</f>
        <v>0</v>
      </c>
      <c r="BJ180" s="50">
        <f>G180*H180</f>
        <v>0</v>
      </c>
      <c r="BK180" s="50" t="s">
        <v>681</v>
      </c>
      <c r="BL180" s="65">
        <v>771</v>
      </c>
    </row>
    <row r="181" spans="1:15" ht="12.75">
      <c r="A181" s="87"/>
      <c r="B181" s="88"/>
      <c r="C181" s="88"/>
      <c r="D181" s="89" t="s">
        <v>524</v>
      </c>
      <c r="E181" s="90"/>
      <c r="F181" s="88"/>
      <c r="G181" s="91">
        <v>5.90947</v>
      </c>
      <c r="H181" s="88"/>
      <c r="I181" s="88"/>
      <c r="J181" s="88"/>
      <c r="K181" s="88"/>
      <c r="L181" s="88"/>
      <c r="M181" s="88"/>
      <c r="N181" s="78"/>
      <c r="O181" s="77"/>
    </row>
    <row r="182" spans="1:64" ht="12.75">
      <c r="A182" s="80" t="s">
        <v>173</v>
      </c>
      <c r="B182" s="80"/>
      <c r="C182" s="80" t="s">
        <v>318</v>
      </c>
      <c r="D182" s="216" t="s">
        <v>525</v>
      </c>
      <c r="E182" s="217"/>
      <c r="F182" s="80" t="s">
        <v>612</v>
      </c>
      <c r="G182" s="85">
        <v>0.1</v>
      </c>
      <c r="H182" s="133"/>
      <c r="I182" s="85">
        <f>G182*AO182</f>
        <v>0</v>
      </c>
      <c r="J182" s="85">
        <f>G182*AP182</f>
        <v>0</v>
      </c>
      <c r="K182" s="85">
        <f>G182*H182</f>
        <v>0</v>
      </c>
      <c r="L182" s="85">
        <v>0</v>
      </c>
      <c r="M182" s="85">
        <f>G182*L182</f>
        <v>0</v>
      </c>
      <c r="N182" s="75" t="s">
        <v>631</v>
      </c>
      <c r="O182" s="77"/>
      <c r="Z182" s="65">
        <f>IF(AQ182="5",BJ182,0)</f>
        <v>0</v>
      </c>
      <c r="AB182" s="65">
        <f>IF(AQ182="1",BH182,0)</f>
        <v>0</v>
      </c>
      <c r="AC182" s="65">
        <f>IF(AQ182="1",BI182,0)</f>
        <v>0</v>
      </c>
      <c r="AD182" s="65">
        <f>IF(AQ182="7",BH182,0)</f>
        <v>0</v>
      </c>
      <c r="AE182" s="65">
        <f>IF(AQ182="7",BI182,0)</f>
        <v>0</v>
      </c>
      <c r="AF182" s="65">
        <f>IF(AQ182="2",BH182,0)</f>
        <v>0</v>
      </c>
      <c r="AG182" s="65">
        <f>IF(AQ182="2",BI182,0)</f>
        <v>0</v>
      </c>
      <c r="AH182" s="65">
        <f>IF(AQ182="0",BJ182,0)</f>
        <v>0</v>
      </c>
      <c r="AI182" s="58"/>
      <c r="AJ182" s="48">
        <f>IF(AN182=0,K182,0)</f>
        <v>0</v>
      </c>
      <c r="AK182" s="48">
        <f>IF(AN182=15,K182,0)</f>
        <v>0</v>
      </c>
      <c r="AL182" s="48">
        <f>IF(AN182=21,K182,0)</f>
        <v>0</v>
      </c>
      <c r="AN182" s="65">
        <v>15</v>
      </c>
      <c r="AO182" s="65">
        <f>H182*0</f>
        <v>0</v>
      </c>
      <c r="AP182" s="65">
        <f>H182*(1-0)</f>
        <v>0</v>
      </c>
      <c r="AQ182" s="66" t="s">
        <v>78</v>
      </c>
      <c r="AV182" s="65">
        <f>AW182+AX182</f>
        <v>0</v>
      </c>
      <c r="AW182" s="65">
        <f>G182*AO182</f>
        <v>0</v>
      </c>
      <c r="AX182" s="65">
        <f>G182*AP182</f>
        <v>0</v>
      </c>
      <c r="AY182" s="68" t="s">
        <v>654</v>
      </c>
      <c r="AZ182" s="68" t="s">
        <v>672</v>
      </c>
      <c r="BA182" s="58" t="s">
        <v>675</v>
      </c>
      <c r="BC182" s="65">
        <f>AW182+AX182</f>
        <v>0</v>
      </c>
      <c r="BD182" s="65">
        <f>H182/(100-BE182)*100</f>
        <v>0</v>
      </c>
      <c r="BE182" s="65">
        <v>0</v>
      </c>
      <c r="BF182" s="65">
        <f>M182</f>
        <v>0</v>
      </c>
      <c r="BH182" s="48">
        <f>G182*AO182</f>
        <v>0</v>
      </c>
      <c r="BI182" s="48">
        <f>G182*AP182</f>
        <v>0</v>
      </c>
      <c r="BJ182" s="48">
        <f>G182*H182</f>
        <v>0</v>
      </c>
      <c r="BK182" s="48" t="s">
        <v>680</v>
      </c>
      <c r="BL182" s="65">
        <v>771</v>
      </c>
    </row>
    <row r="183" spans="1:47" ht="12.75">
      <c r="A183" s="119"/>
      <c r="B183" s="120"/>
      <c r="C183" s="120" t="s">
        <v>319</v>
      </c>
      <c r="D183" s="226" t="s">
        <v>526</v>
      </c>
      <c r="E183" s="219"/>
      <c r="F183" s="119" t="s">
        <v>73</v>
      </c>
      <c r="G183" s="119" t="s">
        <v>73</v>
      </c>
      <c r="H183" s="119" t="s">
        <v>73</v>
      </c>
      <c r="I183" s="121">
        <f>SUM(I184:I217)</f>
        <v>0</v>
      </c>
      <c r="J183" s="121">
        <f>SUM(J184:J217)</f>
        <v>0</v>
      </c>
      <c r="K183" s="121">
        <f>SUM(K184:K217)</f>
        <v>0</v>
      </c>
      <c r="L183" s="122"/>
      <c r="M183" s="121">
        <f>SUM(M184:M217)</f>
        <v>0.13613613800000002</v>
      </c>
      <c r="N183" s="118"/>
      <c r="O183" s="77"/>
      <c r="AI183" s="58"/>
      <c r="AS183" s="71">
        <f>SUM(AJ184:AJ217)</f>
        <v>0</v>
      </c>
      <c r="AT183" s="71">
        <f>SUM(AK184:AK217)</f>
        <v>0</v>
      </c>
      <c r="AU183" s="71">
        <f>SUM(AL184:AL217)</f>
        <v>0</v>
      </c>
    </row>
    <row r="184" spans="1:64" ht="12.75">
      <c r="A184" s="80" t="s">
        <v>174</v>
      </c>
      <c r="B184" s="80"/>
      <c r="C184" s="80" t="s">
        <v>320</v>
      </c>
      <c r="D184" s="216" t="s">
        <v>527</v>
      </c>
      <c r="E184" s="217"/>
      <c r="F184" s="80" t="s">
        <v>610</v>
      </c>
      <c r="G184" s="85">
        <v>42.18</v>
      </c>
      <c r="H184" s="133"/>
      <c r="I184" s="85">
        <f>G184*AO184</f>
        <v>0</v>
      </c>
      <c r="J184" s="85">
        <f>G184*AP184</f>
        <v>0</v>
      </c>
      <c r="K184" s="85">
        <f>G184*H184</f>
        <v>0</v>
      </c>
      <c r="L184" s="85">
        <v>8E-05</v>
      </c>
      <c r="M184" s="85">
        <f>G184*L184</f>
        <v>0.0033744</v>
      </c>
      <c r="N184" s="75" t="s">
        <v>631</v>
      </c>
      <c r="O184" s="77"/>
      <c r="Z184" s="65">
        <f>IF(AQ184="5",BJ184,0)</f>
        <v>0</v>
      </c>
      <c r="AB184" s="65">
        <f>IF(AQ184="1",BH184,0)</f>
        <v>0</v>
      </c>
      <c r="AC184" s="65">
        <f>IF(AQ184="1",BI184,0)</f>
        <v>0</v>
      </c>
      <c r="AD184" s="65">
        <f>IF(AQ184="7",BH184,0)</f>
        <v>0</v>
      </c>
      <c r="AE184" s="65">
        <f>IF(AQ184="7",BI184,0)</f>
        <v>0</v>
      </c>
      <c r="AF184" s="65">
        <f>IF(AQ184="2",BH184,0)</f>
        <v>0</v>
      </c>
      <c r="AG184" s="65">
        <f>IF(AQ184="2",BI184,0)</f>
        <v>0</v>
      </c>
      <c r="AH184" s="65">
        <f>IF(AQ184="0",BJ184,0)</f>
        <v>0</v>
      </c>
      <c r="AI184" s="58"/>
      <c r="AJ184" s="48">
        <f>IF(AN184=0,K184,0)</f>
        <v>0</v>
      </c>
      <c r="AK184" s="48">
        <f>IF(AN184=15,K184,0)</f>
        <v>0</v>
      </c>
      <c r="AL184" s="48">
        <f>IF(AN184=21,K184,0)</f>
        <v>0</v>
      </c>
      <c r="AN184" s="65">
        <v>15</v>
      </c>
      <c r="AO184" s="65">
        <f>H184*0</f>
        <v>0</v>
      </c>
      <c r="AP184" s="65">
        <f>H184*(1-0)</f>
        <v>0</v>
      </c>
      <c r="AQ184" s="66" t="s">
        <v>80</v>
      </c>
      <c r="AV184" s="65">
        <f>AW184+AX184</f>
        <v>0</v>
      </c>
      <c r="AW184" s="65">
        <f>G184*AO184</f>
        <v>0</v>
      </c>
      <c r="AX184" s="65">
        <f>G184*AP184</f>
        <v>0</v>
      </c>
      <c r="AY184" s="68" t="s">
        <v>655</v>
      </c>
      <c r="AZ184" s="68" t="s">
        <v>672</v>
      </c>
      <c r="BA184" s="58" t="s">
        <v>675</v>
      </c>
      <c r="BC184" s="65">
        <f>AW184+AX184</f>
        <v>0</v>
      </c>
      <c r="BD184" s="65">
        <f>H184/(100-BE184)*100</f>
        <v>0</v>
      </c>
      <c r="BE184" s="65">
        <v>0</v>
      </c>
      <c r="BF184" s="65">
        <f>M184</f>
        <v>0.0033744</v>
      </c>
      <c r="BH184" s="48">
        <f>G184*AO184</f>
        <v>0</v>
      </c>
      <c r="BI184" s="48">
        <f>G184*AP184</f>
        <v>0</v>
      </c>
      <c r="BJ184" s="48">
        <f>G184*H184</f>
        <v>0</v>
      </c>
      <c r="BK184" s="48" t="s">
        <v>680</v>
      </c>
      <c r="BL184" s="65">
        <v>776</v>
      </c>
    </row>
    <row r="185" spans="1:15" ht="12.75">
      <c r="A185" s="87"/>
      <c r="B185" s="88"/>
      <c r="C185" s="88"/>
      <c r="D185" s="89" t="s">
        <v>392</v>
      </c>
      <c r="E185" s="90"/>
      <c r="F185" s="88"/>
      <c r="G185" s="91">
        <v>0</v>
      </c>
      <c r="H185" s="88"/>
      <c r="I185" s="88"/>
      <c r="J185" s="88"/>
      <c r="K185" s="88"/>
      <c r="L185" s="88"/>
      <c r="M185" s="88"/>
      <c r="N185" s="78"/>
      <c r="O185" s="77"/>
    </row>
    <row r="186" spans="1:15" ht="12.75">
      <c r="A186" s="87"/>
      <c r="B186" s="88"/>
      <c r="C186" s="88"/>
      <c r="D186" s="89" t="s">
        <v>528</v>
      </c>
      <c r="E186" s="90"/>
      <c r="F186" s="88"/>
      <c r="G186" s="91">
        <v>11.36</v>
      </c>
      <c r="H186" s="88"/>
      <c r="I186" s="88"/>
      <c r="J186" s="88"/>
      <c r="K186" s="88"/>
      <c r="L186" s="88"/>
      <c r="M186" s="88"/>
      <c r="N186" s="78"/>
      <c r="O186" s="77"/>
    </row>
    <row r="187" spans="1:15" ht="12.75">
      <c r="A187" s="87"/>
      <c r="B187" s="88"/>
      <c r="C187" s="88"/>
      <c r="D187" s="89" t="s">
        <v>529</v>
      </c>
      <c r="E187" s="90"/>
      <c r="F187" s="88"/>
      <c r="G187" s="91">
        <v>0</v>
      </c>
      <c r="H187" s="88"/>
      <c r="I187" s="88"/>
      <c r="J187" s="88"/>
      <c r="K187" s="88"/>
      <c r="L187" s="88"/>
      <c r="M187" s="88"/>
      <c r="N187" s="78"/>
      <c r="O187" s="77"/>
    </row>
    <row r="188" spans="1:15" ht="12.75">
      <c r="A188" s="87"/>
      <c r="B188" s="88"/>
      <c r="C188" s="88"/>
      <c r="D188" s="89" t="s">
        <v>530</v>
      </c>
      <c r="E188" s="90"/>
      <c r="F188" s="88"/>
      <c r="G188" s="91">
        <v>12.37</v>
      </c>
      <c r="H188" s="88"/>
      <c r="I188" s="88"/>
      <c r="J188" s="88"/>
      <c r="K188" s="88"/>
      <c r="L188" s="88"/>
      <c r="M188" s="88"/>
      <c r="N188" s="78"/>
      <c r="O188" s="77"/>
    </row>
    <row r="189" spans="1:15" ht="12.75">
      <c r="A189" s="87"/>
      <c r="B189" s="88"/>
      <c r="C189" s="88"/>
      <c r="D189" s="89" t="s">
        <v>398</v>
      </c>
      <c r="E189" s="90"/>
      <c r="F189" s="88"/>
      <c r="G189" s="91">
        <v>0</v>
      </c>
      <c r="H189" s="88"/>
      <c r="I189" s="88"/>
      <c r="J189" s="88"/>
      <c r="K189" s="88"/>
      <c r="L189" s="88"/>
      <c r="M189" s="88"/>
      <c r="N189" s="78"/>
      <c r="O189" s="77"/>
    </row>
    <row r="190" spans="1:15" ht="12.75">
      <c r="A190" s="87"/>
      <c r="B190" s="88"/>
      <c r="C190" s="88"/>
      <c r="D190" s="89" t="s">
        <v>531</v>
      </c>
      <c r="E190" s="90"/>
      <c r="F190" s="88"/>
      <c r="G190" s="91">
        <v>18.45</v>
      </c>
      <c r="H190" s="88"/>
      <c r="I190" s="88"/>
      <c r="J190" s="88"/>
      <c r="K190" s="88"/>
      <c r="L190" s="88"/>
      <c r="M190" s="88"/>
      <c r="N190" s="78"/>
      <c r="O190" s="77"/>
    </row>
    <row r="191" spans="1:64" ht="12.75">
      <c r="A191" s="80" t="s">
        <v>175</v>
      </c>
      <c r="B191" s="80"/>
      <c r="C191" s="80" t="s">
        <v>237</v>
      </c>
      <c r="D191" s="216" t="s">
        <v>532</v>
      </c>
      <c r="E191" s="217"/>
      <c r="F191" s="80" t="s">
        <v>609</v>
      </c>
      <c r="G191" s="85">
        <v>38</v>
      </c>
      <c r="H191" s="133"/>
      <c r="I191" s="85">
        <f>G191*AO191</f>
        <v>0</v>
      </c>
      <c r="J191" s="85">
        <f>G191*AP191</f>
        <v>0</v>
      </c>
      <c r="K191" s="85">
        <f>G191*H191</f>
        <v>0</v>
      </c>
      <c r="L191" s="85">
        <v>0</v>
      </c>
      <c r="M191" s="85">
        <f>G191*L191</f>
        <v>0</v>
      </c>
      <c r="N191" s="75" t="s">
        <v>632</v>
      </c>
      <c r="O191" s="77"/>
      <c r="Z191" s="65">
        <f>IF(AQ191="5",BJ191,0)</f>
        <v>0</v>
      </c>
      <c r="AB191" s="65">
        <f>IF(AQ191="1",BH191,0)</f>
        <v>0</v>
      </c>
      <c r="AC191" s="65">
        <f>IF(AQ191="1",BI191,0)</f>
        <v>0</v>
      </c>
      <c r="AD191" s="65">
        <f>IF(AQ191="7",BH191,0)</f>
        <v>0</v>
      </c>
      <c r="AE191" s="65">
        <f>IF(AQ191="7",BI191,0)</f>
        <v>0</v>
      </c>
      <c r="AF191" s="65">
        <f>IF(AQ191="2",BH191,0)</f>
        <v>0</v>
      </c>
      <c r="AG191" s="65">
        <f>IF(AQ191="2",BI191,0)</f>
        <v>0</v>
      </c>
      <c r="AH191" s="65">
        <f>IF(AQ191="0",BJ191,0)</f>
        <v>0</v>
      </c>
      <c r="AI191" s="58"/>
      <c r="AJ191" s="48">
        <f>IF(AN191=0,K191,0)</f>
        <v>0</v>
      </c>
      <c r="AK191" s="48">
        <f>IF(AN191=15,K191,0)</f>
        <v>0</v>
      </c>
      <c r="AL191" s="48">
        <f>IF(AN191=21,K191,0)</f>
        <v>0</v>
      </c>
      <c r="AN191" s="65">
        <v>15</v>
      </c>
      <c r="AO191" s="65">
        <f>H191*0.285411764705882</f>
        <v>0</v>
      </c>
      <c r="AP191" s="65">
        <f>H191*(1-0.285411764705882)</f>
        <v>0</v>
      </c>
      <c r="AQ191" s="66" t="s">
        <v>80</v>
      </c>
      <c r="AV191" s="65">
        <f>AW191+AX191</f>
        <v>0</v>
      </c>
      <c r="AW191" s="65">
        <f>G191*AO191</f>
        <v>0</v>
      </c>
      <c r="AX191" s="65">
        <f>G191*AP191</f>
        <v>0</v>
      </c>
      <c r="AY191" s="68" t="s">
        <v>655</v>
      </c>
      <c r="AZ191" s="68" t="s">
        <v>672</v>
      </c>
      <c r="BA191" s="58" t="s">
        <v>675</v>
      </c>
      <c r="BC191" s="65">
        <f>AW191+AX191</f>
        <v>0</v>
      </c>
      <c r="BD191" s="65">
        <f>H191/(100-BE191)*100</f>
        <v>0</v>
      </c>
      <c r="BE191" s="65">
        <v>0</v>
      </c>
      <c r="BF191" s="65">
        <f>M191</f>
        <v>0</v>
      </c>
      <c r="BH191" s="48">
        <f>G191*AO191</f>
        <v>0</v>
      </c>
      <c r="BI191" s="48">
        <f>G191*AP191</f>
        <v>0</v>
      </c>
      <c r="BJ191" s="48">
        <f>G191*H191</f>
        <v>0</v>
      </c>
      <c r="BK191" s="48" t="s">
        <v>680</v>
      </c>
      <c r="BL191" s="65">
        <v>776</v>
      </c>
    </row>
    <row r="192" spans="1:64" ht="12.75">
      <c r="A192" s="80" t="s">
        <v>176</v>
      </c>
      <c r="B192" s="80"/>
      <c r="C192" s="80" t="s">
        <v>321</v>
      </c>
      <c r="D192" s="216" t="s">
        <v>533</v>
      </c>
      <c r="E192" s="217"/>
      <c r="F192" s="80" t="s">
        <v>609</v>
      </c>
      <c r="G192" s="85">
        <v>38.0086</v>
      </c>
      <c r="H192" s="133"/>
      <c r="I192" s="85">
        <f>G192*AO192</f>
        <v>0</v>
      </c>
      <c r="J192" s="85">
        <f>G192*AP192</f>
        <v>0</v>
      </c>
      <c r="K192" s="85">
        <f>G192*H192</f>
        <v>0</v>
      </c>
      <c r="L192" s="85">
        <v>0.001</v>
      </c>
      <c r="M192" s="85">
        <f>G192*L192</f>
        <v>0.038008600000000003</v>
      </c>
      <c r="N192" s="75" t="s">
        <v>631</v>
      </c>
      <c r="O192" s="77"/>
      <c r="Z192" s="65">
        <f>IF(AQ192="5",BJ192,0)</f>
        <v>0</v>
      </c>
      <c r="AB192" s="65">
        <f>IF(AQ192="1",BH192,0)</f>
        <v>0</v>
      </c>
      <c r="AC192" s="65">
        <f>IF(AQ192="1",BI192,0)</f>
        <v>0</v>
      </c>
      <c r="AD192" s="65">
        <f>IF(AQ192="7",BH192,0)</f>
        <v>0</v>
      </c>
      <c r="AE192" s="65">
        <f>IF(AQ192="7",BI192,0)</f>
        <v>0</v>
      </c>
      <c r="AF192" s="65">
        <f>IF(AQ192="2",BH192,0)</f>
        <v>0</v>
      </c>
      <c r="AG192" s="65">
        <f>IF(AQ192="2",BI192,0)</f>
        <v>0</v>
      </c>
      <c r="AH192" s="65">
        <f>IF(AQ192="0",BJ192,0)</f>
        <v>0</v>
      </c>
      <c r="AI192" s="58"/>
      <c r="AJ192" s="48">
        <f>IF(AN192=0,K192,0)</f>
        <v>0</v>
      </c>
      <c r="AK192" s="48">
        <f>IF(AN192=15,K192,0)</f>
        <v>0</v>
      </c>
      <c r="AL192" s="48">
        <f>IF(AN192=21,K192,0)</f>
        <v>0</v>
      </c>
      <c r="AN192" s="65">
        <v>15</v>
      </c>
      <c r="AO192" s="65">
        <f>H192*0</f>
        <v>0</v>
      </c>
      <c r="AP192" s="65">
        <f>H192*(1-0)</f>
        <v>0</v>
      </c>
      <c r="AQ192" s="66" t="s">
        <v>80</v>
      </c>
      <c r="AV192" s="65">
        <f>AW192+AX192</f>
        <v>0</v>
      </c>
      <c r="AW192" s="65">
        <f>G192*AO192</f>
        <v>0</v>
      </c>
      <c r="AX192" s="65">
        <f>G192*AP192</f>
        <v>0</v>
      </c>
      <c r="AY192" s="68" t="s">
        <v>655</v>
      </c>
      <c r="AZ192" s="68" t="s">
        <v>672</v>
      </c>
      <c r="BA192" s="58" t="s">
        <v>675</v>
      </c>
      <c r="BC192" s="65">
        <f>AW192+AX192</f>
        <v>0</v>
      </c>
      <c r="BD192" s="65">
        <f>H192/(100-BE192)*100</f>
        <v>0</v>
      </c>
      <c r="BE192" s="65">
        <v>0</v>
      </c>
      <c r="BF192" s="65">
        <f>M192</f>
        <v>0.038008600000000003</v>
      </c>
      <c r="BH192" s="48">
        <f>G192*AO192</f>
        <v>0</v>
      </c>
      <c r="BI192" s="48">
        <f>G192*AP192</f>
        <v>0</v>
      </c>
      <c r="BJ192" s="48">
        <f>G192*H192</f>
        <v>0</v>
      </c>
      <c r="BK192" s="48" t="s">
        <v>680</v>
      </c>
      <c r="BL192" s="65">
        <v>776</v>
      </c>
    </row>
    <row r="193" spans="1:15" ht="12.75">
      <c r="A193" s="87"/>
      <c r="B193" s="88"/>
      <c r="C193" s="88"/>
      <c r="D193" s="89" t="s">
        <v>392</v>
      </c>
      <c r="E193" s="90"/>
      <c r="F193" s="88"/>
      <c r="G193" s="91">
        <v>0</v>
      </c>
      <c r="H193" s="88"/>
      <c r="I193" s="88"/>
      <c r="J193" s="88"/>
      <c r="K193" s="88"/>
      <c r="L193" s="88"/>
      <c r="M193" s="88"/>
      <c r="N193" s="78"/>
      <c r="O193" s="77"/>
    </row>
    <row r="194" spans="1:15" ht="12.75">
      <c r="A194" s="87"/>
      <c r="B194" s="88"/>
      <c r="C194" s="88"/>
      <c r="D194" s="89" t="s">
        <v>534</v>
      </c>
      <c r="E194" s="90"/>
      <c r="F194" s="88"/>
      <c r="G194" s="91">
        <v>7.337</v>
      </c>
      <c r="H194" s="88"/>
      <c r="I194" s="88"/>
      <c r="J194" s="88"/>
      <c r="K194" s="88"/>
      <c r="L194" s="88"/>
      <c r="M194" s="88"/>
      <c r="N194" s="78"/>
      <c r="O194" s="77"/>
    </row>
    <row r="195" spans="1:15" ht="12.75">
      <c r="A195" s="87"/>
      <c r="B195" s="88"/>
      <c r="C195" s="88"/>
      <c r="D195" s="89" t="s">
        <v>529</v>
      </c>
      <c r="E195" s="90"/>
      <c r="F195" s="88"/>
      <c r="G195" s="91">
        <v>0</v>
      </c>
      <c r="H195" s="88"/>
      <c r="I195" s="88"/>
      <c r="J195" s="88"/>
      <c r="K195" s="88"/>
      <c r="L195" s="88"/>
      <c r="M195" s="88"/>
      <c r="N195" s="78"/>
      <c r="O195" s="77"/>
    </row>
    <row r="196" spans="1:15" ht="12.75">
      <c r="A196" s="87"/>
      <c r="B196" s="88"/>
      <c r="C196" s="88"/>
      <c r="D196" s="89" t="s">
        <v>535</v>
      </c>
      <c r="E196" s="90"/>
      <c r="F196" s="88"/>
      <c r="G196" s="91">
        <v>9.6127</v>
      </c>
      <c r="H196" s="88"/>
      <c r="I196" s="88"/>
      <c r="J196" s="88"/>
      <c r="K196" s="88"/>
      <c r="L196" s="88"/>
      <c r="M196" s="88"/>
      <c r="N196" s="78"/>
      <c r="O196" s="77"/>
    </row>
    <row r="197" spans="1:15" ht="12.75">
      <c r="A197" s="87"/>
      <c r="B197" s="88"/>
      <c r="C197" s="88"/>
      <c r="D197" s="89" t="s">
        <v>398</v>
      </c>
      <c r="E197" s="90"/>
      <c r="F197" s="88"/>
      <c r="G197" s="91">
        <v>0</v>
      </c>
      <c r="H197" s="88"/>
      <c r="I197" s="88"/>
      <c r="J197" s="88"/>
      <c r="K197" s="88"/>
      <c r="L197" s="88"/>
      <c r="M197" s="88"/>
      <c r="N197" s="78"/>
      <c r="O197" s="77"/>
    </row>
    <row r="198" spans="1:15" ht="12.75">
      <c r="A198" s="87"/>
      <c r="B198" s="88"/>
      <c r="C198" s="88"/>
      <c r="D198" s="89" t="s">
        <v>536</v>
      </c>
      <c r="E198" s="90"/>
      <c r="F198" s="88"/>
      <c r="G198" s="91">
        <v>21.0589</v>
      </c>
      <c r="H198" s="88"/>
      <c r="I198" s="88"/>
      <c r="J198" s="88"/>
      <c r="K198" s="88"/>
      <c r="L198" s="88"/>
      <c r="M198" s="88"/>
      <c r="N198" s="78"/>
      <c r="O198" s="77"/>
    </row>
    <row r="199" spans="1:64" ht="12.75">
      <c r="A199" s="80" t="s">
        <v>177</v>
      </c>
      <c r="B199" s="80"/>
      <c r="C199" s="80" t="s">
        <v>322</v>
      </c>
      <c r="D199" s="216" t="s">
        <v>537</v>
      </c>
      <c r="E199" s="217"/>
      <c r="F199" s="80" t="s">
        <v>610</v>
      </c>
      <c r="G199" s="85">
        <v>36.7</v>
      </c>
      <c r="H199" s="133"/>
      <c r="I199" s="85">
        <f>G199*AO199</f>
        <v>0</v>
      </c>
      <c r="J199" s="85">
        <f>G199*AP199</f>
        <v>0</v>
      </c>
      <c r="K199" s="85">
        <f>G199*H199</f>
        <v>0</v>
      </c>
      <c r="L199" s="85">
        <v>8E-05</v>
      </c>
      <c r="M199" s="85">
        <f>G199*L199</f>
        <v>0.0029360000000000007</v>
      </c>
      <c r="N199" s="75" t="s">
        <v>631</v>
      </c>
      <c r="O199" s="77"/>
      <c r="Z199" s="65">
        <f>IF(AQ199="5",BJ199,0)</f>
        <v>0</v>
      </c>
      <c r="AB199" s="65">
        <f>IF(AQ199="1",BH199,0)</f>
        <v>0</v>
      </c>
      <c r="AC199" s="65">
        <f>IF(AQ199="1",BI199,0)</f>
        <v>0</v>
      </c>
      <c r="AD199" s="65">
        <f>IF(AQ199="7",BH199,0)</f>
        <v>0</v>
      </c>
      <c r="AE199" s="65">
        <f>IF(AQ199="7",BI199,0)</f>
        <v>0</v>
      </c>
      <c r="AF199" s="65">
        <f>IF(AQ199="2",BH199,0)</f>
        <v>0</v>
      </c>
      <c r="AG199" s="65">
        <f>IF(AQ199="2",BI199,0)</f>
        <v>0</v>
      </c>
      <c r="AH199" s="65">
        <f>IF(AQ199="0",BJ199,0)</f>
        <v>0</v>
      </c>
      <c r="AI199" s="58"/>
      <c r="AJ199" s="48">
        <f>IF(AN199=0,K199,0)</f>
        <v>0</v>
      </c>
      <c r="AK199" s="48">
        <f>IF(AN199=15,K199,0)</f>
        <v>0</v>
      </c>
      <c r="AL199" s="48">
        <f>IF(AN199=21,K199,0)</f>
        <v>0</v>
      </c>
      <c r="AN199" s="65">
        <v>15</v>
      </c>
      <c r="AO199" s="65">
        <f>H199*0.322</f>
        <v>0</v>
      </c>
      <c r="AP199" s="65">
        <f>H199*(1-0.322)</f>
        <v>0</v>
      </c>
      <c r="AQ199" s="66" t="s">
        <v>80</v>
      </c>
      <c r="AV199" s="65">
        <f>AW199+AX199</f>
        <v>0</v>
      </c>
      <c r="AW199" s="65">
        <f>G199*AO199</f>
        <v>0</v>
      </c>
      <c r="AX199" s="65">
        <f>G199*AP199</f>
        <v>0</v>
      </c>
      <c r="AY199" s="68" t="s">
        <v>655</v>
      </c>
      <c r="AZ199" s="68" t="s">
        <v>672</v>
      </c>
      <c r="BA199" s="58" t="s">
        <v>675</v>
      </c>
      <c r="BC199" s="65">
        <f>AW199+AX199</f>
        <v>0</v>
      </c>
      <c r="BD199" s="65">
        <f>H199/(100-BE199)*100</f>
        <v>0</v>
      </c>
      <c r="BE199" s="65">
        <v>0</v>
      </c>
      <c r="BF199" s="65">
        <f>M199</f>
        <v>0.0029360000000000007</v>
      </c>
      <c r="BH199" s="48">
        <f>G199*AO199</f>
        <v>0</v>
      </c>
      <c r="BI199" s="48">
        <f>G199*AP199</f>
        <v>0</v>
      </c>
      <c r="BJ199" s="48">
        <f>G199*H199</f>
        <v>0</v>
      </c>
      <c r="BK199" s="48" t="s">
        <v>680</v>
      </c>
      <c r="BL199" s="65">
        <v>776</v>
      </c>
    </row>
    <row r="200" spans="1:15" ht="12.75">
      <c r="A200" s="87"/>
      <c r="B200" s="88"/>
      <c r="C200" s="88"/>
      <c r="D200" s="89" t="s">
        <v>392</v>
      </c>
      <c r="E200" s="90"/>
      <c r="F200" s="88"/>
      <c r="G200" s="91">
        <v>0</v>
      </c>
      <c r="H200" s="88"/>
      <c r="I200" s="88"/>
      <c r="J200" s="88"/>
      <c r="K200" s="88"/>
      <c r="L200" s="88"/>
      <c r="M200" s="88"/>
      <c r="N200" s="78"/>
      <c r="O200" s="77"/>
    </row>
    <row r="201" spans="1:15" ht="12.75">
      <c r="A201" s="87"/>
      <c r="B201" s="88"/>
      <c r="C201" s="88"/>
      <c r="D201" s="89" t="s">
        <v>538</v>
      </c>
      <c r="E201" s="90"/>
      <c r="F201" s="88"/>
      <c r="G201" s="91">
        <v>5.3</v>
      </c>
      <c r="H201" s="88"/>
      <c r="I201" s="88"/>
      <c r="J201" s="88"/>
      <c r="K201" s="88"/>
      <c r="L201" s="88"/>
      <c r="M201" s="88"/>
      <c r="N201" s="78"/>
      <c r="O201" s="77"/>
    </row>
    <row r="202" spans="1:15" ht="12.75">
      <c r="A202" s="87"/>
      <c r="B202" s="88"/>
      <c r="C202" s="88"/>
      <c r="D202" s="89" t="s">
        <v>396</v>
      </c>
      <c r="E202" s="90"/>
      <c r="F202" s="88"/>
      <c r="G202" s="91">
        <v>0</v>
      </c>
      <c r="H202" s="88"/>
      <c r="I202" s="88"/>
      <c r="J202" s="88"/>
      <c r="K202" s="88"/>
      <c r="L202" s="88"/>
      <c r="M202" s="88"/>
      <c r="N202" s="78"/>
      <c r="O202" s="77"/>
    </row>
    <row r="203" spans="1:15" ht="12.75">
      <c r="A203" s="87"/>
      <c r="B203" s="88"/>
      <c r="C203" s="88"/>
      <c r="D203" s="89" t="s">
        <v>539</v>
      </c>
      <c r="E203" s="90"/>
      <c r="F203" s="88"/>
      <c r="G203" s="91">
        <v>12.15</v>
      </c>
      <c r="H203" s="88"/>
      <c r="I203" s="88"/>
      <c r="J203" s="88"/>
      <c r="K203" s="88"/>
      <c r="L203" s="88"/>
      <c r="M203" s="88"/>
      <c r="N203" s="78"/>
      <c r="O203" s="77"/>
    </row>
    <row r="204" spans="1:15" ht="12.75">
      <c r="A204" s="87"/>
      <c r="B204" s="88"/>
      <c r="C204" s="88"/>
      <c r="D204" s="89" t="s">
        <v>398</v>
      </c>
      <c r="E204" s="90"/>
      <c r="F204" s="88"/>
      <c r="G204" s="91">
        <v>0</v>
      </c>
      <c r="H204" s="88"/>
      <c r="I204" s="88"/>
      <c r="J204" s="88"/>
      <c r="K204" s="88"/>
      <c r="L204" s="88"/>
      <c r="M204" s="88"/>
      <c r="N204" s="78"/>
      <c r="O204" s="77"/>
    </row>
    <row r="205" spans="1:15" ht="12.75">
      <c r="A205" s="87"/>
      <c r="B205" s="88"/>
      <c r="C205" s="88"/>
      <c r="D205" s="89" t="s">
        <v>540</v>
      </c>
      <c r="E205" s="90"/>
      <c r="F205" s="88"/>
      <c r="G205" s="91">
        <v>19.25</v>
      </c>
      <c r="H205" s="88"/>
      <c r="I205" s="88"/>
      <c r="J205" s="88"/>
      <c r="K205" s="88"/>
      <c r="L205" s="88"/>
      <c r="M205" s="88"/>
      <c r="N205" s="78"/>
      <c r="O205" s="77"/>
    </row>
    <row r="206" spans="1:64" ht="12.75">
      <c r="A206" s="80" t="s">
        <v>178</v>
      </c>
      <c r="B206" s="80"/>
      <c r="C206" s="80" t="s">
        <v>323</v>
      </c>
      <c r="D206" s="216" t="s">
        <v>541</v>
      </c>
      <c r="E206" s="217"/>
      <c r="F206" s="80" t="s">
        <v>609</v>
      </c>
      <c r="G206" s="85">
        <v>35.5846</v>
      </c>
      <c r="H206" s="133"/>
      <c r="I206" s="85">
        <f>G206*AO206</f>
        <v>0</v>
      </c>
      <c r="J206" s="85">
        <f>G206*AP206</f>
        <v>0</v>
      </c>
      <c r="K206" s="85">
        <f>G206*H206</f>
        <v>0</v>
      </c>
      <c r="L206" s="85">
        <v>0.00053</v>
      </c>
      <c r="M206" s="85">
        <f>G206*L206</f>
        <v>0.018859838</v>
      </c>
      <c r="N206" s="75" t="s">
        <v>631</v>
      </c>
      <c r="O206" s="77"/>
      <c r="Z206" s="65">
        <f>IF(AQ206="5",BJ206,0)</f>
        <v>0</v>
      </c>
      <c r="AB206" s="65">
        <f>IF(AQ206="1",BH206,0)</f>
        <v>0</v>
      </c>
      <c r="AC206" s="65">
        <f>IF(AQ206="1",BI206,0)</f>
        <v>0</v>
      </c>
      <c r="AD206" s="65">
        <f>IF(AQ206="7",BH206,0)</f>
        <v>0</v>
      </c>
      <c r="AE206" s="65">
        <f>IF(AQ206="7",BI206,0)</f>
        <v>0</v>
      </c>
      <c r="AF206" s="65">
        <f>IF(AQ206="2",BH206,0)</f>
        <v>0</v>
      </c>
      <c r="AG206" s="65">
        <f>IF(AQ206="2",BI206,0)</f>
        <v>0</v>
      </c>
      <c r="AH206" s="65">
        <f>IF(AQ206="0",BJ206,0)</f>
        <v>0</v>
      </c>
      <c r="AI206" s="58"/>
      <c r="AJ206" s="48">
        <f>IF(AN206=0,K206,0)</f>
        <v>0</v>
      </c>
      <c r="AK206" s="48">
        <f>IF(AN206=15,K206,0)</f>
        <v>0</v>
      </c>
      <c r="AL206" s="48">
        <f>IF(AN206=21,K206,0)</f>
        <v>0</v>
      </c>
      <c r="AN206" s="65">
        <v>15</v>
      </c>
      <c r="AO206" s="65">
        <f>H206*0.410991053421741</f>
        <v>0</v>
      </c>
      <c r="AP206" s="65">
        <f>H206*(1-0.410991053421741)</f>
        <v>0</v>
      </c>
      <c r="AQ206" s="66" t="s">
        <v>80</v>
      </c>
      <c r="AV206" s="65">
        <f>AW206+AX206</f>
        <v>0</v>
      </c>
      <c r="AW206" s="65">
        <f>G206*AO206</f>
        <v>0</v>
      </c>
      <c r="AX206" s="65">
        <f>G206*AP206</f>
        <v>0</v>
      </c>
      <c r="AY206" s="68" t="s">
        <v>655</v>
      </c>
      <c r="AZ206" s="68" t="s">
        <v>672</v>
      </c>
      <c r="BA206" s="58" t="s">
        <v>675</v>
      </c>
      <c r="BC206" s="65">
        <f>AW206+AX206</f>
        <v>0</v>
      </c>
      <c r="BD206" s="65">
        <f>H206/(100-BE206)*100</f>
        <v>0</v>
      </c>
      <c r="BE206" s="65">
        <v>0</v>
      </c>
      <c r="BF206" s="65">
        <f>M206</f>
        <v>0.018859838</v>
      </c>
      <c r="BH206" s="48">
        <f>G206*AO206</f>
        <v>0</v>
      </c>
      <c r="BI206" s="48">
        <f>G206*AP206</f>
        <v>0</v>
      </c>
      <c r="BJ206" s="48">
        <f>G206*H206</f>
        <v>0</v>
      </c>
      <c r="BK206" s="48" t="s">
        <v>680</v>
      </c>
      <c r="BL206" s="65">
        <v>776</v>
      </c>
    </row>
    <row r="207" spans="1:15" ht="12.75">
      <c r="A207" s="87"/>
      <c r="B207" s="88"/>
      <c r="C207" s="88"/>
      <c r="D207" s="89" t="s">
        <v>542</v>
      </c>
      <c r="E207" s="90"/>
      <c r="F207" s="88"/>
      <c r="G207" s="91">
        <v>0</v>
      </c>
      <c r="H207" s="88"/>
      <c r="I207" s="88"/>
      <c r="J207" s="88"/>
      <c r="K207" s="88"/>
      <c r="L207" s="88"/>
      <c r="M207" s="88"/>
      <c r="N207" s="78"/>
      <c r="O207" s="77"/>
    </row>
    <row r="208" spans="1:15" ht="12.75">
      <c r="A208" s="87"/>
      <c r="B208" s="88"/>
      <c r="C208" s="88"/>
      <c r="D208" s="89" t="s">
        <v>393</v>
      </c>
      <c r="E208" s="90"/>
      <c r="F208" s="88"/>
      <c r="G208" s="91">
        <v>3.99</v>
      </c>
      <c r="H208" s="88"/>
      <c r="I208" s="88"/>
      <c r="J208" s="88"/>
      <c r="K208" s="88"/>
      <c r="L208" s="88"/>
      <c r="M208" s="88"/>
      <c r="N208" s="78"/>
      <c r="O208" s="77"/>
    </row>
    <row r="209" spans="1:15" ht="12.75">
      <c r="A209" s="87"/>
      <c r="B209" s="88"/>
      <c r="C209" s="88"/>
      <c r="D209" s="89" t="s">
        <v>529</v>
      </c>
      <c r="E209" s="90"/>
      <c r="F209" s="88"/>
      <c r="G209" s="91">
        <v>0</v>
      </c>
      <c r="H209" s="88"/>
      <c r="I209" s="88"/>
      <c r="J209" s="88"/>
      <c r="K209" s="88"/>
      <c r="L209" s="88"/>
      <c r="M209" s="88"/>
      <c r="N209" s="78"/>
      <c r="O209" s="77"/>
    </row>
    <row r="210" spans="1:15" ht="12.75">
      <c r="A210" s="87"/>
      <c r="B210" s="88"/>
      <c r="C210" s="88"/>
      <c r="D210" s="89" t="s">
        <v>543</v>
      </c>
      <c r="E210" s="90"/>
      <c r="F210" s="88"/>
      <c r="G210" s="91">
        <v>10.4319</v>
      </c>
      <c r="H210" s="88"/>
      <c r="I210" s="88"/>
      <c r="J210" s="88"/>
      <c r="K210" s="88"/>
      <c r="L210" s="88"/>
      <c r="M210" s="88"/>
      <c r="N210" s="78"/>
      <c r="O210" s="77"/>
    </row>
    <row r="211" spans="1:15" ht="12.75">
      <c r="A211" s="87"/>
      <c r="B211" s="88"/>
      <c r="C211" s="88"/>
      <c r="D211" s="89" t="s">
        <v>398</v>
      </c>
      <c r="E211" s="90"/>
      <c r="F211" s="88"/>
      <c r="G211" s="91">
        <v>0</v>
      </c>
      <c r="H211" s="88"/>
      <c r="I211" s="88"/>
      <c r="J211" s="88"/>
      <c r="K211" s="88"/>
      <c r="L211" s="88"/>
      <c r="M211" s="88"/>
      <c r="N211" s="78"/>
      <c r="O211" s="77"/>
    </row>
    <row r="212" spans="1:15" ht="12.75">
      <c r="A212" s="87"/>
      <c r="B212" s="88"/>
      <c r="C212" s="88"/>
      <c r="D212" s="89" t="s">
        <v>544</v>
      </c>
      <c r="E212" s="90"/>
      <c r="F212" s="88"/>
      <c r="G212" s="91">
        <v>21.1627</v>
      </c>
      <c r="H212" s="88"/>
      <c r="I212" s="88"/>
      <c r="J212" s="88"/>
      <c r="K212" s="88"/>
      <c r="L212" s="88"/>
      <c r="M212" s="88"/>
      <c r="N212" s="78"/>
      <c r="O212" s="77"/>
    </row>
    <row r="213" spans="1:64" ht="12.75">
      <c r="A213" s="98" t="s">
        <v>179</v>
      </c>
      <c r="B213" s="98"/>
      <c r="C213" s="98" t="s">
        <v>324</v>
      </c>
      <c r="D213" s="220" t="s">
        <v>545</v>
      </c>
      <c r="E213" s="221"/>
      <c r="F213" s="98" t="s">
        <v>609</v>
      </c>
      <c r="G213" s="99">
        <v>39.138</v>
      </c>
      <c r="H213" s="134"/>
      <c r="I213" s="99">
        <f>G213*AO213</f>
        <v>0</v>
      </c>
      <c r="J213" s="99">
        <f>G213*AP213</f>
        <v>0</v>
      </c>
      <c r="K213" s="99">
        <f>G213*H213</f>
        <v>0</v>
      </c>
      <c r="L213" s="99">
        <v>0.00185</v>
      </c>
      <c r="M213" s="99">
        <f>G213*L213</f>
        <v>0.0724053</v>
      </c>
      <c r="N213" s="97" t="s">
        <v>631</v>
      </c>
      <c r="O213" s="77"/>
      <c r="Z213" s="65">
        <f>IF(AQ213="5",BJ213,0)</f>
        <v>0</v>
      </c>
      <c r="AB213" s="65">
        <f>IF(AQ213="1",BH213,0)</f>
        <v>0</v>
      </c>
      <c r="AC213" s="65">
        <f>IF(AQ213="1",BI213,0)</f>
        <v>0</v>
      </c>
      <c r="AD213" s="65">
        <f>IF(AQ213="7",BH213,0)</f>
        <v>0</v>
      </c>
      <c r="AE213" s="65">
        <f>IF(AQ213="7",BI213,0)</f>
        <v>0</v>
      </c>
      <c r="AF213" s="65">
        <f>IF(AQ213="2",BH213,0)</f>
        <v>0</v>
      </c>
      <c r="AG213" s="65">
        <f>IF(AQ213="2",BI213,0)</f>
        <v>0</v>
      </c>
      <c r="AH213" s="65">
        <f>IF(AQ213="0",BJ213,0)</f>
        <v>0</v>
      </c>
      <c r="AI213" s="58"/>
      <c r="AJ213" s="50">
        <f>IF(AN213=0,K213,0)</f>
        <v>0</v>
      </c>
      <c r="AK213" s="50">
        <f>IF(AN213=15,K213,0)</f>
        <v>0</v>
      </c>
      <c r="AL213" s="50">
        <f>IF(AN213=21,K213,0)</f>
        <v>0</v>
      </c>
      <c r="AN213" s="65">
        <v>15</v>
      </c>
      <c r="AO213" s="65">
        <f>H213*1</f>
        <v>0</v>
      </c>
      <c r="AP213" s="65">
        <f>H213*(1-1)</f>
        <v>0</v>
      </c>
      <c r="AQ213" s="67" t="s">
        <v>80</v>
      </c>
      <c r="AV213" s="65">
        <f>AW213+AX213</f>
        <v>0</v>
      </c>
      <c r="AW213" s="65">
        <f>G213*AO213</f>
        <v>0</v>
      </c>
      <c r="AX213" s="65">
        <f>G213*AP213</f>
        <v>0</v>
      </c>
      <c r="AY213" s="68" t="s">
        <v>655</v>
      </c>
      <c r="AZ213" s="68" t="s">
        <v>672</v>
      </c>
      <c r="BA213" s="58" t="s">
        <v>675</v>
      </c>
      <c r="BC213" s="65">
        <f>AW213+AX213</f>
        <v>0</v>
      </c>
      <c r="BD213" s="65">
        <f>H213/(100-BE213)*100</f>
        <v>0</v>
      </c>
      <c r="BE213" s="65">
        <v>0</v>
      </c>
      <c r="BF213" s="65">
        <f>M213</f>
        <v>0.0724053</v>
      </c>
      <c r="BH213" s="50">
        <f>G213*AO213</f>
        <v>0</v>
      </c>
      <c r="BI213" s="50">
        <f>G213*AP213</f>
        <v>0</v>
      </c>
      <c r="BJ213" s="50">
        <f>G213*H213</f>
        <v>0</v>
      </c>
      <c r="BK213" s="50" t="s">
        <v>681</v>
      </c>
      <c r="BL213" s="65">
        <v>776</v>
      </c>
    </row>
    <row r="214" spans="1:15" ht="12.75">
      <c r="A214" s="87"/>
      <c r="B214" s="88"/>
      <c r="C214" s="88"/>
      <c r="D214" s="89" t="s">
        <v>546</v>
      </c>
      <c r="E214" s="90"/>
      <c r="F214" s="88"/>
      <c r="G214" s="91">
        <v>39.138</v>
      </c>
      <c r="H214" s="88"/>
      <c r="I214" s="88"/>
      <c r="J214" s="88"/>
      <c r="K214" s="88"/>
      <c r="L214" s="88"/>
      <c r="M214" s="88"/>
      <c r="N214" s="78"/>
      <c r="O214" s="77"/>
    </row>
    <row r="215" spans="1:64" ht="12.75">
      <c r="A215" s="80" t="s">
        <v>180</v>
      </c>
      <c r="B215" s="80"/>
      <c r="C215" s="80" t="s">
        <v>325</v>
      </c>
      <c r="D215" s="216" t="s">
        <v>547</v>
      </c>
      <c r="E215" s="217"/>
      <c r="F215" s="80" t="s">
        <v>610</v>
      </c>
      <c r="G215" s="85">
        <v>2.4</v>
      </c>
      <c r="H215" s="133"/>
      <c r="I215" s="85">
        <f>G215*AO215</f>
        <v>0</v>
      </c>
      <c r="J215" s="85">
        <f>G215*AP215</f>
        <v>0</v>
      </c>
      <c r="K215" s="85">
        <f>G215*H215</f>
        <v>0</v>
      </c>
      <c r="L215" s="85">
        <v>0</v>
      </c>
      <c r="M215" s="85">
        <f>G215*L215</f>
        <v>0</v>
      </c>
      <c r="N215" s="75" t="s">
        <v>631</v>
      </c>
      <c r="O215" s="77"/>
      <c r="Z215" s="65">
        <f>IF(AQ215="5",BJ215,0)</f>
        <v>0</v>
      </c>
      <c r="AB215" s="65">
        <f>IF(AQ215="1",BH215,0)</f>
        <v>0</v>
      </c>
      <c r="AC215" s="65">
        <f>IF(AQ215="1",BI215,0)</f>
        <v>0</v>
      </c>
      <c r="AD215" s="65">
        <f>IF(AQ215="7",BH215,0)</f>
        <v>0</v>
      </c>
      <c r="AE215" s="65">
        <f>IF(AQ215="7",BI215,0)</f>
        <v>0</v>
      </c>
      <c r="AF215" s="65">
        <f>IF(AQ215="2",BH215,0)</f>
        <v>0</v>
      </c>
      <c r="AG215" s="65">
        <f>IF(AQ215="2",BI215,0)</f>
        <v>0</v>
      </c>
      <c r="AH215" s="65">
        <f>IF(AQ215="0",BJ215,0)</f>
        <v>0</v>
      </c>
      <c r="AI215" s="58"/>
      <c r="AJ215" s="48">
        <f>IF(AN215=0,K215,0)</f>
        <v>0</v>
      </c>
      <c r="AK215" s="48">
        <f>IF(AN215=15,K215,0)</f>
        <v>0</v>
      </c>
      <c r="AL215" s="48">
        <f>IF(AN215=21,K215,0)</f>
        <v>0</v>
      </c>
      <c r="AN215" s="65">
        <v>15</v>
      </c>
      <c r="AO215" s="65">
        <f>H215*0</f>
        <v>0</v>
      </c>
      <c r="AP215" s="65">
        <f>H215*(1-0)</f>
        <v>0</v>
      </c>
      <c r="AQ215" s="66" t="s">
        <v>80</v>
      </c>
      <c r="AV215" s="65">
        <f>AW215+AX215</f>
        <v>0</v>
      </c>
      <c r="AW215" s="65">
        <f>G215*AO215</f>
        <v>0</v>
      </c>
      <c r="AX215" s="65">
        <f>G215*AP215</f>
        <v>0</v>
      </c>
      <c r="AY215" s="68" t="s">
        <v>655</v>
      </c>
      <c r="AZ215" s="68" t="s">
        <v>672</v>
      </c>
      <c r="BA215" s="58" t="s">
        <v>675</v>
      </c>
      <c r="BC215" s="65">
        <f>AW215+AX215</f>
        <v>0</v>
      </c>
      <c r="BD215" s="65">
        <f>H215/(100-BE215)*100</f>
        <v>0</v>
      </c>
      <c r="BE215" s="65">
        <v>0</v>
      </c>
      <c r="BF215" s="65">
        <f>M215</f>
        <v>0</v>
      </c>
      <c r="BH215" s="48">
        <f>G215*AO215</f>
        <v>0</v>
      </c>
      <c r="BI215" s="48">
        <f>G215*AP215</f>
        <v>0</v>
      </c>
      <c r="BJ215" s="48">
        <f>G215*H215</f>
        <v>0</v>
      </c>
      <c r="BK215" s="48" t="s">
        <v>680</v>
      </c>
      <c r="BL215" s="65">
        <v>776</v>
      </c>
    </row>
    <row r="216" spans="1:64" ht="12.75">
      <c r="A216" s="80" t="s">
        <v>181</v>
      </c>
      <c r="B216" s="80"/>
      <c r="C216" s="80" t="s">
        <v>326</v>
      </c>
      <c r="D216" s="216" t="s">
        <v>548</v>
      </c>
      <c r="E216" s="217"/>
      <c r="F216" s="80" t="s">
        <v>610</v>
      </c>
      <c r="G216" s="85">
        <v>2.4</v>
      </c>
      <c r="H216" s="133"/>
      <c r="I216" s="85">
        <f>G216*AO216</f>
        <v>0</v>
      </c>
      <c r="J216" s="85">
        <f>G216*AP216</f>
        <v>0</v>
      </c>
      <c r="K216" s="85">
        <f>G216*H216</f>
        <v>0</v>
      </c>
      <c r="L216" s="85">
        <v>0.00023</v>
      </c>
      <c r="M216" s="85">
        <f>G216*L216</f>
        <v>0.000552</v>
      </c>
      <c r="N216" s="75" t="s">
        <v>631</v>
      </c>
      <c r="O216" s="77"/>
      <c r="Z216" s="65">
        <f>IF(AQ216="5",BJ216,0)</f>
        <v>0</v>
      </c>
      <c r="AB216" s="65">
        <f>IF(AQ216="1",BH216,0)</f>
        <v>0</v>
      </c>
      <c r="AC216" s="65">
        <f>IF(AQ216="1",BI216,0)</f>
        <v>0</v>
      </c>
      <c r="AD216" s="65">
        <f>IF(AQ216="7",BH216,0)</f>
        <v>0</v>
      </c>
      <c r="AE216" s="65">
        <f>IF(AQ216="7",BI216,0)</f>
        <v>0</v>
      </c>
      <c r="AF216" s="65">
        <f>IF(AQ216="2",BH216,0)</f>
        <v>0</v>
      </c>
      <c r="AG216" s="65">
        <f>IF(AQ216="2",BI216,0)</f>
        <v>0</v>
      </c>
      <c r="AH216" s="65">
        <f>IF(AQ216="0",BJ216,0)</f>
        <v>0</v>
      </c>
      <c r="AI216" s="58"/>
      <c r="AJ216" s="48">
        <f>IF(AN216=0,K216,0)</f>
        <v>0</v>
      </c>
      <c r="AK216" s="48">
        <f>IF(AN216=15,K216,0)</f>
        <v>0</v>
      </c>
      <c r="AL216" s="48">
        <f>IF(AN216=21,K216,0)</f>
        <v>0</v>
      </c>
      <c r="AN216" s="65">
        <v>15</v>
      </c>
      <c r="AO216" s="65">
        <f>H216*0.597506925207756</f>
        <v>0</v>
      </c>
      <c r="AP216" s="65">
        <f>H216*(1-0.597506925207756)</f>
        <v>0</v>
      </c>
      <c r="AQ216" s="66" t="s">
        <v>80</v>
      </c>
      <c r="AV216" s="65">
        <f>AW216+AX216</f>
        <v>0</v>
      </c>
      <c r="AW216" s="65">
        <f>G216*AO216</f>
        <v>0</v>
      </c>
      <c r="AX216" s="65">
        <f>G216*AP216</f>
        <v>0</v>
      </c>
      <c r="AY216" s="68" t="s">
        <v>655</v>
      </c>
      <c r="AZ216" s="68" t="s">
        <v>672</v>
      </c>
      <c r="BA216" s="58" t="s">
        <v>675</v>
      </c>
      <c r="BC216" s="65">
        <f>AW216+AX216</f>
        <v>0</v>
      </c>
      <c r="BD216" s="65">
        <f>H216/(100-BE216)*100</f>
        <v>0</v>
      </c>
      <c r="BE216" s="65">
        <v>0</v>
      </c>
      <c r="BF216" s="65">
        <f>M216</f>
        <v>0.000552</v>
      </c>
      <c r="BH216" s="48">
        <f>G216*AO216</f>
        <v>0</v>
      </c>
      <c r="BI216" s="48">
        <f>G216*AP216</f>
        <v>0</v>
      </c>
      <c r="BJ216" s="48">
        <f>G216*H216</f>
        <v>0</v>
      </c>
      <c r="BK216" s="48" t="s">
        <v>680</v>
      </c>
      <c r="BL216" s="65">
        <v>776</v>
      </c>
    </row>
    <row r="217" spans="1:64" ht="12.75">
      <c r="A217" s="80" t="s">
        <v>182</v>
      </c>
      <c r="B217" s="80"/>
      <c r="C217" s="80" t="s">
        <v>327</v>
      </c>
      <c r="D217" s="216" t="s">
        <v>549</v>
      </c>
      <c r="E217" s="217"/>
      <c r="F217" s="80" t="s">
        <v>612</v>
      </c>
      <c r="G217" s="85">
        <v>0.1</v>
      </c>
      <c r="H217" s="133"/>
      <c r="I217" s="85">
        <f>G217*AO217</f>
        <v>0</v>
      </c>
      <c r="J217" s="85">
        <f>G217*AP217</f>
        <v>0</v>
      </c>
      <c r="K217" s="85">
        <f>G217*H217</f>
        <v>0</v>
      </c>
      <c r="L217" s="85">
        <v>0</v>
      </c>
      <c r="M217" s="85">
        <f>G217*L217</f>
        <v>0</v>
      </c>
      <c r="N217" s="75" t="s">
        <v>631</v>
      </c>
      <c r="O217" s="77"/>
      <c r="Z217" s="65">
        <f>IF(AQ217="5",BJ217,0)</f>
        <v>0</v>
      </c>
      <c r="AB217" s="65">
        <f>IF(AQ217="1",BH217,0)</f>
        <v>0</v>
      </c>
      <c r="AC217" s="65">
        <f>IF(AQ217="1",BI217,0)</f>
        <v>0</v>
      </c>
      <c r="AD217" s="65">
        <f>IF(AQ217="7",BH217,0)</f>
        <v>0</v>
      </c>
      <c r="AE217" s="65">
        <f>IF(AQ217="7",BI217,0)</f>
        <v>0</v>
      </c>
      <c r="AF217" s="65">
        <f>IF(AQ217="2",BH217,0)</f>
        <v>0</v>
      </c>
      <c r="AG217" s="65">
        <f>IF(AQ217="2",BI217,0)</f>
        <v>0</v>
      </c>
      <c r="AH217" s="65">
        <f>IF(AQ217="0",BJ217,0)</f>
        <v>0</v>
      </c>
      <c r="AI217" s="58"/>
      <c r="AJ217" s="48">
        <f>IF(AN217=0,K217,0)</f>
        <v>0</v>
      </c>
      <c r="AK217" s="48">
        <f>IF(AN217=15,K217,0)</f>
        <v>0</v>
      </c>
      <c r="AL217" s="48">
        <f>IF(AN217=21,K217,0)</f>
        <v>0</v>
      </c>
      <c r="AN217" s="65">
        <v>15</v>
      </c>
      <c r="AO217" s="65">
        <f>H217*0</f>
        <v>0</v>
      </c>
      <c r="AP217" s="65">
        <f>H217*(1-0)</f>
        <v>0</v>
      </c>
      <c r="AQ217" s="66" t="s">
        <v>78</v>
      </c>
      <c r="AV217" s="65">
        <f>AW217+AX217</f>
        <v>0</v>
      </c>
      <c r="AW217" s="65">
        <f>G217*AO217</f>
        <v>0</v>
      </c>
      <c r="AX217" s="65">
        <f>G217*AP217</f>
        <v>0</v>
      </c>
      <c r="AY217" s="68" t="s">
        <v>655</v>
      </c>
      <c r="AZ217" s="68" t="s">
        <v>672</v>
      </c>
      <c r="BA217" s="58" t="s">
        <v>675</v>
      </c>
      <c r="BC217" s="65">
        <f>AW217+AX217</f>
        <v>0</v>
      </c>
      <c r="BD217" s="65">
        <f>H217/(100-BE217)*100</f>
        <v>0</v>
      </c>
      <c r="BE217" s="65">
        <v>0</v>
      </c>
      <c r="BF217" s="65">
        <f>M217</f>
        <v>0</v>
      </c>
      <c r="BH217" s="48">
        <f>G217*AO217</f>
        <v>0</v>
      </c>
      <c r="BI217" s="48">
        <f>G217*AP217</f>
        <v>0</v>
      </c>
      <c r="BJ217" s="48">
        <f>G217*H217</f>
        <v>0</v>
      </c>
      <c r="BK217" s="48" t="s">
        <v>680</v>
      </c>
      <c r="BL217" s="65">
        <v>776</v>
      </c>
    </row>
    <row r="218" spans="1:47" ht="12.75">
      <c r="A218" s="93"/>
      <c r="B218" s="94"/>
      <c r="C218" s="94" t="s">
        <v>328</v>
      </c>
      <c r="D218" s="218" t="s">
        <v>550</v>
      </c>
      <c r="E218" s="219"/>
      <c r="F218" s="93" t="s">
        <v>73</v>
      </c>
      <c r="G218" s="93" t="s">
        <v>73</v>
      </c>
      <c r="H218" s="93" t="s">
        <v>73</v>
      </c>
      <c r="I218" s="95">
        <f>SUM(I219:I236)</f>
        <v>0</v>
      </c>
      <c r="J218" s="95">
        <f>SUM(J219:J236)</f>
        <v>0</v>
      </c>
      <c r="K218" s="95">
        <f>SUM(K219:K236)</f>
        <v>0</v>
      </c>
      <c r="L218" s="96"/>
      <c r="M218" s="95">
        <f>SUM(M219:M236)</f>
        <v>0.42407094</v>
      </c>
      <c r="N218" s="92"/>
      <c r="O218" s="77"/>
      <c r="AI218" s="58"/>
      <c r="AS218" s="71">
        <f>SUM(AJ219:AJ236)</f>
        <v>0</v>
      </c>
      <c r="AT218" s="71">
        <f>SUM(AK219:AK236)</f>
        <v>0</v>
      </c>
      <c r="AU218" s="71">
        <f>SUM(AL219:AL236)</f>
        <v>0</v>
      </c>
    </row>
    <row r="219" spans="1:64" ht="12.75">
      <c r="A219" s="80" t="s">
        <v>183</v>
      </c>
      <c r="B219" s="80"/>
      <c r="C219" s="80" t="s">
        <v>329</v>
      </c>
      <c r="D219" s="216" t="s">
        <v>551</v>
      </c>
      <c r="E219" s="217"/>
      <c r="F219" s="80" t="s">
        <v>609</v>
      </c>
      <c r="G219" s="85">
        <v>25.076</v>
      </c>
      <c r="H219" s="133"/>
      <c r="I219" s="85">
        <f>G219*AO219</f>
        <v>0</v>
      </c>
      <c r="J219" s="85">
        <f>G219*AP219</f>
        <v>0</v>
      </c>
      <c r="K219" s="85">
        <f>G219*H219</f>
        <v>0</v>
      </c>
      <c r="L219" s="85">
        <v>0.00318</v>
      </c>
      <c r="M219" s="85">
        <f>G219*L219</f>
        <v>0.07974168000000001</v>
      </c>
      <c r="N219" s="75" t="s">
        <v>631</v>
      </c>
      <c r="O219" s="77"/>
      <c r="Z219" s="65">
        <f>IF(AQ219="5",BJ219,0)</f>
        <v>0</v>
      </c>
      <c r="AB219" s="65">
        <f>IF(AQ219="1",BH219,0)</f>
        <v>0</v>
      </c>
      <c r="AC219" s="65">
        <f>IF(AQ219="1",BI219,0)</f>
        <v>0</v>
      </c>
      <c r="AD219" s="65">
        <f>IF(AQ219="7",BH219,0)</f>
        <v>0</v>
      </c>
      <c r="AE219" s="65">
        <f>IF(AQ219="7",BI219,0)</f>
        <v>0</v>
      </c>
      <c r="AF219" s="65">
        <f>IF(AQ219="2",BH219,0)</f>
        <v>0</v>
      </c>
      <c r="AG219" s="65">
        <f>IF(AQ219="2",BI219,0)</f>
        <v>0</v>
      </c>
      <c r="AH219" s="65">
        <f>IF(AQ219="0",BJ219,0)</f>
        <v>0</v>
      </c>
      <c r="AI219" s="58"/>
      <c r="AJ219" s="48">
        <f>IF(AN219=0,K219,0)</f>
        <v>0</v>
      </c>
      <c r="AK219" s="48">
        <f>IF(AN219=15,K219,0)</f>
        <v>0</v>
      </c>
      <c r="AL219" s="48">
        <f>IF(AN219=21,K219,0)</f>
        <v>0</v>
      </c>
      <c r="AN219" s="65">
        <v>15</v>
      </c>
      <c r="AO219" s="65">
        <f>H219*0.101417865723317</f>
        <v>0</v>
      </c>
      <c r="AP219" s="65">
        <f>H219*(1-0.101417865723317)</f>
        <v>0</v>
      </c>
      <c r="AQ219" s="66" t="s">
        <v>80</v>
      </c>
      <c r="AV219" s="65">
        <f>AW219+AX219</f>
        <v>0</v>
      </c>
      <c r="AW219" s="65">
        <f>G219*AO219</f>
        <v>0</v>
      </c>
      <c r="AX219" s="65">
        <f>G219*AP219</f>
        <v>0</v>
      </c>
      <c r="AY219" s="68" t="s">
        <v>656</v>
      </c>
      <c r="AZ219" s="68" t="s">
        <v>673</v>
      </c>
      <c r="BA219" s="58" t="s">
        <v>675</v>
      </c>
      <c r="BC219" s="65">
        <f>AW219+AX219</f>
        <v>0</v>
      </c>
      <c r="BD219" s="65">
        <f>H219/(100-BE219)*100</f>
        <v>0</v>
      </c>
      <c r="BE219" s="65">
        <v>0</v>
      </c>
      <c r="BF219" s="65">
        <f>M219</f>
        <v>0.07974168000000001</v>
      </c>
      <c r="BH219" s="48">
        <f>G219*AO219</f>
        <v>0</v>
      </c>
      <c r="BI219" s="48">
        <f>G219*AP219</f>
        <v>0</v>
      </c>
      <c r="BJ219" s="48">
        <f>G219*H219</f>
        <v>0</v>
      </c>
      <c r="BK219" s="48" t="s">
        <v>680</v>
      </c>
      <c r="BL219" s="65">
        <v>781</v>
      </c>
    </row>
    <row r="220" spans="1:15" ht="12.75">
      <c r="A220" s="87"/>
      <c r="B220" s="88"/>
      <c r="C220" s="88"/>
      <c r="D220" s="89" t="s">
        <v>394</v>
      </c>
      <c r="E220" s="90"/>
      <c r="F220" s="88"/>
      <c r="G220" s="91">
        <v>0</v>
      </c>
      <c r="H220" s="88"/>
      <c r="I220" s="88"/>
      <c r="J220" s="88"/>
      <c r="K220" s="88"/>
      <c r="L220" s="88"/>
      <c r="M220" s="88"/>
      <c r="N220" s="78"/>
      <c r="O220" s="77"/>
    </row>
    <row r="221" spans="1:15" ht="12.75">
      <c r="A221" s="87"/>
      <c r="B221" s="88"/>
      <c r="C221" s="88"/>
      <c r="D221" s="89" t="s">
        <v>552</v>
      </c>
      <c r="E221" s="90"/>
      <c r="F221" s="88"/>
      <c r="G221" s="91">
        <v>19.737</v>
      </c>
      <c r="H221" s="88"/>
      <c r="I221" s="88"/>
      <c r="J221" s="88"/>
      <c r="K221" s="88"/>
      <c r="L221" s="88"/>
      <c r="M221" s="88"/>
      <c r="N221" s="78"/>
      <c r="O221" s="77"/>
    </row>
    <row r="222" spans="1:15" ht="12.75">
      <c r="A222" s="87"/>
      <c r="B222" s="88"/>
      <c r="C222" s="88"/>
      <c r="D222" s="89" t="s">
        <v>553</v>
      </c>
      <c r="E222" s="90"/>
      <c r="F222" s="88"/>
      <c r="G222" s="91">
        <v>0.35</v>
      </c>
      <c r="H222" s="88"/>
      <c r="I222" s="88"/>
      <c r="J222" s="88"/>
      <c r="K222" s="88"/>
      <c r="L222" s="88"/>
      <c r="M222" s="88"/>
      <c r="N222" s="78"/>
      <c r="O222" s="77"/>
    </row>
    <row r="223" spans="1:15" ht="12.75">
      <c r="A223" s="87"/>
      <c r="B223" s="88"/>
      <c r="C223" s="88"/>
      <c r="D223" s="89" t="s">
        <v>396</v>
      </c>
      <c r="E223" s="90"/>
      <c r="F223" s="88"/>
      <c r="G223" s="91">
        <v>0</v>
      </c>
      <c r="H223" s="88"/>
      <c r="I223" s="88"/>
      <c r="J223" s="88"/>
      <c r="K223" s="88"/>
      <c r="L223" s="88"/>
      <c r="M223" s="88"/>
      <c r="N223" s="78"/>
      <c r="O223" s="77"/>
    </row>
    <row r="224" spans="1:15" ht="12.75">
      <c r="A224" s="87"/>
      <c r="B224" s="88"/>
      <c r="C224" s="88"/>
      <c r="D224" s="89" t="s">
        <v>554</v>
      </c>
      <c r="E224" s="90"/>
      <c r="F224" s="88"/>
      <c r="G224" s="91">
        <v>4.989</v>
      </c>
      <c r="H224" s="88"/>
      <c r="I224" s="88"/>
      <c r="J224" s="88"/>
      <c r="K224" s="88"/>
      <c r="L224" s="88"/>
      <c r="M224" s="88"/>
      <c r="N224" s="78"/>
      <c r="O224" s="77"/>
    </row>
    <row r="225" spans="1:64" ht="12.75">
      <c r="A225" s="80" t="s">
        <v>184</v>
      </c>
      <c r="B225" s="80"/>
      <c r="C225" s="80" t="s">
        <v>330</v>
      </c>
      <c r="D225" s="216" t="s">
        <v>555</v>
      </c>
      <c r="E225" s="217"/>
      <c r="F225" s="80" t="s">
        <v>609</v>
      </c>
      <c r="G225" s="85">
        <v>25.076</v>
      </c>
      <c r="H225" s="133"/>
      <c r="I225" s="85">
        <f>G225*AO225</f>
        <v>0</v>
      </c>
      <c r="J225" s="85">
        <f>G225*AP225</f>
        <v>0</v>
      </c>
      <c r="K225" s="85">
        <f>G225*H225</f>
        <v>0</v>
      </c>
      <c r="L225" s="85">
        <v>0</v>
      </c>
      <c r="M225" s="85">
        <f>G225*L225</f>
        <v>0</v>
      </c>
      <c r="N225" s="75" t="s">
        <v>631</v>
      </c>
      <c r="O225" s="77"/>
      <c r="Z225" s="65">
        <f>IF(AQ225="5",BJ225,0)</f>
        <v>0</v>
      </c>
      <c r="AB225" s="65">
        <f>IF(AQ225="1",BH225,0)</f>
        <v>0</v>
      </c>
      <c r="AC225" s="65">
        <f>IF(AQ225="1",BI225,0)</f>
        <v>0</v>
      </c>
      <c r="AD225" s="65">
        <f>IF(AQ225="7",BH225,0)</f>
        <v>0</v>
      </c>
      <c r="AE225" s="65">
        <f>IF(AQ225="7",BI225,0)</f>
        <v>0</v>
      </c>
      <c r="AF225" s="65">
        <f>IF(AQ225="2",BH225,0)</f>
        <v>0</v>
      </c>
      <c r="AG225" s="65">
        <f>IF(AQ225="2",BI225,0)</f>
        <v>0</v>
      </c>
      <c r="AH225" s="65">
        <f>IF(AQ225="0",BJ225,0)</f>
        <v>0</v>
      </c>
      <c r="AI225" s="58"/>
      <c r="AJ225" s="48">
        <f>IF(AN225=0,K225,0)</f>
        <v>0</v>
      </c>
      <c r="AK225" s="48">
        <f>IF(AN225=15,K225,0)</f>
        <v>0</v>
      </c>
      <c r="AL225" s="48">
        <f>IF(AN225=21,K225,0)</f>
        <v>0</v>
      </c>
      <c r="AN225" s="65">
        <v>15</v>
      </c>
      <c r="AO225" s="65">
        <f>H225*0</f>
        <v>0</v>
      </c>
      <c r="AP225" s="65">
        <f>H225*(1-0)</f>
        <v>0</v>
      </c>
      <c r="AQ225" s="66" t="s">
        <v>80</v>
      </c>
      <c r="AV225" s="65">
        <f>AW225+AX225</f>
        <v>0</v>
      </c>
      <c r="AW225" s="65">
        <f>G225*AO225</f>
        <v>0</v>
      </c>
      <c r="AX225" s="65">
        <f>G225*AP225</f>
        <v>0</v>
      </c>
      <c r="AY225" s="68" t="s">
        <v>656</v>
      </c>
      <c r="AZ225" s="68" t="s">
        <v>673</v>
      </c>
      <c r="BA225" s="58" t="s">
        <v>675</v>
      </c>
      <c r="BC225" s="65">
        <f>AW225+AX225</f>
        <v>0</v>
      </c>
      <c r="BD225" s="65">
        <f>H225/(100-BE225)*100</f>
        <v>0</v>
      </c>
      <c r="BE225" s="65">
        <v>0</v>
      </c>
      <c r="BF225" s="65">
        <f>M225</f>
        <v>0</v>
      </c>
      <c r="BH225" s="48">
        <f>G225*AO225</f>
        <v>0</v>
      </c>
      <c r="BI225" s="48">
        <f>G225*AP225</f>
        <v>0</v>
      </c>
      <c r="BJ225" s="48">
        <f>G225*H225</f>
        <v>0</v>
      </c>
      <c r="BK225" s="48" t="s">
        <v>680</v>
      </c>
      <c r="BL225" s="65">
        <v>781</v>
      </c>
    </row>
    <row r="226" spans="1:64" ht="12.75">
      <c r="A226" s="80" t="s">
        <v>185</v>
      </c>
      <c r="B226" s="80"/>
      <c r="C226" s="80" t="s">
        <v>331</v>
      </c>
      <c r="D226" s="216" t="s">
        <v>556</v>
      </c>
      <c r="E226" s="217"/>
      <c r="F226" s="80" t="s">
        <v>609</v>
      </c>
      <c r="G226" s="85">
        <v>25.076</v>
      </c>
      <c r="H226" s="133"/>
      <c r="I226" s="85">
        <f>G226*AO226</f>
        <v>0</v>
      </c>
      <c r="J226" s="85">
        <f>G226*AP226</f>
        <v>0</v>
      </c>
      <c r="K226" s="85">
        <f>G226*H226</f>
        <v>0</v>
      </c>
      <c r="L226" s="85">
        <v>0</v>
      </c>
      <c r="M226" s="85">
        <f>G226*L226</f>
        <v>0</v>
      </c>
      <c r="N226" s="75" t="s">
        <v>631</v>
      </c>
      <c r="O226" s="77"/>
      <c r="Z226" s="65">
        <f>IF(AQ226="5",BJ226,0)</f>
        <v>0</v>
      </c>
      <c r="AB226" s="65">
        <f>IF(AQ226="1",BH226,0)</f>
        <v>0</v>
      </c>
      <c r="AC226" s="65">
        <f>IF(AQ226="1",BI226,0)</f>
        <v>0</v>
      </c>
      <c r="AD226" s="65">
        <f>IF(AQ226="7",BH226,0)</f>
        <v>0</v>
      </c>
      <c r="AE226" s="65">
        <f>IF(AQ226="7",BI226,0)</f>
        <v>0</v>
      </c>
      <c r="AF226" s="65">
        <f>IF(AQ226="2",BH226,0)</f>
        <v>0</v>
      </c>
      <c r="AG226" s="65">
        <f>IF(AQ226="2",BI226,0)</f>
        <v>0</v>
      </c>
      <c r="AH226" s="65">
        <f>IF(AQ226="0",BJ226,0)</f>
        <v>0</v>
      </c>
      <c r="AI226" s="58"/>
      <c r="AJ226" s="48">
        <f>IF(AN226=0,K226,0)</f>
        <v>0</v>
      </c>
      <c r="AK226" s="48">
        <f>IF(AN226=15,K226,0)</f>
        <v>0</v>
      </c>
      <c r="AL226" s="48">
        <f>IF(AN226=21,K226,0)</f>
        <v>0</v>
      </c>
      <c r="AN226" s="65">
        <v>15</v>
      </c>
      <c r="AO226" s="65">
        <f>H226*0</f>
        <v>0</v>
      </c>
      <c r="AP226" s="65">
        <f>H226*(1-0)</f>
        <v>0</v>
      </c>
      <c r="AQ226" s="66" t="s">
        <v>80</v>
      </c>
      <c r="AV226" s="65">
        <f>AW226+AX226</f>
        <v>0</v>
      </c>
      <c r="AW226" s="65">
        <f>G226*AO226</f>
        <v>0</v>
      </c>
      <c r="AX226" s="65">
        <f>G226*AP226</f>
        <v>0</v>
      </c>
      <c r="AY226" s="68" t="s">
        <v>656</v>
      </c>
      <c r="AZ226" s="68" t="s">
        <v>673</v>
      </c>
      <c r="BA226" s="58" t="s">
        <v>675</v>
      </c>
      <c r="BC226" s="65">
        <f>AW226+AX226</f>
        <v>0</v>
      </c>
      <c r="BD226" s="65">
        <f>H226/(100-BE226)*100</f>
        <v>0</v>
      </c>
      <c r="BE226" s="65">
        <v>0</v>
      </c>
      <c r="BF226" s="65">
        <f>M226</f>
        <v>0</v>
      </c>
      <c r="BH226" s="48">
        <f>G226*AO226</f>
        <v>0</v>
      </c>
      <c r="BI226" s="48">
        <f>G226*AP226</f>
        <v>0</v>
      </c>
      <c r="BJ226" s="48">
        <f>G226*H226</f>
        <v>0</v>
      </c>
      <c r="BK226" s="48" t="s">
        <v>680</v>
      </c>
      <c r="BL226" s="65">
        <v>781</v>
      </c>
    </row>
    <row r="227" spans="1:64" ht="12.75">
      <c r="A227" s="98" t="s">
        <v>186</v>
      </c>
      <c r="B227" s="98"/>
      <c r="C227" s="98" t="s">
        <v>332</v>
      </c>
      <c r="D227" s="220" t="s">
        <v>557</v>
      </c>
      <c r="E227" s="221"/>
      <c r="F227" s="98" t="s">
        <v>609</v>
      </c>
      <c r="G227" s="99">
        <v>27.5836</v>
      </c>
      <c r="H227" s="134"/>
      <c r="I227" s="99">
        <f>G227*AO227</f>
        <v>0</v>
      </c>
      <c r="J227" s="99">
        <f>G227*AP227</f>
        <v>0</v>
      </c>
      <c r="K227" s="99">
        <f>G227*H227</f>
        <v>0</v>
      </c>
      <c r="L227" s="99">
        <v>0.0122</v>
      </c>
      <c r="M227" s="99">
        <f>G227*L227</f>
        <v>0.33651992000000003</v>
      </c>
      <c r="N227" s="97" t="s">
        <v>631</v>
      </c>
      <c r="O227" s="77"/>
      <c r="Z227" s="65">
        <f>IF(AQ227="5",BJ227,0)</f>
        <v>0</v>
      </c>
      <c r="AB227" s="65">
        <f>IF(AQ227="1",BH227,0)</f>
        <v>0</v>
      </c>
      <c r="AC227" s="65">
        <f>IF(AQ227="1",BI227,0)</f>
        <v>0</v>
      </c>
      <c r="AD227" s="65">
        <f>IF(AQ227="7",BH227,0)</f>
        <v>0</v>
      </c>
      <c r="AE227" s="65">
        <f>IF(AQ227="7",BI227,0)</f>
        <v>0</v>
      </c>
      <c r="AF227" s="65">
        <f>IF(AQ227="2",BH227,0)</f>
        <v>0</v>
      </c>
      <c r="AG227" s="65">
        <f>IF(AQ227="2",BI227,0)</f>
        <v>0</v>
      </c>
      <c r="AH227" s="65">
        <f>IF(AQ227="0",BJ227,0)</f>
        <v>0</v>
      </c>
      <c r="AI227" s="58"/>
      <c r="AJ227" s="50">
        <f>IF(AN227=0,K227,0)</f>
        <v>0</v>
      </c>
      <c r="AK227" s="50">
        <f>IF(AN227=15,K227,0)</f>
        <v>0</v>
      </c>
      <c r="AL227" s="50">
        <f>IF(AN227=21,K227,0)</f>
        <v>0</v>
      </c>
      <c r="AN227" s="65">
        <v>15</v>
      </c>
      <c r="AO227" s="65">
        <f>H227*1</f>
        <v>0</v>
      </c>
      <c r="AP227" s="65">
        <f>H227*(1-1)</f>
        <v>0</v>
      </c>
      <c r="AQ227" s="67" t="s">
        <v>80</v>
      </c>
      <c r="AV227" s="65">
        <f>AW227+AX227</f>
        <v>0</v>
      </c>
      <c r="AW227" s="65">
        <f>G227*AO227</f>
        <v>0</v>
      </c>
      <c r="AX227" s="65">
        <f>G227*AP227</f>
        <v>0</v>
      </c>
      <c r="AY227" s="68" t="s">
        <v>656</v>
      </c>
      <c r="AZ227" s="68" t="s">
        <v>673</v>
      </c>
      <c r="BA227" s="58" t="s">
        <v>675</v>
      </c>
      <c r="BC227" s="65">
        <f>AW227+AX227</f>
        <v>0</v>
      </c>
      <c r="BD227" s="65">
        <f>H227/(100-BE227)*100</f>
        <v>0</v>
      </c>
      <c r="BE227" s="65">
        <v>0</v>
      </c>
      <c r="BF227" s="65">
        <f>M227</f>
        <v>0.33651992000000003</v>
      </c>
      <c r="BH227" s="50">
        <f>G227*AO227</f>
        <v>0</v>
      </c>
      <c r="BI227" s="50">
        <f>G227*AP227</f>
        <v>0</v>
      </c>
      <c r="BJ227" s="50">
        <f>G227*H227</f>
        <v>0</v>
      </c>
      <c r="BK227" s="50" t="s">
        <v>681</v>
      </c>
      <c r="BL227" s="65">
        <v>781</v>
      </c>
    </row>
    <row r="228" spans="1:15" ht="12.75">
      <c r="A228" s="87"/>
      <c r="B228" s="88"/>
      <c r="C228" s="88"/>
      <c r="D228" s="89" t="s">
        <v>558</v>
      </c>
      <c r="E228" s="90"/>
      <c r="F228" s="88"/>
      <c r="G228" s="91">
        <v>27.5836</v>
      </c>
      <c r="H228" s="88"/>
      <c r="I228" s="88"/>
      <c r="J228" s="88"/>
      <c r="K228" s="88"/>
      <c r="L228" s="88"/>
      <c r="M228" s="88"/>
      <c r="N228" s="78"/>
      <c r="O228" s="77"/>
    </row>
    <row r="229" spans="1:64" ht="12.75">
      <c r="A229" s="80" t="s">
        <v>187</v>
      </c>
      <c r="B229" s="80"/>
      <c r="C229" s="80" t="s">
        <v>333</v>
      </c>
      <c r="D229" s="216" t="s">
        <v>559</v>
      </c>
      <c r="E229" s="217"/>
      <c r="F229" s="80" t="s">
        <v>610</v>
      </c>
      <c r="G229" s="85">
        <v>8</v>
      </c>
      <c r="H229" s="133"/>
      <c r="I229" s="85">
        <f>G229*AO229</f>
        <v>0</v>
      </c>
      <c r="J229" s="85">
        <f>G229*AP229</f>
        <v>0</v>
      </c>
      <c r="K229" s="85">
        <f>G229*H229</f>
        <v>0</v>
      </c>
      <c r="L229" s="85">
        <v>0</v>
      </c>
      <c r="M229" s="85">
        <f>G229*L229</f>
        <v>0</v>
      </c>
      <c r="N229" s="75" t="s">
        <v>631</v>
      </c>
      <c r="O229" s="77"/>
      <c r="Z229" s="65">
        <f>IF(AQ229="5",BJ229,0)</f>
        <v>0</v>
      </c>
      <c r="AB229" s="65">
        <f>IF(AQ229="1",BH229,0)</f>
        <v>0</v>
      </c>
      <c r="AC229" s="65">
        <f>IF(AQ229="1",BI229,0)</f>
        <v>0</v>
      </c>
      <c r="AD229" s="65">
        <f>IF(AQ229="7",BH229,0)</f>
        <v>0</v>
      </c>
      <c r="AE229" s="65">
        <f>IF(AQ229="7",BI229,0)</f>
        <v>0</v>
      </c>
      <c r="AF229" s="65">
        <f>IF(AQ229="2",BH229,0)</f>
        <v>0</v>
      </c>
      <c r="AG229" s="65">
        <f>IF(AQ229="2",BI229,0)</f>
        <v>0</v>
      </c>
      <c r="AH229" s="65">
        <f>IF(AQ229="0",BJ229,0)</f>
        <v>0</v>
      </c>
      <c r="AI229" s="58"/>
      <c r="AJ229" s="48">
        <f>IF(AN229=0,K229,0)</f>
        <v>0</v>
      </c>
      <c r="AK229" s="48">
        <f>IF(AN229=15,K229,0)</f>
        <v>0</v>
      </c>
      <c r="AL229" s="48">
        <f>IF(AN229=21,K229,0)</f>
        <v>0</v>
      </c>
      <c r="AN229" s="65">
        <v>15</v>
      </c>
      <c r="AO229" s="65">
        <f>H229*0.0560496380558428</f>
        <v>0</v>
      </c>
      <c r="AP229" s="65">
        <f>H229*(1-0.0560496380558428)</f>
        <v>0</v>
      </c>
      <c r="AQ229" s="66" t="s">
        <v>80</v>
      </c>
      <c r="AV229" s="65">
        <f>AW229+AX229</f>
        <v>0</v>
      </c>
      <c r="AW229" s="65">
        <f>G229*AO229</f>
        <v>0</v>
      </c>
      <c r="AX229" s="65">
        <f>G229*AP229</f>
        <v>0</v>
      </c>
      <c r="AY229" s="68" t="s">
        <v>656</v>
      </c>
      <c r="AZ229" s="68" t="s">
        <v>673</v>
      </c>
      <c r="BA229" s="58" t="s">
        <v>675</v>
      </c>
      <c r="BC229" s="65">
        <f>AW229+AX229</f>
        <v>0</v>
      </c>
      <c r="BD229" s="65">
        <f>H229/(100-BE229)*100</f>
        <v>0</v>
      </c>
      <c r="BE229" s="65">
        <v>0</v>
      </c>
      <c r="BF229" s="65">
        <f>M229</f>
        <v>0</v>
      </c>
      <c r="BH229" s="48">
        <f>G229*AO229</f>
        <v>0</v>
      </c>
      <c r="BI229" s="48">
        <f>G229*AP229</f>
        <v>0</v>
      </c>
      <c r="BJ229" s="48">
        <f>G229*H229</f>
        <v>0</v>
      </c>
      <c r="BK229" s="48" t="s">
        <v>680</v>
      </c>
      <c r="BL229" s="65">
        <v>781</v>
      </c>
    </row>
    <row r="230" spans="1:64" ht="12.75">
      <c r="A230" s="80" t="s">
        <v>188</v>
      </c>
      <c r="B230" s="80"/>
      <c r="C230" s="80" t="s">
        <v>334</v>
      </c>
      <c r="D230" s="216" t="s">
        <v>560</v>
      </c>
      <c r="E230" s="217"/>
      <c r="F230" s="80" t="s">
        <v>611</v>
      </c>
      <c r="G230" s="85">
        <v>7</v>
      </c>
      <c r="H230" s="133"/>
      <c r="I230" s="85">
        <f>G230*AO230</f>
        <v>0</v>
      </c>
      <c r="J230" s="85">
        <f>G230*AP230</f>
        <v>0</v>
      </c>
      <c r="K230" s="85">
        <f>G230*H230</f>
        <v>0</v>
      </c>
      <c r="L230" s="85">
        <v>0</v>
      </c>
      <c r="M230" s="85">
        <f>G230*L230</f>
        <v>0</v>
      </c>
      <c r="N230" s="75" t="s">
        <v>631</v>
      </c>
      <c r="O230" s="77"/>
      <c r="Z230" s="65">
        <f>IF(AQ230="5",BJ230,0)</f>
        <v>0</v>
      </c>
      <c r="AB230" s="65">
        <f>IF(AQ230="1",BH230,0)</f>
        <v>0</v>
      </c>
      <c r="AC230" s="65">
        <f>IF(AQ230="1",BI230,0)</f>
        <v>0</v>
      </c>
      <c r="AD230" s="65">
        <f>IF(AQ230="7",BH230,0)</f>
        <v>0</v>
      </c>
      <c r="AE230" s="65">
        <f>IF(AQ230="7",BI230,0)</f>
        <v>0</v>
      </c>
      <c r="AF230" s="65">
        <f>IF(AQ230="2",BH230,0)</f>
        <v>0</v>
      </c>
      <c r="AG230" s="65">
        <f>IF(AQ230="2",BI230,0)</f>
        <v>0</v>
      </c>
      <c r="AH230" s="65">
        <f>IF(AQ230="0",BJ230,0)</f>
        <v>0</v>
      </c>
      <c r="AI230" s="58"/>
      <c r="AJ230" s="48">
        <f>IF(AN230=0,K230,0)</f>
        <v>0</v>
      </c>
      <c r="AK230" s="48">
        <f>IF(AN230=15,K230,0)</f>
        <v>0</v>
      </c>
      <c r="AL230" s="48">
        <f>IF(AN230=21,K230,0)</f>
        <v>0</v>
      </c>
      <c r="AN230" s="65">
        <v>15</v>
      </c>
      <c r="AO230" s="65">
        <f>H230*0.0627257799671593</f>
        <v>0</v>
      </c>
      <c r="AP230" s="65">
        <f>H230*(1-0.0627257799671593)</f>
        <v>0</v>
      </c>
      <c r="AQ230" s="66" t="s">
        <v>80</v>
      </c>
      <c r="AV230" s="65">
        <f>AW230+AX230</f>
        <v>0</v>
      </c>
      <c r="AW230" s="65">
        <f>G230*AO230</f>
        <v>0</v>
      </c>
      <c r="AX230" s="65">
        <f>G230*AP230</f>
        <v>0</v>
      </c>
      <c r="AY230" s="68" t="s">
        <v>656</v>
      </c>
      <c r="AZ230" s="68" t="s">
        <v>673</v>
      </c>
      <c r="BA230" s="58" t="s">
        <v>675</v>
      </c>
      <c r="BC230" s="65">
        <f>AW230+AX230</f>
        <v>0</v>
      </c>
      <c r="BD230" s="65">
        <f>H230/(100-BE230)*100</f>
        <v>0</v>
      </c>
      <c r="BE230" s="65">
        <v>0</v>
      </c>
      <c r="BF230" s="65">
        <f>M230</f>
        <v>0</v>
      </c>
      <c r="BH230" s="48">
        <f>G230*AO230</f>
        <v>0</v>
      </c>
      <c r="BI230" s="48">
        <f>G230*AP230</f>
        <v>0</v>
      </c>
      <c r="BJ230" s="48">
        <f>G230*H230</f>
        <v>0</v>
      </c>
      <c r="BK230" s="48" t="s">
        <v>680</v>
      </c>
      <c r="BL230" s="65">
        <v>781</v>
      </c>
    </row>
    <row r="231" spans="1:64" ht="12.75">
      <c r="A231" s="80" t="s">
        <v>189</v>
      </c>
      <c r="B231" s="80"/>
      <c r="C231" s="80" t="s">
        <v>335</v>
      </c>
      <c r="D231" s="216" t="s">
        <v>561</v>
      </c>
      <c r="E231" s="217"/>
      <c r="F231" s="80" t="s">
        <v>610</v>
      </c>
      <c r="G231" s="85">
        <v>32.27</v>
      </c>
      <c r="H231" s="133"/>
      <c r="I231" s="85">
        <f>G231*AO231</f>
        <v>0</v>
      </c>
      <c r="J231" s="85">
        <f>G231*AP231</f>
        <v>0</v>
      </c>
      <c r="K231" s="85">
        <f>G231*H231</f>
        <v>0</v>
      </c>
      <c r="L231" s="85">
        <v>0</v>
      </c>
      <c r="M231" s="85">
        <f>G231*L231</f>
        <v>0</v>
      </c>
      <c r="N231" s="75" t="s">
        <v>631</v>
      </c>
      <c r="O231" s="77"/>
      <c r="Z231" s="65">
        <f>IF(AQ231="5",BJ231,0)</f>
        <v>0</v>
      </c>
      <c r="AB231" s="65">
        <f>IF(AQ231="1",BH231,0)</f>
        <v>0</v>
      </c>
      <c r="AC231" s="65">
        <f>IF(AQ231="1",BI231,0)</f>
        <v>0</v>
      </c>
      <c r="AD231" s="65">
        <f>IF(AQ231="7",BH231,0)</f>
        <v>0</v>
      </c>
      <c r="AE231" s="65">
        <f>IF(AQ231="7",BI231,0)</f>
        <v>0</v>
      </c>
      <c r="AF231" s="65">
        <f>IF(AQ231="2",BH231,0)</f>
        <v>0</v>
      </c>
      <c r="AG231" s="65">
        <f>IF(AQ231="2",BI231,0)</f>
        <v>0</v>
      </c>
      <c r="AH231" s="65">
        <f>IF(AQ231="0",BJ231,0)</f>
        <v>0</v>
      </c>
      <c r="AI231" s="58"/>
      <c r="AJ231" s="48">
        <f>IF(AN231=0,K231,0)</f>
        <v>0</v>
      </c>
      <c r="AK231" s="48">
        <f>IF(AN231=15,K231,0)</f>
        <v>0</v>
      </c>
      <c r="AL231" s="48">
        <f>IF(AN231=21,K231,0)</f>
        <v>0</v>
      </c>
      <c r="AN231" s="65">
        <v>15</v>
      </c>
      <c r="AO231" s="65">
        <f>H231*0</f>
        <v>0</v>
      </c>
      <c r="AP231" s="65">
        <f>H231*(1-0)</f>
        <v>0</v>
      </c>
      <c r="AQ231" s="66" t="s">
        <v>80</v>
      </c>
      <c r="AV231" s="65">
        <f>AW231+AX231</f>
        <v>0</v>
      </c>
      <c r="AW231" s="65">
        <f>G231*AO231</f>
        <v>0</v>
      </c>
      <c r="AX231" s="65">
        <f>G231*AP231</f>
        <v>0</v>
      </c>
      <c r="AY231" s="68" t="s">
        <v>656</v>
      </c>
      <c r="AZ231" s="68" t="s">
        <v>673</v>
      </c>
      <c r="BA231" s="58" t="s">
        <v>675</v>
      </c>
      <c r="BC231" s="65">
        <f>AW231+AX231</f>
        <v>0</v>
      </c>
      <c r="BD231" s="65">
        <f>H231/(100-BE231)*100</f>
        <v>0</v>
      </c>
      <c r="BE231" s="65">
        <v>0</v>
      </c>
      <c r="BF231" s="65">
        <f>M231</f>
        <v>0</v>
      </c>
      <c r="BH231" s="48">
        <f>G231*AO231</f>
        <v>0</v>
      </c>
      <c r="BI231" s="48">
        <f>G231*AP231</f>
        <v>0</v>
      </c>
      <c r="BJ231" s="48">
        <f>G231*H231</f>
        <v>0</v>
      </c>
      <c r="BK231" s="48" t="s">
        <v>680</v>
      </c>
      <c r="BL231" s="65">
        <v>781</v>
      </c>
    </row>
    <row r="232" spans="1:15" ht="12.75">
      <c r="A232" s="87"/>
      <c r="B232" s="88"/>
      <c r="C232" s="88"/>
      <c r="D232" s="89" t="s">
        <v>439</v>
      </c>
      <c r="E232" s="90"/>
      <c r="F232" s="88"/>
      <c r="G232" s="91">
        <v>9.17</v>
      </c>
      <c r="H232" s="88"/>
      <c r="I232" s="88"/>
      <c r="J232" s="88"/>
      <c r="K232" s="88"/>
      <c r="L232" s="88"/>
      <c r="M232" s="88"/>
      <c r="N232" s="78"/>
      <c r="O232" s="77"/>
    </row>
    <row r="233" spans="1:15" ht="12.75">
      <c r="A233" s="87"/>
      <c r="B233" s="88"/>
      <c r="C233" s="88"/>
      <c r="D233" s="89" t="s">
        <v>562</v>
      </c>
      <c r="E233" s="90"/>
      <c r="F233" s="88"/>
      <c r="G233" s="91">
        <v>23.1</v>
      </c>
      <c r="H233" s="88"/>
      <c r="I233" s="88"/>
      <c r="J233" s="88"/>
      <c r="K233" s="88"/>
      <c r="L233" s="88"/>
      <c r="M233" s="88"/>
      <c r="N233" s="78"/>
      <c r="O233" s="77"/>
    </row>
    <row r="234" spans="1:64" ht="12.75">
      <c r="A234" s="98" t="s">
        <v>190</v>
      </c>
      <c r="B234" s="98"/>
      <c r="C234" s="98" t="s">
        <v>336</v>
      </c>
      <c r="D234" s="220" t="s">
        <v>563</v>
      </c>
      <c r="E234" s="221"/>
      <c r="F234" s="98" t="s">
        <v>610</v>
      </c>
      <c r="G234" s="99">
        <v>35.497</v>
      </c>
      <c r="H234" s="134"/>
      <c r="I234" s="99">
        <f>G234*AO234</f>
        <v>0</v>
      </c>
      <c r="J234" s="99">
        <f>G234*AP234</f>
        <v>0</v>
      </c>
      <c r="K234" s="99">
        <f>G234*H234</f>
        <v>0</v>
      </c>
      <c r="L234" s="99">
        <v>0.00022</v>
      </c>
      <c r="M234" s="99">
        <f>G234*L234</f>
        <v>0.0078093400000000006</v>
      </c>
      <c r="N234" s="97" t="s">
        <v>631</v>
      </c>
      <c r="O234" s="77"/>
      <c r="Z234" s="65">
        <f>IF(AQ234="5",BJ234,0)</f>
        <v>0</v>
      </c>
      <c r="AB234" s="65">
        <f>IF(AQ234="1",BH234,0)</f>
        <v>0</v>
      </c>
      <c r="AC234" s="65">
        <f>IF(AQ234="1",BI234,0)</f>
        <v>0</v>
      </c>
      <c r="AD234" s="65">
        <f>IF(AQ234="7",BH234,0)</f>
        <v>0</v>
      </c>
      <c r="AE234" s="65">
        <f>IF(AQ234="7",BI234,0)</f>
        <v>0</v>
      </c>
      <c r="AF234" s="65">
        <f>IF(AQ234="2",BH234,0)</f>
        <v>0</v>
      </c>
      <c r="AG234" s="65">
        <f>IF(AQ234="2",BI234,0)</f>
        <v>0</v>
      </c>
      <c r="AH234" s="65">
        <f>IF(AQ234="0",BJ234,0)</f>
        <v>0</v>
      </c>
      <c r="AI234" s="58"/>
      <c r="AJ234" s="50">
        <f>IF(AN234=0,K234,0)</f>
        <v>0</v>
      </c>
      <c r="AK234" s="50">
        <f>IF(AN234=15,K234,0)</f>
        <v>0</v>
      </c>
      <c r="AL234" s="50">
        <f>IF(AN234=21,K234,0)</f>
        <v>0</v>
      </c>
      <c r="AN234" s="65">
        <v>15</v>
      </c>
      <c r="AO234" s="65">
        <f>H234*1</f>
        <v>0</v>
      </c>
      <c r="AP234" s="65">
        <f>H234*(1-1)</f>
        <v>0</v>
      </c>
      <c r="AQ234" s="67" t="s">
        <v>80</v>
      </c>
      <c r="AV234" s="65">
        <f>AW234+AX234</f>
        <v>0</v>
      </c>
      <c r="AW234" s="65">
        <f>G234*AO234</f>
        <v>0</v>
      </c>
      <c r="AX234" s="65">
        <f>G234*AP234</f>
        <v>0</v>
      </c>
      <c r="AY234" s="68" t="s">
        <v>656</v>
      </c>
      <c r="AZ234" s="68" t="s">
        <v>673</v>
      </c>
      <c r="BA234" s="58" t="s">
        <v>675</v>
      </c>
      <c r="BC234" s="65">
        <f>AW234+AX234</f>
        <v>0</v>
      </c>
      <c r="BD234" s="65">
        <f>H234/(100-BE234)*100</f>
        <v>0</v>
      </c>
      <c r="BE234" s="65">
        <v>0</v>
      </c>
      <c r="BF234" s="65">
        <f>M234</f>
        <v>0.0078093400000000006</v>
      </c>
      <c r="BH234" s="50">
        <f>G234*AO234</f>
        <v>0</v>
      </c>
      <c r="BI234" s="50">
        <f>G234*AP234</f>
        <v>0</v>
      </c>
      <c r="BJ234" s="50">
        <f>G234*H234</f>
        <v>0</v>
      </c>
      <c r="BK234" s="50" t="s">
        <v>681</v>
      </c>
      <c r="BL234" s="65">
        <v>781</v>
      </c>
    </row>
    <row r="235" spans="1:15" ht="12.75">
      <c r="A235" s="87"/>
      <c r="B235" s="88"/>
      <c r="C235" s="88"/>
      <c r="D235" s="89" t="s">
        <v>564</v>
      </c>
      <c r="E235" s="90"/>
      <c r="F235" s="88"/>
      <c r="G235" s="91">
        <v>35.497</v>
      </c>
      <c r="H235" s="88"/>
      <c r="I235" s="88"/>
      <c r="J235" s="88"/>
      <c r="K235" s="88"/>
      <c r="L235" s="88"/>
      <c r="M235" s="88"/>
      <c r="N235" s="78"/>
      <c r="O235" s="77"/>
    </row>
    <row r="236" spans="1:64" ht="12.75">
      <c r="A236" s="80" t="s">
        <v>191</v>
      </c>
      <c r="B236" s="80"/>
      <c r="C236" s="80" t="s">
        <v>337</v>
      </c>
      <c r="D236" s="216" t="s">
        <v>565</v>
      </c>
      <c r="E236" s="217"/>
      <c r="F236" s="80" t="s">
        <v>612</v>
      </c>
      <c r="G236" s="85">
        <v>0.4</v>
      </c>
      <c r="H236" s="133"/>
      <c r="I236" s="85">
        <f>G236*AO236</f>
        <v>0</v>
      </c>
      <c r="J236" s="85">
        <f>G236*AP236</f>
        <v>0</v>
      </c>
      <c r="K236" s="85">
        <f>G236*H236</f>
        <v>0</v>
      </c>
      <c r="L236" s="85">
        <v>0</v>
      </c>
      <c r="M236" s="85">
        <f>G236*L236</f>
        <v>0</v>
      </c>
      <c r="N236" s="75" t="s">
        <v>631</v>
      </c>
      <c r="O236" s="77"/>
      <c r="Z236" s="65">
        <f>IF(AQ236="5",BJ236,0)</f>
        <v>0</v>
      </c>
      <c r="AB236" s="65">
        <f>IF(AQ236="1",BH236,0)</f>
        <v>0</v>
      </c>
      <c r="AC236" s="65">
        <f>IF(AQ236="1",BI236,0)</f>
        <v>0</v>
      </c>
      <c r="AD236" s="65">
        <f>IF(AQ236="7",BH236,0)</f>
        <v>0</v>
      </c>
      <c r="AE236" s="65">
        <f>IF(AQ236="7",BI236,0)</f>
        <v>0</v>
      </c>
      <c r="AF236" s="65">
        <f>IF(AQ236="2",BH236,0)</f>
        <v>0</v>
      </c>
      <c r="AG236" s="65">
        <f>IF(AQ236="2",BI236,0)</f>
        <v>0</v>
      </c>
      <c r="AH236" s="65">
        <f>IF(AQ236="0",BJ236,0)</f>
        <v>0</v>
      </c>
      <c r="AI236" s="58"/>
      <c r="AJ236" s="48">
        <f>IF(AN236=0,K236,0)</f>
        <v>0</v>
      </c>
      <c r="AK236" s="48">
        <f>IF(AN236=15,K236,0)</f>
        <v>0</v>
      </c>
      <c r="AL236" s="48">
        <f>IF(AN236=21,K236,0)</f>
        <v>0</v>
      </c>
      <c r="AN236" s="65">
        <v>15</v>
      </c>
      <c r="AO236" s="65">
        <f>H236*0</f>
        <v>0</v>
      </c>
      <c r="AP236" s="65">
        <f>H236*(1-0)</f>
        <v>0</v>
      </c>
      <c r="AQ236" s="66" t="s">
        <v>78</v>
      </c>
      <c r="AV236" s="65">
        <f>AW236+AX236</f>
        <v>0</v>
      </c>
      <c r="AW236" s="65">
        <f>G236*AO236</f>
        <v>0</v>
      </c>
      <c r="AX236" s="65">
        <f>G236*AP236</f>
        <v>0</v>
      </c>
      <c r="AY236" s="68" t="s">
        <v>656</v>
      </c>
      <c r="AZ236" s="68" t="s">
        <v>673</v>
      </c>
      <c r="BA236" s="58" t="s">
        <v>675</v>
      </c>
      <c r="BC236" s="65">
        <f>AW236+AX236</f>
        <v>0</v>
      </c>
      <c r="BD236" s="65">
        <f>H236/(100-BE236)*100</f>
        <v>0</v>
      </c>
      <c r="BE236" s="65">
        <v>0</v>
      </c>
      <c r="BF236" s="65">
        <f>M236</f>
        <v>0</v>
      </c>
      <c r="BH236" s="48">
        <f>G236*AO236</f>
        <v>0</v>
      </c>
      <c r="BI236" s="48">
        <f>G236*AP236</f>
        <v>0</v>
      </c>
      <c r="BJ236" s="48">
        <f>G236*H236</f>
        <v>0</v>
      </c>
      <c r="BK236" s="48" t="s">
        <v>680</v>
      </c>
      <c r="BL236" s="65">
        <v>781</v>
      </c>
    </row>
    <row r="237" spans="1:47" ht="12.75">
      <c r="A237" s="93"/>
      <c r="B237" s="94"/>
      <c r="C237" s="94" t="s">
        <v>338</v>
      </c>
      <c r="D237" s="218" t="s">
        <v>566</v>
      </c>
      <c r="E237" s="219"/>
      <c r="F237" s="93" t="s">
        <v>73</v>
      </c>
      <c r="G237" s="93" t="s">
        <v>73</v>
      </c>
      <c r="H237" s="93" t="s">
        <v>73</v>
      </c>
      <c r="I237" s="95">
        <f>SUM(I238:I242)</f>
        <v>0</v>
      </c>
      <c r="J237" s="95">
        <f>SUM(J238:J242)</f>
        <v>0</v>
      </c>
      <c r="K237" s="95">
        <f>SUM(K238:K242)</f>
        <v>0</v>
      </c>
      <c r="L237" s="96"/>
      <c r="M237" s="95">
        <f>SUM(M238:M242)</f>
        <v>0.004236</v>
      </c>
      <c r="N237" s="92"/>
      <c r="O237" s="77"/>
      <c r="AI237" s="58"/>
      <c r="AS237" s="71">
        <f>SUM(AJ238:AJ242)</f>
        <v>0</v>
      </c>
      <c r="AT237" s="71">
        <f>SUM(AK238:AK242)</f>
        <v>0</v>
      </c>
      <c r="AU237" s="71">
        <f>SUM(AL238:AL242)</f>
        <v>0</v>
      </c>
    </row>
    <row r="238" spans="1:64" ht="12.75">
      <c r="A238" s="80" t="s">
        <v>192</v>
      </c>
      <c r="B238" s="80"/>
      <c r="C238" s="80" t="s">
        <v>339</v>
      </c>
      <c r="D238" s="216" t="s">
        <v>567</v>
      </c>
      <c r="E238" s="217"/>
      <c r="F238" s="80" t="s">
        <v>609</v>
      </c>
      <c r="G238" s="85">
        <v>4.8</v>
      </c>
      <c r="H238" s="133"/>
      <c r="I238" s="85">
        <f>G238*AO238</f>
        <v>0</v>
      </c>
      <c r="J238" s="85">
        <f>G238*AP238</f>
        <v>0</v>
      </c>
      <c r="K238" s="85">
        <f>G238*H238</f>
        <v>0</v>
      </c>
      <c r="L238" s="85">
        <v>0.00031</v>
      </c>
      <c r="M238" s="85">
        <f>G238*L238</f>
        <v>0.001488</v>
      </c>
      <c r="N238" s="75" t="s">
        <v>631</v>
      </c>
      <c r="O238" s="77"/>
      <c r="Z238" s="65">
        <f>IF(AQ238="5",BJ238,0)</f>
        <v>0</v>
      </c>
      <c r="AB238" s="65">
        <f>IF(AQ238="1",BH238,0)</f>
        <v>0</v>
      </c>
      <c r="AC238" s="65">
        <f>IF(AQ238="1",BI238,0)</f>
        <v>0</v>
      </c>
      <c r="AD238" s="65">
        <f>IF(AQ238="7",BH238,0)</f>
        <v>0</v>
      </c>
      <c r="AE238" s="65">
        <f>IF(AQ238="7",BI238,0)</f>
        <v>0</v>
      </c>
      <c r="AF238" s="65">
        <f>IF(AQ238="2",BH238,0)</f>
        <v>0</v>
      </c>
      <c r="AG238" s="65">
        <f>IF(AQ238="2",BI238,0)</f>
        <v>0</v>
      </c>
      <c r="AH238" s="65">
        <f>IF(AQ238="0",BJ238,0)</f>
        <v>0</v>
      </c>
      <c r="AI238" s="58"/>
      <c r="AJ238" s="48">
        <f>IF(AN238=0,K238,0)</f>
        <v>0</v>
      </c>
      <c r="AK238" s="48">
        <f>IF(AN238=15,K238,0)</f>
        <v>0</v>
      </c>
      <c r="AL238" s="48">
        <f>IF(AN238=21,K238,0)</f>
        <v>0</v>
      </c>
      <c r="AN238" s="65">
        <v>15</v>
      </c>
      <c r="AO238" s="65">
        <f>H238*0.176714579055441</f>
        <v>0</v>
      </c>
      <c r="AP238" s="65">
        <f>H238*(1-0.176714579055441)</f>
        <v>0</v>
      </c>
      <c r="AQ238" s="66" t="s">
        <v>80</v>
      </c>
      <c r="AV238" s="65">
        <f>AW238+AX238</f>
        <v>0</v>
      </c>
      <c r="AW238" s="65">
        <f>G238*AO238</f>
        <v>0</v>
      </c>
      <c r="AX238" s="65">
        <f>G238*AP238</f>
        <v>0</v>
      </c>
      <c r="AY238" s="68" t="s">
        <v>657</v>
      </c>
      <c r="AZ238" s="68" t="s">
        <v>673</v>
      </c>
      <c r="BA238" s="58" t="s">
        <v>675</v>
      </c>
      <c r="BC238" s="65">
        <f>AW238+AX238</f>
        <v>0</v>
      </c>
      <c r="BD238" s="65">
        <f>H238/(100-BE238)*100</f>
        <v>0</v>
      </c>
      <c r="BE238" s="65">
        <v>0</v>
      </c>
      <c r="BF238" s="65">
        <f>M238</f>
        <v>0.001488</v>
      </c>
      <c r="BH238" s="48">
        <f>G238*AO238</f>
        <v>0</v>
      </c>
      <c r="BI238" s="48">
        <f>G238*AP238</f>
        <v>0</v>
      </c>
      <c r="BJ238" s="48">
        <f>G238*H238</f>
        <v>0</v>
      </c>
      <c r="BK238" s="48" t="s">
        <v>680</v>
      </c>
      <c r="BL238" s="65">
        <v>783</v>
      </c>
    </row>
    <row r="239" spans="1:15" ht="12.75">
      <c r="A239" s="87"/>
      <c r="B239" s="88"/>
      <c r="C239" s="88"/>
      <c r="D239" s="89" t="s">
        <v>568</v>
      </c>
      <c r="E239" s="90"/>
      <c r="F239" s="88"/>
      <c r="G239" s="91">
        <v>4.8</v>
      </c>
      <c r="H239" s="88"/>
      <c r="I239" s="88"/>
      <c r="J239" s="88"/>
      <c r="K239" s="88"/>
      <c r="L239" s="88"/>
      <c r="M239" s="88"/>
      <c r="N239" s="78"/>
      <c r="O239" s="77"/>
    </row>
    <row r="240" spans="1:64" ht="12.75">
      <c r="A240" s="80" t="s">
        <v>193</v>
      </c>
      <c r="B240" s="80"/>
      <c r="C240" s="80" t="s">
        <v>340</v>
      </c>
      <c r="D240" s="216" t="s">
        <v>569</v>
      </c>
      <c r="E240" s="217"/>
      <c r="F240" s="80" t="s">
        <v>609</v>
      </c>
      <c r="G240" s="85">
        <v>4.8</v>
      </c>
      <c r="H240" s="133"/>
      <c r="I240" s="85">
        <f>G240*AO240</f>
        <v>0</v>
      </c>
      <c r="J240" s="85">
        <f>G240*AP240</f>
        <v>0</v>
      </c>
      <c r="K240" s="85">
        <f>G240*H240</f>
        <v>0</v>
      </c>
      <c r="L240" s="85">
        <v>1E-05</v>
      </c>
      <c r="M240" s="85">
        <f>G240*L240</f>
        <v>4.8E-05</v>
      </c>
      <c r="N240" s="75" t="s">
        <v>631</v>
      </c>
      <c r="O240" s="77"/>
      <c r="Z240" s="65">
        <f>IF(AQ240="5",BJ240,0)</f>
        <v>0</v>
      </c>
      <c r="AB240" s="65">
        <f>IF(AQ240="1",BH240,0)</f>
        <v>0</v>
      </c>
      <c r="AC240" s="65">
        <f>IF(AQ240="1",BI240,0)</f>
        <v>0</v>
      </c>
      <c r="AD240" s="65">
        <f>IF(AQ240="7",BH240,0)</f>
        <v>0</v>
      </c>
      <c r="AE240" s="65">
        <f>IF(AQ240="7",BI240,0)</f>
        <v>0</v>
      </c>
      <c r="AF240" s="65">
        <f>IF(AQ240="2",BH240,0)</f>
        <v>0</v>
      </c>
      <c r="AG240" s="65">
        <f>IF(AQ240="2",BI240,0)</f>
        <v>0</v>
      </c>
      <c r="AH240" s="65">
        <f>IF(AQ240="0",BJ240,0)</f>
        <v>0</v>
      </c>
      <c r="AI240" s="58"/>
      <c r="AJ240" s="48">
        <f>IF(AN240=0,K240,0)</f>
        <v>0</v>
      </c>
      <c r="AK240" s="48">
        <f>IF(AN240=15,K240,0)</f>
        <v>0</v>
      </c>
      <c r="AL240" s="48">
        <f>IF(AN240=21,K240,0)</f>
        <v>0</v>
      </c>
      <c r="AN240" s="65">
        <v>15</v>
      </c>
      <c r="AO240" s="65">
        <f>H240*0.0262806236080178</f>
        <v>0</v>
      </c>
      <c r="AP240" s="65">
        <f>H240*(1-0.0262806236080178)</f>
        <v>0</v>
      </c>
      <c r="AQ240" s="66" t="s">
        <v>80</v>
      </c>
      <c r="AV240" s="65">
        <f>AW240+AX240</f>
        <v>0</v>
      </c>
      <c r="AW240" s="65">
        <f>G240*AO240</f>
        <v>0</v>
      </c>
      <c r="AX240" s="65">
        <f>G240*AP240</f>
        <v>0</v>
      </c>
      <c r="AY240" s="68" t="s">
        <v>657</v>
      </c>
      <c r="AZ240" s="68" t="s">
        <v>673</v>
      </c>
      <c r="BA240" s="58" t="s">
        <v>675</v>
      </c>
      <c r="BC240" s="65">
        <f>AW240+AX240</f>
        <v>0</v>
      </c>
      <c r="BD240" s="65">
        <f>H240/(100-BE240)*100</f>
        <v>0</v>
      </c>
      <c r="BE240" s="65">
        <v>0</v>
      </c>
      <c r="BF240" s="65">
        <f>M240</f>
        <v>4.8E-05</v>
      </c>
      <c r="BH240" s="48">
        <f>G240*AO240</f>
        <v>0</v>
      </c>
      <c r="BI240" s="48">
        <f>G240*AP240</f>
        <v>0</v>
      </c>
      <c r="BJ240" s="48">
        <f>G240*H240</f>
        <v>0</v>
      </c>
      <c r="BK240" s="48" t="s">
        <v>680</v>
      </c>
      <c r="BL240" s="65">
        <v>783</v>
      </c>
    </row>
    <row r="241" spans="1:64" ht="12.75">
      <c r="A241" s="80" t="s">
        <v>194</v>
      </c>
      <c r="B241" s="80"/>
      <c r="C241" s="80" t="s">
        <v>341</v>
      </c>
      <c r="D241" s="216" t="s">
        <v>570</v>
      </c>
      <c r="E241" s="217"/>
      <c r="F241" s="80" t="s">
        <v>609</v>
      </c>
      <c r="G241" s="85">
        <v>6</v>
      </c>
      <c r="H241" s="133"/>
      <c r="I241" s="85">
        <f>G241*AO241</f>
        <v>0</v>
      </c>
      <c r="J241" s="85">
        <f>G241*AP241</f>
        <v>0</v>
      </c>
      <c r="K241" s="85">
        <f>G241*H241</f>
        <v>0</v>
      </c>
      <c r="L241" s="85">
        <v>0.00045</v>
      </c>
      <c r="M241" s="85">
        <f>G241*L241</f>
        <v>0.0027</v>
      </c>
      <c r="N241" s="75" t="s">
        <v>631</v>
      </c>
      <c r="O241" s="77"/>
      <c r="Z241" s="65">
        <f>IF(AQ241="5",BJ241,0)</f>
        <v>0</v>
      </c>
      <c r="AB241" s="65">
        <f>IF(AQ241="1",BH241,0)</f>
        <v>0</v>
      </c>
      <c r="AC241" s="65">
        <f>IF(AQ241="1",BI241,0)</f>
        <v>0</v>
      </c>
      <c r="AD241" s="65">
        <f>IF(AQ241="7",BH241,0)</f>
        <v>0</v>
      </c>
      <c r="AE241" s="65">
        <f>IF(AQ241="7",BI241,0)</f>
        <v>0</v>
      </c>
      <c r="AF241" s="65">
        <f>IF(AQ241="2",BH241,0)</f>
        <v>0</v>
      </c>
      <c r="AG241" s="65">
        <f>IF(AQ241="2",BI241,0)</f>
        <v>0</v>
      </c>
      <c r="AH241" s="65">
        <f>IF(AQ241="0",BJ241,0)</f>
        <v>0</v>
      </c>
      <c r="AI241" s="58"/>
      <c r="AJ241" s="48">
        <f>IF(AN241=0,K241,0)</f>
        <v>0</v>
      </c>
      <c r="AK241" s="48">
        <f>IF(AN241=15,K241,0)</f>
        <v>0</v>
      </c>
      <c r="AL241" s="48">
        <f>IF(AN241=21,K241,0)</f>
        <v>0</v>
      </c>
      <c r="AN241" s="65">
        <v>15</v>
      </c>
      <c r="AO241" s="65">
        <f>H241*0.505542191406066</f>
        <v>0</v>
      </c>
      <c r="AP241" s="65">
        <f>H241*(1-0.505542191406066)</f>
        <v>0</v>
      </c>
      <c r="AQ241" s="66" t="s">
        <v>80</v>
      </c>
      <c r="AV241" s="65">
        <f>AW241+AX241</f>
        <v>0</v>
      </c>
      <c r="AW241" s="65">
        <f>G241*AO241</f>
        <v>0</v>
      </c>
      <c r="AX241" s="65">
        <f>G241*AP241</f>
        <v>0</v>
      </c>
      <c r="AY241" s="68" t="s">
        <v>657</v>
      </c>
      <c r="AZ241" s="68" t="s">
        <v>673</v>
      </c>
      <c r="BA241" s="58" t="s">
        <v>675</v>
      </c>
      <c r="BC241" s="65">
        <f>AW241+AX241</f>
        <v>0</v>
      </c>
      <c r="BD241" s="65">
        <f>H241/(100-BE241)*100</f>
        <v>0</v>
      </c>
      <c r="BE241" s="65">
        <v>0</v>
      </c>
      <c r="BF241" s="65">
        <f>M241</f>
        <v>0.0027</v>
      </c>
      <c r="BH241" s="48">
        <f>G241*AO241</f>
        <v>0</v>
      </c>
      <c r="BI241" s="48">
        <f>G241*AP241</f>
        <v>0</v>
      </c>
      <c r="BJ241" s="48">
        <f>G241*H241</f>
        <v>0</v>
      </c>
      <c r="BK241" s="48" t="s">
        <v>680</v>
      </c>
      <c r="BL241" s="65">
        <v>783</v>
      </c>
    </row>
    <row r="242" spans="1:64" ht="12.75">
      <c r="A242" s="80" t="s">
        <v>195</v>
      </c>
      <c r="B242" s="80"/>
      <c r="C242" s="80" t="s">
        <v>340</v>
      </c>
      <c r="D242" s="216" t="s">
        <v>571</v>
      </c>
      <c r="E242" s="217"/>
      <c r="F242" s="80" t="s">
        <v>609</v>
      </c>
      <c r="G242" s="85">
        <v>6</v>
      </c>
      <c r="H242" s="133"/>
      <c r="I242" s="85">
        <f>G242*AO242</f>
        <v>0</v>
      </c>
      <c r="J242" s="85">
        <f>G242*AP242</f>
        <v>0</v>
      </c>
      <c r="K242" s="85">
        <f>G242*H242</f>
        <v>0</v>
      </c>
      <c r="L242" s="85">
        <v>0</v>
      </c>
      <c r="M242" s="85">
        <f>G242*L242</f>
        <v>0</v>
      </c>
      <c r="N242" s="75" t="s">
        <v>631</v>
      </c>
      <c r="O242" s="77"/>
      <c r="Z242" s="65">
        <f>IF(AQ242="5",BJ242,0)</f>
        <v>0</v>
      </c>
      <c r="AB242" s="65">
        <f>IF(AQ242="1",BH242,0)</f>
        <v>0</v>
      </c>
      <c r="AC242" s="65">
        <f>IF(AQ242="1",BI242,0)</f>
        <v>0</v>
      </c>
      <c r="AD242" s="65">
        <f>IF(AQ242="7",BH242,0)</f>
        <v>0</v>
      </c>
      <c r="AE242" s="65">
        <f>IF(AQ242="7",BI242,0)</f>
        <v>0</v>
      </c>
      <c r="AF242" s="65">
        <f>IF(AQ242="2",BH242,0)</f>
        <v>0</v>
      </c>
      <c r="AG242" s="65">
        <f>IF(AQ242="2",BI242,0)</f>
        <v>0</v>
      </c>
      <c r="AH242" s="65">
        <f>IF(AQ242="0",BJ242,0)</f>
        <v>0</v>
      </c>
      <c r="AI242" s="58"/>
      <c r="AJ242" s="48">
        <f>IF(AN242=0,K242,0)</f>
        <v>0</v>
      </c>
      <c r="AK242" s="48">
        <f>IF(AN242=15,K242,0)</f>
        <v>0</v>
      </c>
      <c r="AL242" s="48">
        <f>IF(AN242=21,K242,0)</f>
        <v>0</v>
      </c>
      <c r="AN242" s="65">
        <v>15</v>
      </c>
      <c r="AO242" s="65">
        <f>H242*0.0262806236080178</f>
        <v>0</v>
      </c>
      <c r="AP242" s="65">
        <f>H242*(1-0.0262806236080178)</f>
        <v>0</v>
      </c>
      <c r="AQ242" s="66" t="s">
        <v>80</v>
      </c>
      <c r="AV242" s="65">
        <f>AW242+AX242</f>
        <v>0</v>
      </c>
      <c r="AW242" s="65">
        <f>G242*AO242</f>
        <v>0</v>
      </c>
      <c r="AX242" s="65">
        <f>G242*AP242</f>
        <v>0</v>
      </c>
      <c r="AY242" s="68" t="s">
        <v>657</v>
      </c>
      <c r="AZ242" s="68" t="s">
        <v>673</v>
      </c>
      <c r="BA242" s="58" t="s">
        <v>675</v>
      </c>
      <c r="BC242" s="65">
        <f>AW242+AX242</f>
        <v>0</v>
      </c>
      <c r="BD242" s="65">
        <f>H242/(100-BE242)*100</f>
        <v>0</v>
      </c>
      <c r="BE242" s="65">
        <v>0</v>
      </c>
      <c r="BF242" s="65">
        <f>M242</f>
        <v>0</v>
      </c>
      <c r="BH242" s="48">
        <f>G242*AO242</f>
        <v>0</v>
      </c>
      <c r="BI242" s="48">
        <f>G242*AP242</f>
        <v>0</v>
      </c>
      <c r="BJ242" s="48">
        <f>G242*H242</f>
        <v>0</v>
      </c>
      <c r="BK242" s="48" t="s">
        <v>680</v>
      </c>
      <c r="BL242" s="65">
        <v>783</v>
      </c>
    </row>
    <row r="243" spans="1:47" ht="12.75">
      <c r="A243" s="93"/>
      <c r="B243" s="94"/>
      <c r="C243" s="94" t="s">
        <v>342</v>
      </c>
      <c r="D243" s="218" t="s">
        <v>572</v>
      </c>
      <c r="E243" s="219"/>
      <c r="F243" s="93" t="s">
        <v>73</v>
      </c>
      <c r="G243" s="93" t="s">
        <v>73</v>
      </c>
      <c r="H243" s="93" t="s">
        <v>73</v>
      </c>
      <c r="I243" s="95">
        <f>SUM(I244:I246)</f>
        <v>0</v>
      </c>
      <c r="J243" s="95">
        <f>SUM(J244:J246)</f>
        <v>0</v>
      </c>
      <c r="K243" s="95">
        <f>SUM(K244:K246)</f>
        <v>0</v>
      </c>
      <c r="L243" s="96"/>
      <c r="M243" s="95">
        <f>SUM(M244:M246)</f>
        <v>0.025576787</v>
      </c>
      <c r="N243" s="92"/>
      <c r="O243" s="77"/>
      <c r="AI243" s="58"/>
      <c r="AS243" s="71">
        <f>SUM(AJ244:AJ246)</f>
        <v>0</v>
      </c>
      <c r="AT243" s="71">
        <f>SUM(AK244:AK246)</f>
        <v>0</v>
      </c>
      <c r="AU243" s="71">
        <f>SUM(AL244:AL246)</f>
        <v>0</v>
      </c>
    </row>
    <row r="244" spans="1:64" ht="12.75">
      <c r="A244" s="80" t="s">
        <v>196</v>
      </c>
      <c r="B244" s="80"/>
      <c r="C244" s="80" t="s">
        <v>343</v>
      </c>
      <c r="D244" s="216" t="s">
        <v>573</v>
      </c>
      <c r="E244" s="217"/>
      <c r="F244" s="80" t="s">
        <v>609</v>
      </c>
      <c r="G244" s="85">
        <v>128.138</v>
      </c>
      <c r="H244" s="133"/>
      <c r="I244" s="85">
        <f>G244*AO244</f>
        <v>0</v>
      </c>
      <c r="J244" s="85">
        <f>G244*AP244</f>
        <v>0</v>
      </c>
      <c r="K244" s="85">
        <f>G244*H244</f>
        <v>0</v>
      </c>
      <c r="L244" s="85">
        <v>0</v>
      </c>
      <c r="M244" s="85">
        <f>G244*L244</f>
        <v>0</v>
      </c>
      <c r="N244" s="75" t="s">
        <v>631</v>
      </c>
      <c r="O244" s="77"/>
      <c r="Z244" s="65">
        <f>IF(AQ244="5",BJ244,0)</f>
        <v>0</v>
      </c>
      <c r="AB244" s="65">
        <f>IF(AQ244="1",BH244,0)</f>
        <v>0</v>
      </c>
      <c r="AC244" s="65">
        <f>IF(AQ244="1",BI244,0)</f>
        <v>0</v>
      </c>
      <c r="AD244" s="65">
        <f>IF(AQ244="7",BH244,0)</f>
        <v>0</v>
      </c>
      <c r="AE244" s="65">
        <f>IF(AQ244="7",BI244,0)</f>
        <v>0</v>
      </c>
      <c r="AF244" s="65">
        <f>IF(AQ244="2",BH244,0)</f>
        <v>0</v>
      </c>
      <c r="AG244" s="65">
        <f>IF(AQ244="2",BI244,0)</f>
        <v>0</v>
      </c>
      <c r="AH244" s="65">
        <f>IF(AQ244="0",BJ244,0)</f>
        <v>0</v>
      </c>
      <c r="AI244" s="58"/>
      <c r="AJ244" s="48">
        <f>IF(AN244=0,K244,0)</f>
        <v>0</v>
      </c>
      <c r="AK244" s="48">
        <f>IF(AN244=15,K244,0)</f>
        <v>0</v>
      </c>
      <c r="AL244" s="48">
        <f>IF(AN244=21,K244,0)</f>
        <v>0</v>
      </c>
      <c r="AN244" s="65">
        <v>15</v>
      </c>
      <c r="AO244" s="65">
        <f>H244*0.00257732186855735</f>
        <v>0</v>
      </c>
      <c r="AP244" s="65">
        <f>H244*(1-0.00257732186855735)</f>
        <v>0</v>
      </c>
      <c r="AQ244" s="66" t="s">
        <v>80</v>
      </c>
      <c r="AV244" s="65">
        <f>AW244+AX244</f>
        <v>0</v>
      </c>
      <c r="AW244" s="65">
        <f>G244*AO244</f>
        <v>0</v>
      </c>
      <c r="AX244" s="65">
        <f>G244*AP244</f>
        <v>0</v>
      </c>
      <c r="AY244" s="68" t="s">
        <v>658</v>
      </c>
      <c r="AZ244" s="68" t="s">
        <v>673</v>
      </c>
      <c r="BA244" s="58" t="s">
        <v>675</v>
      </c>
      <c r="BC244" s="65">
        <f>AW244+AX244</f>
        <v>0</v>
      </c>
      <c r="BD244" s="65">
        <f>H244/(100-BE244)*100</f>
        <v>0</v>
      </c>
      <c r="BE244" s="65">
        <v>0</v>
      </c>
      <c r="BF244" s="65">
        <f>M244</f>
        <v>0</v>
      </c>
      <c r="BH244" s="48">
        <f>G244*AO244</f>
        <v>0</v>
      </c>
      <c r="BI244" s="48">
        <f>G244*AP244</f>
        <v>0</v>
      </c>
      <c r="BJ244" s="48">
        <f>G244*H244</f>
        <v>0</v>
      </c>
      <c r="BK244" s="48" t="s">
        <v>680</v>
      </c>
      <c r="BL244" s="65">
        <v>784</v>
      </c>
    </row>
    <row r="245" spans="1:64" ht="12.75">
      <c r="A245" s="80" t="s">
        <v>197</v>
      </c>
      <c r="B245" s="80"/>
      <c r="C245" s="80" t="s">
        <v>344</v>
      </c>
      <c r="D245" s="216" t="s">
        <v>574</v>
      </c>
      <c r="E245" s="217"/>
      <c r="F245" s="80" t="s">
        <v>609</v>
      </c>
      <c r="G245" s="85">
        <v>150.45</v>
      </c>
      <c r="H245" s="133"/>
      <c r="I245" s="85">
        <f>G245*AO245</f>
        <v>0</v>
      </c>
      <c r="J245" s="85">
        <f>G245*AP245</f>
        <v>0</v>
      </c>
      <c r="K245" s="85">
        <f>G245*H245</f>
        <v>0</v>
      </c>
      <c r="L245" s="85">
        <v>3E-05</v>
      </c>
      <c r="M245" s="85">
        <f>G245*L245</f>
        <v>0.0045135</v>
      </c>
      <c r="N245" s="75" t="s">
        <v>631</v>
      </c>
      <c r="O245" s="77"/>
      <c r="Z245" s="65">
        <f>IF(AQ245="5",BJ245,0)</f>
        <v>0</v>
      </c>
      <c r="AB245" s="65">
        <f>IF(AQ245="1",BH245,0)</f>
        <v>0</v>
      </c>
      <c r="AC245" s="65">
        <f>IF(AQ245="1",BI245,0)</f>
        <v>0</v>
      </c>
      <c r="AD245" s="65">
        <f>IF(AQ245="7",BH245,0)</f>
        <v>0</v>
      </c>
      <c r="AE245" s="65">
        <f>IF(AQ245="7",BI245,0)</f>
        <v>0</v>
      </c>
      <c r="AF245" s="65">
        <f>IF(AQ245="2",BH245,0)</f>
        <v>0</v>
      </c>
      <c r="AG245" s="65">
        <f>IF(AQ245="2",BI245,0)</f>
        <v>0</v>
      </c>
      <c r="AH245" s="65">
        <f>IF(AQ245="0",BJ245,0)</f>
        <v>0</v>
      </c>
      <c r="AI245" s="58"/>
      <c r="AJ245" s="48">
        <f>IF(AN245=0,K245,0)</f>
        <v>0</v>
      </c>
      <c r="AK245" s="48">
        <f>IF(AN245=15,K245,0)</f>
        <v>0</v>
      </c>
      <c r="AL245" s="48">
        <f>IF(AN245=21,K245,0)</f>
        <v>0</v>
      </c>
      <c r="AN245" s="65">
        <v>15</v>
      </c>
      <c r="AO245" s="65">
        <f>H245*0.0902701081079139</f>
        <v>0</v>
      </c>
      <c r="AP245" s="65">
        <f>H245*(1-0.0902701081079139)</f>
        <v>0</v>
      </c>
      <c r="AQ245" s="66" t="s">
        <v>80</v>
      </c>
      <c r="AV245" s="65">
        <f>AW245+AX245</f>
        <v>0</v>
      </c>
      <c r="AW245" s="65">
        <f>G245*AO245</f>
        <v>0</v>
      </c>
      <c r="AX245" s="65">
        <f>G245*AP245</f>
        <v>0</v>
      </c>
      <c r="AY245" s="68" t="s">
        <v>658</v>
      </c>
      <c r="AZ245" s="68" t="s">
        <v>673</v>
      </c>
      <c r="BA245" s="58" t="s">
        <v>675</v>
      </c>
      <c r="BC245" s="65">
        <f>AW245+AX245</f>
        <v>0</v>
      </c>
      <c r="BD245" s="65">
        <f>H245/(100-BE245)*100</f>
        <v>0</v>
      </c>
      <c r="BE245" s="65">
        <v>0</v>
      </c>
      <c r="BF245" s="65">
        <f>M245</f>
        <v>0.0045135</v>
      </c>
      <c r="BH245" s="48">
        <f>G245*AO245</f>
        <v>0</v>
      </c>
      <c r="BI245" s="48">
        <f>G245*AP245</f>
        <v>0</v>
      </c>
      <c r="BJ245" s="48">
        <f>G245*H245</f>
        <v>0</v>
      </c>
      <c r="BK245" s="48" t="s">
        <v>680</v>
      </c>
      <c r="BL245" s="65">
        <v>784</v>
      </c>
    </row>
    <row r="246" spans="1:64" ht="12.75">
      <c r="A246" s="80" t="s">
        <v>198</v>
      </c>
      <c r="B246" s="80"/>
      <c r="C246" s="80" t="s">
        <v>345</v>
      </c>
      <c r="D246" s="216" t="s">
        <v>575</v>
      </c>
      <c r="E246" s="217"/>
      <c r="F246" s="80" t="s">
        <v>609</v>
      </c>
      <c r="G246" s="85">
        <v>150.45205</v>
      </c>
      <c r="H246" s="133"/>
      <c r="I246" s="85">
        <f>G246*AO246</f>
        <v>0</v>
      </c>
      <c r="J246" s="85">
        <f>G246*AP246</f>
        <v>0</v>
      </c>
      <c r="K246" s="85">
        <f>G246*H246</f>
        <v>0</v>
      </c>
      <c r="L246" s="85">
        <v>0.00014</v>
      </c>
      <c r="M246" s="85">
        <f>G246*L246</f>
        <v>0.021063287</v>
      </c>
      <c r="N246" s="75" t="s">
        <v>631</v>
      </c>
      <c r="O246" s="77"/>
      <c r="Z246" s="65">
        <f>IF(AQ246="5",BJ246,0)</f>
        <v>0</v>
      </c>
      <c r="AB246" s="65">
        <f>IF(AQ246="1",BH246,0)</f>
        <v>0</v>
      </c>
      <c r="AC246" s="65">
        <f>IF(AQ246="1",BI246,0)</f>
        <v>0</v>
      </c>
      <c r="AD246" s="65">
        <f>IF(AQ246="7",BH246,0)</f>
        <v>0</v>
      </c>
      <c r="AE246" s="65">
        <f>IF(AQ246="7",BI246,0)</f>
        <v>0</v>
      </c>
      <c r="AF246" s="65">
        <f>IF(AQ246="2",BH246,0)</f>
        <v>0</v>
      </c>
      <c r="AG246" s="65">
        <f>IF(AQ246="2",BI246,0)</f>
        <v>0</v>
      </c>
      <c r="AH246" s="65">
        <f>IF(AQ246="0",BJ246,0)</f>
        <v>0</v>
      </c>
      <c r="AI246" s="58"/>
      <c r="AJ246" s="48">
        <f>IF(AN246=0,K246,0)</f>
        <v>0</v>
      </c>
      <c r="AK246" s="48">
        <f>IF(AN246=15,K246,0)</f>
        <v>0</v>
      </c>
      <c r="AL246" s="48">
        <f>IF(AN246=21,K246,0)</f>
        <v>0</v>
      </c>
      <c r="AN246" s="65">
        <v>15</v>
      </c>
      <c r="AO246" s="65">
        <f>H246*0.0737303153602513</f>
        <v>0</v>
      </c>
      <c r="AP246" s="65">
        <f>H246*(1-0.0737303153602513)</f>
        <v>0</v>
      </c>
      <c r="AQ246" s="66" t="s">
        <v>80</v>
      </c>
      <c r="AV246" s="65">
        <f>AW246+AX246</f>
        <v>0</v>
      </c>
      <c r="AW246" s="65">
        <f>G246*AO246</f>
        <v>0</v>
      </c>
      <c r="AX246" s="65">
        <f>G246*AP246</f>
        <v>0</v>
      </c>
      <c r="AY246" s="68" t="s">
        <v>658</v>
      </c>
      <c r="AZ246" s="68" t="s">
        <v>673</v>
      </c>
      <c r="BA246" s="58" t="s">
        <v>675</v>
      </c>
      <c r="BC246" s="65">
        <f>AW246+AX246</f>
        <v>0</v>
      </c>
      <c r="BD246" s="65">
        <f>H246/(100-BE246)*100</f>
        <v>0</v>
      </c>
      <c r="BE246" s="65">
        <v>0</v>
      </c>
      <c r="BF246" s="65">
        <f>M246</f>
        <v>0.021063287</v>
      </c>
      <c r="BH246" s="48">
        <f>G246*AO246</f>
        <v>0</v>
      </c>
      <c r="BI246" s="48">
        <f>G246*AP246</f>
        <v>0</v>
      </c>
      <c r="BJ246" s="48">
        <f>G246*H246</f>
        <v>0</v>
      </c>
      <c r="BK246" s="48" t="s">
        <v>680</v>
      </c>
      <c r="BL246" s="65">
        <v>784</v>
      </c>
    </row>
    <row r="247" spans="1:15" ht="12.75">
      <c r="A247" s="87"/>
      <c r="B247" s="88"/>
      <c r="C247" s="88"/>
      <c r="D247" s="89" t="s">
        <v>576</v>
      </c>
      <c r="E247" s="90"/>
      <c r="F247" s="88"/>
      <c r="G247" s="91">
        <v>0</v>
      </c>
      <c r="H247" s="88"/>
      <c r="I247" s="88"/>
      <c r="J247" s="88"/>
      <c r="K247" s="88"/>
      <c r="L247" s="88"/>
      <c r="M247" s="88"/>
      <c r="N247" s="78"/>
      <c r="O247" s="77"/>
    </row>
    <row r="248" spans="1:15" ht="12.75">
      <c r="A248" s="87"/>
      <c r="B248" s="88"/>
      <c r="C248" s="88"/>
      <c r="D248" s="89" t="s">
        <v>577</v>
      </c>
      <c r="E248" s="90"/>
      <c r="F248" s="88"/>
      <c r="G248" s="91">
        <v>40.43305</v>
      </c>
      <c r="H248" s="88"/>
      <c r="I248" s="88"/>
      <c r="J248" s="88"/>
      <c r="K248" s="88"/>
      <c r="L248" s="88"/>
      <c r="M248" s="88"/>
      <c r="N248" s="78"/>
      <c r="O248" s="77"/>
    </row>
    <row r="249" spans="1:15" ht="12.75">
      <c r="A249" s="87"/>
      <c r="B249" s="88"/>
      <c r="C249" s="88"/>
      <c r="D249" s="89" t="s">
        <v>436</v>
      </c>
      <c r="E249" s="90"/>
      <c r="F249" s="88"/>
      <c r="G249" s="91">
        <v>0</v>
      </c>
      <c r="H249" s="88"/>
      <c r="I249" s="88"/>
      <c r="J249" s="88"/>
      <c r="K249" s="88"/>
      <c r="L249" s="88"/>
      <c r="M249" s="88"/>
      <c r="N249" s="78"/>
      <c r="O249" s="77"/>
    </row>
    <row r="250" spans="1:15" ht="12.75">
      <c r="A250" s="81"/>
      <c r="B250" s="82"/>
      <c r="C250" s="82"/>
      <c r="D250" s="83" t="s">
        <v>578</v>
      </c>
      <c r="E250" s="84"/>
      <c r="F250" s="82"/>
      <c r="G250" s="86">
        <v>110.019</v>
      </c>
      <c r="H250" s="82"/>
      <c r="I250" s="82"/>
      <c r="J250" s="82"/>
      <c r="K250" s="82"/>
      <c r="L250" s="82"/>
      <c r="M250" s="82"/>
      <c r="N250" s="79"/>
      <c r="O250" s="77"/>
    </row>
    <row r="251" spans="1:47" ht="12.75">
      <c r="A251" s="33"/>
      <c r="B251" s="39"/>
      <c r="C251" s="39" t="s">
        <v>163</v>
      </c>
      <c r="D251" s="212" t="s">
        <v>579</v>
      </c>
      <c r="E251" s="213"/>
      <c r="F251" s="46" t="s">
        <v>73</v>
      </c>
      <c r="G251" s="46" t="s">
        <v>73</v>
      </c>
      <c r="H251" s="46" t="s">
        <v>73</v>
      </c>
      <c r="I251" s="71">
        <f>SUM(I252:I252)</f>
        <v>0</v>
      </c>
      <c r="J251" s="71">
        <f>SUM(J252:J252)</f>
        <v>0</v>
      </c>
      <c r="K251" s="71">
        <f>SUM(K252:K252)</f>
        <v>0</v>
      </c>
      <c r="L251" s="58"/>
      <c r="M251" s="71">
        <f>SUM(M252:M252)</f>
        <v>0</v>
      </c>
      <c r="N251" s="62"/>
      <c r="O251" s="17"/>
      <c r="AI251" s="58"/>
      <c r="AS251" s="71">
        <f>SUM(AJ252:AJ252)</f>
        <v>0</v>
      </c>
      <c r="AT251" s="71">
        <f>SUM(AK252:AK252)</f>
        <v>0</v>
      </c>
      <c r="AU251" s="71">
        <f>SUM(AL252:AL252)</f>
        <v>0</v>
      </c>
    </row>
    <row r="252" spans="1:64" ht="12.75">
      <c r="A252" s="34" t="s">
        <v>199</v>
      </c>
      <c r="B252" s="40"/>
      <c r="C252" s="40" t="s">
        <v>346</v>
      </c>
      <c r="D252" s="214" t="s">
        <v>580</v>
      </c>
      <c r="E252" s="215"/>
      <c r="F252" s="40" t="s">
        <v>616</v>
      </c>
      <c r="G252" s="48">
        <v>2.5</v>
      </c>
      <c r="H252" s="132"/>
      <c r="I252" s="48">
        <f>G252*AO252</f>
        <v>0</v>
      </c>
      <c r="J252" s="48">
        <f>G252*AP252</f>
        <v>0</v>
      </c>
      <c r="K252" s="48">
        <f>G252*H252</f>
        <v>0</v>
      </c>
      <c r="L252" s="48">
        <v>0</v>
      </c>
      <c r="M252" s="48">
        <f>G252*L252</f>
        <v>0</v>
      </c>
      <c r="N252" s="63" t="s">
        <v>631</v>
      </c>
      <c r="O252" s="17"/>
      <c r="Z252" s="65">
        <f>IF(AQ252="5",BJ252,0)</f>
        <v>0</v>
      </c>
      <c r="AB252" s="65">
        <f>IF(AQ252="1",BH252,0)</f>
        <v>0</v>
      </c>
      <c r="AC252" s="65">
        <f>IF(AQ252="1",BI252,0)</f>
        <v>0</v>
      </c>
      <c r="AD252" s="65">
        <f>IF(AQ252="7",BH252,0)</f>
        <v>0</v>
      </c>
      <c r="AE252" s="65">
        <f>IF(AQ252="7",BI252,0)</f>
        <v>0</v>
      </c>
      <c r="AF252" s="65">
        <f>IF(AQ252="2",BH252,0)</f>
        <v>0</v>
      </c>
      <c r="AG252" s="65">
        <f>IF(AQ252="2",BI252,0)</f>
        <v>0</v>
      </c>
      <c r="AH252" s="65">
        <f>IF(AQ252="0",BJ252,0)</f>
        <v>0</v>
      </c>
      <c r="AI252" s="58"/>
      <c r="AJ252" s="48">
        <f>IF(AN252=0,K252,0)</f>
        <v>0</v>
      </c>
      <c r="AK252" s="48">
        <f>IF(AN252=15,K252,0)</f>
        <v>0</v>
      </c>
      <c r="AL252" s="48">
        <f>IF(AN252=21,K252,0)</f>
        <v>0</v>
      </c>
      <c r="AN252" s="65">
        <v>15</v>
      </c>
      <c r="AO252" s="65">
        <f>H252*0</f>
        <v>0</v>
      </c>
      <c r="AP252" s="65">
        <f>H252*(1-0)</f>
        <v>0</v>
      </c>
      <c r="AQ252" s="66" t="s">
        <v>74</v>
      </c>
      <c r="AV252" s="65">
        <f>AW252+AX252</f>
        <v>0</v>
      </c>
      <c r="AW252" s="65">
        <f>G252*AO252</f>
        <v>0</v>
      </c>
      <c r="AX252" s="65">
        <f>G252*AP252</f>
        <v>0</v>
      </c>
      <c r="AY252" s="68" t="s">
        <v>659</v>
      </c>
      <c r="AZ252" s="68" t="s">
        <v>674</v>
      </c>
      <c r="BA252" s="58" t="s">
        <v>675</v>
      </c>
      <c r="BC252" s="65">
        <f>AW252+AX252</f>
        <v>0</v>
      </c>
      <c r="BD252" s="65">
        <f>H252/(100-BE252)*100</f>
        <v>0</v>
      </c>
      <c r="BE252" s="65">
        <v>0</v>
      </c>
      <c r="BF252" s="65">
        <f>M252</f>
        <v>0</v>
      </c>
      <c r="BH252" s="48">
        <f>G252*AO252</f>
        <v>0</v>
      </c>
      <c r="BI252" s="48">
        <f>G252*AP252</f>
        <v>0</v>
      </c>
      <c r="BJ252" s="48">
        <f>G252*H252</f>
        <v>0</v>
      </c>
      <c r="BK252" s="48" t="s">
        <v>680</v>
      </c>
      <c r="BL252" s="65">
        <v>90</v>
      </c>
    </row>
    <row r="253" spans="1:47" ht="12.75">
      <c r="A253" s="93"/>
      <c r="B253" s="94"/>
      <c r="C253" s="94" t="s">
        <v>167</v>
      </c>
      <c r="D253" s="218" t="s">
        <v>581</v>
      </c>
      <c r="E253" s="219"/>
      <c r="F253" s="93" t="s">
        <v>73</v>
      </c>
      <c r="G253" s="93" t="s">
        <v>73</v>
      </c>
      <c r="H253" s="93" t="s">
        <v>73</v>
      </c>
      <c r="I253" s="95">
        <f>SUM(I254:I254)</f>
        <v>0</v>
      </c>
      <c r="J253" s="95">
        <f>SUM(J254:J254)</f>
        <v>0</v>
      </c>
      <c r="K253" s="95">
        <f>SUM(K254:K254)</f>
        <v>0</v>
      </c>
      <c r="L253" s="96"/>
      <c r="M253" s="95">
        <f>SUM(M254:M254)</f>
        <v>0.06388414</v>
      </c>
      <c r="N253" s="92"/>
      <c r="O253" s="77"/>
      <c r="AI253" s="58"/>
      <c r="AS253" s="71">
        <f>SUM(AJ254:AJ254)</f>
        <v>0</v>
      </c>
      <c r="AT253" s="71">
        <f>SUM(AK254:AK254)</f>
        <v>0</v>
      </c>
      <c r="AU253" s="71">
        <f>SUM(AL254:AL254)</f>
        <v>0</v>
      </c>
    </row>
    <row r="254" spans="1:64" ht="12.75">
      <c r="A254" s="80" t="s">
        <v>200</v>
      </c>
      <c r="B254" s="80"/>
      <c r="C254" s="80" t="s">
        <v>347</v>
      </c>
      <c r="D254" s="216" t="s">
        <v>582</v>
      </c>
      <c r="E254" s="217"/>
      <c r="F254" s="80" t="s">
        <v>609</v>
      </c>
      <c r="G254" s="85">
        <v>40.433</v>
      </c>
      <c r="H254" s="133"/>
      <c r="I254" s="85">
        <f>G254*AO254</f>
        <v>0</v>
      </c>
      <c r="J254" s="85">
        <f>G254*AP254</f>
        <v>0</v>
      </c>
      <c r="K254" s="85">
        <f>G254*H254</f>
        <v>0</v>
      </c>
      <c r="L254" s="85">
        <v>0.00158</v>
      </c>
      <c r="M254" s="85">
        <f>G254*L254</f>
        <v>0.06388414</v>
      </c>
      <c r="N254" s="75" t="s">
        <v>631</v>
      </c>
      <c r="O254" s="77"/>
      <c r="Z254" s="65">
        <f>IF(AQ254="5",BJ254,0)</f>
        <v>0</v>
      </c>
      <c r="AB254" s="65">
        <f>IF(AQ254="1",BH254,0)</f>
        <v>0</v>
      </c>
      <c r="AC254" s="65">
        <f>IF(AQ254="1",BI254,0)</f>
        <v>0</v>
      </c>
      <c r="AD254" s="65">
        <f>IF(AQ254="7",BH254,0)</f>
        <v>0</v>
      </c>
      <c r="AE254" s="65">
        <f>IF(AQ254="7",BI254,0)</f>
        <v>0</v>
      </c>
      <c r="AF254" s="65">
        <f>IF(AQ254="2",BH254,0)</f>
        <v>0</v>
      </c>
      <c r="AG254" s="65">
        <f>IF(AQ254="2",BI254,0)</f>
        <v>0</v>
      </c>
      <c r="AH254" s="65">
        <f>IF(AQ254="0",BJ254,0)</f>
        <v>0</v>
      </c>
      <c r="AI254" s="58"/>
      <c r="AJ254" s="48">
        <f>IF(AN254=0,K254,0)</f>
        <v>0</v>
      </c>
      <c r="AK254" s="48">
        <f>IF(AN254=15,K254,0)</f>
        <v>0</v>
      </c>
      <c r="AL254" s="48">
        <f>IF(AN254=21,K254,0)</f>
        <v>0</v>
      </c>
      <c r="AN254" s="65">
        <v>15</v>
      </c>
      <c r="AO254" s="65">
        <f>H254*0.348243246860394</f>
        <v>0</v>
      </c>
      <c r="AP254" s="65">
        <f>H254*(1-0.348243246860394)</f>
        <v>0</v>
      </c>
      <c r="AQ254" s="66" t="s">
        <v>74</v>
      </c>
      <c r="AV254" s="65">
        <f>AW254+AX254</f>
        <v>0</v>
      </c>
      <c r="AW254" s="65">
        <f>G254*AO254</f>
        <v>0</v>
      </c>
      <c r="AX254" s="65">
        <f>G254*AP254</f>
        <v>0</v>
      </c>
      <c r="AY254" s="68" t="s">
        <v>660</v>
      </c>
      <c r="AZ254" s="68" t="s">
        <v>674</v>
      </c>
      <c r="BA254" s="58" t="s">
        <v>675</v>
      </c>
      <c r="BC254" s="65">
        <f>AW254+AX254</f>
        <v>0</v>
      </c>
      <c r="BD254" s="65">
        <f>H254/(100-BE254)*100</f>
        <v>0</v>
      </c>
      <c r="BE254" s="65">
        <v>0</v>
      </c>
      <c r="BF254" s="65">
        <f>M254</f>
        <v>0.06388414</v>
      </c>
      <c r="BH254" s="48">
        <f>G254*AO254</f>
        <v>0</v>
      </c>
      <c r="BI254" s="48">
        <f>G254*AP254</f>
        <v>0</v>
      </c>
      <c r="BJ254" s="48">
        <f>G254*H254</f>
        <v>0</v>
      </c>
      <c r="BK254" s="48" t="s">
        <v>680</v>
      </c>
      <c r="BL254" s="65">
        <v>94</v>
      </c>
    </row>
    <row r="255" spans="1:47" ht="12.75">
      <c r="A255" s="93"/>
      <c r="B255" s="94"/>
      <c r="C255" s="94" t="s">
        <v>168</v>
      </c>
      <c r="D255" s="218" t="s">
        <v>583</v>
      </c>
      <c r="E255" s="219"/>
      <c r="F255" s="93" t="s">
        <v>73</v>
      </c>
      <c r="G255" s="93" t="s">
        <v>73</v>
      </c>
      <c r="H255" s="93" t="s">
        <v>73</v>
      </c>
      <c r="I255" s="95">
        <f>SUM(I256:I256)</f>
        <v>0</v>
      </c>
      <c r="J255" s="95">
        <f>SUM(J256:J256)</f>
        <v>0</v>
      </c>
      <c r="K255" s="95">
        <f>SUM(K256:K256)</f>
        <v>0</v>
      </c>
      <c r="L255" s="96"/>
      <c r="M255" s="95">
        <f>SUM(M256:M256)</f>
        <v>0.0016173200000000002</v>
      </c>
      <c r="N255" s="92"/>
      <c r="O255" s="77"/>
      <c r="AI255" s="58"/>
      <c r="AS255" s="71">
        <f>SUM(AJ256:AJ256)</f>
        <v>0</v>
      </c>
      <c r="AT255" s="71">
        <f>SUM(AK256:AK256)</f>
        <v>0</v>
      </c>
      <c r="AU255" s="71">
        <f>SUM(AL256:AL256)</f>
        <v>0</v>
      </c>
    </row>
    <row r="256" spans="1:64" ht="12.75">
      <c r="A256" s="80" t="s">
        <v>201</v>
      </c>
      <c r="B256" s="80"/>
      <c r="C256" s="80" t="s">
        <v>348</v>
      </c>
      <c r="D256" s="216" t="s">
        <v>584</v>
      </c>
      <c r="E256" s="217"/>
      <c r="F256" s="80" t="s">
        <v>609</v>
      </c>
      <c r="G256" s="85">
        <v>40.433</v>
      </c>
      <c r="H256" s="133"/>
      <c r="I256" s="85">
        <f>G256*AO256</f>
        <v>0</v>
      </c>
      <c r="J256" s="85">
        <f>G256*AP256</f>
        <v>0</v>
      </c>
      <c r="K256" s="85">
        <f>G256*H256</f>
        <v>0</v>
      </c>
      <c r="L256" s="85">
        <v>4E-05</v>
      </c>
      <c r="M256" s="85">
        <f>G256*L256</f>
        <v>0.0016173200000000002</v>
      </c>
      <c r="N256" s="75" t="s">
        <v>631</v>
      </c>
      <c r="O256" s="77"/>
      <c r="Z256" s="65">
        <f>IF(AQ256="5",BJ256,0)</f>
        <v>0</v>
      </c>
      <c r="AB256" s="65">
        <f>IF(AQ256="1",BH256,0)</f>
        <v>0</v>
      </c>
      <c r="AC256" s="65">
        <f>IF(AQ256="1",BI256,0)</f>
        <v>0</v>
      </c>
      <c r="AD256" s="65">
        <f>IF(AQ256="7",BH256,0)</f>
        <v>0</v>
      </c>
      <c r="AE256" s="65">
        <f>IF(AQ256="7",BI256,0)</f>
        <v>0</v>
      </c>
      <c r="AF256" s="65">
        <f>IF(AQ256="2",BH256,0)</f>
        <v>0</v>
      </c>
      <c r="AG256" s="65">
        <f>IF(AQ256="2",BI256,0)</f>
        <v>0</v>
      </c>
      <c r="AH256" s="65">
        <f>IF(AQ256="0",BJ256,0)</f>
        <v>0</v>
      </c>
      <c r="AI256" s="58"/>
      <c r="AJ256" s="48">
        <f>IF(AN256=0,K256,0)</f>
        <v>0</v>
      </c>
      <c r="AK256" s="48">
        <f>IF(AN256=15,K256,0)</f>
        <v>0</v>
      </c>
      <c r="AL256" s="48">
        <f>IF(AN256=21,K256,0)</f>
        <v>0</v>
      </c>
      <c r="AN256" s="65">
        <v>15</v>
      </c>
      <c r="AO256" s="65">
        <f>H256*0.0120784255151585</f>
        <v>0</v>
      </c>
      <c r="AP256" s="65">
        <f>H256*(1-0.0120784255151585)</f>
        <v>0</v>
      </c>
      <c r="AQ256" s="66" t="s">
        <v>74</v>
      </c>
      <c r="AV256" s="65">
        <f>AW256+AX256</f>
        <v>0</v>
      </c>
      <c r="AW256" s="65">
        <f>G256*AO256</f>
        <v>0</v>
      </c>
      <c r="AX256" s="65">
        <f>G256*AP256</f>
        <v>0</v>
      </c>
      <c r="AY256" s="68" t="s">
        <v>661</v>
      </c>
      <c r="AZ256" s="68" t="s">
        <v>674</v>
      </c>
      <c r="BA256" s="58" t="s">
        <v>675</v>
      </c>
      <c r="BC256" s="65">
        <f>AW256+AX256</f>
        <v>0</v>
      </c>
      <c r="BD256" s="65">
        <f>H256/(100-BE256)*100</f>
        <v>0</v>
      </c>
      <c r="BE256" s="65">
        <v>0</v>
      </c>
      <c r="BF256" s="65">
        <f>M256</f>
        <v>0.0016173200000000002</v>
      </c>
      <c r="BH256" s="48">
        <f>G256*AO256</f>
        <v>0</v>
      </c>
      <c r="BI256" s="48">
        <f>G256*AP256</f>
        <v>0</v>
      </c>
      <c r="BJ256" s="48">
        <f>G256*H256</f>
        <v>0</v>
      </c>
      <c r="BK256" s="48" t="s">
        <v>680</v>
      </c>
      <c r="BL256" s="65">
        <v>95</v>
      </c>
    </row>
    <row r="257" spans="1:47" ht="12.75">
      <c r="A257" s="93"/>
      <c r="B257" s="94"/>
      <c r="C257" s="94" t="s">
        <v>169</v>
      </c>
      <c r="D257" s="218" t="s">
        <v>585</v>
      </c>
      <c r="E257" s="219"/>
      <c r="F257" s="93" t="s">
        <v>73</v>
      </c>
      <c r="G257" s="93" t="s">
        <v>73</v>
      </c>
      <c r="H257" s="93" t="s">
        <v>73</v>
      </c>
      <c r="I257" s="95">
        <f>SUM(I258:I261)</f>
        <v>0</v>
      </c>
      <c r="J257" s="95">
        <f>SUM(J258:J261)</f>
        <v>0</v>
      </c>
      <c r="K257" s="95">
        <f>SUM(K258:K261)</f>
        <v>0</v>
      </c>
      <c r="L257" s="96"/>
      <c r="M257" s="95">
        <f>SUM(M258:M261)</f>
        <v>2.9758986199999997</v>
      </c>
      <c r="N257" s="92"/>
      <c r="O257" s="77"/>
      <c r="AI257" s="58"/>
      <c r="AS257" s="71">
        <f>SUM(AJ258:AJ261)</f>
        <v>0</v>
      </c>
      <c r="AT257" s="71">
        <f>SUM(AK258:AK261)</f>
        <v>0</v>
      </c>
      <c r="AU257" s="71">
        <f>SUM(AL258:AL261)</f>
        <v>0</v>
      </c>
    </row>
    <row r="258" spans="1:64" ht="12.75">
      <c r="A258" s="80" t="s">
        <v>202</v>
      </c>
      <c r="B258" s="80"/>
      <c r="C258" s="80" t="s">
        <v>349</v>
      </c>
      <c r="D258" s="216" t="s">
        <v>586</v>
      </c>
      <c r="E258" s="217"/>
      <c r="F258" s="80" t="s">
        <v>611</v>
      </c>
      <c r="G258" s="85">
        <v>4</v>
      </c>
      <c r="H258" s="133"/>
      <c r="I258" s="85">
        <f>G258*AO258</f>
        <v>0</v>
      </c>
      <c r="J258" s="85">
        <f>G258*AP258</f>
        <v>0</v>
      </c>
      <c r="K258" s="85">
        <f>G258*H258</f>
        <v>0</v>
      </c>
      <c r="L258" s="85">
        <v>0</v>
      </c>
      <c r="M258" s="85">
        <f>G258*L258</f>
        <v>0</v>
      </c>
      <c r="N258" s="75" t="s">
        <v>631</v>
      </c>
      <c r="O258" s="77"/>
      <c r="Z258" s="65">
        <f>IF(AQ258="5",BJ258,0)</f>
        <v>0</v>
      </c>
      <c r="AB258" s="65">
        <f>IF(AQ258="1",BH258,0)</f>
        <v>0</v>
      </c>
      <c r="AC258" s="65">
        <f>IF(AQ258="1",BI258,0)</f>
        <v>0</v>
      </c>
      <c r="AD258" s="65">
        <f>IF(AQ258="7",BH258,0)</f>
        <v>0</v>
      </c>
      <c r="AE258" s="65">
        <f>IF(AQ258="7",BI258,0)</f>
        <v>0</v>
      </c>
      <c r="AF258" s="65">
        <f>IF(AQ258="2",BH258,0)</f>
        <v>0</v>
      </c>
      <c r="AG258" s="65">
        <f>IF(AQ258="2",BI258,0)</f>
        <v>0</v>
      </c>
      <c r="AH258" s="65">
        <f>IF(AQ258="0",BJ258,0)</f>
        <v>0</v>
      </c>
      <c r="AI258" s="58"/>
      <c r="AJ258" s="48">
        <f>IF(AN258=0,K258,0)</f>
        <v>0</v>
      </c>
      <c r="AK258" s="48">
        <f>IF(AN258=15,K258,0)</f>
        <v>0</v>
      </c>
      <c r="AL258" s="48">
        <f>IF(AN258=21,K258,0)</f>
        <v>0</v>
      </c>
      <c r="AN258" s="65">
        <v>15</v>
      </c>
      <c r="AO258" s="65">
        <f>H258*0</f>
        <v>0</v>
      </c>
      <c r="AP258" s="65">
        <f>H258*(1-0)</f>
        <v>0</v>
      </c>
      <c r="AQ258" s="66" t="s">
        <v>74</v>
      </c>
      <c r="AV258" s="65">
        <f>AW258+AX258</f>
        <v>0</v>
      </c>
      <c r="AW258" s="65">
        <f>G258*AO258</f>
        <v>0</v>
      </c>
      <c r="AX258" s="65">
        <f>G258*AP258</f>
        <v>0</v>
      </c>
      <c r="AY258" s="68" t="s">
        <v>662</v>
      </c>
      <c r="AZ258" s="68" t="s">
        <v>674</v>
      </c>
      <c r="BA258" s="58" t="s">
        <v>675</v>
      </c>
      <c r="BC258" s="65">
        <f>AW258+AX258</f>
        <v>0</v>
      </c>
      <c r="BD258" s="65">
        <f>H258/(100-BE258)*100</f>
        <v>0</v>
      </c>
      <c r="BE258" s="65">
        <v>0</v>
      </c>
      <c r="BF258" s="65">
        <f>M258</f>
        <v>0</v>
      </c>
      <c r="BH258" s="48">
        <f>G258*AO258</f>
        <v>0</v>
      </c>
      <c r="BI258" s="48">
        <f>G258*AP258</f>
        <v>0</v>
      </c>
      <c r="BJ258" s="48">
        <f>G258*H258</f>
        <v>0</v>
      </c>
      <c r="BK258" s="48" t="s">
        <v>680</v>
      </c>
      <c r="BL258" s="65">
        <v>96</v>
      </c>
    </row>
    <row r="259" spans="1:64" ht="12.75">
      <c r="A259" s="80" t="s">
        <v>203</v>
      </c>
      <c r="B259" s="80"/>
      <c r="C259" s="80" t="s">
        <v>350</v>
      </c>
      <c r="D259" s="216" t="s">
        <v>587</v>
      </c>
      <c r="E259" s="217"/>
      <c r="F259" s="80" t="s">
        <v>609</v>
      </c>
      <c r="G259" s="85">
        <v>4.44</v>
      </c>
      <c r="H259" s="133"/>
      <c r="I259" s="85">
        <f>G259*AO259</f>
        <v>0</v>
      </c>
      <c r="J259" s="85">
        <f>G259*AP259</f>
        <v>0</v>
      </c>
      <c r="K259" s="85">
        <f>G259*H259</f>
        <v>0</v>
      </c>
      <c r="L259" s="85">
        <v>0.09</v>
      </c>
      <c r="M259" s="85">
        <f>G259*L259</f>
        <v>0.3996</v>
      </c>
      <c r="N259" s="75" t="s">
        <v>631</v>
      </c>
      <c r="O259" s="77"/>
      <c r="Z259" s="65">
        <f>IF(AQ259="5",BJ259,0)</f>
        <v>0</v>
      </c>
      <c r="AB259" s="65">
        <f>IF(AQ259="1",BH259,0)</f>
        <v>0</v>
      </c>
      <c r="AC259" s="65">
        <f>IF(AQ259="1",BI259,0)</f>
        <v>0</v>
      </c>
      <c r="AD259" s="65">
        <f>IF(AQ259="7",BH259,0)</f>
        <v>0</v>
      </c>
      <c r="AE259" s="65">
        <f>IF(AQ259="7",BI259,0)</f>
        <v>0</v>
      </c>
      <c r="AF259" s="65">
        <f>IF(AQ259="2",BH259,0)</f>
        <v>0</v>
      </c>
      <c r="AG259" s="65">
        <f>IF(AQ259="2",BI259,0)</f>
        <v>0</v>
      </c>
      <c r="AH259" s="65">
        <f>IF(AQ259="0",BJ259,0)</f>
        <v>0</v>
      </c>
      <c r="AI259" s="58"/>
      <c r="AJ259" s="48">
        <f>IF(AN259=0,K259,0)</f>
        <v>0</v>
      </c>
      <c r="AK259" s="48">
        <f>IF(AN259=15,K259,0)</f>
        <v>0</v>
      </c>
      <c r="AL259" s="48">
        <f>IF(AN259=21,K259,0)</f>
        <v>0</v>
      </c>
      <c r="AN259" s="65">
        <v>15</v>
      </c>
      <c r="AO259" s="65">
        <f>H259*0</f>
        <v>0</v>
      </c>
      <c r="AP259" s="65">
        <f>H259*(1-0)</f>
        <v>0</v>
      </c>
      <c r="AQ259" s="66" t="s">
        <v>74</v>
      </c>
      <c r="AV259" s="65">
        <f>AW259+AX259</f>
        <v>0</v>
      </c>
      <c r="AW259" s="65">
        <f>G259*AO259</f>
        <v>0</v>
      </c>
      <c r="AX259" s="65">
        <f>G259*AP259</f>
        <v>0</v>
      </c>
      <c r="AY259" s="68" t="s">
        <v>662</v>
      </c>
      <c r="AZ259" s="68" t="s">
        <v>674</v>
      </c>
      <c r="BA259" s="58" t="s">
        <v>675</v>
      </c>
      <c r="BC259" s="65">
        <f>AW259+AX259</f>
        <v>0</v>
      </c>
      <c r="BD259" s="65">
        <f>H259/(100-BE259)*100</f>
        <v>0</v>
      </c>
      <c r="BE259" s="65">
        <v>0</v>
      </c>
      <c r="BF259" s="65">
        <f>M259</f>
        <v>0.3996</v>
      </c>
      <c r="BH259" s="48">
        <f>G259*AO259</f>
        <v>0</v>
      </c>
      <c r="BI259" s="48">
        <f>G259*AP259</f>
        <v>0</v>
      </c>
      <c r="BJ259" s="48">
        <f>G259*H259</f>
        <v>0</v>
      </c>
      <c r="BK259" s="48" t="s">
        <v>680</v>
      </c>
      <c r="BL259" s="65">
        <v>96</v>
      </c>
    </row>
    <row r="260" spans="1:64" ht="12.75">
      <c r="A260" s="73" t="s">
        <v>204</v>
      </c>
      <c r="B260" s="73"/>
      <c r="C260" s="73" t="s">
        <v>351</v>
      </c>
      <c r="D260" s="227" t="s">
        <v>588</v>
      </c>
      <c r="E260" s="228"/>
      <c r="F260" s="73" t="s">
        <v>609</v>
      </c>
      <c r="G260" s="74">
        <v>25.09</v>
      </c>
      <c r="H260" s="136"/>
      <c r="I260" s="74">
        <f>G260*AO260</f>
        <v>0</v>
      </c>
      <c r="J260" s="74">
        <f>G260*AP260</f>
        <v>0</v>
      </c>
      <c r="K260" s="74">
        <f>G260*H260</f>
        <v>0</v>
      </c>
      <c r="L260" s="74">
        <v>0.10067</v>
      </c>
      <c r="M260" s="74">
        <f>G260*L260</f>
        <v>2.5258103</v>
      </c>
      <c r="N260" s="76" t="s">
        <v>631</v>
      </c>
      <c r="O260" s="77"/>
      <c r="Z260" s="65">
        <f>IF(AQ260="5",BJ260,0)</f>
        <v>0</v>
      </c>
      <c r="AB260" s="65">
        <f>IF(AQ260="1",BH260,0)</f>
        <v>0</v>
      </c>
      <c r="AC260" s="65">
        <f>IF(AQ260="1",BI260,0)</f>
        <v>0</v>
      </c>
      <c r="AD260" s="65">
        <f>IF(AQ260="7",BH260,0)</f>
        <v>0</v>
      </c>
      <c r="AE260" s="65">
        <f>IF(AQ260="7",BI260,0)</f>
        <v>0</v>
      </c>
      <c r="AF260" s="65">
        <f>IF(AQ260="2",BH260,0)</f>
        <v>0</v>
      </c>
      <c r="AG260" s="65">
        <f>IF(AQ260="2",BI260,0)</f>
        <v>0</v>
      </c>
      <c r="AH260" s="65">
        <f>IF(AQ260="0",BJ260,0)</f>
        <v>0</v>
      </c>
      <c r="AI260" s="58"/>
      <c r="AJ260" s="48">
        <f>IF(AN260=0,K260,0)</f>
        <v>0</v>
      </c>
      <c r="AK260" s="48">
        <f>IF(AN260=15,K260,0)</f>
        <v>0</v>
      </c>
      <c r="AL260" s="48">
        <f>IF(AN260=21,K260,0)</f>
        <v>0</v>
      </c>
      <c r="AN260" s="65">
        <v>15</v>
      </c>
      <c r="AO260" s="65">
        <f>H260*0.151746418357713</f>
        <v>0</v>
      </c>
      <c r="AP260" s="65">
        <f>H260*(1-0.151746418357713)</f>
        <v>0</v>
      </c>
      <c r="AQ260" s="66" t="s">
        <v>74</v>
      </c>
      <c r="AV260" s="65">
        <f>AW260+AX260</f>
        <v>0</v>
      </c>
      <c r="AW260" s="65">
        <f>G260*AO260</f>
        <v>0</v>
      </c>
      <c r="AX260" s="65">
        <f>G260*AP260</f>
        <v>0</v>
      </c>
      <c r="AY260" s="68" t="s">
        <v>662</v>
      </c>
      <c r="AZ260" s="68" t="s">
        <v>674</v>
      </c>
      <c r="BA260" s="58" t="s">
        <v>675</v>
      </c>
      <c r="BC260" s="65">
        <f>AW260+AX260</f>
        <v>0</v>
      </c>
      <c r="BD260" s="65">
        <f>H260/(100-BE260)*100</f>
        <v>0</v>
      </c>
      <c r="BE260" s="65">
        <v>0</v>
      </c>
      <c r="BF260" s="65">
        <f>M260</f>
        <v>2.5258103</v>
      </c>
      <c r="BH260" s="48">
        <f>G260*AO260</f>
        <v>0</v>
      </c>
      <c r="BI260" s="48">
        <f>G260*AP260</f>
        <v>0</v>
      </c>
      <c r="BJ260" s="48">
        <f>G260*H260</f>
        <v>0</v>
      </c>
      <c r="BK260" s="48" t="s">
        <v>680</v>
      </c>
      <c r="BL260" s="65">
        <v>96</v>
      </c>
    </row>
    <row r="261" spans="1:64" ht="12.75">
      <c r="A261" s="34" t="s">
        <v>205</v>
      </c>
      <c r="B261" s="40"/>
      <c r="C261" s="40" t="s">
        <v>352</v>
      </c>
      <c r="D261" s="214" t="s">
        <v>589</v>
      </c>
      <c r="E261" s="215"/>
      <c r="F261" s="40" t="s">
        <v>609</v>
      </c>
      <c r="G261" s="48">
        <v>4.152</v>
      </c>
      <c r="H261" s="132"/>
      <c r="I261" s="48">
        <f>G261*AO261</f>
        <v>0</v>
      </c>
      <c r="J261" s="48">
        <f>G261*AP261</f>
        <v>0</v>
      </c>
      <c r="K261" s="48">
        <f>G261*H261</f>
        <v>0</v>
      </c>
      <c r="L261" s="48">
        <v>0.01216</v>
      </c>
      <c r="M261" s="48">
        <f>G261*L261</f>
        <v>0.05048832</v>
      </c>
      <c r="N261" s="63" t="s">
        <v>631</v>
      </c>
      <c r="O261" s="17"/>
      <c r="Z261" s="65">
        <f>IF(AQ261="5",BJ261,0)</f>
        <v>0</v>
      </c>
      <c r="AB261" s="65">
        <f>IF(AQ261="1",BH261,0)</f>
        <v>0</v>
      </c>
      <c r="AC261" s="65">
        <f>IF(AQ261="1",BI261,0)</f>
        <v>0</v>
      </c>
      <c r="AD261" s="65">
        <f>IF(AQ261="7",BH261,0)</f>
        <v>0</v>
      </c>
      <c r="AE261" s="65">
        <f>IF(AQ261="7",BI261,0)</f>
        <v>0</v>
      </c>
      <c r="AF261" s="65">
        <f>IF(AQ261="2",BH261,0)</f>
        <v>0</v>
      </c>
      <c r="AG261" s="65">
        <f>IF(AQ261="2",BI261,0)</f>
        <v>0</v>
      </c>
      <c r="AH261" s="65">
        <f>IF(AQ261="0",BJ261,0)</f>
        <v>0</v>
      </c>
      <c r="AI261" s="58"/>
      <c r="AJ261" s="48">
        <f>IF(AN261=0,K261,0)</f>
        <v>0</v>
      </c>
      <c r="AK261" s="48">
        <f>IF(AN261=15,K261,0)</f>
        <v>0</v>
      </c>
      <c r="AL261" s="48">
        <f>IF(AN261=21,K261,0)</f>
        <v>0</v>
      </c>
      <c r="AN261" s="65">
        <v>15</v>
      </c>
      <c r="AO261" s="65">
        <f>H261*0.058729475447867</f>
        <v>0</v>
      </c>
      <c r="AP261" s="65">
        <f>H261*(1-0.058729475447867)</f>
        <v>0</v>
      </c>
      <c r="AQ261" s="66" t="s">
        <v>74</v>
      </c>
      <c r="AV261" s="65">
        <f>AW261+AX261</f>
        <v>0</v>
      </c>
      <c r="AW261" s="65">
        <f>G261*AO261</f>
        <v>0</v>
      </c>
      <c r="AX261" s="65">
        <f>G261*AP261</f>
        <v>0</v>
      </c>
      <c r="AY261" s="68" t="s">
        <v>662</v>
      </c>
      <c r="AZ261" s="68" t="s">
        <v>674</v>
      </c>
      <c r="BA261" s="58" t="s">
        <v>675</v>
      </c>
      <c r="BC261" s="65">
        <f>AW261+AX261</f>
        <v>0</v>
      </c>
      <c r="BD261" s="65">
        <f>H261/(100-BE261)*100</f>
        <v>0</v>
      </c>
      <c r="BE261" s="65">
        <v>0</v>
      </c>
      <c r="BF261" s="65">
        <f>M261</f>
        <v>0.05048832</v>
      </c>
      <c r="BH261" s="48">
        <f>G261*AO261</f>
        <v>0</v>
      </c>
      <c r="BI261" s="48">
        <f>G261*AP261</f>
        <v>0</v>
      </c>
      <c r="BJ261" s="48">
        <f>G261*H261</f>
        <v>0</v>
      </c>
      <c r="BK261" s="48" t="s">
        <v>680</v>
      </c>
      <c r="BL261" s="65">
        <v>96</v>
      </c>
    </row>
    <row r="262" spans="1:15" ht="12.75">
      <c r="A262" s="17"/>
      <c r="D262" s="41" t="s">
        <v>590</v>
      </c>
      <c r="E262" s="43"/>
      <c r="G262" s="49">
        <v>0</v>
      </c>
      <c r="N262" s="16"/>
      <c r="O262" s="17"/>
    </row>
    <row r="263" spans="1:15" ht="12.75">
      <c r="A263" s="17"/>
      <c r="D263" s="41" t="s">
        <v>385</v>
      </c>
      <c r="E263" s="43"/>
      <c r="G263" s="49">
        <v>4.152</v>
      </c>
      <c r="N263" s="16"/>
      <c r="O263" s="17"/>
    </row>
    <row r="264" spans="1:47" ht="12.75">
      <c r="A264" s="93"/>
      <c r="B264" s="94"/>
      <c r="C264" s="94" t="s">
        <v>353</v>
      </c>
      <c r="D264" s="218" t="s">
        <v>591</v>
      </c>
      <c r="E264" s="219"/>
      <c r="F264" s="93" t="s">
        <v>73</v>
      </c>
      <c r="G264" s="93" t="s">
        <v>73</v>
      </c>
      <c r="H264" s="93" t="s">
        <v>73</v>
      </c>
      <c r="I264" s="95">
        <f>SUM(I265:I265)</f>
        <v>0</v>
      </c>
      <c r="J264" s="95">
        <f>SUM(J265:J265)</f>
        <v>0</v>
      </c>
      <c r="K264" s="95">
        <f>SUM(K265:K265)</f>
        <v>0</v>
      </c>
      <c r="L264" s="96"/>
      <c r="M264" s="95">
        <f>SUM(M265:M265)</f>
        <v>0</v>
      </c>
      <c r="N264" s="92"/>
      <c r="O264" s="77"/>
      <c r="AI264" s="58"/>
      <c r="AS264" s="71">
        <f>SUM(AJ265:AJ265)</f>
        <v>0</v>
      </c>
      <c r="AT264" s="71">
        <f>SUM(AK265:AK265)</f>
        <v>0</v>
      </c>
      <c r="AU264" s="71">
        <f>SUM(AL265:AL265)</f>
        <v>0</v>
      </c>
    </row>
    <row r="265" spans="1:64" ht="12.75">
      <c r="A265" s="80" t="s">
        <v>206</v>
      </c>
      <c r="B265" s="80"/>
      <c r="C265" s="80" t="s">
        <v>354</v>
      </c>
      <c r="D265" s="216" t="s">
        <v>592</v>
      </c>
      <c r="E265" s="217"/>
      <c r="F265" s="80" t="s">
        <v>612</v>
      </c>
      <c r="G265" s="85">
        <v>4.5</v>
      </c>
      <c r="H265" s="133"/>
      <c r="I265" s="85">
        <f>G265*AO265</f>
        <v>0</v>
      </c>
      <c r="J265" s="85">
        <f>G265*AP265</f>
        <v>0</v>
      </c>
      <c r="K265" s="85">
        <f>G265*H265</f>
        <v>0</v>
      </c>
      <c r="L265" s="85">
        <v>0</v>
      </c>
      <c r="M265" s="85">
        <f>G265*L265</f>
        <v>0</v>
      </c>
      <c r="N265" s="75" t="s">
        <v>631</v>
      </c>
      <c r="O265" s="77"/>
      <c r="Z265" s="65">
        <f>IF(AQ265="5",BJ265,0)</f>
        <v>0</v>
      </c>
      <c r="AB265" s="65">
        <f>IF(AQ265="1",BH265,0)</f>
        <v>0</v>
      </c>
      <c r="AC265" s="65">
        <f>IF(AQ265="1",BI265,0)</f>
        <v>0</v>
      </c>
      <c r="AD265" s="65">
        <f>IF(AQ265="7",BH265,0)</f>
        <v>0</v>
      </c>
      <c r="AE265" s="65">
        <f>IF(AQ265="7",BI265,0)</f>
        <v>0</v>
      </c>
      <c r="AF265" s="65">
        <f>IF(AQ265="2",BH265,0)</f>
        <v>0</v>
      </c>
      <c r="AG265" s="65">
        <f>IF(AQ265="2",BI265,0)</f>
        <v>0</v>
      </c>
      <c r="AH265" s="65">
        <f>IF(AQ265="0",BJ265,0)</f>
        <v>0</v>
      </c>
      <c r="AI265" s="58"/>
      <c r="AJ265" s="48">
        <f>IF(AN265=0,K265,0)</f>
        <v>0</v>
      </c>
      <c r="AK265" s="48">
        <f>IF(AN265=15,K265,0)</f>
        <v>0</v>
      </c>
      <c r="AL265" s="48">
        <f>IF(AN265=21,K265,0)</f>
        <v>0</v>
      </c>
      <c r="AN265" s="65">
        <v>15</v>
      </c>
      <c r="AO265" s="65">
        <f>H265*0</f>
        <v>0</v>
      </c>
      <c r="AP265" s="65">
        <f>H265*(1-0)</f>
        <v>0</v>
      </c>
      <c r="AQ265" s="66" t="s">
        <v>78</v>
      </c>
      <c r="AV265" s="65">
        <f>AW265+AX265</f>
        <v>0</v>
      </c>
      <c r="AW265" s="65">
        <f>G265*AO265</f>
        <v>0</v>
      </c>
      <c r="AX265" s="65">
        <f>G265*AP265</f>
        <v>0</v>
      </c>
      <c r="AY265" s="68" t="s">
        <v>663</v>
      </c>
      <c r="AZ265" s="68" t="s">
        <v>674</v>
      </c>
      <c r="BA265" s="58" t="s">
        <v>675</v>
      </c>
      <c r="BC265" s="65">
        <f>AW265+AX265</f>
        <v>0</v>
      </c>
      <c r="BD265" s="65">
        <f>H265/(100-BE265)*100</f>
        <v>0</v>
      </c>
      <c r="BE265" s="65">
        <v>0</v>
      </c>
      <c r="BF265" s="65">
        <f>M265</f>
        <v>0</v>
      </c>
      <c r="BH265" s="48">
        <f>G265*AO265</f>
        <v>0</v>
      </c>
      <c r="BI265" s="48">
        <f>G265*AP265</f>
        <v>0</v>
      </c>
      <c r="BJ265" s="48">
        <f>G265*H265</f>
        <v>0</v>
      </c>
      <c r="BK265" s="48" t="s">
        <v>680</v>
      </c>
      <c r="BL265" s="65" t="s">
        <v>353</v>
      </c>
    </row>
    <row r="266" spans="1:47" ht="12.75">
      <c r="A266" s="124"/>
      <c r="B266" s="125"/>
      <c r="C266" s="125" t="s">
        <v>355</v>
      </c>
      <c r="D266" s="229" t="s">
        <v>593</v>
      </c>
      <c r="E266" s="219"/>
      <c r="F266" s="124" t="s">
        <v>73</v>
      </c>
      <c r="G266" s="124" t="s">
        <v>73</v>
      </c>
      <c r="H266" s="124" t="s">
        <v>73</v>
      </c>
      <c r="I266" s="126">
        <f>SUM(I267:I269)</f>
        <v>0</v>
      </c>
      <c r="J266" s="126">
        <f>SUM(J267:J269)</f>
        <v>0</v>
      </c>
      <c r="K266" s="126">
        <f>SUM(K267:K269)</f>
        <v>0</v>
      </c>
      <c r="L266" s="127"/>
      <c r="M266" s="126">
        <f>SUM(M267:M269)</f>
        <v>0</v>
      </c>
      <c r="N266" s="123"/>
      <c r="O266" s="77"/>
      <c r="AI266" s="58"/>
      <c r="AS266" s="71">
        <f>SUM(AJ267:AJ269)</f>
        <v>0</v>
      </c>
      <c r="AT266" s="71">
        <f>SUM(AK267:AK269)</f>
        <v>0</v>
      </c>
      <c r="AU266" s="71">
        <f>SUM(AL267:AL269)</f>
        <v>0</v>
      </c>
    </row>
    <row r="267" spans="1:64" ht="12.75">
      <c r="A267" s="80" t="s">
        <v>207</v>
      </c>
      <c r="B267" s="80"/>
      <c r="C267" s="80" t="s">
        <v>237</v>
      </c>
      <c r="D267" s="216" t="s">
        <v>594</v>
      </c>
      <c r="E267" s="217"/>
      <c r="F267" s="80" t="s">
        <v>615</v>
      </c>
      <c r="G267" s="85">
        <v>1</v>
      </c>
      <c r="H267" s="133"/>
      <c r="I267" s="85">
        <f>G267*AO267</f>
        <v>0</v>
      </c>
      <c r="J267" s="85">
        <f>G267*AP267</f>
        <v>0</v>
      </c>
      <c r="K267" s="85">
        <f>G267*H267</f>
        <v>0</v>
      </c>
      <c r="L267" s="85">
        <v>0</v>
      </c>
      <c r="M267" s="85">
        <f>G267*L267</f>
        <v>0</v>
      </c>
      <c r="N267" s="75" t="s">
        <v>237</v>
      </c>
      <c r="O267" s="77"/>
      <c r="Z267" s="65">
        <f>IF(AQ267="5",BJ267,0)</f>
        <v>0</v>
      </c>
      <c r="AB267" s="65">
        <f>IF(AQ267="1",BH267,0)</f>
        <v>0</v>
      </c>
      <c r="AC267" s="65">
        <f>IF(AQ267="1",BI267,0)</f>
        <v>0</v>
      </c>
      <c r="AD267" s="65">
        <f>IF(AQ267="7",BH267,0)</f>
        <v>0</v>
      </c>
      <c r="AE267" s="65">
        <f>IF(AQ267="7",BI267,0)</f>
        <v>0</v>
      </c>
      <c r="AF267" s="65">
        <f>IF(AQ267="2",BH267,0)</f>
        <v>0</v>
      </c>
      <c r="AG267" s="65">
        <f>IF(AQ267="2",BI267,0)</f>
        <v>0</v>
      </c>
      <c r="AH267" s="65">
        <f>IF(AQ267="0",BJ267,0)</f>
        <v>0</v>
      </c>
      <c r="AI267" s="58"/>
      <c r="AJ267" s="48">
        <f>IF(AN267=0,K267,0)</f>
        <v>0</v>
      </c>
      <c r="AK267" s="48">
        <f>IF(AN267=15,K267,0)</f>
        <v>0</v>
      </c>
      <c r="AL267" s="48">
        <f>IF(AN267=21,K267,0)</f>
        <v>0</v>
      </c>
      <c r="AN267" s="65">
        <v>15</v>
      </c>
      <c r="AO267" s="65">
        <f>H267*0</f>
        <v>0</v>
      </c>
      <c r="AP267" s="65">
        <f>H267*(1-0)</f>
        <v>0</v>
      </c>
      <c r="AQ267" s="66" t="s">
        <v>78</v>
      </c>
      <c r="AV267" s="65">
        <f>AW267+AX267</f>
        <v>0</v>
      </c>
      <c r="AW267" s="65">
        <f>G267*AO267</f>
        <v>0</v>
      </c>
      <c r="AX267" s="65">
        <f>G267*AP267</f>
        <v>0</v>
      </c>
      <c r="AY267" s="68" t="s">
        <v>664</v>
      </c>
      <c r="AZ267" s="68" t="s">
        <v>674</v>
      </c>
      <c r="BA267" s="58" t="s">
        <v>675</v>
      </c>
      <c r="BC267" s="65">
        <f>AW267+AX267</f>
        <v>0</v>
      </c>
      <c r="BD267" s="65">
        <f>H267/(100-BE267)*100</f>
        <v>0</v>
      </c>
      <c r="BE267" s="65">
        <v>0</v>
      </c>
      <c r="BF267" s="65">
        <f>M267</f>
        <v>0</v>
      </c>
      <c r="BH267" s="48">
        <f>G267*AO267</f>
        <v>0</v>
      </c>
      <c r="BI267" s="48">
        <f>G267*AP267</f>
        <v>0</v>
      </c>
      <c r="BJ267" s="48">
        <f>G267*H267</f>
        <v>0</v>
      </c>
      <c r="BK267" s="48" t="s">
        <v>680</v>
      </c>
      <c r="BL267" s="65" t="s">
        <v>355</v>
      </c>
    </row>
    <row r="268" spans="1:64" ht="12.75">
      <c r="A268" s="129" t="s">
        <v>208</v>
      </c>
      <c r="B268" s="129"/>
      <c r="C268" s="129" t="s">
        <v>237</v>
      </c>
      <c r="D268" s="230" t="s">
        <v>595</v>
      </c>
      <c r="E268" s="217"/>
      <c r="F268" s="129" t="s">
        <v>615</v>
      </c>
      <c r="G268" s="130">
        <v>1</v>
      </c>
      <c r="H268" s="137"/>
      <c r="I268" s="130">
        <f>G268*AO268</f>
        <v>0</v>
      </c>
      <c r="J268" s="130">
        <f>G268*AP268</f>
        <v>0</v>
      </c>
      <c r="K268" s="130">
        <f>G268*H268</f>
        <v>0</v>
      </c>
      <c r="L268" s="130">
        <v>0</v>
      </c>
      <c r="M268" s="130">
        <f>G268*L268</f>
        <v>0</v>
      </c>
      <c r="N268" s="128" t="s">
        <v>237</v>
      </c>
      <c r="O268" s="77"/>
      <c r="Z268" s="65">
        <f>IF(AQ268="5",BJ268,0)</f>
        <v>0</v>
      </c>
      <c r="AB268" s="65">
        <f>IF(AQ268="1",BH268,0)</f>
        <v>0</v>
      </c>
      <c r="AC268" s="65">
        <f>IF(AQ268="1",BI268,0)</f>
        <v>0</v>
      </c>
      <c r="AD268" s="65">
        <f>IF(AQ268="7",BH268,0)</f>
        <v>0</v>
      </c>
      <c r="AE268" s="65">
        <f>IF(AQ268="7",BI268,0)</f>
        <v>0</v>
      </c>
      <c r="AF268" s="65">
        <f>IF(AQ268="2",BH268,0)</f>
        <v>0</v>
      </c>
      <c r="AG268" s="65">
        <f>IF(AQ268="2",BI268,0)</f>
        <v>0</v>
      </c>
      <c r="AH268" s="65">
        <f>IF(AQ268="0",BJ268,0)</f>
        <v>0</v>
      </c>
      <c r="AI268" s="58"/>
      <c r="AJ268" s="48">
        <f>IF(AN268=0,K268,0)</f>
        <v>0</v>
      </c>
      <c r="AK268" s="48">
        <f>IF(AN268=15,K268,0)</f>
        <v>0</v>
      </c>
      <c r="AL268" s="48">
        <f>IF(AN268=21,K268,0)</f>
        <v>0</v>
      </c>
      <c r="AN268" s="65">
        <v>15</v>
      </c>
      <c r="AO268" s="65">
        <f>H268*0</f>
        <v>0</v>
      </c>
      <c r="AP268" s="65">
        <f>H268*(1-0)</f>
        <v>0</v>
      </c>
      <c r="AQ268" s="66" t="s">
        <v>78</v>
      </c>
      <c r="AV268" s="65">
        <f>AW268+AX268</f>
        <v>0</v>
      </c>
      <c r="AW268" s="65">
        <f>G268*AO268</f>
        <v>0</v>
      </c>
      <c r="AX268" s="65">
        <f>G268*AP268</f>
        <v>0</v>
      </c>
      <c r="AY268" s="68" t="s">
        <v>664</v>
      </c>
      <c r="AZ268" s="68" t="s">
        <v>674</v>
      </c>
      <c r="BA268" s="58" t="s">
        <v>675</v>
      </c>
      <c r="BC268" s="65">
        <f>AW268+AX268</f>
        <v>0</v>
      </c>
      <c r="BD268" s="65">
        <f>H268/(100-BE268)*100</f>
        <v>0</v>
      </c>
      <c r="BE268" s="65">
        <v>0</v>
      </c>
      <c r="BF268" s="65">
        <f>M268</f>
        <v>0</v>
      </c>
      <c r="BH268" s="48">
        <f>G268*AO268</f>
        <v>0</v>
      </c>
      <c r="BI268" s="48">
        <f>G268*AP268</f>
        <v>0</v>
      </c>
      <c r="BJ268" s="48">
        <f>G268*H268</f>
        <v>0</v>
      </c>
      <c r="BK268" s="48" t="s">
        <v>680</v>
      </c>
      <c r="BL268" s="65" t="s">
        <v>355</v>
      </c>
    </row>
    <row r="269" spans="1:64" ht="12.75">
      <c r="A269" s="80" t="s">
        <v>209</v>
      </c>
      <c r="B269" s="80"/>
      <c r="C269" s="80" t="s">
        <v>237</v>
      </c>
      <c r="D269" s="216" t="s">
        <v>596</v>
      </c>
      <c r="E269" s="217"/>
      <c r="F269" s="80" t="s">
        <v>684</v>
      </c>
      <c r="G269" s="85">
        <v>1</v>
      </c>
      <c r="H269" s="133"/>
      <c r="I269" s="85">
        <f>G269*AO269</f>
        <v>0</v>
      </c>
      <c r="J269" s="85">
        <f>G269*AP269</f>
        <v>0</v>
      </c>
      <c r="K269" s="85">
        <f>G269*H269</f>
        <v>0</v>
      </c>
      <c r="L269" s="85">
        <v>0</v>
      </c>
      <c r="M269" s="85">
        <f>G269*L269</f>
        <v>0</v>
      </c>
      <c r="N269" s="75" t="s">
        <v>237</v>
      </c>
      <c r="O269" s="77"/>
      <c r="Z269" s="65">
        <f>IF(AQ269="5",BJ269,0)</f>
        <v>0</v>
      </c>
      <c r="AB269" s="65">
        <f>IF(AQ269="1",BH269,0)</f>
        <v>0</v>
      </c>
      <c r="AC269" s="65">
        <f>IF(AQ269="1",BI269,0)</f>
        <v>0</v>
      </c>
      <c r="AD269" s="65">
        <f>IF(AQ269="7",BH269,0)</f>
        <v>0</v>
      </c>
      <c r="AE269" s="65">
        <f>IF(AQ269="7",BI269,0)</f>
        <v>0</v>
      </c>
      <c r="AF269" s="65">
        <f>IF(AQ269="2",BH269,0)</f>
        <v>0</v>
      </c>
      <c r="AG269" s="65">
        <f>IF(AQ269="2",BI269,0)</f>
        <v>0</v>
      </c>
      <c r="AH269" s="65">
        <f>IF(AQ269="0",BJ269,0)</f>
        <v>0</v>
      </c>
      <c r="AI269" s="58"/>
      <c r="AJ269" s="48">
        <f>IF(AN269=0,K269,0)</f>
        <v>0</v>
      </c>
      <c r="AK269" s="48">
        <f>IF(AN269=15,K269,0)</f>
        <v>0</v>
      </c>
      <c r="AL269" s="48">
        <f>IF(AN269=21,K269,0)</f>
        <v>0</v>
      </c>
      <c r="AN269" s="65">
        <v>15</v>
      </c>
      <c r="AO269" s="65">
        <f>H269*0</f>
        <v>0</v>
      </c>
      <c r="AP269" s="65">
        <f>H269*(1-0)</f>
        <v>0</v>
      </c>
      <c r="AQ269" s="66" t="s">
        <v>78</v>
      </c>
      <c r="AV269" s="65">
        <f>AW269+AX269</f>
        <v>0</v>
      </c>
      <c r="AW269" s="65">
        <f>G269*AO269</f>
        <v>0</v>
      </c>
      <c r="AX269" s="65">
        <f>G269*AP269</f>
        <v>0</v>
      </c>
      <c r="AY269" s="68" t="s">
        <v>664</v>
      </c>
      <c r="AZ269" s="68" t="s">
        <v>674</v>
      </c>
      <c r="BA269" s="58" t="s">
        <v>675</v>
      </c>
      <c r="BC269" s="65">
        <f>AW269+AX269</f>
        <v>0</v>
      </c>
      <c r="BD269" s="65">
        <f>H269/(100-BE269)*100</f>
        <v>0</v>
      </c>
      <c r="BE269" s="65">
        <v>0</v>
      </c>
      <c r="BF269" s="65">
        <f>M269</f>
        <v>0</v>
      </c>
      <c r="BH269" s="48">
        <f>G269*AO269</f>
        <v>0</v>
      </c>
      <c r="BI269" s="48">
        <f>G269*AP269</f>
        <v>0</v>
      </c>
      <c r="BJ269" s="48">
        <f>G269*H269</f>
        <v>0</v>
      </c>
      <c r="BK269" s="48" t="s">
        <v>680</v>
      </c>
      <c r="BL269" s="65" t="s">
        <v>355</v>
      </c>
    </row>
    <row r="270" spans="1:47" ht="12.75">
      <c r="A270" s="93"/>
      <c r="B270" s="94"/>
      <c r="C270" s="94" t="s">
        <v>356</v>
      </c>
      <c r="D270" s="218" t="s">
        <v>597</v>
      </c>
      <c r="E270" s="219"/>
      <c r="F270" s="93" t="s">
        <v>73</v>
      </c>
      <c r="G270" s="93" t="s">
        <v>73</v>
      </c>
      <c r="H270" s="93" t="s">
        <v>73</v>
      </c>
      <c r="I270" s="95">
        <f>SUM(I271:I278)</f>
        <v>0</v>
      </c>
      <c r="J270" s="95">
        <f>SUM(J271:J278)</f>
        <v>0</v>
      </c>
      <c r="K270" s="95">
        <f>SUM(K271:K278)</f>
        <v>0</v>
      </c>
      <c r="L270" s="96"/>
      <c r="M270" s="95">
        <f>SUM(M271:M278)</f>
        <v>0</v>
      </c>
      <c r="N270" s="92"/>
      <c r="O270" s="77"/>
      <c r="AI270" s="58"/>
      <c r="AS270" s="71">
        <f>SUM(AJ271:AJ278)</f>
        <v>0</v>
      </c>
      <c r="AT270" s="71">
        <f>SUM(AK271:AK278)</f>
        <v>0</v>
      </c>
      <c r="AU270" s="71">
        <f>SUM(AL271:AL278)</f>
        <v>0</v>
      </c>
    </row>
    <row r="271" spans="1:64" ht="12.75">
      <c r="A271" s="80" t="s">
        <v>210</v>
      </c>
      <c r="B271" s="80"/>
      <c r="C271" s="80" t="s">
        <v>357</v>
      </c>
      <c r="D271" s="216" t="s">
        <v>598</v>
      </c>
      <c r="E271" s="217"/>
      <c r="F271" s="80" t="s">
        <v>612</v>
      </c>
      <c r="G271" s="85">
        <v>3.43786</v>
      </c>
      <c r="H271" s="133"/>
      <c r="I271" s="85">
        <f>G271*AO271</f>
        <v>0</v>
      </c>
      <c r="J271" s="85">
        <f>G271*AP271</f>
        <v>0</v>
      </c>
      <c r="K271" s="85">
        <f>G271*H271</f>
        <v>0</v>
      </c>
      <c r="L271" s="85">
        <v>0</v>
      </c>
      <c r="M271" s="85">
        <f>G271*L271</f>
        <v>0</v>
      </c>
      <c r="N271" s="75" t="s">
        <v>631</v>
      </c>
      <c r="O271" s="77"/>
      <c r="Z271" s="65">
        <f>IF(AQ271="5",BJ271,0)</f>
        <v>0</v>
      </c>
      <c r="AB271" s="65">
        <f>IF(AQ271="1",BH271,0)</f>
        <v>0</v>
      </c>
      <c r="AC271" s="65">
        <f>IF(AQ271="1",BI271,0)</f>
        <v>0</v>
      </c>
      <c r="AD271" s="65">
        <f>IF(AQ271="7",BH271,0)</f>
        <v>0</v>
      </c>
      <c r="AE271" s="65">
        <f>IF(AQ271="7",BI271,0)</f>
        <v>0</v>
      </c>
      <c r="AF271" s="65">
        <f>IF(AQ271="2",BH271,0)</f>
        <v>0</v>
      </c>
      <c r="AG271" s="65">
        <f>IF(AQ271="2",BI271,0)</f>
        <v>0</v>
      </c>
      <c r="AH271" s="65">
        <f>IF(AQ271="0",BJ271,0)</f>
        <v>0</v>
      </c>
      <c r="AI271" s="58"/>
      <c r="AJ271" s="48">
        <f>IF(AN271=0,K271,0)</f>
        <v>0</v>
      </c>
      <c r="AK271" s="48">
        <f>IF(AN271=15,K271,0)</f>
        <v>0</v>
      </c>
      <c r="AL271" s="48">
        <f>IF(AN271=21,K271,0)</f>
        <v>0</v>
      </c>
      <c r="AN271" s="65">
        <v>15</v>
      </c>
      <c r="AO271" s="65">
        <f>H271*0</f>
        <v>0</v>
      </c>
      <c r="AP271" s="65">
        <f>H271*(1-0)</f>
        <v>0</v>
      </c>
      <c r="AQ271" s="66" t="s">
        <v>78</v>
      </c>
      <c r="AV271" s="65">
        <f>AW271+AX271</f>
        <v>0</v>
      </c>
      <c r="AW271" s="65">
        <f>G271*AO271</f>
        <v>0</v>
      </c>
      <c r="AX271" s="65">
        <f>G271*AP271</f>
        <v>0</v>
      </c>
      <c r="AY271" s="68" t="s">
        <v>665</v>
      </c>
      <c r="AZ271" s="68" t="s">
        <v>674</v>
      </c>
      <c r="BA271" s="58" t="s">
        <v>675</v>
      </c>
      <c r="BC271" s="65">
        <f>AW271+AX271</f>
        <v>0</v>
      </c>
      <c r="BD271" s="65">
        <f>H271/(100-BE271)*100</f>
        <v>0</v>
      </c>
      <c r="BE271" s="65">
        <v>0</v>
      </c>
      <c r="BF271" s="65">
        <f>M271</f>
        <v>0</v>
      </c>
      <c r="BH271" s="48">
        <f>G271*AO271</f>
        <v>0</v>
      </c>
      <c r="BI271" s="48">
        <f>G271*AP271</f>
        <v>0</v>
      </c>
      <c r="BJ271" s="48">
        <f>G271*H271</f>
        <v>0</v>
      </c>
      <c r="BK271" s="48" t="s">
        <v>680</v>
      </c>
      <c r="BL271" s="65" t="s">
        <v>356</v>
      </c>
    </row>
    <row r="272" spans="1:64" ht="12.75">
      <c r="A272" s="80" t="s">
        <v>211</v>
      </c>
      <c r="B272" s="80"/>
      <c r="C272" s="80" t="s">
        <v>358</v>
      </c>
      <c r="D272" s="216" t="s">
        <v>599</v>
      </c>
      <c r="E272" s="217"/>
      <c r="F272" s="80" t="s">
        <v>612</v>
      </c>
      <c r="G272" s="85">
        <v>34.4</v>
      </c>
      <c r="H272" s="133"/>
      <c r="I272" s="85">
        <f>G272*AO272</f>
        <v>0</v>
      </c>
      <c r="J272" s="85">
        <f>G272*AP272</f>
        <v>0</v>
      </c>
      <c r="K272" s="85">
        <f>G272*H272</f>
        <v>0</v>
      </c>
      <c r="L272" s="85">
        <v>0</v>
      </c>
      <c r="M272" s="85">
        <f>G272*L272</f>
        <v>0</v>
      </c>
      <c r="N272" s="75" t="s">
        <v>631</v>
      </c>
      <c r="O272" s="77"/>
      <c r="Z272" s="65">
        <f>IF(AQ272="5",BJ272,0)</f>
        <v>0</v>
      </c>
      <c r="AB272" s="65">
        <f>IF(AQ272="1",BH272,0)</f>
        <v>0</v>
      </c>
      <c r="AC272" s="65">
        <f>IF(AQ272="1",BI272,0)</f>
        <v>0</v>
      </c>
      <c r="AD272" s="65">
        <f>IF(AQ272="7",BH272,0)</f>
        <v>0</v>
      </c>
      <c r="AE272" s="65">
        <f>IF(AQ272="7",BI272,0)</f>
        <v>0</v>
      </c>
      <c r="AF272" s="65">
        <f>IF(AQ272="2",BH272,0)</f>
        <v>0</v>
      </c>
      <c r="AG272" s="65">
        <f>IF(AQ272="2",BI272,0)</f>
        <v>0</v>
      </c>
      <c r="AH272" s="65">
        <f>IF(AQ272="0",BJ272,0)</f>
        <v>0</v>
      </c>
      <c r="AI272" s="58"/>
      <c r="AJ272" s="48">
        <f>IF(AN272=0,K272,0)</f>
        <v>0</v>
      </c>
      <c r="AK272" s="48">
        <f>IF(AN272=15,K272,0)</f>
        <v>0</v>
      </c>
      <c r="AL272" s="48">
        <f>IF(AN272=21,K272,0)</f>
        <v>0</v>
      </c>
      <c r="AN272" s="65">
        <v>15</v>
      </c>
      <c r="AO272" s="65">
        <f>H272*0</f>
        <v>0</v>
      </c>
      <c r="AP272" s="65">
        <f>H272*(1-0)</f>
        <v>0</v>
      </c>
      <c r="AQ272" s="66" t="s">
        <v>78</v>
      </c>
      <c r="AV272" s="65">
        <f>AW272+AX272</f>
        <v>0</v>
      </c>
      <c r="AW272" s="65">
        <f>G272*AO272</f>
        <v>0</v>
      </c>
      <c r="AX272" s="65">
        <f>G272*AP272</f>
        <v>0</v>
      </c>
      <c r="AY272" s="68" t="s">
        <v>665</v>
      </c>
      <c r="AZ272" s="68" t="s">
        <v>674</v>
      </c>
      <c r="BA272" s="58" t="s">
        <v>675</v>
      </c>
      <c r="BC272" s="65">
        <f>AW272+AX272</f>
        <v>0</v>
      </c>
      <c r="BD272" s="65">
        <f>H272/(100-BE272)*100</f>
        <v>0</v>
      </c>
      <c r="BE272" s="65">
        <v>0</v>
      </c>
      <c r="BF272" s="65">
        <f>M272</f>
        <v>0</v>
      </c>
      <c r="BH272" s="48">
        <f>G272*AO272</f>
        <v>0</v>
      </c>
      <c r="BI272" s="48">
        <f>G272*AP272</f>
        <v>0</v>
      </c>
      <c r="BJ272" s="48">
        <f>G272*H272</f>
        <v>0</v>
      </c>
      <c r="BK272" s="48" t="s">
        <v>680</v>
      </c>
      <c r="BL272" s="65" t="s">
        <v>356</v>
      </c>
    </row>
    <row r="273" spans="1:15" ht="12.75">
      <c r="A273" s="87"/>
      <c r="B273" s="88"/>
      <c r="C273" s="88"/>
      <c r="D273" s="89" t="s">
        <v>600</v>
      </c>
      <c r="E273" s="90"/>
      <c r="F273" s="88"/>
      <c r="G273" s="91">
        <v>34.4</v>
      </c>
      <c r="H273" s="88"/>
      <c r="I273" s="88"/>
      <c r="J273" s="88"/>
      <c r="K273" s="88"/>
      <c r="L273" s="88"/>
      <c r="M273" s="88"/>
      <c r="N273" s="78"/>
      <c r="O273" s="77"/>
    </row>
    <row r="274" spans="1:64" ht="12.75">
      <c r="A274" s="80" t="s">
        <v>212</v>
      </c>
      <c r="B274" s="80"/>
      <c r="C274" s="80" t="s">
        <v>359</v>
      </c>
      <c r="D274" s="216" t="s">
        <v>601</v>
      </c>
      <c r="E274" s="217"/>
      <c r="F274" s="80" t="s">
        <v>612</v>
      </c>
      <c r="G274" s="85">
        <v>3.44</v>
      </c>
      <c r="H274" s="133"/>
      <c r="I274" s="85">
        <f>G274*AO274</f>
        <v>0</v>
      </c>
      <c r="J274" s="85">
        <f>G274*AP274</f>
        <v>0</v>
      </c>
      <c r="K274" s="85">
        <f>G274*H274</f>
        <v>0</v>
      </c>
      <c r="L274" s="85">
        <v>0</v>
      </c>
      <c r="M274" s="85">
        <f>G274*L274</f>
        <v>0</v>
      </c>
      <c r="N274" s="75" t="s">
        <v>631</v>
      </c>
      <c r="O274" s="77"/>
      <c r="Z274" s="65">
        <f>IF(AQ274="5",BJ274,0)</f>
        <v>0</v>
      </c>
      <c r="AB274" s="65">
        <f>IF(AQ274="1",BH274,0)</f>
        <v>0</v>
      </c>
      <c r="AC274" s="65">
        <f>IF(AQ274="1",BI274,0)</f>
        <v>0</v>
      </c>
      <c r="AD274" s="65">
        <f>IF(AQ274="7",BH274,0)</f>
        <v>0</v>
      </c>
      <c r="AE274" s="65">
        <f>IF(AQ274="7",BI274,0)</f>
        <v>0</v>
      </c>
      <c r="AF274" s="65">
        <f>IF(AQ274="2",BH274,0)</f>
        <v>0</v>
      </c>
      <c r="AG274" s="65">
        <f>IF(AQ274="2",BI274,0)</f>
        <v>0</v>
      </c>
      <c r="AH274" s="65">
        <f>IF(AQ274="0",BJ274,0)</f>
        <v>0</v>
      </c>
      <c r="AI274" s="58"/>
      <c r="AJ274" s="48">
        <f>IF(AN274=0,K274,0)</f>
        <v>0</v>
      </c>
      <c r="AK274" s="48">
        <f>IF(AN274=15,K274,0)</f>
        <v>0</v>
      </c>
      <c r="AL274" s="48">
        <f>IF(AN274=21,K274,0)</f>
        <v>0</v>
      </c>
      <c r="AN274" s="65">
        <v>15</v>
      </c>
      <c r="AO274" s="65">
        <f>H274*0</f>
        <v>0</v>
      </c>
      <c r="AP274" s="65">
        <f>H274*(1-0)</f>
        <v>0</v>
      </c>
      <c r="AQ274" s="66" t="s">
        <v>78</v>
      </c>
      <c r="AV274" s="65">
        <f>AW274+AX274</f>
        <v>0</v>
      </c>
      <c r="AW274" s="65">
        <f>G274*AO274</f>
        <v>0</v>
      </c>
      <c r="AX274" s="65">
        <f>G274*AP274</f>
        <v>0</v>
      </c>
      <c r="AY274" s="68" t="s">
        <v>665</v>
      </c>
      <c r="AZ274" s="68" t="s">
        <v>674</v>
      </c>
      <c r="BA274" s="58" t="s">
        <v>675</v>
      </c>
      <c r="BC274" s="65">
        <f>AW274+AX274</f>
        <v>0</v>
      </c>
      <c r="BD274" s="65">
        <f>H274/(100-BE274)*100</f>
        <v>0</v>
      </c>
      <c r="BE274" s="65">
        <v>0</v>
      </c>
      <c r="BF274" s="65">
        <f>M274</f>
        <v>0</v>
      </c>
      <c r="BH274" s="48">
        <f>G274*AO274</f>
        <v>0</v>
      </c>
      <c r="BI274" s="48">
        <f>G274*AP274</f>
        <v>0</v>
      </c>
      <c r="BJ274" s="48">
        <f>G274*H274</f>
        <v>0</v>
      </c>
      <c r="BK274" s="48" t="s">
        <v>680</v>
      </c>
      <c r="BL274" s="65" t="s">
        <v>356</v>
      </c>
    </row>
    <row r="275" spans="1:64" ht="12.75">
      <c r="A275" s="80" t="s">
        <v>213</v>
      </c>
      <c r="B275" s="80"/>
      <c r="C275" s="80" t="s">
        <v>360</v>
      </c>
      <c r="D275" s="216" t="s">
        <v>602</v>
      </c>
      <c r="E275" s="217"/>
      <c r="F275" s="80" t="s">
        <v>612</v>
      </c>
      <c r="G275" s="85">
        <v>0</v>
      </c>
      <c r="H275" s="133"/>
      <c r="I275" s="85">
        <f>G275*AO275</f>
        <v>0</v>
      </c>
      <c r="J275" s="85">
        <f>G275*AP275</f>
        <v>0</v>
      </c>
      <c r="K275" s="85">
        <f>G275*H275</f>
        <v>0</v>
      </c>
      <c r="L275" s="85">
        <v>0</v>
      </c>
      <c r="M275" s="85">
        <f>G275*L275</f>
        <v>0</v>
      </c>
      <c r="N275" s="75" t="s">
        <v>631</v>
      </c>
      <c r="O275" s="77"/>
      <c r="Z275" s="65">
        <f>IF(AQ275="5",BJ275,0)</f>
        <v>0</v>
      </c>
      <c r="AB275" s="65">
        <f>IF(AQ275="1",BH275,0)</f>
        <v>0</v>
      </c>
      <c r="AC275" s="65">
        <f>IF(AQ275="1",BI275,0)</f>
        <v>0</v>
      </c>
      <c r="AD275" s="65">
        <f>IF(AQ275="7",BH275,0)</f>
        <v>0</v>
      </c>
      <c r="AE275" s="65">
        <f>IF(AQ275="7",BI275,0)</f>
        <v>0</v>
      </c>
      <c r="AF275" s="65">
        <f>IF(AQ275="2",BH275,0)</f>
        <v>0</v>
      </c>
      <c r="AG275" s="65">
        <f>IF(AQ275="2",BI275,0)</f>
        <v>0</v>
      </c>
      <c r="AH275" s="65">
        <f>IF(AQ275="0",BJ275,0)</f>
        <v>0</v>
      </c>
      <c r="AI275" s="58"/>
      <c r="AJ275" s="48">
        <f>IF(AN275=0,K275,0)</f>
        <v>0</v>
      </c>
      <c r="AK275" s="48">
        <f>IF(AN275=15,K275,0)</f>
        <v>0</v>
      </c>
      <c r="AL275" s="48">
        <f>IF(AN275=21,K275,0)</f>
        <v>0</v>
      </c>
      <c r="AN275" s="65">
        <v>15</v>
      </c>
      <c r="AO275" s="65">
        <f>H275*0</f>
        <v>0</v>
      </c>
      <c r="AP275" s="65">
        <f>H275*(1-0)</f>
        <v>0</v>
      </c>
      <c r="AQ275" s="66" t="s">
        <v>78</v>
      </c>
      <c r="AV275" s="65">
        <f>AW275+AX275</f>
        <v>0</v>
      </c>
      <c r="AW275" s="65">
        <f>G275*AO275</f>
        <v>0</v>
      </c>
      <c r="AX275" s="65">
        <f>G275*AP275</f>
        <v>0</v>
      </c>
      <c r="AY275" s="68" t="s">
        <v>665</v>
      </c>
      <c r="AZ275" s="68" t="s">
        <v>674</v>
      </c>
      <c r="BA275" s="58" t="s">
        <v>675</v>
      </c>
      <c r="BC275" s="65">
        <f>AW275+AX275</f>
        <v>0</v>
      </c>
      <c r="BD275" s="65">
        <f>H275/(100-BE275)*100</f>
        <v>0</v>
      </c>
      <c r="BE275" s="65">
        <v>0</v>
      </c>
      <c r="BF275" s="65">
        <f>M275</f>
        <v>0</v>
      </c>
      <c r="BH275" s="48">
        <f>G275*AO275</f>
        <v>0</v>
      </c>
      <c r="BI275" s="48">
        <f>G275*AP275</f>
        <v>0</v>
      </c>
      <c r="BJ275" s="48">
        <f>G275*H275</f>
        <v>0</v>
      </c>
      <c r="BK275" s="48" t="s">
        <v>680</v>
      </c>
      <c r="BL275" s="65" t="s">
        <v>356</v>
      </c>
    </row>
    <row r="276" spans="1:64" ht="12.75">
      <c r="A276" s="80" t="s">
        <v>214</v>
      </c>
      <c r="B276" s="80"/>
      <c r="C276" s="80" t="s">
        <v>359</v>
      </c>
      <c r="D276" s="216" t="s">
        <v>601</v>
      </c>
      <c r="E276" s="217"/>
      <c r="F276" s="80" t="s">
        <v>612</v>
      </c>
      <c r="G276" s="85">
        <v>3.11</v>
      </c>
      <c r="H276" s="133"/>
      <c r="I276" s="85">
        <f>G276*AO276</f>
        <v>0</v>
      </c>
      <c r="J276" s="85">
        <f>G276*AP276</f>
        <v>0</v>
      </c>
      <c r="K276" s="85">
        <f>G276*H276</f>
        <v>0</v>
      </c>
      <c r="L276" s="85">
        <v>0</v>
      </c>
      <c r="M276" s="85">
        <f>G276*L276</f>
        <v>0</v>
      </c>
      <c r="N276" s="75" t="s">
        <v>631</v>
      </c>
      <c r="O276" s="77"/>
      <c r="Z276" s="65">
        <f>IF(AQ276="5",BJ276,0)</f>
        <v>0</v>
      </c>
      <c r="AB276" s="65">
        <f>IF(AQ276="1",BH276,0)</f>
        <v>0</v>
      </c>
      <c r="AC276" s="65">
        <f>IF(AQ276="1",BI276,0)</f>
        <v>0</v>
      </c>
      <c r="AD276" s="65">
        <f>IF(AQ276="7",BH276,0)</f>
        <v>0</v>
      </c>
      <c r="AE276" s="65">
        <f>IF(AQ276="7",BI276,0)</f>
        <v>0</v>
      </c>
      <c r="AF276" s="65">
        <f>IF(AQ276="2",BH276,0)</f>
        <v>0</v>
      </c>
      <c r="AG276" s="65">
        <f>IF(AQ276="2",BI276,0)</f>
        <v>0</v>
      </c>
      <c r="AH276" s="65">
        <f>IF(AQ276="0",BJ276,0)</f>
        <v>0</v>
      </c>
      <c r="AI276" s="58"/>
      <c r="AJ276" s="48">
        <f>IF(AN276=0,K276,0)</f>
        <v>0</v>
      </c>
      <c r="AK276" s="48">
        <f>IF(AN276=15,K276,0)</f>
        <v>0</v>
      </c>
      <c r="AL276" s="48">
        <f>IF(AN276=21,K276,0)</f>
        <v>0</v>
      </c>
      <c r="AN276" s="65">
        <v>15</v>
      </c>
      <c r="AO276" s="65">
        <f>H276*0</f>
        <v>0</v>
      </c>
      <c r="AP276" s="65">
        <f>H276*(1-0)</f>
        <v>0</v>
      </c>
      <c r="AQ276" s="66" t="s">
        <v>78</v>
      </c>
      <c r="AV276" s="65">
        <f>AW276+AX276</f>
        <v>0</v>
      </c>
      <c r="AW276" s="65">
        <f>G276*AO276</f>
        <v>0</v>
      </c>
      <c r="AX276" s="65">
        <f>G276*AP276</f>
        <v>0</v>
      </c>
      <c r="AY276" s="68" t="s">
        <v>665</v>
      </c>
      <c r="AZ276" s="68" t="s">
        <v>674</v>
      </c>
      <c r="BA276" s="58" t="s">
        <v>675</v>
      </c>
      <c r="BC276" s="65">
        <f>AW276+AX276</f>
        <v>0</v>
      </c>
      <c r="BD276" s="65">
        <f>H276/(100-BE276)*100</f>
        <v>0</v>
      </c>
      <c r="BE276" s="65">
        <v>0</v>
      </c>
      <c r="BF276" s="65">
        <f>M276</f>
        <v>0</v>
      </c>
      <c r="BH276" s="48">
        <f>G276*AO276</f>
        <v>0</v>
      </c>
      <c r="BI276" s="48">
        <f>G276*AP276</f>
        <v>0</v>
      </c>
      <c r="BJ276" s="48">
        <f>G276*H276</f>
        <v>0</v>
      </c>
      <c r="BK276" s="48" t="s">
        <v>680</v>
      </c>
      <c r="BL276" s="65" t="s">
        <v>356</v>
      </c>
    </row>
    <row r="277" spans="1:64" ht="12.75">
      <c r="A277" s="73" t="s">
        <v>215</v>
      </c>
      <c r="B277" s="73"/>
      <c r="C277" s="73" t="s">
        <v>361</v>
      </c>
      <c r="D277" s="227" t="s">
        <v>603</v>
      </c>
      <c r="E277" s="228"/>
      <c r="F277" s="73" t="s">
        <v>612</v>
      </c>
      <c r="G277" s="74">
        <v>0.01885</v>
      </c>
      <c r="H277" s="136"/>
      <c r="I277" s="74">
        <f>G277*AO277</f>
        <v>0</v>
      </c>
      <c r="J277" s="74">
        <f>G277*AP277</f>
        <v>0</v>
      </c>
      <c r="K277" s="74">
        <f>G277*H277</f>
        <v>0</v>
      </c>
      <c r="L277" s="74">
        <v>0</v>
      </c>
      <c r="M277" s="74">
        <f>G277*L277</f>
        <v>0</v>
      </c>
      <c r="N277" s="76" t="s">
        <v>631</v>
      </c>
      <c r="O277" s="77"/>
      <c r="Z277" s="65">
        <f>IF(AQ277="5",BJ277,0)</f>
        <v>0</v>
      </c>
      <c r="AB277" s="65">
        <f>IF(AQ277="1",BH277,0)</f>
        <v>0</v>
      </c>
      <c r="AC277" s="65">
        <f>IF(AQ277="1",BI277,0)</f>
        <v>0</v>
      </c>
      <c r="AD277" s="65">
        <f>IF(AQ277="7",BH277,0)</f>
        <v>0</v>
      </c>
      <c r="AE277" s="65">
        <f>IF(AQ277="7",BI277,0)</f>
        <v>0</v>
      </c>
      <c r="AF277" s="65">
        <f>IF(AQ277="2",BH277,0)</f>
        <v>0</v>
      </c>
      <c r="AG277" s="65">
        <f>IF(AQ277="2",BI277,0)</f>
        <v>0</v>
      </c>
      <c r="AH277" s="65">
        <f>IF(AQ277="0",BJ277,0)</f>
        <v>0</v>
      </c>
      <c r="AI277" s="58"/>
      <c r="AJ277" s="48">
        <f>IF(AN277=0,K277,0)</f>
        <v>0</v>
      </c>
      <c r="AK277" s="48">
        <f>IF(AN277=15,K277,0)</f>
        <v>0</v>
      </c>
      <c r="AL277" s="48">
        <f>IF(AN277=21,K277,0)</f>
        <v>0</v>
      </c>
      <c r="AN277" s="65">
        <v>15</v>
      </c>
      <c r="AO277" s="65">
        <f>H277*0</f>
        <v>0</v>
      </c>
      <c r="AP277" s="65">
        <f>H277*(1-0)</f>
        <v>0</v>
      </c>
      <c r="AQ277" s="66" t="s">
        <v>78</v>
      </c>
      <c r="AV277" s="65">
        <f>AW277+AX277</f>
        <v>0</v>
      </c>
      <c r="AW277" s="65">
        <f>G277*AO277</f>
        <v>0</v>
      </c>
      <c r="AX277" s="65">
        <f>G277*AP277</f>
        <v>0</v>
      </c>
      <c r="AY277" s="68" t="s">
        <v>665</v>
      </c>
      <c r="AZ277" s="68" t="s">
        <v>674</v>
      </c>
      <c r="BA277" s="58" t="s">
        <v>675</v>
      </c>
      <c r="BC277" s="65">
        <f>AW277+AX277</f>
        <v>0</v>
      </c>
      <c r="BD277" s="65">
        <f>H277/(100-BE277)*100</f>
        <v>0</v>
      </c>
      <c r="BE277" s="65">
        <v>0</v>
      </c>
      <c r="BF277" s="65">
        <f>M277</f>
        <v>0</v>
      </c>
      <c r="BH277" s="48">
        <f>G277*AO277</f>
        <v>0</v>
      </c>
      <c r="BI277" s="48">
        <f>G277*AP277</f>
        <v>0</v>
      </c>
      <c r="BJ277" s="48">
        <f>G277*H277</f>
        <v>0</v>
      </c>
      <c r="BK277" s="48" t="s">
        <v>680</v>
      </c>
      <c r="BL277" s="65" t="s">
        <v>356</v>
      </c>
    </row>
    <row r="278" spans="1:64" ht="12.75">
      <c r="A278" s="34" t="s">
        <v>58</v>
      </c>
      <c r="B278" s="40"/>
      <c r="C278" s="40" t="s">
        <v>362</v>
      </c>
      <c r="D278" s="214" t="s">
        <v>604</v>
      </c>
      <c r="E278" s="215"/>
      <c r="F278" s="40" t="s">
        <v>612</v>
      </c>
      <c r="G278" s="48">
        <v>3.41901</v>
      </c>
      <c r="H278" s="132"/>
      <c r="I278" s="48">
        <f>G278*AO278</f>
        <v>0</v>
      </c>
      <c r="J278" s="48">
        <f>G278*AP278</f>
        <v>0</v>
      </c>
      <c r="K278" s="48">
        <f>G278*H278</f>
        <v>0</v>
      </c>
      <c r="L278" s="48">
        <v>0</v>
      </c>
      <c r="M278" s="48">
        <f>G278*L278</f>
        <v>0</v>
      </c>
      <c r="N278" s="63" t="s">
        <v>631</v>
      </c>
      <c r="O278" s="17"/>
      <c r="Z278" s="65">
        <f>IF(AQ278="5",BJ278,0)</f>
        <v>0</v>
      </c>
      <c r="AB278" s="65">
        <f>IF(AQ278="1",BH278,0)</f>
        <v>0</v>
      </c>
      <c r="AC278" s="65">
        <f>IF(AQ278="1",BI278,0)</f>
        <v>0</v>
      </c>
      <c r="AD278" s="65">
        <f>IF(AQ278="7",BH278,0)</f>
        <v>0</v>
      </c>
      <c r="AE278" s="65">
        <f>IF(AQ278="7",BI278,0)</f>
        <v>0</v>
      </c>
      <c r="AF278" s="65">
        <f>IF(AQ278="2",BH278,0)</f>
        <v>0</v>
      </c>
      <c r="AG278" s="65">
        <f>IF(AQ278="2",BI278,0)</f>
        <v>0</v>
      </c>
      <c r="AH278" s="65">
        <f>IF(AQ278="0",BJ278,0)</f>
        <v>0</v>
      </c>
      <c r="AI278" s="58"/>
      <c r="AJ278" s="48">
        <f>IF(AN278=0,K278,0)</f>
        <v>0</v>
      </c>
      <c r="AK278" s="48">
        <f>IF(AN278=15,K278,0)</f>
        <v>0</v>
      </c>
      <c r="AL278" s="48">
        <f>IF(AN278=21,K278,0)</f>
        <v>0</v>
      </c>
      <c r="AN278" s="65">
        <v>15</v>
      </c>
      <c r="AO278" s="65">
        <f>H278*0</f>
        <v>0</v>
      </c>
      <c r="AP278" s="65">
        <f>H278*(1-0)</f>
        <v>0</v>
      </c>
      <c r="AQ278" s="66" t="s">
        <v>78</v>
      </c>
      <c r="AV278" s="65">
        <f>AW278+AX278</f>
        <v>0</v>
      </c>
      <c r="AW278" s="65">
        <f>G278*AO278</f>
        <v>0</v>
      </c>
      <c r="AX278" s="65">
        <f>G278*AP278</f>
        <v>0</v>
      </c>
      <c r="AY278" s="68" t="s">
        <v>665</v>
      </c>
      <c r="AZ278" s="68" t="s">
        <v>674</v>
      </c>
      <c r="BA278" s="58" t="s">
        <v>675</v>
      </c>
      <c r="BC278" s="65">
        <f>AW278+AX278</f>
        <v>0</v>
      </c>
      <c r="BD278" s="65">
        <f>H278/(100-BE278)*100</f>
        <v>0</v>
      </c>
      <c r="BE278" s="65">
        <v>0</v>
      </c>
      <c r="BF278" s="65">
        <f>M278</f>
        <v>0</v>
      </c>
      <c r="BH278" s="48">
        <f>G278*AO278</f>
        <v>0</v>
      </c>
      <c r="BI278" s="48">
        <f>G278*AP278</f>
        <v>0</v>
      </c>
      <c r="BJ278" s="48">
        <f>G278*H278</f>
        <v>0</v>
      </c>
      <c r="BK278" s="48" t="s">
        <v>680</v>
      </c>
      <c r="BL278" s="65" t="s">
        <v>356</v>
      </c>
    </row>
    <row r="279" spans="1:15" ht="12.75">
      <c r="A279" s="11"/>
      <c r="B279" s="1"/>
      <c r="C279" s="1"/>
      <c r="D279" s="42" t="s">
        <v>605</v>
      </c>
      <c r="E279" s="44"/>
      <c r="F279" s="1"/>
      <c r="G279" s="51">
        <v>3.41901</v>
      </c>
      <c r="H279" s="1"/>
      <c r="I279" s="1"/>
      <c r="J279" s="1"/>
      <c r="K279" s="1"/>
      <c r="L279" s="1"/>
      <c r="M279" s="1"/>
      <c r="N279" s="64"/>
      <c r="O279" s="17"/>
    </row>
    <row r="280" spans="1:14" ht="12.75">
      <c r="A280" s="5"/>
      <c r="B280" s="5"/>
      <c r="C280" s="5"/>
      <c r="D280" s="5"/>
      <c r="E280" s="5"/>
      <c r="F280" s="5"/>
      <c r="G280" s="5"/>
      <c r="H280" s="5"/>
      <c r="I280" s="231" t="s">
        <v>622</v>
      </c>
      <c r="J280" s="145"/>
      <c r="K280" s="72">
        <f>K13+K28+K32+K74+K76+K81+K85+K96+K108+K120+K153+K158+K172+K183+K218+K237+K243+K251+K253+K255+K257+K264+K266+K270</f>
        <v>0</v>
      </c>
      <c r="L280" s="5"/>
      <c r="M280" s="5"/>
      <c r="N280" s="5"/>
    </row>
    <row r="281" ht="11.25" customHeight="1">
      <c r="A281" s="35" t="s">
        <v>18</v>
      </c>
    </row>
    <row r="282" spans="1:14" ht="12.75">
      <c r="A282" s="151"/>
      <c r="B282" s="143"/>
      <c r="C282" s="143"/>
      <c r="D282" s="143"/>
      <c r="E282" s="143"/>
      <c r="F282" s="143"/>
      <c r="G282" s="143"/>
      <c r="H282" s="143"/>
      <c r="I282" s="143"/>
      <c r="J282" s="143"/>
      <c r="K282" s="143"/>
      <c r="L282" s="143"/>
      <c r="M282" s="143"/>
      <c r="N282" s="143"/>
    </row>
  </sheetData>
  <sheetProtection/>
  <mergeCells count="199">
    <mergeCell ref="D275:E275"/>
    <mergeCell ref="D276:E276"/>
    <mergeCell ref="D277:E277"/>
    <mergeCell ref="D278:E278"/>
    <mergeCell ref="I280:J280"/>
    <mergeCell ref="A282:N282"/>
    <mergeCell ref="D268:E268"/>
    <mergeCell ref="D269:E269"/>
    <mergeCell ref="D270:E270"/>
    <mergeCell ref="D271:E271"/>
    <mergeCell ref="D272:E272"/>
    <mergeCell ref="D274:E274"/>
    <mergeCell ref="D260:E260"/>
    <mergeCell ref="D261:E261"/>
    <mergeCell ref="D264:E264"/>
    <mergeCell ref="D265:E265"/>
    <mergeCell ref="D266:E266"/>
    <mergeCell ref="D267:E267"/>
    <mergeCell ref="D254:E254"/>
    <mergeCell ref="D255:E255"/>
    <mergeCell ref="D256:E256"/>
    <mergeCell ref="D257:E257"/>
    <mergeCell ref="D258:E258"/>
    <mergeCell ref="D259:E259"/>
    <mergeCell ref="D244:E244"/>
    <mergeCell ref="D245:E245"/>
    <mergeCell ref="D246:E246"/>
    <mergeCell ref="D251:E251"/>
    <mergeCell ref="D252:E252"/>
    <mergeCell ref="D253:E253"/>
    <mergeCell ref="D237:E237"/>
    <mergeCell ref="D238:E238"/>
    <mergeCell ref="D240:E240"/>
    <mergeCell ref="D241:E241"/>
    <mergeCell ref="D242:E242"/>
    <mergeCell ref="D243:E243"/>
    <mergeCell ref="D227:E227"/>
    <mergeCell ref="D229:E229"/>
    <mergeCell ref="D230:E230"/>
    <mergeCell ref="D231:E231"/>
    <mergeCell ref="D234:E234"/>
    <mergeCell ref="D236:E236"/>
    <mergeCell ref="D216:E216"/>
    <mergeCell ref="D217:E217"/>
    <mergeCell ref="D218:E218"/>
    <mergeCell ref="D219:E219"/>
    <mergeCell ref="D225:E225"/>
    <mergeCell ref="D226:E226"/>
    <mergeCell ref="D191:E191"/>
    <mergeCell ref="D192:E192"/>
    <mergeCell ref="D199:E199"/>
    <mergeCell ref="D206:E206"/>
    <mergeCell ref="D213:E213"/>
    <mergeCell ref="D215:E215"/>
    <mergeCell ref="D178:E178"/>
    <mergeCell ref="D179:E179"/>
    <mergeCell ref="D180:E180"/>
    <mergeCell ref="D182:E182"/>
    <mergeCell ref="D183:E183"/>
    <mergeCell ref="D184:E184"/>
    <mergeCell ref="D170:E170"/>
    <mergeCell ref="D171:E171"/>
    <mergeCell ref="D172:E172"/>
    <mergeCell ref="D173:E173"/>
    <mergeCell ref="D176:E176"/>
    <mergeCell ref="D177:E177"/>
    <mergeCell ref="D164:E164"/>
    <mergeCell ref="D165:E165"/>
    <mergeCell ref="D166:E166"/>
    <mergeCell ref="D167:E167"/>
    <mergeCell ref="D168:E168"/>
    <mergeCell ref="D169:E169"/>
    <mergeCell ref="D158:E158"/>
    <mergeCell ref="D159:E159"/>
    <mergeCell ref="D160:E160"/>
    <mergeCell ref="D161:E161"/>
    <mergeCell ref="D162:E162"/>
    <mergeCell ref="D163:E163"/>
    <mergeCell ref="D152:E152"/>
    <mergeCell ref="D153:E153"/>
    <mergeCell ref="D154:E154"/>
    <mergeCell ref="D155:E155"/>
    <mergeCell ref="D156:E156"/>
    <mergeCell ref="D157:E157"/>
    <mergeCell ref="D146:E146"/>
    <mergeCell ref="D147:E147"/>
    <mergeCell ref="D148:E148"/>
    <mergeCell ref="D149:E149"/>
    <mergeCell ref="D150:E150"/>
    <mergeCell ref="D151:E151"/>
    <mergeCell ref="D140:E140"/>
    <mergeCell ref="D141:E141"/>
    <mergeCell ref="D142:E142"/>
    <mergeCell ref="D143:E143"/>
    <mergeCell ref="D144:E144"/>
    <mergeCell ref="D145:E145"/>
    <mergeCell ref="D134:E134"/>
    <mergeCell ref="D135:E135"/>
    <mergeCell ref="D136:E136"/>
    <mergeCell ref="D137:E137"/>
    <mergeCell ref="D138:E138"/>
    <mergeCell ref="D139:E139"/>
    <mergeCell ref="D125:E125"/>
    <mergeCell ref="D126:E126"/>
    <mergeCell ref="D127:E127"/>
    <mergeCell ref="D128:E128"/>
    <mergeCell ref="D132:E132"/>
    <mergeCell ref="D133:E133"/>
    <mergeCell ref="D119:E119"/>
    <mergeCell ref="D120:E120"/>
    <mergeCell ref="D121:E121"/>
    <mergeCell ref="D122:E122"/>
    <mergeCell ref="D123:E123"/>
    <mergeCell ref="D124:E124"/>
    <mergeCell ref="D113:E113"/>
    <mergeCell ref="D114:E114"/>
    <mergeCell ref="D115:E115"/>
    <mergeCell ref="D116:E116"/>
    <mergeCell ref="D117:E117"/>
    <mergeCell ref="D118:E118"/>
    <mergeCell ref="D107:E107"/>
    <mergeCell ref="D108:E108"/>
    <mergeCell ref="D109:E109"/>
    <mergeCell ref="D110:E110"/>
    <mergeCell ref="D111:E111"/>
    <mergeCell ref="D112:E112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D98:E98"/>
    <mergeCell ref="D99:E99"/>
    <mergeCell ref="D100:E100"/>
    <mergeCell ref="D83:E83"/>
    <mergeCell ref="D84:E84"/>
    <mergeCell ref="D85:E85"/>
    <mergeCell ref="D86:E86"/>
    <mergeCell ref="D92:E92"/>
    <mergeCell ref="D94:E94"/>
    <mergeCell ref="D75:E75"/>
    <mergeCell ref="D76:E76"/>
    <mergeCell ref="D77:E77"/>
    <mergeCell ref="D80:E80"/>
    <mergeCell ref="D81:E81"/>
    <mergeCell ref="D82:E82"/>
    <mergeCell ref="D45:E45"/>
    <mergeCell ref="D47:E47"/>
    <mergeCell ref="D53:E53"/>
    <mergeCell ref="D61:E61"/>
    <mergeCell ref="D73:E73"/>
    <mergeCell ref="D74:E74"/>
    <mergeCell ref="D29:E29"/>
    <mergeCell ref="D32:E32"/>
    <mergeCell ref="D33:E33"/>
    <mergeCell ref="D34:E34"/>
    <mergeCell ref="D35:E35"/>
    <mergeCell ref="D36:E36"/>
    <mergeCell ref="D14:E14"/>
    <mergeCell ref="D17:E17"/>
    <mergeCell ref="D20:E20"/>
    <mergeCell ref="D23:E23"/>
    <mergeCell ref="D25:E25"/>
    <mergeCell ref="D28:E28"/>
    <mergeCell ref="D10:E10"/>
    <mergeCell ref="I10:K10"/>
    <mergeCell ref="L10:M10"/>
    <mergeCell ref="D11:E11"/>
    <mergeCell ref="D12:E12"/>
    <mergeCell ref="D13:E13"/>
    <mergeCell ref="A8:C9"/>
    <mergeCell ref="D8:E9"/>
    <mergeCell ref="F8:G9"/>
    <mergeCell ref="H8:H9"/>
    <mergeCell ref="I8:I9"/>
    <mergeCell ref="J8:N9"/>
    <mergeCell ref="A6:C7"/>
    <mergeCell ref="D6:E7"/>
    <mergeCell ref="F6:G7"/>
    <mergeCell ref="H6:H7"/>
    <mergeCell ref="I6:I7"/>
    <mergeCell ref="J6:N7"/>
    <mergeCell ref="A4:C5"/>
    <mergeCell ref="D4:E5"/>
    <mergeCell ref="F4:G5"/>
    <mergeCell ref="H4:H5"/>
    <mergeCell ref="I4:I5"/>
    <mergeCell ref="J4:N5"/>
    <mergeCell ref="A1:N1"/>
    <mergeCell ref="A2:C3"/>
    <mergeCell ref="D2:E3"/>
    <mergeCell ref="F2:G3"/>
    <mergeCell ref="H2:H3"/>
    <mergeCell ref="I2:I3"/>
    <mergeCell ref="J2:N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Milan Ing.</cp:lastModifiedBy>
  <dcterms:modified xsi:type="dcterms:W3CDTF">2022-09-19T13:10:03Z</dcterms:modified>
  <cp:category/>
  <cp:version/>
  <cp:contentType/>
  <cp:contentStatus/>
</cp:coreProperties>
</file>