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2"/>
  </bookViews>
  <sheets>
    <sheet name="Krycí list rozpočtu" sheetId="1" r:id="rId1"/>
    <sheet name="VORN" sheetId="2" r:id="rId2"/>
    <sheet name="Stavební rozpočet" sheetId="3" r:id="rId3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<sst xmlns="http://schemas.openxmlformats.org/spreadsheetml/2006/main" count="1786" uniqueCount="656">
  <si>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</si>
  <si>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</si>
  <si>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</si>
  <si>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</si>
  <si>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</si>
  <si>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</si>
  <si>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</si>
  <si>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</si>
  <si>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</si>
  <si>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</si>
  <si>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</si>
  <si>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</si>
  <si>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</si>
  <si>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</si>
  <si>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</si>
  <si>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</si>
  <si>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</si>
  <si>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</si>
  <si>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</si>
  <si>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</si>
  <si>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</si>
  <si>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</si>
  <si>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</si>
  <si>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</si>
  <si>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</si>
  <si>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</si>
  <si>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</si>
  <si>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</si>
  <si>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</si>
  <si>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</si>
  <si>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</si>
  <si>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</si>
  <si>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</si>
  <si>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</si>
  <si>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</si>
  <si>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</si>
  <si>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</si>
  <si>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</si>
  <si>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</si>
  <si>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</si>
  <si>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</si>
  <si>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</si>
  <si>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</si>
  <si>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</si>
  <si>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</si>
  <si>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</si>
  <si>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</si>
  <si>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</si>
  <si>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</si>
  <si>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</si>
  <si>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</si>
  <si>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</si>
  <si>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</si>
  <si>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</si>
  <si>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</si>
  <si>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</si>
  <si>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00295841/CZ00295841</t>
  </si>
  <si>
    <t>140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</si>
  <si>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</si>
  <si>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</si>
  <si>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</si>
  <si>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</si>
  <si>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</si>
  <si>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</si>
  <si>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</si>
  <si>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</si>
  <si>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</si>
  <si>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</si>
  <si>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</si>
  <si>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</si>
  <si>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</si>
  <si>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</si>
  <si>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</si>
  <si>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</si>
  <si>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</si>
  <si>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</si>
  <si>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</si>
  <si>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</si>
  <si>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</si>
  <si>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</si>
  <si>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</si>
  <si>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</si>
  <si>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</si>
  <si>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</si>
  <si>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</si>
  <si>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</si>
  <si>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</si>
  <si>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</si>
  <si>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</si>
  <si>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</si>
  <si>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</si>
  <si>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</si>
  <si>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</si>
  <si>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</si>
  <si>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</si>
  <si>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</si>
  <si>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</si>
  <si>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</si>
  <si>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</si>
  <si>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</si>
  <si>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</si>
  <si>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</si>
  <si>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</si>
  <si>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</si>
  <si>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</si>
  <si>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</si>
  <si>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</si>
  <si>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</si>
  <si>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</si>
  <si>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</si>
  <si>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</si>
  <si>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</si>
  <si>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</si>
  <si>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</si>
  <si>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</si>
  <si>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</si>
  <si>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</si>
  <si>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</si>
  <si>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</si>
  <si>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</si>
  <si>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</si>
  <si>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</si>
  <si>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</si>
  <si>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</si>
  <si>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</si>
  <si>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</si>
  <si>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</si>
  <si>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</si>
  <si>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</si>
  <si>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</si>
  <si>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</si>
  <si>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</si>
  <si>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</si>
  <si>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</si>
  <si>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</si>
  <si>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</si>
  <si>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</si>
  <si>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</si>
  <si>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</si>
  <si>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</si>
  <si>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</si>
  <si>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</si>
  <si>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</si>
  <si>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</si>
  <si>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</si>
  <si>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</si>
  <si>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</si>
  <si>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</si>
  <si>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</si>
  <si>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</si>
  <si>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</si>
  <si>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</si>
  <si>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</si>
  <si>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</si>
  <si>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</si>
  <si>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</si>
  <si>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</si>
  <si>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</si>
  <si>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</si>
  <si>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</si>
  <si>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</si>
  <si>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</si>
  <si>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</si>
  <si>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</si>
  <si>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</si>
  <si>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</si>
  <si>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</si>
  <si>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</si>
  <si>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</si>
  <si>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</si>
  <si>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</si>
  <si>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</si>
  <si>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</si>
  <si>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</si>
  <si>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</si>
  <si>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</si>
  <si>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</si>
  <si>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</si>
  <si>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</si>
  <si>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</si>
  <si>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</si>
  <si>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</si>
  <si>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</si>
  <si>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</si>
  <si>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</si>
  <si>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</si>
  <si>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</si>
  <si>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</si>
  <si>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</si>
  <si>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</si>
  <si>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</si>
  <si>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</si>
  <si>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</si>
  <si>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</si>
  <si>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</si>
  <si>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</si>
  <si>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</si>
  <si>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</si>
  <si>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</si>
  <si>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</si>
  <si>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</si>
  <si>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</si>
  <si>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</si>
  <si>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</si>
  <si>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</si>
  <si>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</si>
  <si>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</si>
  <si>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</si>
  <si>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</si>
  <si>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</si>
  <si>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</si>
  <si>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</si>
  <si>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Objekt</t>
  </si>
  <si>
    <t>Kód</t>
  </si>
  <si>
    <t>342270040RA0</t>
  </si>
  <si>
    <t>342270042RA0</t>
  </si>
  <si>
    <t>342668111R00</t>
  </si>
  <si>
    <t>611401111R00</t>
  </si>
  <si>
    <t>611403399R00IM</t>
  </si>
  <si>
    <t>602011193R00</t>
  </si>
  <si>
    <t>612421615R00</t>
  </si>
  <si>
    <t>612421637R00</t>
  </si>
  <si>
    <t>602011141RT1</t>
  </si>
  <si>
    <t>612403399R00</t>
  </si>
  <si>
    <t>620991111R00</t>
  </si>
  <si>
    <t>632451441R00</t>
  </si>
  <si>
    <t>632411105RT3</t>
  </si>
  <si>
    <t>641951111R00</t>
  </si>
  <si>
    <t>VLASTNÍ</t>
  </si>
  <si>
    <t>642942111RT2</t>
  </si>
  <si>
    <t>642942111RT4</t>
  </si>
  <si>
    <t>711</t>
  </si>
  <si>
    <t>711212012R00</t>
  </si>
  <si>
    <t>711212601RW1</t>
  </si>
  <si>
    <t>711212611RU1</t>
  </si>
  <si>
    <t>998711102R00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</si>
  <si>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</si>
  <si>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</si>
  <si>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</si>
  <si>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</si>
  <si>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</si>
  <si>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</si>
  <si>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</si>
  <si>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</si>
  <si>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</si>
  <si>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</si>
  <si>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</si>
  <si>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</si>
  <si>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</si>
  <si>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722130801R00IM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</si>
  <si>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</si>
  <si>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</si>
  <si>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</si>
  <si>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</si>
  <si>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</si>
  <si>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</si>
  <si>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</si>
  <si>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</si>
  <si>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</si>
  <si>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</si>
  <si>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</si>
  <si>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</si>
  <si>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</si>
  <si>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</si>
  <si>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</si>
  <si>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</si>
  <si>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725220851R00</t>
  </si>
  <si>
    <t>725991811R00</t>
  </si>
  <si>
    <t>725219401R00</t>
  </si>
  <si>
    <t>725017162R00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</si>
  <si>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</si>
  <si>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</si>
  <si>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</si>
  <si>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</si>
  <si>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</si>
  <si>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</si>
  <si>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</si>
  <si>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</si>
  <si>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</si>
  <si>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</si>
  <si>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</si>
  <si>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725013161R00</t>
  </si>
  <si>
    <t>725291113R00</t>
  </si>
  <si>
    <t>55430012</t>
  </si>
  <si>
    <t>55423054.A</t>
  </si>
  <si>
    <t>55484470.A</t>
  </si>
  <si>
    <t>55484400.A</t>
  </si>
  <si>
    <t>725590812R00</t>
  </si>
  <si>
    <t>728</t>
  </si>
  <si>
    <t>728415111R00</t>
  </si>
  <si>
    <t>429727810</t>
  </si>
  <si>
    <t>998728102R00</t>
  </si>
  <si>
    <t>766</t>
  </si>
  <si>
    <t>766662811R00</t>
  </si>
  <si>
    <t>766812840R00</t>
  </si>
  <si>
    <t>766825821R00</t>
  </si>
  <si>
    <t>766661112R00</t>
  </si>
  <si>
    <t>61160126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</si>
  <si>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</si>
  <si>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</si>
  <si>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</si>
  <si>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</si>
  <si>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</si>
  <si>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</si>
  <si>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</si>
  <si>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</si>
  <si>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</si>
  <si>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</si>
  <si>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</si>
  <si>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</si>
  <si>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</si>
  <si>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</si>
  <si>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998771102R00</t>
  </si>
  <si>
    <t>776</t>
  </si>
  <si>
    <t>776401800R00</t>
  </si>
  <si>
    <t>776511810R00</t>
  </si>
  <si>
    <t>776591930R00</t>
  </si>
  <si>
    <t>776591100RT1</t>
  </si>
  <si>
    <t>776541100RT1</t>
  </si>
  <si>
    <t>776421100RU1</t>
  </si>
  <si>
    <t>28412231</t>
  </si>
  <si>
    <t>776981101R00</t>
  </si>
  <si>
    <t>776981113RU1</t>
  </si>
  <si>
    <t>998776102R00</t>
  </si>
  <si>
    <t>781</t>
  </si>
  <si>
    <t>781415013R00</t>
  </si>
  <si>
    <t>781419711R00</t>
  </si>
  <si>
    <t>781419701R00</t>
  </si>
  <si>
    <t>781111111R00</t>
  </si>
  <si>
    <t>781111116R00</t>
  </si>
  <si>
    <t>597813605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</si>
  <si>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</si>
  <si>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</si>
  <si>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</si>
  <si>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</si>
  <si>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</si>
  <si>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</si>
  <si>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</si>
  <si>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</si>
  <si>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</si>
  <si>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</si>
  <si>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</si>
  <si>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</si>
  <si>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</si>
  <si>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</si>
  <si>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</si>
  <si>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</si>
  <si>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</si>
  <si>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</si>
  <si>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</si>
  <si>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</si>
  <si>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</si>
  <si>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</si>
  <si>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</si>
  <si>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</si>
  <si>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979011111R00</t>
  </si>
  <si>
    <t>979990181R00</t>
  </si>
  <si>
    <t>979990107R00</t>
  </si>
  <si>
    <t>Oprava bytu Libušínská 11,13-velikost 1+0</t>
  </si>
  <si>
    <t>Zkrácený popis</t>
  </si>
  <si>
    <t>Rozměry</t>
  </si>
  <si>
    <t>Nezařazeno</t>
  </si>
  <si>
    <t>Stěny a příčky</t>
  </si>
  <si>
    <t>Příčka z desek Ytong hladkých, tloušťka 5 cm</t>
  </si>
  <si>
    <t>koupelna obezdění šachty</t>
  </si>
  <si>
    <t>(0,9+0,6)*2,6</t>
  </si>
  <si>
    <t>Příčka z desek Ytong hladkých, tloušťka 10 cm</t>
  </si>
  <si>
    <t>(3,46+1,7+2,1+0,7)*2,6-0,8*1,97-0,6*1,97</t>
  </si>
  <si>
    <t>Těsnění styku příčky se stáv. konstrukcí PU pěnou</t>
  </si>
  <si>
    <t>2,6*4+1,1</t>
  </si>
  <si>
    <t>Úprava povrchů vnitřní</t>
  </si>
  <si>
    <t>Oprava omítky na stropech o ploše do 0,09 m2</t>
  </si>
  <si>
    <t>Hrubá výplň rýh maltou ve stropech</t>
  </si>
  <si>
    <t>Kontaktní nátěr pod omítky bílý Cemix K</t>
  </si>
  <si>
    <t>19,858+12,7575+33,012</t>
  </si>
  <si>
    <t>Omítka vnitřní zdiva, MVC, hrubá zatřená</t>
  </si>
  <si>
    <t>pod obklady-koupelna</t>
  </si>
  <si>
    <t>(2,1+1,7)*2*2,1-0,6*1,97</t>
  </si>
  <si>
    <t>kuchyně</t>
  </si>
  <si>
    <t>(2+0,6)*0,6+(2,1-0,6+0,7)*1,6</t>
  </si>
  <si>
    <t>Omítka vnitřní zdiva, MVC, štuková</t>
  </si>
  <si>
    <t>nové příčky</t>
  </si>
  <si>
    <t>koupelna</t>
  </si>
  <si>
    <t>(2,1+1,7)*2*(2,6-2,1)</t>
  </si>
  <si>
    <t>předsíň</t>
  </si>
  <si>
    <t>(1,7+1,285)*(2,6-2,1)</t>
  </si>
  <si>
    <t>0,6*(2,6-0,6)+(1,5+0,7)*(2,6-1,5)+(0,1+0,7+1,285)*2,6-0,8*1,97</t>
  </si>
  <si>
    <t>Štuk na stěnách vnitřní Cemix 033, ručně</t>
  </si>
  <si>
    <t>stávající příčky</t>
  </si>
  <si>
    <t>(1,285+1,7)*2,6-0,8*1,97</t>
  </si>
  <si>
    <t>kuchyně+pokoj</t>
  </si>
  <si>
    <t>(3,46+4,3)*2,6-2,1*1,6+4,3*2,6-2*0,6</t>
  </si>
  <si>
    <t>-2*1,65-(3,015+0,6)*0,6</t>
  </si>
  <si>
    <t>špalety oken</t>
  </si>
  <si>
    <t>0,2+(1,65*2+2)</t>
  </si>
  <si>
    <t>Hrubá výplň rýh ve stěnách maltou</t>
  </si>
  <si>
    <t>Zakrývání podlah fólií</t>
  </si>
  <si>
    <t>2,2+2,2+14,9</t>
  </si>
  <si>
    <t>Úprava povrchů vnější</t>
  </si>
  <si>
    <t>Zakrývání spár panelů páskou</t>
  </si>
  <si>
    <t>Podlahy a podlahové konstrukce</t>
  </si>
  <si>
    <t>Doplnění potěru v ploše do 1 m2, tl.30-40 mm</t>
  </si>
  <si>
    <t>původní koupelna</t>
  </si>
  <si>
    <t>2,1*1,7</t>
  </si>
  <si>
    <t>Samonivelační stěrka  ruč.zpracování tl.5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</si>
  <si>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</si>
  <si>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</si>
  <si>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</si>
  <si>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60 x 197 x 11 cm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</si>
  <si>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</si>
  <si>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</si>
  <si>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</si>
  <si>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</si>
  <si>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2,1*1,7-0,8*0,5</t>
  </si>
  <si>
    <t>stěny</t>
  </si>
  <si>
    <t>(1+1,2+1)*2,1</t>
  </si>
  <si>
    <t>Těsnicí pás do spoje podlaha - stěna</t>
  </si>
  <si>
    <t>(2,1+1,7)*2</t>
  </si>
  <si>
    <t>Těsnicí pás do svislých koutů</t>
  </si>
  <si>
    <t>2,1*3</t>
  </si>
  <si>
    <t>Přesun hmot pro izolace proti vodě, výšky do 12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</si>
  <si>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</si>
  <si>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</si>
  <si>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</si>
  <si>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</si>
  <si>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</si>
  <si>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</si>
  <si>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</si>
  <si>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</si>
  <si>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</si>
  <si>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</si>
  <si>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</si>
  <si>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</si>
  <si>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</si>
  <si>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</si>
  <si>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</si>
  <si>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</si>
  <si>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</si>
  <si>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</si>
  <si>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</si>
  <si>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</si>
  <si>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</si>
  <si>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</si>
  <si>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</si>
  <si>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</si>
  <si>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</si>
  <si>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</si>
  <si>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</si>
  <si>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</si>
  <si>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</si>
  <si>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</si>
  <si>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van včetně vybourání obezdezdívky</t>
  </si>
  <si>
    <t>Demontáž konzol jednoduchých</t>
  </si>
  <si>
    <t>konzola na závěs do sprchy</t>
  </si>
  <si>
    <t>boční pevná zástěna sprchy</t>
  </si>
  <si>
    <t>Montáž umyvadel na šrouby do zdiva</t>
  </si>
  <si>
    <t>Umyvadlo na šrouby LYRA Plus , 55 x 45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</si>
  <si>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</si>
  <si>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</si>
  <si>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</si>
  <si>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</si>
  <si>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</si>
  <si>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</si>
  <si>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</si>
  <si>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</si>
  <si>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</si>
  <si>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</si>
  <si>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</si>
  <si>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Klozet kombi LYRA Plus, nádrž s armat. odpad šikmý, včetně sedátka.</t>
  </si>
  <si>
    <t>Madlo rovné bílé  dl. 500 mm</t>
  </si>
  <si>
    <t>Sedátko sklápěcí s opěrnou nohou 44x45 cm</t>
  </si>
  <si>
    <t>Sprchová vanička akrylát. Rhea 120x73x15 cm 99 l</t>
  </si>
  <si>
    <t>Dveře sprchové třídilné 80 cm Pearl</t>
  </si>
  <si>
    <t>Stěna sprchová boční pevná 30 cm</t>
  </si>
  <si>
    <t>Přesun vybour.hmot, zařizovací předměty H 12 m</t>
  </si>
  <si>
    <t>Vzduchotechnika</t>
  </si>
  <si>
    <t>Montáž mřížky větrací nebo ventilační do 0,04 m2</t>
  </si>
  <si>
    <t>Mřížka kruhová PVC pr. 100 mm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</si>
  <si>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</si>
  <si>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</si>
  <si>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</si>
  <si>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</si>
  <si>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</si>
  <si>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2křídlových</t>
  </si>
  <si>
    <t>Montáž dveří do zárubně,otevíravých 1kř.do 0,8 m</t>
  </si>
  <si>
    <t>Dveře vnitřní hladké plné 1 kříd. 60x197 lak A</t>
  </si>
  <si>
    <t>Dveře vnitřní hladké 1kříd. 2/3sklo 80x197 lak A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</si>
  <si>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</si>
  <si>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</si>
  <si>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</si>
  <si>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</si>
  <si>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</si>
  <si>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</si>
  <si>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Přesun hmot pro truhlářské konstr., výšky do 12 m</t>
  </si>
  <si>
    <t>Podlahy z dlaždic</t>
  </si>
  <si>
    <t>Montáž podlah keram.,režné hladké, tmel, 20x20 cm</t>
  </si>
  <si>
    <t>Příplatek za plochu podlah keram. do 5 m2 jednotl.</t>
  </si>
  <si>
    <t>Příplatek za podlahy keram.v omezeném prostoru</t>
  </si>
  <si>
    <t>Vyrovnání podkladů samonivel. hmotou tl. do 30 mm</t>
  </si>
  <si>
    <t>Penetrace podkladu pod dlažby</t>
  </si>
  <si>
    <t>Dlažba  keramická</t>
  </si>
  <si>
    <t>1,1*3,17</t>
  </si>
  <si>
    <t>Přesun hmot pro podlahy z dlaždic, výšky do 12 m</t>
  </si>
  <si>
    <t>Podlahy povlakové</t>
  </si>
  <si>
    <t>Demontáž soklíků nebo lišt, pryžových nebo z PVC</t>
  </si>
  <si>
    <t>(1,3+2,1)*2-0,8-0,7-0,6</t>
  </si>
  <si>
    <t>3,65+3,46+4,4+2,16+0,75+1,3-0,7</t>
  </si>
  <si>
    <t>2,1+1,15+0,8+0,5+1,3+1,65-0,6*2+1,15+1,65</t>
  </si>
  <si>
    <t>Odstranění PVC a koberců lepených bez podložky</t>
  </si>
  <si>
    <t>1,3*2,1</t>
  </si>
  <si>
    <t>3,46*3,65+2,16*0,75</t>
  </si>
  <si>
    <t>1,3*1,65+0,8*1,15</t>
  </si>
  <si>
    <t>Úprava podkladu nášlapných ploch odbroušení lepidla, likvidace</t>
  </si>
  <si>
    <t>Úprava podkladu nášlapných ploch penetrací</t>
  </si>
  <si>
    <t>Lepení podlah z izolačních plastů</t>
  </si>
  <si>
    <t>1,285*1,7</t>
  </si>
  <si>
    <t>14,98</t>
  </si>
  <si>
    <t>Lepení podlahových soklíků z PVC a vinylu včetně dodávky soklíku PVC</t>
  </si>
  <si>
    <t>1,285*2+1,7*2-0,8*2</t>
  </si>
  <si>
    <t>3,46+4,3+1,285+0,7+0,1+0,7+2,1+4,3-0,8</t>
  </si>
  <si>
    <t>Podlahovina PVC tl. 1,7mm</t>
  </si>
  <si>
    <t>17,16*1,1</t>
  </si>
  <si>
    <t>Montáž přechodové, podlahové lišty samolepicí</t>
  </si>
  <si>
    <t>0,6+0,8</t>
  </si>
  <si>
    <t>Lišta hliníková přechodová,různá výška povl.podlah</t>
  </si>
  <si>
    <t>1,4</t>
  </si>
  <si>
    <t>Přesun hmot pro podlahy povlakové, výšky do 12 m</t>
  </si>
  <si>
    <t>Obklady (keramické)</t>
  </si>
  <si>
    <t>Montáž obkladů stěn, porovin., do tmele, 15x15 cm</t>
  </si>
  <si>
    <t>(0,7+2,1)*1,5+2,5*0,6</t>
  </si>
  <si>
    <t>Příplatek k obkladu stěn za plochu do 10 m2 jedntl</t>
  </si>
  <si>
    <t>Příplatek za práci v omezeném prostoru</t>
  </si>
  <si>
    <t>Příplatek za spárování silikonem</t>
  </si>
  <si>
    <t>Řezání obkladaček diamantovým kotoučem</t>
  </si>
  <si>
    <t>Otvor v obkladačce diamant.korunkou prům.do 90 mm</t>
  </si>
  <si>
    <t>Obkládačka 20x20 světle béžová lesk</t>
  </si>
  <si>
    <t>20,49*1,1</t>
  </si>
  <si>
    <t>Montáž lišt k obkladům</t>
  </si>
  <si>
    <t>(2,1+1,7)*2-0,6</t>
  </si>
  <si>
    <t>1,5*3+0,6+2,1*8</t>
  </si>
  <si>
    <t>Lišta  plast do malt lože</t>
  </si>
  <si>
    <t>1,1*28,9</t>
  </si>
  <si>
    <t>Přesun hmot pro obklady keramické, výšky do 12 m</t>
  </si>
  <si>
    <t>Nátěry</t>
  </si>
  <si>
    <t>Nátěr syntetický kovových konstrukcí 2x + 1x email</t>
  </si>
  <si>
    <t>0,8*2*2+0,6*2</t>
  </si>
  <si>
    <t>Odstranění nátěrů truhlářských, dveří oškrábáním</t>
  </si>
  <si>
    <t>Nátěr disperzní litin. radiátorů Z + 1x + 1x email</t>
  </si>
  <si>
    <t>Očištění radiátoru před nátěrem</t>
  </si>
  <si>
    <t>Malby</t>
  </si>
  <si>
    <t>Odstranění malby oškrábáním v místnosti H do 3,8 m</t>
  </si>
  <si>
    <t>20,6325+65,6275</t>
  </si>
  <si>
    <t>Penetrace podkladu   1 x</t>
  </si>
  <si>
    <t>Malba  bílá, bez penetrace, 2 x</t>
  </si>
  <si>
    <t>stropy</t>
  </si>
  <si>
    <t>20,6325</t>
  </si>
  <si>
    <t>65,6275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</si>
  <si>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</si>
  <si>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</si>
  <si>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</si>
  <si>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</si>
  <si>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</si>
  <si>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</si>
  <si>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</si>
  <si>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</si>
  <si>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</si>
  <si>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</si>
  <si>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</si>
  <si>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</si>
  <si>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</si>
  <si>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</si>
  <si>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</si>
  <si>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</si>
  <si>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</si>
  <si>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</si>
  <si>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</si>
  <si>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10*3,25</t>
  </si>
  <si>
    <t>Vnitrostaveništní doprava suti do 10 m</t>
  </si>
  <si>
    <t>Svislá doprava suti a vybour. hmot za 2.NP a 1.PP</t>
  </si>
  <si>
    <t>Poplatek za uložení suti - PVC podlahová krytina, skupina odpadu 200307</t>
  </si>
  <si>
    <t>Poplatek za uložení suti - směs betonu, cihel, dřeva, skupina odpadu 170904</t>
  </si>
  <si>
    <t>3,25-0,01885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</si>
  <si>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</si>
  <si>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</si>
  <si>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</si>
  <si>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</si>
  <si>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</si>
  <si>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</si>
  <si>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</si>
  <si>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</si>
  <si>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</si>
  <si>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</si>
  <si>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</si>
  <si>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</si>
  <si>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Cena/MJ</t>
  </si>
  <si>
    <t>(Kč)</t>
  </si>
  <si>
    <t>Město Žďár nad Sázavou</t>
  </si>
  <si>
    <t> </t>
  </si>
  <si>
    <t>Náklady (Kč)</t>
  </si>
  <si>
    <t>Dodávka</t>
  </si>
  <si>
    <t>Celkem: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</si>
  <si>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</si>
  <si>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</si>
  <si>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</si>
  <si>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</si>
  <si>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</si>
  <si>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</si>
  <si>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</si>
  <si>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</si>
  <si>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</si>
  <si>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</si>
  <si>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</si>
  <si>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</si>
  <si>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</si>
  <si>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</si>
  <si>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</si>
  <si>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</si>
  <si>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</si>
  <si>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</si>
  <si>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</si>
  <si>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</si>
  <si>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</si>
  <si>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</si>
  <si>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</si>
  <si>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</si>
  <si>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</si>
  <si>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</si>
  <si>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</si>
  <si>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</si>
  <si>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</si>
  <si>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</si>
  <si>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</si>
  <si>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</si>
  <si>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</si>
  <si>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</si>
  <si>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</si>
  <si>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</si>
  <si>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</si>
  <si>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</si>
  <si>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</si>
  <si>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</si>
  <si>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</si>
  <si>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</si>
  <si>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</si>
  <si>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</si>
  <si>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</si>
  <si>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</si>
  <si>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</si>
  <si>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</si>
  <si>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</si>
  <si>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</si>
  <si>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</si>
  <si>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</si>
  <si>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</si>
  <si>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</si>
  <si>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Libušínská 11/2, 11/26, 11/41, 11/47, 11/50, 13/26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</si>
</sst>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5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5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6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4" fontId="12" fillId="37" borderId="43" xfId="0" applyNumberFormat="1" applyFont="1" applyFill="1" applyBorder="1" applyAlignment="1" applyProtection="1">
      <alignment horizontal="right" vertical="center"/>
      <protection/>
    </xf>
    <xf numFmtId="4" fontId="15" fillId="36" borderId="42" xfId="0" applyNumberFormat="1" applyFont="1" applyFill="1" applyBorder="1" applyAlignment="1" applyProtection="1">
      <alignment horizontal="right" vertical="center"/>
      <protection/>
    </xf>
    <xf numFmtId="49" fontId="15" fillId="36" borderId="42" xfId="0" applyNumberFormat="1" applyFont="1" applyFill="1" applyBorder="1" applyAlignment="1" applyProtection="1">
      <alignment horizontal="right" vertical="center"/>
      <protection/>
    </xf>
    <xf numFmtId="49" fontId="12" fillId="37" borderId="41" xfId="0" applyNumberFormat="1" applyFont="1" applyFill="1" applyBorder="1" applyAlignment="1" applyProtection="1">
      <alignment horizontal="right" vertical="center"/>
      <protection/>
    </xf>
    <xf numFmtId="49" fontId="12" fillId="37" borderId="44" xfId="0" applyNumberFormat="1" applyFont="1" applyFill="1" applyBorder="1" applyAlignment="1" applyProtection="1">
      <alignment horizontal="righ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0" fontId="1" fillId="37" borderId="41" xfId="0" applyNumberFormat="1" applyFont="1" applyFill="1" applyBorder="1" applyAlignment="1" applyProtection="1">
      <alignment vertical="center"/>
      <protection/>
    </xf>
    <xf numFmtId="0" fontId="1" fillId="37" borderId="44" xfId="0" applyNumberFormat="1" applyFont="1" applyFill="1" applyBorder="1" applyAlignment="1" applyProtection="1">
      <alignment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0" fontId="0" fillId="37" borderId="43" xfId="1" applyNumberFormat="1" applyFill="1" applyBorder="1" applyAlignment="1" applyProtection="1">
      <alignment/>
      <protection/>
    </xf>
    <xf numFmtId="49" fontId="16" fillId="37" borderId="43" xfId="0" applyNumberFormat="1" applyFont="1" applyFill="1" applyBorder="1" applyAlignment="1" applyProtection="1">
      <alignment horizontal="left" vertical="center"/>
      <protection/>
    </xf>
    <xf numFmtId="49" fontId="17" fillId="37" borderId="43" xfId="0" applyNumberFormat="1" applyFont="1" applyFill="1" applyBorder="1" applyAlignment="1" applyProtection="1">
      <alignment horizontal="left" vertical="center"/>
      <protection/>
    </xf>
    <xf numFmtId="4" fontId="16" fillId="37" borderId="43" xfId="0" applyNumberFormat="1" applyFont="1" applyFill="1" applyBorder="1" applyAlignment="1" applyProtection="1">
      <alignment horizontal="right" vertical="center"/>
      <protection/>
    </xf>
    <xf numFmtId="0" fontId="1" fillId="37" borderId="42" xfId="0" applyNumberFormat="1" applyFont="1" applyFill="1" applyBorder="1" applyAlignment="1" applyProtection="1">
      <alignment vertical="center"/>
      <protection/>
    </xf>
    <xf numFmtId="0" fontId="0" fillId="37" borderId="42" xfId="1" applyNumberFormat="1" applyFill="1" applyBorder="1" applyAlignment="1" applyProtection="1">
      <alignment/>
      <protection/>
    </xf>
    <xf numFmtId="49" fontId="16" fillId="37" borderId="42" xfId="0" applyNumberFormat="1" applyFont="1" applyFill="1" applyBorder="1" applyAlignment="1" applyProtection="1">
      <alignment horizontal="left" vertical="center"/>
      <protection/>
    </xf>
    <xf numFmtId="49" fontId="17" fillId="37" borderId="42" xfId="0" applyNumberFormat="1" applyFont="1" applyFill="1" applyBorder="1" applyAlignment="1" applyProtection="1">
      <alignment horizontal="left" vertical="center"/>
      <protection/>
    </xf>
    <xf numFmtId="4" fontId="16" fillId="37" borderId="42" xfId="0" applyNumberFormat="1" applyFont="1" applyFill="1" applyBorder="1" applyAlignment="1" applyProtection="1">
      <alignment horizontal="right" vertical="center"/>
      <protection/>
    </xf>
    <xf numFmtId="49" fontId="13" fillId="37" borderId="41" xfId="0" applyNumberFormat="1" applyFont="1" applyFill="1" applyBorder="1" applyAlignment="1" applyProtection="1">
      <alignment horizontal="righ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4" fontId="13" fillId="37" borderId="42" xfId="0" applyNumberFormat="1" applyFont="1" applyFill="1" applyBorder="1" applyAlignment="1" applyProtection="1">
      <alignment horizontal="right" vertical="center"/>
      <protection/>
    </xf>
    <xf numFmtId="49" fontId="9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4" fontId="9" fillId="36" borderId="42" xfId="0" applyNumberFormat="1" applyFont="1" applyFill="1" applyBorder="1" applyAlignment="1" applyProtection="1">
      <alignment horizontal="right" vertical="center"/>
      <protection/>
    </xf>
    <xf numFmtId="49" fontId="9" fillId="36" borderId="42" xfId="0" applyNumberFormat="1" applyFont="1" applyFill="1" applyBorder="1" applyAlignment="1" applyProtection="1">
      <alignment horizontal="right" vertical="center"/>
      <protection/>
    </xf>
    <xf numFmtId="49" fontId="19" fillId="36" borderId="41" xfId="0" applyNumberFormat="1" applyFont="1" applyFill="1" applyBorder="1" applyAlignment="1" applyProtection="1">
      <alignment horizontal="right" vertical="center"/>
      <protection/>
    </xf>
    <xf numFmtId="49" fontId="18" fillId="36" borderId="42" xfId="0" applyNumberFormat="1" applyFont="1" applyFill="1" applyBorder="1" applyAlignment="1" applyProtection="1">
      <alignment horizontal="left" vertical="center"/>
      <protection/>
    </xf>
    <xf numFmtId="49" fontId="19" fillId="36" borderId="42" xfId="0" applyNumberFormat="1" applyFont="1" applyFill="1" applyBorder="1" applyAlignment="1" applyProtection="1">
      <alignment horizontal="left" vertical="center"/>
      <protection/>
    </xf>
    <xf numFmtId="4" fontId="19" fillId="36" borderId="42" xfId="0" applyNumberFormat="1" applyFont="1" applyFill="1" applyBorder="1" applyAlignment="1" applyProtection="1">
      <alignment horizontal="right" vertical="center"/>
      <protection/>
    </xf>
    <xf numFmtId="49" fontId="19" fillId="36" borderId="42" xfId="0" applyNumberFormat="1" applyFont="1" applyFill="1" applyBorder="1" applyAlignment="1" applyProtection="1">
      <alignment horizontal="right" vertical="center"/>
      <protection/>
    </xf>
    <xf numFmtId="49" fontId="1" fillId="37" borderId="41" xfId="0" applyNumberFormat="1" applyFont="1" applyFill="1" applyBorder="1" applyAlignment="1" applyProtection="1">
      <alignment horizontal="right" vertical="center"/>
      <protection/>
    </xf>
    <xf numFmtId="49" fontId="1" fillId="37" borderId="42" xfId="0" applyNumberFormat="1" applyFont="1" applyFill="1" applyBorder="1" applyAlignment="1" applyProtection="1">
      <alignment horizontal="left" vertical="center"/>
      <protection/>
    </xf>
    <xf numFmtId="4" fontId="1" fillId="37" borderId="4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2" fillId="38" borderId="0" xfId="0" applyNumberFormat="1" applyFont="1" applyFill="1" applyBorder="1" applyAlignment="1" applyProtection="1">
      <alignment horizontal="right" vertical="center"/>
      <protection/>
    </xf>
    <xf numFmtId="4" fontId="12" fillId="38" borderId="42" xfId="0" applyNumberFormat="1" applyFont="1" applyFill="1" applyBorder="1" applyAlignment="1" applyProtection="1">
      <alignment horizontal="right" vertical="center"/>
      <protection/>
    </xf>
    <xf numFmtId="4" fontId="13" fillId="38" borderId="42" xfId="0" applyNumberFormat="1" applyFont="1" applyFill="1" applyBorder="1" applyAlignment="1" applyProtection="1">
      <alignment horizontal="right" vertical="center"/>
      <protection/>
    </xf>
    <xf numFmtId="4" fontId="12" fillId="38" borderId="43" xfId="0" applyNumberFormat="1" applyFont="1" applyFill="1" applyBorder="1" applyAlignment="1" applyProtection="1">
      <alignment horizontal="right" vertical="center"/>
      <protection/>
    </xf>
    <xf numFmtId="4" fontId="13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9" fillId="36" borderId="42" xfId="0" applyNumberFormat="1" applyFont="1" applyFill="1" applyBorder="1" applyAlignment="1" applyProtection="1">
      <alignment horizontal="left" vertical="center"/>
      <protection/>
    </xf>
    <xf numFmtId="0" fontId="15" fillId="35" borderId="42" xfId="0" applyNumberFormat="1" applyFont="1" applyFill="1" applyBorder="1" applyAlignment="1" applyProtection="1">
      <alignment horizontal="left" vertical="center"/>
      <protection/>
    </xf>
    <xf numFmtId="49" fontId="1" fillId="37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2.5">
      <c r="A1" s="116"/>
      <c r="B1" s="1"/>
      <c r="C1" s="153" t="s">
        <v>22</v>
      </c>
      <c r="D1" s="154"/>
      <c r="E1" s="154"/>
      <c r="F1" s="154"/>
      <c r="G1" s="154"/>
      <c r="H1" s="154"/>
      <c r="I1" s="154"/>
    </row>
    <row r="2" spans="1:10" ht="12.75">
      <c r="A2" s="155" t="s">
        <v>0</v>
      </c>
      <c r="B2" s="156"/>
      <c r="C2" s="157" t="str">
        <f>'Stavební rozpočet'!D2</f>
        <v>Oprava bytu Libušínská 11,13-velikost 1+0</v>
      </c>
      <c r="D2" s="158"/>
      <c r="E2" s="160" t="s">
        <v>32</v>
      </c>
      <c r="F2" s="160" t="str">
        <f>'Stavební rozpočet'!I2</f>
        <v>Město Žďár nad Sázavou</v>
      </c>
      <c r="G2" s="156"/>
      <c r="H2" s="160" t="s">
        <v>52</v>
      </c>
      <c r="I2" s="161" t="s">
        <v>56</v>
      </c>
      <c r="J2" s="17"/>
    </row>
    <row r="3" spans="1:10" ht="12.75">
      <c r="A3" s="150"/>
      <c r="B3" s="124"/>
      <c r="C3" s="159"/>
      <c r="D3" s="159"/>
      <c r="E3" s="124"/>
      <c r="F3" s="124"/>
      <c r="G3" s="124"/>
      <c r="H3" s="124"/>
      <c r="I3" s="152"/>
      <c r="J3" s="17"/>
    </row>
    <row r="4" spans="1:10" ht="15" customHeight="1">
      <c r="A4" s="144" t="s">
        <v>1</v>
      </c>
      <c r="B4" s="124"/>
      <c r="C4" s="123" t="s">
        <v>655</v>
      </c>
      <c r="D4" s="123"/>
      <c r="E4" s="123" t="s">
        <v>33</v>
      </c>
      <c r="F4" s="123"/>
      <c r="G4" s="124"/>
      <c r="H4" s="123" t="s">
        <v>52</v>
      </c>
      <c r="I4" s="151"/>
      <c r="J4" s="17"/>
    </row>
    <row r="5" spans="1:10" ht="12.75">
      <c r="A5" s="150"/>
      <c r="B5" s="124"/>
      <c r="C5" s="123"/>
      <c r="D5" s="123"/>
      <c r="E5" s="124"/>
      <c r="F5" s="124"/>
      <c r="G5" s="124"/>
      <c r="H5" s="124"/>
      <c r="I5" s="152"/>
      <c r="J5" s="17"/>
    </row>
    <row r="6" spans="1:10" ht="12.75">
      <c r="A6" s="144" t="s">
        <v>2</v>
      </c>
      <c r="B6" s="124"/>
      <c r="C6" s="123" t="str">
        <f>'Stavební rozpočet'!D6</f>
        <v> </v>
      </c>
      <c r="D6" s="124"/>
      <c r="E6" s="123" t="s">
        <v>34</v>
      </c>
      <c r="F6" s="123"/>
      <c r="G6" s="124"/>
      <c r="H6" s="123" t="s">
        <v>52</v>
      </c>
      <c r="I6" s="151"/>
      <c r="J6" s="17"/>
    </row>
    <row r="7" spans="1:10" ht="12.75">
      <c r="A7" s="150"/>
      <c r="B7" s="124"/>
      <c r="C7" s="124"/>
      <c r="D7" s="124"/>
      <c r="E7" s="124"/>
      <c r="F7" s="124"/>
      <c r="G7" s="124"/>
      <c r="H7" s="124"/>
      <c r="I7" s="152"/>
      <c r="J7" s="17"/>
    </row>
    <row r="8" spans="1:10" ht="12.75">
      <c r="A8" s="144" t="s">
        <v>3</v>
      </c>
      <c r="B8" s="124"/>
      <c r="C8" s="123" t="str">
        <f>'Stavební rozpočet'!F4</f>
        <v> </v>
      </c>
      <c r="D8" s="124"/>
      <c r="E8" s="123" t="s">
        <v>35</v>
      </c>
      <c r="F8" s="123" t="str">
        <f>'Stavební rozpočet'!F6</f>
        <v> </v>
      </c>
      <c r="G8" s="124"/>
      <c r="H8" s="147" t="s">
        <v>53</v>
      </c>
      <c r="I8" s="151"/>
      <c r="J8" s="17"/>
    </row>
    <row r="9" spans="1:10" ht="12.75">
      <c r="A9" s="150"/>
      <c r="B9" s="124"/>
      <c r="C9" s="124"/>
      <c r="D9" s="124"/>
      <c r="E9" s="124"/>
      <c r="F9" s="124"/>
      <c r="G9" s="124"/>
      <c r="H9" s="124"/>
      <c r="I9" s="152"/>
      <c r="J9" s="17"/>
    </row>
    <row r="10" spans="1:10" ht="12.75">
      <c r="A10" s="144" t="s">
        <v>4</v>
      </c>
      <c r="B10" s="124"/>
      <c r="C10" s="123" t="str">
        <f>'Stavební rozpočet'!D8</f>
        <v> </v>
      </c>
      <c r="D10" s="124"/>
      <c r="E10" s="123" t="s">
        <v>36</v>
      </c>
      <c r="F10" s="123" t="str">
        <f>'Stavební rozpočet'!I8</f>
        <v> </v>
      </c>
      <c r="G10" s="124"/>
      <c r="H10" s="147" t="s">
        <v>54</v>
      </c>
      <c r="I10" s="148"/>
      <c r="J10" s="17"/>
    </row>
    <row r="11" spans="1:10" ht="12.75">
      <c r="A11" s="145"/>
      <c r="B11" s="146"/>
      <c r="C11" s="146"/>
      <c r="D11" s="146"/>
      <c r="E11" s="146"/>
      <c r="F11" s="146"/>
      <c r="G11" s="146"/>
      <c r="H11" s="146"/>
      <c r="I11" s="149"/>
      <c r="J11" s="17"/>
    </row>
    <row r="12" spans="1:9" ht="23.25" customHeight="1">
      <c r="A12" s="140" t="s">
        <v>5</v>
      </c>
      <c r="B12" s="141"/>
      <c r="C12" s="141"/>
      <c r="D12" s="141"/>
      <c r="E12" s="141"/>
      <c r="F12" s="141"/>
      <c r="G12" s="141"/>
      <c r="H12" s="141"/>
      <c r="I12" s="141"/>
    </row>
    <row r="13" spans="1:10" ht="26.25" customHeight="1">
      <c r="A13" s="2" t="s">
        <v>6</v>
      </c>
      <c r="B13" s="142" t="s">
        <v>19</v>
      </c>
      <c r="C13" s="143"/>
      <c r="D13" s="2" t="s">
        <v>23</v>
      </c>
      <c r="E13" s="142" t="s">
        <v>37</v>
      </c>
      <c r="F13" s="143"/>
      <c r="G13" s="2" t="s">
        <v>38</v>
      </c>
      <c r="H13" s="142" t="s">
        <v>55</v>
      </c>
      <c r="I13" s="143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rozpočet'!AB12:AB257)</f>
        <v>0</v>
      </c>
      <c r="D14" s="138" t="s">
        <v>24</v>
      </c>
      <c r="E14" s="139"/>
      <c r="F14" s="12">
        <f>VORN!I15</f>
        <v>0</v>
      </c>
      <c r="G14" s="138" t="s">
        <v>39</v>
      </c>
      <c r="H14" s="139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rozpočet'!AC12:AC257)</f>
        <v>0</v>
      </c>
      <c r="D15" s="138" t="s">
        <v>25</v>
      </c>
      <c r="E15" s="139"/>
      <c r="F15" s="12">
        <f>VORN!I16</f>
        <v>0</v>
      </c>
      <c r="G15" s="138" t="s">
        <v>40</v>
      </c>
      <c r="H15" s="139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rozpočet'!AD12:AD257)</f>
        <v>0</v>
      </c>
      <c r="D16" s="138" t="s">
        <v>26</v>
      </c>
      <c r="E16" s="139"/>
      <c r="F16" s="12">
        <f>VORN!I17</f>
        <v>0</v>
      </c>
      <c r="G16" s="138" t="s">
        <v>41</v>
      </c>
      <c r="H16" s="139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rozpočet'!AE12:AE257)</f>
        <v>0</v>
      </c>
      <c r="D17" s="138"/>
      <c r="E17" s="139"/>
      <c r="F17" s="13"/>
      <c r="G17" s="138" t="s">
        <v>42</v>
      </c>
      <c r="H17" s="139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rozpočet'!AF12:AF257)</f>
        <v>0</v>
      </c>
      <c r="D18" s="138"/>
      <c r="E18" s="139"/>
      <c r="F18" s="13"/>
      <c r="G18" s="138" t="s">
        <v>43</v>
      </c>
      <c r="H18" s="139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rozpočet'!AG12:AG257)</f>
        <v>0</v>
      </c>
      <c r="D19" s="138"/>
      <c r="E19" s="139"/>
      <c r="F19" s="13"/>
      <c r="G19" s="138" t="s">
        <v>44</v>
      </c>
      <c r="H19" s="139"/>
      <c r="I19" s="12">
        <f>VORN!I26</f>
        <v>0</v>
      </c>
      <c r="J19" s="17"/>
    </row>
    <row r="20" spans="1:10" ht="15" customHeight="1">
      <c r="A20" s="136" t="s">
        <v>10</v>
      </c>
      <c r="B20" s="137"/>
      <c r="C20" s="12">
        <f>SUM('Stavební rozpočet'!AH12:AH257)</f>
        <v>0</v>
      </c>
      <c r="D20" s="138"/>
      <c r="E20" s="139"/>
      <c r="F20" s="13"/>
      <c r="G20" s="138"/>
      <c r="H20" s="139"/>
      <c r="I20" s="13"/>
      <c r="J20" s="17"/>
    </row>
    <row r="21" spans="1:10" ht="15" customHeight="1">
      <c r="A21" s="136" t="s">
        <v>11</v>
      </c>
      <c r="B21" s="137"/>
      <c r="C21" s="12">
        <f>SUM('Stavební rozpočet'!Z12:Z257)</f>
        <v>0</v>
      </c>
      <c r="D21" s="138"/>
      <c r="E21" s="139"/>
      <c r="F21" s="13"/>
      <c r="G21" s="138"/>
      <c r="H21" s="139"/>
      <c r="I21" s="13"/>
      <c r="J21" s="17"/>
    </row>
    <row r="22" spans="1:10" ht="16.5" customHeight="1">
      <c r="A22" s="136" t="s">
        <v>12</v>
      </c>
      <c r="B22" s="137"/>
      <c r="C22" s="12">
        <f>SUM(C14:C21)</f>
        <v>0</v>
      </c>
      <c r="D22" s="136" t="s">
        <v>27</v>
      </c>
      <c r="E22" s="137"/>
      <c r="F22" s="12">
        <f>SUM(F14:F21)</f>
        <v>0</v>
      </c>
      <c r="G22" s="136" t="s">
        <v>45</v>
      </c>
      <c r="H22" s="137"/>
      <c r="I22" s="12">
        <f>SUM(I14:I21)</f>
        <v>0</v>
      </c>
      <c r="J22" s="17"/>
    </row>
    <row r="23" spans="1:10" ht="15" customHeight="1">
      <c r="A23" s="5"/>
      <c r="B23" s="5"/>
      <c r="C23" s="10"/>
      <c r="D23" s="136" t="s">
        <v>28</v>
      </c>
      <c r="E23" s="137"/>
      <c r="F23" s="14">
        <v>0</v>
      </c>
      <c r="G23" s="136" t="s">
        <v>46</v>
      </c>
      <c r="H23" s="137"/>
      <c r="I23" s="12">
        <v>0</v>
      </c>
      <c r="J23" s="17"/>
    </row>
    <row r="24" spans="4:10" ht="15" customHeight="1">
      <c r="D24" s="5"/>
      <c r="E24" s="5"/>
      <c r="F24" s="15"/>
      <c r="G24" s="136" t="s">
        <v>47</v>
      </c>
      <c r="H24" s="137"/>
      <c r="I24" s="12">
        <f>vorn_sum</f>
        <v>0</v>
      </c>
      <c r="J24" s="17"/>
    </row>
    <row r="25" spans="6:10" ht="15" customHeight="1">
      <c r="F25" s="16"/>
      <c r="G25" s="136" t="s">
        <v>48</v>
      </c>
      <c r="H25" s="137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31" t="s">
        <v>13</v>
      </c>
      <c r="B27" s="132"/>
      <c r="C27" s="19">
        <f>SUM('Stavební rozpočet'!AJ12:AJ257)</f>
        <v>0</v>
      </c>
      <c r="D27" s="11"/>
      <c r="E27" s="1"/>
      <c r="F27" s="1"/>
      <c r="G27" s="1"/>
      <c r="H27" s="1"/>
      <c r="I27" s="1"/>
    </row>
    <row r="28" spans="1:10" ht="15" customHeight="1">
      <c r="A28" s="131" t="s">
        <v>14</v>
      </c>
      <c r="B28" s="132"/>
      <c r="C28" s="19">
        <f>SUM('Stavební rozpočet'!AK12:AK257)+(F22+I22+F23+I23+I24+I25)</f>
        <v>0</v>
      </c>
      <c r="D28" s="131" t="s">
        <v>29</v>
      </c>
      <c r="E28" s="132"/>
      <c r="F28" s="19">
        <f>ROUND(C28*(15/100),2)</f>
        <v>0</v>
      </c>
      <c r="G28" s="131" t="s">
        <v>49</v>
      </c>
      <c r="H28" s="132"/>
      <c r="I28" s="19">
        <f>SUM(C27:C29)</f>
        <v>0</v>
      </c>
      <c r="J28" s="17"/>
    </row>
    <row r="29" spans="1:10" ht="15" customHeight="1">
      <c r="A29" s="131" t="s">
        <v>15</v>
      </c>
      <c r="B29" s="132"/>
      <c r="C29" s="19">
        <f>SUM('Stavební rozpočet'!AL12:AL257)</f>
        <v>0</v>
      </c>
      <c r="D29" s="131" t="s">
        <v>30</v>
      </c>
      <c r="E29" s="132"/>
      <c r="F29" s="19">
        <f>ROUND(C29*(21/100),2)</f>
        <v>0</v>
      </c>
      <c r="G29" s="131" t="s">
        <v>50</v>
      </c>
      <c r="H29" s="132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33" t="s">
        <v>16</v>
      </c>
      <c r="B31" s="134"/>
      <c r="C31" s="135"/>
      <c r="D31" s="133" t="s">
        <v>31</v>
      </c>
      <c r="E31" s="134"/>
      <c r="F31" s="135"/>
      <c r="G31" s="133" t="s">
        <v>51</v>
      </c>
      <c r="H31" s="134"/>
      <c r="I31" s="135"/>
      <c r="J31" s="18"/>
    </row>
    <row r="32" spans="1:10" ht="14.25" customHeight="1">
      <c r="A32" s="125"/>
      <c r="B32" s="126"/>
      <c r="C32" s="127"/>
      <c r="D32" s="125"/>
      <c r="E32" s="126"/>
      <c r="F32" s="127"/>
      <c r="G32" s="125"/>
      <c r="H32" s="126"/>
      <c r="I32" s="127"/>
      <c r="J32" s="18"/>
    </row>
    <row r="33" spans="1:10" ht="14.25" customHeight="1">
      <c r="A33" s="125"/>
      <c r="B33" s="126"/>
      <c r="C33" s="127"/>
      <c r="D33" s="125"/>
      <c r="E33" s="126"/>
      <c r="F33" s="127"/>
      <c r="G33" s="125"/>
      <c r="H33" s="126"/>
      <c r="I33" s="127"/>
      <c r="J33" s="18"/>
    </row>
    <row r="34" spans="1:10" ht="14.25" customHeight="1">
      <c r="A34" s="125"/>
      <c r="B34" s="126"/>
      <c r="C34" s="127"/>
      <c r="D34" s="125"/>
      <c r="E34" s="126"/>
      <c r="F34" s="127"/>
      <c r="G34" s="125"/>
      <c r="H34" s="126"/>
      <c r="I34" s="127"/>
      <c r="J34" s="18"/>
    </row>
    <row r="35" spans="1:10" ht="14.25" customHeight="1">
      <c r="A35" s="128" t="s">
        <v>17</v>
      </c>
      <c r="B35" s="129"/>
      <c r="C35" s="130"/>
      <c r="D35" s="128" t="s">
        <v>17</v>
      </c>
      <c r="E35" s="129"/>
      <c r="F35" s="130"/>
      <c r="G35" s="128" t="s">
        <v>17</v>
      </c>
      <c r="H35" s="129"/>
      <c r="I35" s="130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23"/>
      <c r="B37" s="124"/>
      <c r="C37" s="124"/>
      <c r="D37" s="124"/>
      <c r="E37" s="124"/>
      <c r="F37" s="124"/>
      <c r="G37" s="124"/>
      <c r="H37" s="124"/>
      <c r="I37" s="12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E4:E5"/>
    <mergeCell ref="F4:G5"/>
    <mergeCell ref="H4:H5"/>
    <mergeCell ref="I4:I5"/>
    <mergeCell ref="C4:D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16"/>
      <c r="B1" s="1"/>
      <c r="C1" s="153" t="s">
        <v>66</v>
      </c>
      <c r="D1" s="154"/>
      <c r="E1" s="154"/>
      <c r="F1" s="154"/>
      <c r="G1" s="154"/>
      <c r="H1" s="154"/>
      <c r="I1" s="154"/>
    </row>
    <row r="2" spans="1:10" ht="12.75">
      <c r="A2" s="155" t="s">
        <v>0</v>
      </c>
      <c r="B2" s="156"/>
      <c r="C2" s="157" t="str">
        <f>'Stavební rozpočet'!D2</f>
        <v>Oprava bytu Libušínská 11,13-velikost 1+0</v>
      </c>
      <c r="D2" s="158"/>
      <c r="E2" s="160" t="s">
        <v>32</v>
      </c>
      <c r="F2" s="160" t="str">
        <f>'Stavební rozpočet'!I2</f>
        <v>Město Žďár nad Sázavou</v>
      </c>
      <c r="G2" s="156"/>
      <c r="H2" s="160" t="s">
        <v>52</v>
      </c>
      <c r="I2" s="161" t="s">
        <v>56</v>
      </c>
      <c r="J2" s="17"/>
    </row>
    <row r="3" spans="1:10" ht="12.75">
      <c r="A3" s="150"/>
      <c r="B3" s="124"/>
      <c r="C3" s="159"/>
      <c r="D3" s="159"/>
      <c r="E3" s="124"/>
      <c r="F3" s="124"/>
      <c r="G3" s="124"/>
      <c r="H3" s="124"/>
      <c r="I3" s="152"/>
      <c r="J3" s="17"/>
    </row>
    <row r="4" spans="1:10" ht="12.75" customHeight="1">
      <c r="A4" s="144" t="s">
        <v>1</v>
      </c>
      <c r="B4" s="124"/>
      <c r="C4" s="123" t="s">
        <v>655</v>
      </c>
      <c r="D4" s="123"/>
      <c r="E4" s="123" t="s">
        <v>33</v>
      </c>
      <c r="F4" s="123"/>
      <c r="G4" s="124"/>
      <c r="H4" s="123" t="s">
        <v>52</v>
      </c>
      <c r="I4" s="151"/>
      <c r="J4" s="17"/>
    </row>
    <row r="5" spans="1:10" ht="12.75">
      <c r="A5" s="150"/>
      <c r="B5" s="124"/>
      <c r="C5" s="123"/>
      <c r="D5" s="123"/>
      <c r="E5" s="124"/>
      <c r="F5" s="124"/>
      <c r="G5" s="124"/>
      <c r="H5" s="124"/>
      <c r="I5" s="152"/>
      <c r="J5" s="17"/>
    </row>
    <row r="6" spans="1:10" ht="12.75">
      <c r="A6" s="144" t="s">
        <v>2</v>
      </c>
      <c r="B6" s="124"/>
      <c r="C6" s="123" t="str">
        <f>'Stavební rozpočet'!D6</f>
        <v> </v>
      </c>
      <c r="D6" s="124"/>
      <c r="E6" s="123" t="s">
        <v>34</v>
      </c>
      <c r="F6" s="123"/>
      <c r="G6" s="124"/>
      <c r="H6" s="123" t="s">
        <v>52</v>
      </c>
      <c r="I6" s="151"/>
      <c r="J6" s="17"/>
    </row>
    <row r="7" spans="1:10" ht="12.75">
      <c r="A7" s="150"/>
      <c r="B7" s="124"/>
      <c r="C7" s="124"/>
      <c r="D7" s="124"/>
      <c r="E7" s="124"/>
      <c r="F7" s="124"/>
      <c r="G7" s="124"/>
      <c r="H7" s="124"/>
      <c r="I7" s="152"/>
      <c r="J7" s="17"/>
    </row>
    <row r="8" spans="1:10" ht="12.75">
      <c r="A8" s="144" t="s">
        <v>3</v>
      </c>
      <c r="B8" s="124"/>
      <c r="C8" s="123" t="str">
        <f>'Stavební rozpočet'!F4</f>
        <v> </v>
      </c>
      <c r="D8" s="124"/>
      <c r="E8" s="123" t="s">
        <v>35</v>
      </c>
      <c r="F8" s="123" t="str">
        <f>'Stavební rozpočet'!F6</f>
        <v> </v>
      </c>
      <c r="G8" s="124"/>
      <c r="H8" s="147" t="s">
        <v>53</v>
      </c>
      <c r="I8" s="151"/>
      <c r="J8" s="17"/>
    </row>
    <row r="9" spans="1:10" ht="12.75">
      <c r="A9" s="150"/>
      <c r="B9" s="124"/>
      <c r="C9" s="124"/>
      <c r="D9" s="124"/>
      <c r="E9" s="124"/>
      <c r="F9" s="124"/>
      <c r="G9" s="124"/>
      <c r="H9" s="124"/>
      <c r="I9" s="152"/>
      <c r="J9" s="17"/>
    </row>
    <row r="10" spans="1:10" ht="12.75">
      <c r="A10" s="144" t="s">
        <v>4</v>
      </c>
      <c r="B10" s="124"/>
      <c r="C10" s="123" t="str">
        <f>'Stavební rozpočet'!D8</f>
        <v> </v>
      </c>
      <c r="D10" s="124"/>
      <c r="E10" s="123" t="s">
        <v>36</v>
      </c>
      <c r="F10" s="123" t="str">
        <f>'Stavební rozpočet'!I8</f>
        <v> </v>
      </c>
      <c r="G10" s="124"/>
      <c r="H10" s="147" t="s">
        <v>54</v>
      </c>
      <c r="I10" s="148"/>
      <c r="J10" s="17"/>
    </row>
    <row r="11" spans="1:10" ht="12.75">
      <c r="A11" s="145"/>
      <c r="B11" s="146"/>
      <c r="C11" s="146"/>
      <c r="D11" s="146"/>
      <c r="E11" s="146"/>
      <c r="F11" s="146"/>
      <c r="G11" s="146"/>
      <c r="H11" s="146"/>
      <c r="I11" s="149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74" t="s">
        <v>58</v>
      </c>
      <c r="B13" s="175"/>
      <c r="C13" s="175"/>
      <c r="D13" s="175"/>
      <c r="E13" s="175"/>
      <c r="F13" s="21"/>
      <c r="G13" s="21"/>
      <c r="H13" s="21"/>
      <c r="I13" s="21"/>
    </row>
    <row r="14" spans="1:10" ht="12.75">
      <c r="A14" s="176" t="s">
        <v>59</v>
      </c>
      <c r="B14" s="177"/>
      <c r="C14" s="177"/>
      <c r="D14" s="177"/>
      <c r="E14" s="178"/>
      <c r="F14" s="22" t="s">
        <v>67</v>
      </c>
      <c r="G14" s="22" t="s">
        <v>68</v>
      </c>
      <c r="H14" s="22" t="s">
        <v>69</v>
      </c>
      <c r="I14" s="22" t="s">
        <v>67</v>
      </c>
      <c r="J14" s="18"/>
    </row>
    <row r="15" spans="1:10" ht="12.75">
      <c r="A15" s="179" t="s">
        <v>24</v>
      </c>
      <c r="B15" s="180"/>
      <c r="C15" s="180"/>
      <c r="D15" s="180"/>
      <c r="E15" s="181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79" t="s">
        <v>25</v>
      </c>
      <c r="B16" s="180"/>
      <c r="C16" s="180"/>
      <c r="D16" s="180"/>
      <c r="E16" s="181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62" t="s">
        <v>26</v>
      </c>
      <c r="B17" s="163"/>
      <c r="C17" s="163"/>
      <c r="D17" s="163"/>
      <c r="E17" s="164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65" t="s">
        <v>60</v>
      </c>
      <c r="B18" s="166"/>
      <c r="C18" s="166"/>
      <c r="D18" s="166"/>
      <c r="E18" s="167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76" t="s">
        <v>55</v>
      </c>
      <c r="B20" s="177"/>
      <c r="C20" s="177"/>
      <c r="D20" s="177"/>
      <c r="E20" s="178"/>
      <c r="F20" s="22" t="s">
        <v>67</v>
      </c>
      <c r="G20" s="22" t="s">
        <v>68</v>
      </c>
      <c r="H20" s="22" t="s">
        <v>69</v>
      </c>
      <c r="I20" s="22" t="s">
        <v>67</v>
      </c>
      <c r="J20" s="18"/>
    </row>
    <row r="21" spans="1:10" ht="12.75">
      <c r="A21" s="179" t="s">
        <v>39</v>
      </c>
      <c r="B21" s="180"/>
      <c r="C21" s="180"/>
      <c r="D21" s="180"/>
      <c r="E21" s="181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79" t="s">
        <v>40</v>
      </c>
      <c r="B22" s="180"/>
      <c r="C22" s="180"/>
      <c r="D22" s="180"/>
      <c r="E22" s="181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79" t="s">
        <v>41</v>
      </c>
      <c r="B23" s="180"/>
      <c r="C23" s="180"/>
      <c r="D23" s="180"/>
      <c r="E23" s="181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79" t="s">
        <v>42</v>
      </c>
      <c r="B24" s="180"/>
      <c r="C24" s="180"/>
      <c r="D24" s="180"/>
      <c r="E24" s="181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79" t="s">
        <v>43</v>
      </c>
      <c r="B25" s="180"/>
      <c r="C25" s="180"/>
      <c r="D25" s="180"/>
      <c r="E25" s="181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62" t="s">
        <v>44</v>
      </c>
      <c r="B26" s="163"/>
      <c r="C26" s="163"/>
      <c r="D26" s="163"/>
      <c r="E26" s="164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65" t="s">
        <v>61</v>
      </c>
      <c r="B27" s="166"/>
      <c r="C27" s="166"/>
      <c r="D27" s="166"/>
      <c r="E27" s="167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68" t="s">
        <v>62</v>
      </c>
      <c r="B29" s="169"/>
      <c r="C29" s="169"/>
      <c r="D29" s="169"/>
      <c r="E29" s="170"/>
      <c r="F29" s="171">
        <f>I18+I27</f>
        <v>0</v>
      </c>
      <c r="G29" s="172"/>
      <c r="H29" s="172"/>
      <c r="I29" s="173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74" t="s">
        <v>63</v>
      </c>
      <c r="B33" s="175"/>
      <c r="C33" s="175"/>
      <c r="D33" s="175"/>
      <c r="E33" s="175"/>
      <c r="F33" s="21"/>
      <c r="G33" s="21"/>
      <c r="H33" s="21"/>
      <c r="I33" s="21"/>
    </row>
    <row r="34" spans="1:10" ht="12.75">
      <c r="A34" s="176" t="s">
        <v>64</v>
      </c>
      <c r="B34" s="177"/>
      <c r="C34" s="177"/>
      <c r="D34" s="177"/>
      <c r="E34" s="178"/>
      <c r="F34" s="22" t="s">
        <v>67</v>
      </c>
      <c r="G34" s="22" t="s">
        <v>68</v>
      </c>
      <c r="H34" s="22" t="s">
        <v>69</v>
      </c>
      <c r="I34" s="22" t="s">
        <v>67</v>
      </c>
      <c r="J34" s="18"/>
    </row>
    <row r="35" spans="1:10" ht="12.75">
      <c r="A35" s="162"/>
      <c r="B35" s="163"/>
      <c r="C35" s="163"/>
      <c r="D35" s="163"/>
      <c r="E35" s="164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65" t="s">
        <v>65</v>
      </c>
      <c r="B36" s="166"/>
      <c r="C36" s="166"/>
      <c r="D36" s="166"/>
      <c r="E36" s="167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E4:E5"/>
    <mergeCell ref="F4:G5"/>
    <mergeCell ref="H4:H5"/>
    <mergeCell ref="I4:I5"/>
    <mergeCell ref="C4:D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0"/>
  <sheetViews>
    <sheetView tabSelected="1" zoomScalePageLayoutView="0" workbookViewId="0" topLeftCell="A1">
      <pane ySplit="11" topLeftCell="A78" activePane="bottomLeft" state="frozen"/>
      <selection pane="topLeft" activeCell="A1" sqref="A1"/>
      <selection pane="bottomLeft" activeCell="D265" sqref="D26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2.7109375" style="0" customWidth="1"/>
    <col min="5" max="5" width="25.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2.5">
      <c r="A1" s="212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2.75">
      <c r="A2" s="155" t="s">
        <v>0</v>
      </c>
      <c r="B2" s="156"/>
      <c r="C2" s="156"/>
      <c r="D2" s="157" t="s">
        <v>358</v>
      </c>
      <c r="E2" s="213" t="s">
        <v>582</v>
      </c>
      <c r="F2" s="213" t="s">
        <v>72</v>
      </c>
      <c r="G2" s="156"/>
      <c r="H2" s="160" t="s">
        <v>32</v>
      </c>
      <c r="I2" s="160" t="s">
        <v>596</v>
      </c>
      <c r="J2" s="156"/>
      <c r="K2" s="156"/>
      <c r="L2" s="156"/>
      <c r="M2" s="156"/>
      <c r="N2" s="214"/>
      <c r="O2" s="17"/>
    </row>
    <row r="3" spans="1:15" ht="12.75">
      <c r="A3" s="150"/>
      <c r="B3" s="124"/>
      <c r="C3" s="124"/>
      <c r="D3" s="159"/>
      <c r="E3" s="124"/>
      <c r="F3" s="124"/>
      <c r="G3" s="124"/>
      <c r="H3" s="124"/>
      <c r="I3" s="124"/>
      <c r="J3" s="124"/>
      <c r="K3" s="124"/>
      <c r="L3" s="124"/>
      <c r="M3" s="124"/>
      <c r="N3" s="152"/>
      <c r="O3" s="17"/>
    </row>
    <row r="4" spans="1:15" ht="12.75">
      <c r="A4" s="144" t="s">
        <v>1</v>
      </c>
      <c r="B4" s="124"/>
      <c r="C4" s="124"/>
      <c r="D4" s="123" t="s">
        <v>655</v>
      </c>
      <c r="E4" s="123"/>
      <c r="F4" s="147" t="s">
        <v>72</v>
      </c>
      <c r="G4" s="124"/>
      <c r="H4" s="123" t="s">
        <v>33</v>
      </c>
      <c r="I4" s="123"/>
      <c r="J4" s="124"/>
      <c r="K4" s="124"/>
      <c r="L4" s="124"/>
      <c r="M4" s="124"/>
      <c r="N4" s="152"/>
      <c r="O4" s="17"/>
    </row>
    <row r="5" spans="1:15" ht="12.75">
      <c r="A5" s="150"/>
      <c r="B5" s="124"/>
      <c r="C5" s="124"/>
      <c r="D5" s="123"/>
      <c r="E5" s="123"/>
      <c r="F5" s="124"/>
      <c r="G5" s="124"/>
      <c r="H5" s="124"/>
      <c r="I5" s="124"/>
      <c r="J5" s="124"/>
      <c r="K5" s="124"/>
      <c r="L5" s="124"/>
      <c r="M5" s="124"/>
      <c r="N5" s="152"/>
      <c r="O5" s="17"/>
    </row>
    <row r="6" spans="1:15" ht="12.75">
      <c r="A6" s="144" t="s">
        <v>2</v>
      </c>
      <c r="B6" s="124"/>
      <c r="C6" s="124"/>
      <c r="D6" s="123" t="s">
        <v>72</v>
      </c>
      <c r="E6" s="147" t="s">
        <v>35</v>
      </c>
      <c r="F6" s="147" t="s">
        <v>72</v>
      </c>
      <c r="G6" s="124"/>
      <c r="H6" s="123" t="s">
        <v>34</v>
      </c>
      <c r="I6" s="147"/>
      <c r="J6" s="124"/>
      <c r="K6" s="124"/>
      <c r="L6" s="124"/>
      <c r="M6" s="124"/>
      <c r="N6" s="152"/>
      <c r="O6" s="17"/>
    </row>
    <row r="7" spans="1:15" ht="12.75">
      <c r="A7" s="150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52"/>
      <c r="O7" s="17"/>
    </row>
    <row r="8" spans="1:15" ht="12.75">
      <c r="A8" s="144" t="s">
        <v>4</v>
      </c>
      <c r="B8" s="124"/>
      <c r="C8" s="124"/>
      <c r="D8" s="123" t="s">
        <v>72</v>
      </c>
      <c r="E8" s="147" t="s">
        <v>583</v>
      </c>
      <c r="F8" s="147"/>
      <c r="G8" s="124"/>
      <c r="H8" s="123" t="s">
        <v>36</v>
      </c>
      <c r="I8" s="147" t="s">
        <v>597</v>
      </c>
      <c r="J8" s="124"/>
      <c r="K8" s="124"/>
      <c r="L8" s="124"/>
      <c r="M8" s="124"/>
      <c r="N8" s="152"/>
      <c r="O8" s="17"/>
    </row>
    <row r="9" spans="1:15" ht="12.75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17"/>
    </row>
    <row r="10" spans="1:64" ht="12.75">
      <c r="A10" s="30" t="s">
        <v>71</v>
      </c>
      <c r="B10" s="37" t="s">
        <v>212</v>
      </c>
      <c r="C10" s="37" t="s">
        <v>213</v>
      </c>
      <c r="D10" s="200" t="s">
        <v>359</v>
      </c>
      <c r="E10" s="201"/>
      <c r="F10" s="37" t="s">
        <v>584</v>
      </c>
      <c r="G10" s="49" t="s">
        <v>593</v>
      </c>
      <c r="H10" s="54" t="s">
        <v>594</v>
      </c>
      <c r="I10" s="202" t="s">
        <v>598</v>
      </c>
      <c r="J10" s="203"/>
      <c r="K10" s="204"/>
      <c r="L10" s="202" t="s">
        <v>602</v>
      </c>
      <c r="M10" s="204"/>
      <c r="N10" s="61" t="s">
        <v>604</v>
      </c>
      <c r="O10" s="18"/>
      <c r="BK10" s="60" t="s">
        <v>651</v>
      </c>
      <c r="BL10" s="72" t="s">
        <v>654</v>
      </c>
    </row>
    <row r="11" spans="1:62" ht="12.75">
      <c r="A11" s="31" t="s">
        <v>72</v>
      </c>
      <c r="B11" s="38" t="s">
        <v>72</v>
      </c>
      <c r="C11" s="38" t="s">
        <v>72</v>
      </c>
      <c r="D11" s="205" t="s">
        <v>360</v>
      </c>
      <c r="E11" s="206"/>
      <c r="F11" s="38" t="s">
        <v>72</v>
      </c>
      <c r="G11" s="38" t="s">
        <v>72</v>
      </c>
      <c r="H11" s="55" t="s">
        <v>595</v>
      </c>
      <c r="I11" s="56" t="s">
        <v>599</v>
      </c>
      <c r="J11" s="57" t="s">
        <v>21</v>
      </c>
      <c r="K11" s="58" t="s">
        <v>601</v>
      </c>
      <c r="L11" s="56" t="s">
        <v>603</v>
      </c>
      <c r="M11" s="58" t="s">
        <v>601</v>
      </c>
      <c r="N11" s="62" t="s">
        <v>605</v>
      </c>
      <c r="O11" s="18"/>
      <c r="Z11" s="60" t="s">
        <v>607</v>
      </c>
      <c r="AA11" s="60" t="s">
        <v>608</v>
      </c>
      <c r="AB11" s="60" t="s">
        <v>609</v>
      </c>
      <c r="AC11" s="60" t="s">
        <v>610</v>
      </c>
      <c r="AD11" s="60" t="s">
        <v>611</v>
      </c>
      <c r="AE11" s="60" t="s">
        <v>612</v>
      </c>
      <c r="AF11" s="60" t="s">
        <v>613</v>
      </c>
      <c r="AG11" s="60" t="s">
        <v>614</v>
      </c>
      <c r="AH11" s="60" t="s">
        <v>615</v>
      </c>
      <c r="BH11" s="60" t="s">
        <v>648</v>
      </c>
      <c r="BI11" s="60" t="s">
        <v>649</v>
      </c>
      <c r="BJ11" s="60" t="s">
        <v>650</v>
      </c>
    </row>
    <row r="12" spans="1:15" ht="12.75">
      <c r="A12" s="32"/>
      <c r="B12" s="39"/>
      <c r="C12" s="39"/>
      <c r="D12" s="207" t="s">
        <v>361</v>
      </c>
      <c r="E12" s="208"/>
      <c r="F12" s="47" t="s">
        <v>72</v>
      </c>
      <c r="G12" s="47" t="s">
        <v>72</v>
      </c>
      <c r="H12" s="47" t="s">
        <v>72</v>
      </c>
      <c r="I12" s="73">
        <f>I13+I21+I51+I53+I58+I63+I76+I88+I100+I132+I137+I151+I162+I196+I216+I222+I231+I233+I235+I237+I242+I244+I248</f>
        <v>0</v>
      </c>
      <c r="J12" s="73">
        <f>J13+J21+J51+J53+J58+J63+J76+J88+J100+J132+J137+J151+J162+J196+J216+J222+J231+J233+J235+J237+J242+J244+J248</f>
        <v>0</v>
      </c>
      <c r="K12" s="73">
        <f>K13+K21+K51+K53+K58+K63+K76+K88+K100+K132+K137+K151+K162+K196+K216+K222+K231+K233+K235+K237+K242+K244+K248</f>
        <v>0</v>
      </c>
      <c r="L12" s="59"/>
      <c r="M12" s="73">
        <f>M13+M21+M51+M53+M58+M63+M76+M88+M100+M132+M137+M151+M162+M196+M216+M222+M231+M233+M235+M237+M242+M244+M248</f>
        <v>8.097961535</v>
      </c>
      <c r="N12" s="63"/>
      <c r="O12" s="17"/>
    </row>
    <row r="13" spans="1:47" ht="12.75">
      <c r="A13" s="33"/>
      <c r="B13" s="40"/>
      <c r="C13" s="40" t="s">
        <v>106</v>
      </c>
      <c r="D13" s="193" t="s">
        <v>362</v>
      </c>
      <c r="E13" s="194"/>
      <c r="F13" s="48" t="s">
        <v>72</v>
      </c>
      <c r="G13" s="48" t="s">
        <v>72</v>
      </c>
      <c r="H13" s="48" t="s">
        <v>72</v>
      </c>
      <c r="I13" s="74">
        <f>SUM(I14:I19)</f>
        <v>0</v>
      </c>
      <c r="J13" s="74">
        <f>SUM(J14:J19)</f>
        <v>0</v>
      </c>
      <c r="K13" s="74">
        <f>SUM(K14:K19)</f>
        <v>0</v>
      </c>
      <c r="L13" s="60"/>
      <c r="M13" s="74">
        <f>SUM(M14:M19)</f>
        <v>1.52226198</v>
      </c>
      <c r="N13" s="64"/>
      <c r="O13" s="17"/>
      <c r="AI13" s="60"/>
      <c r="AS13" s="74">
        <f>SUM(AJ14:AJ19)</f>
        <v>0</v>
      </c>
      <c r="AT13" s="74">
        <f>SUM(AK14:AK19)</f>
        <v>0</v>
      </c>
      <c r="AU13" s="74">
        <f>SUM(AL14:AL19)</f>
        <v>0</v>
      </c>
    </row>
    <row r="14" spans="1:64" ht="12.75">
      <c r="A14" s="34" t="s">
        <v>73</v>
      </c>
      <c r="B14" s="41"/>
      <c r="C14" s="41" t="s">
        <v>214</v>
      </c>
      <c r="D14" s="187" t="s">
        <v>363</v>
      </c>
      <c r="E14" s="188"/>
      <c r="F14" s="41" t="s">
        <v>585</v>
      </c>
      <c r="G14" s="50">
        <v>3.9</v>
      </c>
      <c r="H14" s="117"/>
      <c r="I14" s="50">
        <f>G14*AO14</f>
        <v>0</v>
      </c>
      <c r="J14" s="50">
        <f>G14*AP14</f>
        <v>0</v>
      </c>
      <c r="K14" s="50">
        <f>G14*H14</f>
        <v>0</v>
      </c>
      <c r="L14" s="50">
        <v>0.04646</v>
      </c>
      <c r="M14" s="50">
        <f>G14*L14</f>
        <v>0.181194</v>
      </c>
      <c r="N14" s="65" t="s">
        <v>606</v>
      </c>
      <c r="O14" s="17"/>
      <c r="Z14" s="68">
        <f>IF(AQ14="5",BJ14,0)</f>
        <v>0</v>
      </c>
      <c r="AB14" s="68">
        <f>IF(AQ14="1",BH14,0)</f>
        <v>0</v>
      </c>
      <c r="AC14" s="68">
        <f>IF(AQ14="1",BI14,0)</f>
        <v>0</v>
      </c>
      <c r="AD14" s="68">
        <f>IF(AQ14="7",BH14,0)</f>
        <v>0</v>
      </c>
      <c r="AE14" s="68">
        <f>IF(AQ14="7",BI14,0)</f>
        <v>0</v>
      </c>
      <c r="AF14" s="68">
        <f>IF(AQ14="2",BH14,0)</f>
        <v>0</v>
      </c>
      <c r="AG14" s="68">
        <f>IF(AQ14="2",BI14,0)</f>
        <v>0</v>
      </c>
      <c r="AH14" s="68">
        <f>IF(AQ14="0",BJ14,0)</f>
        <v>0</v>
      </c>
      <c r="AI14" s="60"/>
      <c r="AJ14" s="50">
        <f>IF(AN14=0,K14,0)</f>
        <v>0</v>
      </c>
      <c r="AK14" s="50">
        <f>IF(AN14=15,K14,0)</f>
        <v>0</v>
      </c>
      <c r="AL14" s="50">
        <f>IF(AN14=21,K14,0)</f>
        <v>0</v>
      </c>
      <c r="AN14" s="68">
        <v>15</v>
      </c>
      <c r="AO14" s="68">
        <f>H14*0.555844622245979</f>
        <v>0</v>
      </c>
      <c r="AP14" s="68">
        <f>H14*(1-0.555844622245979)</f>
        <v>0</v>
      </c>
      <c r="AQ14" s="69" t="s">
        <v>73</v>
      </c>
      <c r="AV14" s="68">
        <f>AW14+AX14</f>
        <v>0</v>
      </c>
      <c r="AW14" s="68">
        <f>G14*AO14</f>
        <v>0</v>
      </c>
      <c r="AX14" s="68">
        <f>G14*AP14</f>
        <v>0</v>
      </c>
      <c r="AY14" s="71" t="s">
        <v>616</v>
      </c>
      <c r="AZ14" s="71" t="s">
        <v>639</v>
      </c>
      <c r="BA14" s="60" t="s">
        <v>647</v>
      </c>
      <c r="BC14" s="68">
        <f>AW14+AX14</f>
        <v>0</v>
      </c>
      <c r="BD14" s="68">
        <f>H14/(100-BE14)*100</f>
        <v>0</v>
      </c>
      <c r="BE14" s="68">
        <v>0</v>
      </c>
      <c r="BF14" s="68">
        <f>M14</f>
        <v>0.181194</v>
      </c>
      <c r="BH14" s="50">
        <f>G14*AO14</f>
        <v>0</v>
      </c>
      <c r="BI14" s="50">
        <f>G14*AP14</f>
        <v>0</v>
      </c>
      <c r="BJ14" s="50">
        <f>G14*H14</f>
        <v>0</v>
      </c>
      <c r="BK14" s="50" t="s">
        <v>652</v>
      </c>
      <c r="BL14" s="68">
        <v>34</v>
      </c>
    </row>
    <row r="15" spans="1:15" ht="12.75">
      <c r="A15" s="17"/>
      <c r="D15" s="43" t="s">
        <v>364</v>
      </c>
      <c r="E15" s="45"/>
      <c r="G15" s="51">
        <v>0</v>
      </c>
      <c r="N15" s="16"/>
      <c r="O15" s="17"/>
    </row>
    <row r="16" spans="1:15" ht="12.75">
      <c r="A16" s="17"/>
      <c r="D16" s="43" t="s">
        <v>365</v>
      </c>
      <c r="E16" s="45"/>
      <c r="G16" s="51">
        <v>3.9</v>
      </c>
      <c r="N16" s="16"/>
      <c r="O16" s="17"/>
    </row>
    <row r="17" spans="1:64" ht="12.75">
      <c r="A17" s="34" t="s">
        <v>74</v>
      </c>
      <c r="B17" s="41"/>
      <c r="C17" s="41" t="s">
        <v>215</v>
      </c>
      <c r="D17" s="187" t="s">
        <v>366</v>
      </c>
      <c r="E17" s="188"/>
      <c r="F17" s="41" t="s">
        <v>585</v>
      </c>
      <c r="G17" s="50">
        <v>17.938</v>
      </c>
      <c r="H17" s="117"/>
      <c r="I17" s="50">
        <f>G17*AO17</f>
        <v>0</v>
      </c>
      <c r="J17" s="50">
        <f>G17*AP17</f>
        <v>0</v>
      </c>
      <c r="K17" s="50">
        <f>G17*H17</f>
        <v>0</v>
      </c>
      <c r="L17" s="50">
        <v>0.07471</v>
      </c>
      <c r="M17" s="50">
        <f>G17*L17</f>
        <v>1.3401479799999998</v>
      </c>
      <c r="N17" s="65" t="s">
        <v>606</v>
      </c>
      <c r="O17" s="17"/>
      <c r="Z17" s="68">
        <f>IF(AQ17="5",BJ17,0)</f>
        <v>0</v>
      </c>
      <c r="AB17" s="68">
        <f>IF(AQ17="1",BH17,0)</f>
        <v>0</v>
      </c>
      <c r="AC17" s="68">
        <f>IF(AQ17="1",BI17,0)</f>
        <v>0</v>
      </c>
      <c r="AD17" s="68">
        <f>IF(AQ17="7",BH17,0)</f>
        <v>0</v>
      </c>
      <c r="AE17" s="68">
        <f>IF(AQ17="7",BI17,0)</f>
        <v>0</v>
      </c>
      <c r="AF17" s="68">
        <f>IF(AQ17="2",BH17,0)</f>
        <v>0</v>
      </c>
      <c r="AG17" s="68">
        <f>IF(AQ17="2",BI17,0)</f>
        <v>0</v>
      </c>
      <c r="AH17" s="68">
        <f>IF(AQ17="0",BJ17,0)</f>
        <v>0</v>
      </c>
      <c r="AI17" s="60"/>
      <c r="AJ17" s="50">
        <f>IF(AN17=0,K17,0)</f>
        <v>0</v>
      </c>
      <c r="AK17" s="50">
        <f>IF(AN17=15,K17,0)</f>
        <v>0</v>
      </c>
      <c r="AL17" s="50">
        <f>IF(AN17=21,K17,0)</f>
        <v>0</v>
      </c>
      <c r="AN17" s="68">
        <v>15</v>
      </c>
      <c r="AO17" s="68">
        <f>H17*0.649022181816199</f>
        <v>0</v>
      </c>
      <c r="AP17" s="68">
        <f>H17*(1-0.649022181816199)</f>
        <v>0</v>
      </c>
      <c r="AQ17" s="69" t="s">
        <v>73</v>
      </c>
      <c r="AV17" s="68">
        <f>AW17+AX17</f>
        <v>0</v>
      </c>
      <c r="AW17" s="68">
        <f>G17*AO17</f>
        <v>0</v>
      </c>
      <c r="AX17" s="68">
        <f>G17*AP17</f>
        <v>0</v>
      </c>
      <c r="AY17" s="71" t="s">
        <v>616</v>
      </c>
      <c r="AZ17" s="71" t="s">
        <v>639</v>
      </c>
      <c r="BA17" s="60" t="s">
        <v>647</v>
      </c>
      <c r="BC17" s="68">
        <f>AW17+AX17</f>
        <v>0</v>
      </c>
      <c r="BD17" s="68">
        <f>H17/(100-BE17)*100</f>
        <v>0</v>
      </c>
      <c r="BE17" s="68">
        <v>0</v>
      </c>
      <c r="BF17" s="68">
        <f>M17</f>
        <v>1.3401479799999998</v>
      </c>
      <c r="BH17" s="50">
        <f>G17*AO17</f>
        <v>0</v>
      </c>
      <c r="BI17" s="50">
        <f>G17*AP17</f>
        <v>0</v>
      </c>
      <c r="BJ17" s="50">
        <f>G17*H17</f>
        <v>0</v>
      </c>
      <c r="BK17" s="50" t="s">
        <v>652</v>
      </c>
      <c r="BL17" s="68">
        <v>34</v>
      </c>
    </row>
    <row r="18" spans="1:15" ht="12.75">
      <c r="A18" s="17"/>
      <c r="D18" s="43" t="s">
        <v>367</v>
      </c>
      <c r="E18" s="45"/>
      <c r="G18" s="51">
        <v>17.938</v>
      </c>
      <c r="N18" s="16"/>
      <c r="O18" s="17"/>
    </row>
    <row r="19" spans="1:64" ht="12.75">
      <c r="A19" s="34" t="s">
        <v>75</v>
      </c>
      <c r="B19" s="41"/>
      <c r="C19" s="41" t="s">
        <v>216</v>
      </c>
      <c r="D19" s="187" t="s">
        <v>368</v>
      </c>
      <c r="E19" s="188"/>
      <c r="F19" s="41" t="s">
        <v>586</v>
      </c>
      <c r="G19" s="50">
        <v>11.5</v>
      </c>
      <c r="H19" s="117"/>
      <c r="I19" s="50">
        <f>G19*AO19</f>
        <v>0</v>
      </c>
      <c r="J19" s="50">
        <f>G19*AP19</f>
        <v>0</v>
      </c>
      <c r="K19" s="50">
        <f>G19*H19</f>
        <v>0</v>
      </c>
      <c r="L19" s="50">
        <v>8E-05</v>
      </c>
      <c r="M19" s="50">
        <f>G19*L19</f>
        <v>0.00092</v>
      </c>
      <c r="N19" s="65" t="s">
        <v>606</v>
      </c>
      <c r="O19" s="17"/>
      <c r="Z19" s="68">
        <f>IF(AQ19="5",BJ19,0)</f>
        <v>0</v>
      </c>
      <c r="AB19" s="68">
        <f>IF(AQ19="1",BH19,0)</f>
        <v>0</v>
      </c>
      <c r="AC19" s="68">
        <f>IF(AQ19="1",BI19,0)</f>
        <v>0</v>
      </c>
      <c r="AD19" s="68">
        <f>IF(AQ19="7",BH19,0)</f>
        <v>0</v>
      </c>
      <c r="AE19" s="68">
        <f>IF(AQ19="7",BI19,0)</f>
        <v>0</v>
      </c>
      <c r="AF19" s="68">
        <f>IF(AQ19="2",BH19,0)</f>
        <v>0</v>
      </c>
      <c r="AG19" s="68">
        <f>IF(AQ19="2",BI19,0)</f>
        <v>0</v>
      </c>
      <c r="AH19" s="68">
        <f>IF(AQ19="0",BJ19,0)</f>
        <v>0</v>
      </c>
      <c r="AI19" s="60"/>
      <c r="AJ19" s="50">
        <f>IF(AN19=0,K19,0)</f>
        <v>0</v>
      </c>
      <c r="AK19" s="50">
        <f>IF(AN19=15,K19,0)</f>
        <v>0</v>
      </c>
      <c r="AL19" s="50">
        <f>IF(AN19=21,K19,0)</f>
        <v>0</v>
      </c>
      <c r="AN19" s="68">
        <v>15</v>
      </c>
      <c r="AO19" s="68">
        <f>H19*0.191980681579949</f>
        <v>0</v>
      </c>
      <c r="AP19" s="68">
        <f>H19*(1-0.191980681579949)</f>
        <v>0</v>
      </c>
      <c r="AQ19" s="69" t="s">
        <v>73</v>
      </c>
      <c r="AV19" s="68">
        <f>AW19+AX19</f>
        <v>0</v>
      </c>
      <c r="AW19" s="68">
        <f>G19*AO19</f>
        <v>0</v>
      </c>
      <c r="AX19" s="68">
        <f>G19*AP19</f>
        <v>0</v>
      </c>
      <c r="AY19" s="71" t="s">
        <v>616</v>
      </c>
      <c r="AZ19" s="71" t="s">
        <v>639</v>
      </c>
      <c r="BA19" s="60" t="s">
        <v>647</v>
      </c>
      <c r="BC19" s="68">
        <f>AW19+AX19</f>
        <v>0</v>
      </c>
      <c r="BD19" s="68">
        <f>H19/(100-BE19)*100</f>
        <v>0</v>
      </c>
      <c r="BE19" s="68">
        <v>0</v>
      </c>
      <c r="BF19" s="68">
        <f>M19</f>
        <v>0.00092</v>
      </c>
      <c r="BH19" s="50">
        <f>G19*AO19</f>
        <v>0</v>
      </c>
      <c r="BI19" s="50">
        <f>G19*AP19</f>
        <v>0</v>
      </c>
      <c r="BJ19" s="50">
        <f>G19*H19</f>
        <v>0</v>
      </c>
      <c r="BK19" s="50" t="s">
        <v>652</v>
      </c>
      <c r="BL19" s="68">
        <v>34</v>
      </c>
    </row>
    <row r="20" spans="1:15" ht="12.75">
      <c r="A20" s="17"/>
      <c r="D20" s="43" t="s">
        <v>369</v>
      </c>
      <c r="E20" s="45"/>
      <c r="G20" s="51">
        <v>11.5</v>
      </c>
      <c r="N20" s="16"/>
      <c r="O20" s="17"/>
    </row>
    <row r="21" spans="1:47" ht="12.75">
      <c r="A21" s="33"/>
      <c r="B21" s="40"/>
      <c r="C21" s="40" t="s">
        <v>133</v>
      </c>
      <c r="D21" s="193" t="s">
        <v>370</v>
      </c>
      <c r="E21" s="194"/>
      <c r="F21" s="48" t="s">
        <v>72</v>
      </c>
      <c r="G21" s="48" t="s">
        <v>72</v>
      </c>
      <c r="H21" s="48" t="s">
        <v>72</v>
      </c>
      <c r="I21" s="74">
        <f>SUM(I22:I49)</f>
        <v>0</v>
      </c>
      <c r="J21" s="74">
        <f>SUM(J22:J49)</f>
        <v>0</v>
      </c>
      <c r="K21" s="74">
        <f>SUM(K22:K49)</f>
        <v>0</v>
      </c>
      <c r="L21" s="60"/>
      <c r="M21" s="74">
        <f>SUM(M22:M49)</f>
        <v>2.0626504299999997</v>
      </c>
      <c r="N21" s="64"/>
      <c r="O21" s="17"/>
      <c r="AI21" s="60"/>
      <c r="AS21" s="74">
        <f>SUM(AJ22:AJ49)</f>
        <v>0</v>
      </c>
      <c r="AT21" s="74">
        <f>SUM(AK22:AK49)</f>
        <v>0</v>
      </c>
      <c r="AU21" s="74">
        <f>SUM(AL22:AL49)</f>
        <v>0</v>
      </c>
    </row>
    <row r="22" spans="1:64" ht="12.75">
      <c r="A22" s="34" t="s">
        <v>76</v>
      </c>
      <c r="B22" s="41"/>
      <c r="C22" s="41" t="s">
        <v>217</v>
      </c>
      <c r="D22" s="187" t="s">
        <v>371</v>
      </c>
      <c r="E22" s="188"/>
      <c r="F22" s="41" t="s">
        <v>587</v>
      </c>
      <c r="G22" s="50">
        <v>4</v>
      </c>
      <c r="H22" s="117"/>
      <c r="I22" s="50">
        <f>G22*AO22</f>
        <v>0</v>
      </c>
      <c r="J22" s="50">
        <f>G22*AP22</f>
        <v>0</v>
      </c>
      <c r="K22" s="50">
        <f>G22*H22</f>
        <v>0</v>
      </c>
      <c r="L22" s="50">
        <v>0.00649</v>
      </c>
      <c r="M22" s="50">
        <f>G22*L22</f>
        <v>0.02596</v>
      </c>
      <c r="N22" s="65" t="s">
        <v>606</v>
      </c>
      <c r="O22" s="17"/>
      <c r="Z22" s="68">
        <f>IF(AQ22="5",BJ22,0)</f>
        <v>0</v>
      </c>
      <c r="AB22" s="68">
        <f>IF(AQ22="1",BH22,0)</f>
        <v>0</v>
      </c>
      <c r="AC22" s="68">
        <f>IF(AQ22="1",BI22,0)</f>
        <v>0</v>
      </c>
      <c r="AD22" s="68">
        <f>IF(AQ22="7",BH22,0)</f>
        <v>0</v>
      </c>
      <c r="AE22" s="68">
        <f>IF(AQ22="7",BI22,0)</f>
        <v>0</v>
      </c>
      <c r="AF22" s="68">
        <f>IF(AQ22="2",BH22,0)</f>
        <v>0</v>
      </c>
      <c r="AG22" s="68">
        <f>IF(AQ22="2",BI22,0)</f>
        <v>0</v>
      </c>
      <c r="AH22" s="68">
        <f>IF(AQ22="0",BJ22,0)</f>
        <v>0</v>
      </c>
      <c r="AI22" s="60"/>
      <c r="AJ22" s="50">
        <f>IF(AN22=0,K22,0)</f>
        <v>0</v>
      </c>
      <c r="AK22" s="50">
        <f>IF(AN22=15,K22,0)</f>
        <v>0</v>
      </c>
      <c r="AL22" s="50">
        <f>IF(AN22=21,K22,0)</f>
        <v>0</v>
      </c>
      <c r="AN22" s="68">
        <v>15</v>
      </c>
      <c r="AO22" s="68">
        <f>H22*0.190516431924883</f>
        <v>0</v>
      </c>
      <c r="AP22" s="68">
        <f>H22*(1-0.190516431924883)</f>
        <v>0</v>
      </c>
      <c r="AQ22" s="69" t="s">
        <v>73</v>
      </c>
      <c r="AV22" s="68">
        <f>AW22+AX22</f>
        <v>0</v>
      </c>
      <c r="AW22" s="68">
        <f>G22*AO22</f>
        <v>0</v>
      </c>
      <c r="AX22" s="68">
        <f>G22*AP22</f>
        <v>0</v>
      </c>
      <c r="AY22" s="71" t="s">
        <v>617</v>
      </c>
      <c r="AZ22" s="71" t="s">
        <v>640</v>
      </c>
      <c r="BA22" s="60" t="s">
        <v>647</v>
      </c>
      <c r="BC22" s="68">
        <f>AW22+AX22</f>
        <v>0</v>
      </c>
      <c r="BD22" s="68">
        <f>H22/(100-BE22)*100</f>
        <v>0</v>
      </c>
      <c r="BE22" s="68">
        <v>0</v>
      </c>
      <c r="BF22" s="68">
        <f>M22</f>
        <v>0.02596</v>
      </c>
      <c r="BH22" s="50">
        <f>G22*AO22</f>
        <v>0</v>
      </c>
      <c r="BI22" s="50">
        <f>G22*AP22</f>
        <v>0</v>
      </c>
      <c r="BJ22" s="50">
        <f>G22*H22</f>
        <v>0</v>
      </c>
      <c r="BK22" s="50" t="s">
        <v>652</v>
      </c>
      <c r="BL22" s="68">
        <v>61</v>
      </c>
    </row>
    <row r="23" spans="1:64" ht="12.75">
      <c r="A23" s="34" t="s">
        <v>77</v>
      </c>
      <c r="B23" s="41"/>
      <c r="C23" s="41" t="s">
        <v>218</v>
      </c>
      <c r="D23" s="187" t="s">
        <v>372</v>
      </c>
      <c r="E23" s="188"/>
      <c r="F23" s="41" t="s">
        <v>585</v>
      </c>
      <c r="G23" s="50">
        <v>2.5</v>
      </c>
      <c r="H23" s="117"/>
      <c r="I23" s="50">
        <f>G23*AO23</f>
        <v>0</v>
      </c>
      <c r="J23" s="50">
        <f>G23*AP23</f>
        <v>0</v>
      </c>
      <c r="K23" s="50">
        <f>G23*H23</f>
        <v>0</v>
      </c>
      <c r="L23" s="50">
        <v>0.10712</v>
      </c>
      <c r="M23" s="50">
        <f>G23*L23</f>
        <v>0.26780000000000004</v>
      </c>
      <c r="N23" s="65" t="s">
        <v>606</v>
      </c>
      <c r="O23" s="17"/>
      <c r="Z23" s="68">
        <f>IF(AQ23="5",BJ23,0)</f>
        <v>0</v>
      </c>
      <c r="AB23" s="68">
        <f>IF(AQ23="1",BH23,0)</f>
        <v>0</v>
      </c>
      <c r="AC23" s="68">
        <f>IF(AQ23="1",BI23,0)</f>
        <v>0</v>
      </c>
      <c r="AD23" s="68">
        <f>IF(AQ23="7",BH23,0)</f>
        <v>0</v>
      </c>
      <c r="AE23" s="68">
        <f>IF(AQ23="7",BI23,0)</f>
        <v>0</v>
      </c>
      <c r="AF23" s="68">
        <f>IF(AQ23="2",BH23,0)</f>
        <v>0</v>
      </c>
      <c r="AG23" s="68">
        <f>IF(AQ23="2",BI23,0)</f>
        <v>0</v>
      </c>
      <c r="AH23" s="68">
        <f>IF(AQ23="0",BJ23,0)</f>
        <v>0</v>
      </c>
      <c r="AI23" s="60"/>
      <c r="AJ23" s="50">
        <f>IF(AN23=0,K23,0)</f>
        <v>0</v>
      </c>
      <c r="AK23" s="50">
        <f>IF(AN23=15,K23,0)</f>
        <v>0</v>
      </c>
      <c r="AL23" s="50">
        <f>IF(AN23=21,K23,0)</f>
        <v>0</v>
      </c>
      <c r="AN23" s="68">
        <v>15</v>
      </c>
      <c r="AO23" s="68">
        <f>H23*0.221316348195329</f>
        <v>0</v>
      </c>
      <c r="AP23" s="68">
        <f>H23*(1-0.221316348195329)</f>
        <v>0</v>
      </c>
      <c r="AQ23" s="69" t="s">
        <v>73</v>
      </c>
      <c r="AV23" s="68">
        <f>AW23+AX23</f>
        <v>0</v>
      </c>
      <c r="AW23" s="68">
        <f>G23*AO23</f>
        <v>0</v>
      </c>
      <c r="AX23" s="68">
        <f>G23*AP23</f>
        <v>0</v>
      </c>
      <c r="AY23" s="71" t="s">
        <v>617</v>
      </c>
      <c r="AZ23" s="71" t="s">
        <v>640</v>
      </c>
      <c r="BA23" s="60" t="s">
        <v>647</v>
      </c>
      <c r="BC23" s="68">
        <f>AW23+AX23</f>
        <v>0</v>
      </c>
      <c r="BD23" s="68">
        <f>H23/(100-BE23)*100</f>
        <v>0</v>
      </c>
      <c r="BE23" s="68">
        <v>0</v>
      </c>
      <c r="BF23" s="68">
        <f>M23</f>
        <v>0.26780000000000004</v>
      </c>
      <c r="BH23" s="50">
        <f>G23*AO23</f>
        <v>0</v>
      </c>
      <c r="BI23" s="50">
        <f>G23*AP23</f>
        <v>0</v>
      </c>
      <c r="BJ23" s="50">
        <f>G23*H23</f>
        <v>0</v>
      </c>
      <c r="BK23" s="50" t="s">
        <v>652</v>
      </c>
      <c r="BL23" s="68">
        <v>61</v>
      </c>
    </row>
    <row r="24" spans="1:64" ht="12.75">
      <c r="A24" s="34" t="s">
        <v>78</v>
      </c>
      <c r="B24" s="41"/>
      <c r="C24" s="41" t="s">
        <v>219</v>
      </c>
      <c r="D24" s="187" t="s">
        <v>373</v>
      </c>
      <c r="E24" s="188"/>
      <c r="F24" s="41" t="s">
        <v>585</v>
      </c>
      <c r="G24" s="50">
        <v>65.6275</v>
      </c>
      <c r="H24" s="117"/>
      <c r="I24" s="50">
        <f>G24*AO24</f>
        <v>0</v>
      </c>
      <c r="J24" s="50">
        <f>G24*AP24</f>
        <v>0</v>
      </c>
      <c r="K24" s="50">
        <f>G24*H24</f>
        <v>0</v>
      </c>
      <c r="L24" s="50">
        <v>0.00032</v>
      </c>
      <c r="M24" s="50">
        <f>G24*L24</f>
        <v>0.0210008</v>
      </c>
      <c r="N24" s="65" t="s">
        <v>606</v>
      </c>
      <c r="O24" s="17"/>
      <c r="Z24" s="68">
        <f>IF(AQ24="5",BJ24,0)</f>
        <v>0</v>
      </c>
      <c r="AB24" s="68">
        <f>IF(AQ24="1",BH24,0)</f>
        <v>0</v>
      </c>
      <c r="AC24" s="68">
        <f>IF(AQ24="1",BI24,0)</f>
        <v>0</v>
      </c>
      <c r="AD24" s="68">
        <f>IF(AQ24="7",BH24,0)</f>
        <v>0</v>
      </c>
      <c r="AE24" s="68">
        <f>IF(AQ24="7",BI24,0)</f>
        <v>0</v>
      </c>
      <c r="AF24" s="68">
        <f>IF(AQ24="2",BH24,0)</f>
        <v>0</v>
      </c>
      <c r="AG24" s="68">
        <f>IF(AQ24="2",BI24,0)</f>
        <v>0</v>
      </c>
      <c r="AH24" s="68">
        <f>IF(AQ24="0",BJ24,0)</f>
        <v>0</v>
      </c>
      <c r="AI24" s="60"/>
      <c r="AJ24" s="50">
        <f>IF(AN24=0,K24,0)</f>
        <v>0</v>
      </c>
      <c r="AK24" s="50">
        <f>IF(AN24=15,K24,0)</f>
        <v>0</v>
      </c>
      <c r="AL24" s="50">
        <f>IF(AN24=21,K24,0)</f>
        <v>0</v>
      </c>
      <c r="AN24" s="68">
        <v>15</v>
      </c>
      <c r="AO24" s="68">
        <f>H24*0.489403263331696</f>
        <v>0</v>
      </c>
      <c r="AP24" s="68">
        <f>H24*(1-0.489403263331696)</f>
        <v>0</v>
      </c>
      <c r="AQ24" s="69" t="s">
        <v>73</v>
      </c>
      <c r="AV24" s="68">
        <f>AW24+AX24</f>
        <v>0</v>
      </c>
      <c r="AW24" s="68">
        <f>G24*AO24</f>
        <v>0</v>
      </c>
      <c r="AX24" s="68">
        <f>G24*AP24</f>
        <v>0</v>
      </c>
      <c r="AY24" s="71" t="s">
        <v>617</v>
      </c>
      <c r="AZ24" s="71" t="s">
        <v>640</v>
      </c>
      <c r="BA24" s="60" t="s">
        <v>647</v>
      </c>
      <c r="BC24" s="68">
        <f>AW24+AX24</f>
        <v>0</v>
      </c>
      <c r="BD24" s="68">
        <f>H24/(100-BE24)*100</f>
        <v>0</v>
      </c>
      <c r="BE24" s="68">
        <v>0</v>
      </c>
      <c r="BF24" s="68">
        <f>M24</f>
        <v>0.0210008</v>
      </c>
      <c r="BH24" s="50">
        <f>G24*AO24</f>
        <v>0</v>
      </c>
      <c r="BI24" s="50">
        <f>G24*AP24</f>
        <v>0</v>
      </c>
      <c r="BJ24" s="50">
        <f>G24*H24</f>
        <v>0</v>
      </c>
      <c r="BK24" s="50" t="s">
        <v>652</v>
      </c>
      <c r="BL24" s="68">
        <v>61</v>
      </c>
    </row>
    <row r="25" spans="1:15" ht="12.75">
      <c r="A25" s="17"/>
      <c r="D25" s="43" t="s">
        <v>374</v>
      </c>
      <c r="E25" s="45"/>
      <c r="G25" s="51">
        <v>65.6275</v>
      </c>
      <c r="N25" s="16"/>
      <c r="O25" s="17"/>
    </row>
    <row r="26" spans="1:64" ht="12.75">
      <c r="A26" s="34" t="s">
        <v>79</v>
      </c>
      <c r="B26" s="41"/>
      <c r="C26" s="41" t="s">
        <v>220</v>
      </c>
      <c r="D26" s="187" t="s">
        <v>375</v>
      </c>
      <c r="E26" s="188"/>
      <c r="F26" s="41" t="s">
        <v>585</v>
      </c>
      <c r="G26" s="50">
        <v>19.858</v>
      </c>
      <c r="H26" s="117"/>
      <c r="I26" s="50">
        <f>G26*AO26</f>
        <v>0</v>
      </c>
      <c r="J26" s="50">
        <f>G26*AP26</f>
        <v>0</v>
      </c>
      <c r="K26" s="50">
        <f>G26*H26</f>
        <v>0</v>
      </c>
      <c r="L26" s="50">
        <v>0.03921</v>
      </c>
      <c r="M26" s="50">
        <f>G26*L26</f>
        <v>0.77863218</v>
      </c>
      <c r="N26" s="65" t="s">
        <v>606</v>
      </c>
      <c r="O26" s="17"/>
      <c r="Z26" s="68">
        <f>IF(AQ26="5",BJ26,0)</f>
        <v>0</v>
      </c>
      <c r="AB26" s="68">
        <f>IF(AQ26="1",BH26,0)</f>
        <v>0</v>
      </c>
      <c r="AC26" s="68">
        <f>IF(AQ26="1",BI26,0)</f>
        <v>0</v>
      </c>
      <c r="AD26" s="68">
        <f>IF(AQ26="7",BH26,0)</f>
        <v>0</v>
      </c>
      <c r="AE26" s="68">
        <f>IF(AQ26="7",BI26,0)</f>
        <v>0</v>
      </c>
      <c r="AF26" s="68">
        <f>IF(AQ26="2",BH26,0)</f>
        <v>0</v>
      </c>
      <c r="AG26" s="68">
        <f>IF(AQ26="2",BI26,0)</f>
        <v>0</v>
      </c>
      <c r="AH26" s="68">
        <f>IF(AQ26="0",BJ26,0)</f>
        <v>0</v>
      </c>
      <c r="AI26" s="60"/>
      <c r="AJ26" s="50">
        <f>IF(AN26=0,K26,0)</f>
        <v>0</v>
      </c>
      <c r="AK26" s="50">
        <f>IF(AN26=15,K26,0)</f>
        <v>0</v>
      </c>
      <c r="AL26" s="50">
        <f>IF(AN26=21,K26,0)</f>
        <v>0</v>
      </c>
      <c r="AN26" s="68">
        <v>15</v>
      </c>
      <c r="AO26" s="68">
        <f>H26*0.158764876533798</f>
        <v>0</v>
      </c>
      <c r="AP26" s="68">
        <f>H26*(1-0.158764876533798)</f>
        <v>0</v>
      </c>
      <c r="AQ26" s="69" t="s">
        <v>73</v>
      </c>
      <c r="AV26" s="68">
        <f>AW26+AX26</f>
        <v>0</v>
      </c>
      <c r="AW26" s="68">
        <f>G26*AO26</f>
        <v>0</v>
      </c>
      <c r="AX26" s="68">
        <f>G26*AP26</f>
        <v>0</v>
      </c>
      <c r="AY26" s="71" t="s">
        <v>617</v>
      </c>
      <c r="AZ26" s="71" t="s">
        <v>640</v>
      </c>
      <c r="BA26" s="60" t="s">
        <v>647</v>
      </c>
      <c r="BC26" s="68">
        <f>AW26+AX26</f>
        <v>0</v>
      </c>
      <c r="BD26" s="68">
        <f>H26/(100-BE26)*100</f>
        <v>0</v>
      </c>
      <c r="BE26" s="68">
        <v>0</v>
      </c>
      <c r="BF26" s="68">
        <f>M26</f>
        <v>0.77863218</v>
      </c>
      <c r="BH26" s="50">
        <f>G26*AO26</f>
        <v>0</v>
      </c>
      <c r="BI26" s="50">
        <f>G26*AP26</f>
        <v>0</v>
      </c>
      <c r="BJ26" s="50">
        <f>G26*H26</f>
        <v>0</v>
      </c>
      <c r="BK26" s="50" t="s">
        <v>652</v>
      </c>
      <c r="BL26" s="68">
        <v>61</v>
      </c>
    </row>
    <row r="27" spans="1:15" ht="12.75">
      <c r="A27" s="17"/>
      <c r="D27" s="43" t="s">
        <v>376</v>
      </c>
      <c r="E27" s="45"/>
      <c r="G27" s="51">
        <v>0</v>
      </c>
      <c r="N27" s="16"/>
      <c r="O27" s="17"/>
    </row>
    <row r="28" spans="1:15" ht="12.75">
      <c r="A28" s="17"/>
      <c r="D28" s="43" t="s">
        <v>377</v>
      </c>
      <c r="E28" s="45"/>
      <c r="G28" s="51">
        <v>14.778</v>
      </c>
      <c r="N28" s="16"/>
      <c r="O28" s="17"/>
    </row>
    <row r="29" spans="1:15" ht="12.75">
      <c r="A29" s="17"/>
      <c r="D29" s="43" t="s">
        <v>378</v>
      </c>
      <c r="E29" s="45"/>
      <c r="G29" s="51">
        <v>0</v>
      </c>
      <c r="N29" s="16"/>
      <c r="O29" s="17"/>
    </row>
    <row r="30" spans="1:15" ht="12.75">
      <c r="A30" s="17"/>
      <c r="D30" s="43" t="s">
        <v>379</v>
      </c>
      <c r="E30" s="45"/>
      <c r="G30" s="51">
        <v>5.08</v>
      </c>
      <c r="N30" s="16"/>
      <c r="O30" s="17"/>
    </row>
    <row r="31" spans="1:64" ht="12.75">
      <c r="A31" s="34" t="s">
        <v>80</v>
      </c>
      <c r="B31" s="41"/>
      <c r="C31" s="41" t="s">
        <v>221</v>
      </c>
      <c r="D31" s="187" t="s">
        <v>380</v>
      </c>
      <c r="E31" s="188"/>
      <c r="F31" s="41" t="s">
        <v>585</v>
      </c>
      <c r="G31" s="50">
        <v>12.7575</v>
      </c>
      <c r="H31" s="117"/>
      <c r="I31" s="50">
        <f>G31*AO31</f>
        <v>0</v>
      </c>
      <c r="J31" s="50">
        <f>G31*AP31</f>
        <v>0</v>
      </c>
      <c r="K31" s="50">
        <f>G31*H31</f>
        <v>0</v>
      </c>
      <c r="L31" s="50">
        <v>0.04766</v>
      </c>
      <c r="M31" s="50">
        <f>G31*L31</f>
        <v>0.60802245</v>
      </c>
      <c r="N31" s="65" t="s">
        <v>606</v>
      </c>
      <c r="O31" s="17"/>
      <c r="Z31" s="68">
        <f>IF(AQ31="5",BJ31,0)</f>
        <v>0</v>
      </c>
      <c r="AB31" s="68">
        <f>IF(AQ31="1",BH31,0)</f>
        <v>0</v>
      </c>
      <c r="AC31" s="68">
        <f>IF(AQ31="1",BI31,0)</f>
        <v>0</v>
      </c>
      <c r="AD31" s="68">
        <f>IF(AQ31="7",BH31,0)</f>
        <v>0</v>
      </c>
      <c r="AE31" s="68">
        <f>IF(AQ31="7",BI31,0)</f>
        <v>0</v>
      </c>
      <c r="AF31" s="68">
        <f>IF(AQ31="2",BH31,0)</f>
        <v>0</v>
      </c>
      <c r="AG31" s="68">
        <f>IF(AQ31="2",BI31,0)</f>
        <v>0</v>
      </c>
      <c r="AH31" s="68">
        <f>IF(AQ31="0",BJ31,0)</f>
        <v>0</v>
      </c>
      <c r="AI31" s="60"/>
      <c r="AJ31" s="50">
        <f>IF(AN31=0,K31,0)</f>
        <v>0</v>
      </c>
      <c r="AK31" s="50">
        <f>IF(AN31=15,K31,0)</f>
        <v>0</v>
      </c>
      <c r="AL31" s="50">
        <f>IF(AN31=21,K31,0)</f>
        <v>0</v>
      </c>
      <c r="AN31" s="68">
        <v>15</v>
      </c>
      <c r="AO31" s="68">
        <f>H31*0.105013042120847</f>
        <v>0</v>
      </c>
      <c r="AP31" s="68">
        <f>H31*(1-0.105013042120847)</f>
        <v>0</v>
      </c>
      <c r="AQ31" s="69" t="s">
        <v>73</v>
      </c>
      <c r="AV31" s="68">
        <f>AW31+AX31</f>
        <v>0</v>
      </c>
      <c r="AW31" s="68">
        <f>G31*AO31</f>
        <v>0</v>
      </c>
      <c r="AX31" s="68">
        <f>G31*AP31</f>
        <v>0</v>
      </c>
      <c r="AY31" s="71" t="s">
        <v>617</v>
      </c>
      <c r="AZ31" s="71" t="s">
        <v>640</v>
      </c>
      <c r="BA31" s="60" t="s">
        <v>647</v>
      </c>
      <c r="BC31" s="68">
        <f>AW31+AX31</f>
        <v>0</v>
      </c>
      <c r="BD31" s="68">
        <f>H31/(100-BE31)*100</f>
        <v>0</v>
      </c>
      <c r="BE31" s="68">
        <v>0</v>
      </c>
      <c r="BF31" s="68">
        <f>M31</f>
        <v>0.60802245</v>
      </c>
      <c r="BH31" s="50">
        <f>G31*AO31</f>
        <v>0</v>
      </c>
      <c r="BI31" s="50">
        <f>G31*AP31</f>
        <v>0</v>
      </c>
      <c r="BJ31" s="50">
        <f>G31*H31</f>
        <v>0</v>
      </c>
      <c r="BK31" s="50" t="s">
        <v>652</v>
      </c>
      <c r="BL31" s="68">
        <v>61</v>
      </c>
    </row>
    <row r="32" spans="1:15" ht="12.75">
      <c r="A32" s="17"/>
      <c r="D32" s="43" t="s">
        <v>381</v>
      </c>
      <c r="E32" s="45"/>
      <c r="G32" s="51">
        <v>0</v>
      </c>
      <c r="N32" s="16"/>
      <c r="O32" s="17"/>
    </row>
    <row r="33" spans="1:15" ht="12.75">
      <c r="A33" s="17"/>
      <c r="D33" s="43" t="s">
        <v>382</v>
      </c>
      <c r="E33" s="45"/>
      <c r="G33" s="51">
        <v>0</v>
      </c>
      <c r="N33" s="16"/>
      <c r="O33" s="17"/>
    </row>
    <row r="34" spans="1:15" ht="12.75">
      <c r="A34" s="17"/>
      <c r="D34" s="43" t="s">
        <v>383</v>
      </c>
      <c r="E34" s="45"/>
      <c r="G34" s="51">
        <v>3.8</v>
      </c>
      <c r="N34" s="16"/>
      <c r="O34" s="17"/>
    </row>
    <row r="35" spans="1:15" ht="12.75">
      <c r="A35" s="17"/>
      <c r="D35" s="43" t="s">
        <v>384</v>
      </c>
      <c r="E35" s="45"/>
      <c r="G35" s="51">
        <v>0</v>
      </c>
      <c r="N35" s="16"/>
      <c r="O35" s="17"/>
    </row>
    <row r="36" spans="1:15" ht="12.75">
      <c r="A36" s="17"/>
      <c r="D36" s="43" t="s">
        <v>385</v>
      </c>
      <c r="E36" s="45"/>
      <c r="G36" s="51">
        <v>1.4925</v>
      </c>
      <c r="N36" s="16"/>
      <c r="O36" s="17"/>
    </row>
    <row r="37" spans="1:15" ht="12.75">
      <c r="A37" s="17"/>
      <c r="D37" s="43" t="s">
        <v>378</v>
      </c>
      <c r="E37" s="45"/>
      <c r="G37" s="51">
        <v>0</v>
      </c>
      <c r="N37" s="16"/>
      <c r="O37" s="17"/>
    </row>
    <row r="38" spans="1:15" ht="12.75">
      <c r="A38" s="17"/>
      <c r="D38" s="43" t="s">
        <v>386</v>
      </c>
      <c r="E38" s="45"/>
      <c r="G38" s="51">
        <v>7.465</v>
      </c>
      <c r="N38" s="16"/>
      <c r="O38" s="17"/>
    </row>
    <row r="39" spans="1:64" ht="12.75">
      <c r="A39" s="34" t="s">
        <v>81</v>
      </c>
      <c r="B39" s="41"/>
      <c r="C39" s="41" t="s">
        <v>222</v>
      </c>
      <c r="D39" s="187" t="s">
        <v>387</v>
      </c>
      <c r="E39" s="188"/>
      <c r="F39" s="41" t="s">
        <v>585</v>
      </c>
      <c r="G39" s="50">
        <v>33.012</v>
      </c>
      <c r="H39" s="117"/>
      <c r="I39" s="50">
        <f>G39*AO39</f>
        <v>0</v>
      </c>
      <c r="J39" s="50">
        <f>G39*AP39</f>
        <v>0</v>
      </c>
      <c r="K39" s="50">
        <f>G39*H39</f>
        <v>0</v>
      </c>
      <c r="L39" s="50">
        <v>0.0025</v>
      </c>
      <c r="M39" s="50">
        <f>G39*L39</f>
        <v>0.08253</v>
      </c>
      <c r="N39" s="65" t="s">
        <v>606</v>
      </c>
      <c r="O39" s="17"/>
      <c r="Z39" s="68">
        <f>IF(AQ39="5",BJ39,0)</f>
        <v>0</v>
      </c>
      <c r="AB39" s="68">
        <f>IF(AQ39="1",BH39,0)</f>
        <v>0</v>
      </c>
      <c r="AC39" s="68">
        <f>IF(AQ39="1",BI39,0)</f>
        <v>0</v>
      </c>
      <c r="AD39" s="68">
        <f>IF(AQ39="7",BH39,0)</f>
        <v>0</v>
      </c>
      <c r="AE39" s="68">
        <f>IF(AQ39="7",BI39,0)</f>
        <v>0</v>
      </c>
      <c r="AF39" s="68">
        <f>IF(AQ39="2",BH39,0)</f>
        <v>0</v>
      </c>
      <c r="AG39" s="68">
        <f>IF(AQ39="2",BI39,0)</f>
        <v>0</v>
      </c>
      <c r="AH39" s="68">
        <f>IF(AQ39="0",BJ39,0)</f>
        <v>0</v>
      </c>
      <c r="AI39" s="60"/>
      <c r="AJ39" s="50">
        <f>IF(AN39=0,K39,0)</f>
        <v>0</v>
      </c>
      <c r="AK39" s="50">
        <f>IF(AN39=15,K39,0)</f>
        <v>0</v>
      </c>
      <c r="AL39" s="50">
        <f>IF(AN39=21,K39,0)</f>
        <v>0</v>
      </c>
      <c r="AN39" s="68">
        <v>15</v>
      </c>
      <c r="AO39" s="68">
        <f>H39*0.114179052855021</f>
        <v>0</v>
      </c>
      <c r="AP39" s="68">
        <f>H39*(1-0.114179052855021)</f>
        <v>0</v>
      </c>
      <c r="AQ39" s="69" t="s">
        <v>73</v>
      </c>
      <c r="AV39" s="68">
        <f>AW39+AX39</f>
        <v>0</v>
      </c>
      <c r="AW39" s="68">
        <f>G39*AO39</f>
        <v>0</v>
      </c>
      <c r="AX39" s="68">
        <f>G39*AP39</f>
        <v>0</v>
      </c>
      <c r="AY39" s="71" t="s">
        <v>617</v>
      </c>
      <c r="AZ39" s="71" t="s">
        <v>640</v>
      </c>
      <c r="BA39" s="60" t="s">
        <v>647</v>
      </c>
      <c r="BC39" s="68">
        <f>AW39+AX39</f>
        <v>0</v>
      </c>
      <c r="BD39" s="68">
        <f>H39/(100-BE39)*100</f>
        <v>0</v>
      </c>
      <c r="BE39" s="68">
        <v>0</v>
      </c>
      <c r="BF39" s="68">
        <f>M39</f>
        <v>0.08253</v>
      </c>
      <c r="BH39" s="50">
        <f>G39*AO39</f>
        <v>0</v>
      </c>
      <c r="BI39" s="50">
        <f>G39*AP39</f>
        <v>0</v>
      </c>
      <c r="BJ39" s="50">
        <f>G39*H39</f>
        <v>0</v>
      </c>
      <c r="BK39" s="50" t="s">
        <v>652</v>
      </c>
      <c r="BL39" s="68">
        <v>61</v>
      </c>
    </row>
    <row r="40" spans="1:15" ht="12.75">
      <c r="A40" s="17"/>
      <c r="D40" s="43" t="s">
        <v>388</v>
      </c>
      <c r="E40" s="45"/>
      <c r="G40" s="51">
        <v>0</v>
      </c>
      <c r="N40" s="16"/>
      <c r="O40" s="17"/>
    </row>
    <row r="41" spans="1:15" ht="12.75">
      <c r="A41" s="17"/>
      <c r="D41" s="43" t="s">
        <v>384</v>
      </c>
      <c r="E41" s="45"/>
      <c r="G41" s="51">
        <v>0</v>
      </c>
      <c r="N41" s="16"/>
      <c r="O41" s="17"/>
    </row>
    <row r="42" spans="1:15" ht="12.75">
      <c r="A42" s="17"/>
      <c r="D42" s="43" t="s">
        <v>389</v>
      </c>
      <c r="E42" s="45"/>
      <c r="G42" s="51">
        <v>6.185</v>
      </c>
      <c r="N42" s="16"/>
      <c r="O42" s="17"/>
    </row>
    <row r="43" spans="1:15" ht="12.75">
      <c r="A43" s="17"/>
      <c r="D43" s="43" t="s">
        <v>390</v>
      </c>
      <c r="E43" s="45"/>
      <c r="G43" s="51">
        <v>0</v>
      </c>
      <c r="N43" s="16"/>
      <c r="O43" s="17"/>
    </row>
    <row r="44" spans="1:15" ht="12.75">
      <c r="A44" s="17"/>
      <c r="D44" s="43" t="s">
        <v>391</v>
      </c>
      <c r="E44" s="45"/>
      <c r="G44" s="51">
        <v>26.796</v>
      </c>
      <c r="N44" s="16"/>
      <c r="O44" s="17"/>
    </row>
    <row r="45" spans="1:15" ht="12.75">
      <c r="A45" s="17"/>
      <c r="D45" s="43" t="s">
        <v>392</v>
      </c>
      <c r="E45" s="45"/>
      <c r="G45" s="51">
        <v>-5.469</v>
      </c>
      <c r="N45" s="16"/>
      <c r="O45" s="17"/>
    </row>
    <row r="46" spans="1:15" ht="12.75">
      <c r="A46" s="17"/>
      <c r="D46" s="43" t="s">
        <v>393</v>
      </c>
      <c r="E46" s="45"/>
      <c r="G46" s="51">
        <v>0</v>
      </c>
      <c r="N46" s="16"/>
      <c r="O46" s="17"/>
    </row>
    <row r="47" spans="1:15" ht="12.75">
      <c r="A47" s="17"/>
      <c r="D47" s="43" t="s">
        <v>394</v>
      </c>
      <c r="E47" s="45"/>
      <c r="G47" s="51">
        <v>5.5</v>
      </c>
      <c r="N47" s="16"/>
      <c r="O47" s="17"/>
    </row>
    <row r="48" spans="1:64" ht="12.75">
      <c r="A48" s="34" t="s">
        <v>82</v>
      </c>
      <c r="B48" s="41"/>
      <c r="C48" s="41" t="s">
        <v>223</v>
      </c>
      <c r="D48" s="187" t="s">
        <v>395</v>
      </c>
      <c r="E48" s="188"/>
      <c r="F48" s="41" t="s">
        <v>585</v>
      </c>
      <c r="G48" s="50">
        <v>2.6</v>
      </c>
      <c r="H48" s="117"/>
      <c r="I48" s="50">
        <f>G48*AO48</f>
        <v>0</v>
      </c>
      <c r="J48" s="50">
        <f>G48*AP48</f>
        <v>0</v>
      </c>
      <c r="K48" s="50">
        <f>G48*H48</f>
        <v>0</v>
      </c>
      <c r="L48" s="50">
        <v>0.10712</v>
      </c>
      <c r="M48" s="50">
        <f>G48*L48</f>
        <v>0.27851200000000004</v>
      </c>
      <c r="N48" s="65" t="s">
        <v>606</v>
      </c>
      <c r="O48" s="17"/>
      <c r="Z48" s="68">
        <f>IF(AQ48="5",BJ48,0)</f>
        <v>0</v>
      </c>
      <c r="AB48" s="68">
        <f>IF(AQ48="1",BH48,0)</f>
        <v>0</v>
      </c>
      <c r="AC48" s="68">
        <f>IF(AQ48="1",BI48,0)</f>
        <v>0</v>
      </c>
      <c r="AD48" s="68">
        <f>IF(AQ48="7",BH48,0)</f>
        <v>0</v>
      </c>
      <c r="AE48" s="68">
        <f>IF(AQ48="7",BI48,0)</f>
        <v>0</v>
      </c>
      <c r="AF48" s="68">
        <f>IF(AQ48="2",BH48,0)</f>
        <v>0</v>
      </c>
      <c r="AG48" s="68">
        <f>IF(AQ48="2",BI48,0)</f>
        <v>0</v>
      </c>
      <c r="AH48" s="68">
        <f>IF(AQ48="0",BJ48,0)</f>
        <v>0</v>
      </c>
      <c r="AI48" s="60"/>
      <c r="AJ48" s="50">
        <f>IF(AN48=0,K48,0)</f>
        <v>0</v>
      </c>
      <c r="AK48" s="50">
        <f>IF(AN48=15,K48,0)</f>
        <v>0</v>
      </c>
      <c r="AL48" s="50">
        <f>IF(AN48=21,K48,0)</f>
        <v>0</v>
      </c>
      <c r="AN48" s="68">
        <v>15</v>
      </c>
      <c r="AO48" s="68">
        <f>H48*0.246430260047281</f>
        <v>0</v>
      </c>
      <c r="AP48" s="68">
        <f>H48*(1-0.246430260047281)</f>
        <v>0</v>
      </c>
      <c r="AQ48" s="69" t="s">
        <v>73</v>
      </c>
      <c r="AV48" s="68">
        <f>AW48+AX48</f>
        <v>0</v>
      </c>
      <c r="AW48" s="68">
        <f>G48*AO48</f>
        <v>0</v>
      </c>
      <c r="AX48" s="68">
        <f>G48*AP48</f>
        <v>0</v>
      </c>
      <c r="AY48" s="71" t="s">
        <v>617</v>
      </c>
      <c r="AZ48" s="71" t="s">
        <v>640</v>
      </c>
      <c r="BA48" s="60" t="s">
        <v>647</v>
      </c>
      <c r="BC48" s="68">
        <f>AW48+AX48</f>
        <v>0</v>
      </c>
      <c r="BD48" s="68">
        <f>H48/(100-BE48)*100</f>
        <v>0</v>
      </c>
      <c r="BE48" s="68">
        <v>0</v>
      </c>
      <c r="BF48" s="68">
        <f>M48</f>
        <v>0.27851200000000004</v>
      </c>
      <c r="BH48" s="50">
        <f>G48*AO48</f>
        <v>0</v>
      </c>
      <c r="BI48" s="50">
        <f>G48*AP48</f>
        <v>0</v>
      </c>
      <c r="BJ48" s="50">
        <f>G48*H48</f>
        <v>0</v>
      </c>
      <c r="BK48" s="50" t="s">
        <v>652</v>
      </c>
      <c r="BL48" s="68">
        <v>61</v>
      </c>
    </row>
    <row r="49" spans="1:64" ht="12.75">
      <c r="A49" s="34" t="s">
        <v>83</v>
      </c>
      <c r="B49" s="41"/>
      <c r="C49" s="41" t="s">
        <v>224</v>
      </c>
      <c r="D49" s="187" t="s">
        <v>396</v>
      </c>
      <c r="E49" s="188"/>
      <c r="F49" s="41" t="s">
        <v>585</v>
      </c>
      <c r="G49" s="50">
        <v>19.3</v>
      </c>
      <c r="H49" s="117"/>
      <c r="I49" s="50">
        <f>G49*AO49</f>
        <v>0</v>
      </c>
      <c r="J49" s="50">
        <f>G49*AP49</f>
        <v>0</v>
      </c>
      <c r="K49" s="50">
        <f>G49*H49</f>
        <v>0</v>
      </c>
      <c r="L49" s="50">
        <v>1E-05</v>
      </c>
      <c r="M49" s="50">
        <f>G49*L49</f>
        <v>0.00019300000000000003</v>
      </c>
      <c r="N49" s="65" t="s">
        <v>606</v>
      </c>
      <c r="O49" s="17"/>
      <c r="Z49" s="68">
        <f>IF(AQ49="5",BJ49,0)</f>
        <v>0</v>
      </c>
      <c r="AB49" s="68">
        <f>IF(AQ49="1",BH49,0)</f>
        <v>0</v>
      </c>
      <c r="AC49" s="68">
        <f>IF(AQ49="1",BI49,0)</f>
        <v>0</v>
      </c>
      <c r="AD49" s="68">
        <f>IF(AQ49="7",BH49,0)</f>
        <v>0</v>
      </c>
      <c r="AE49" s="68">
        <f>IF(AQ49="7",BI49,0)</f>
        <v>0</v>
      </c>
      <c r="AF49" s="68">
        <f>IF(AQ49="2",BH49,0)</f>
        <v>0</v>
      </c>
      <c r="AG49" s="68">
        <f>IF(AQ49="2",BI49,0)</f>
        <v>0</v>
      </c>
      <c r="AH49" s="68">
        <f>IF(AQ49="0",BJ49,0)</f>
        <v>0</v>
      </c>
      <c r="AI49" s="60"/>
      <c r="AJ49" s="50">
        <f>IF(AN49=0,K49,0)</f>
        <v>0</v>
      </c>
      <c r="AK49" s="50">
        <f>IF(AN49=15,K49,0)</f>
        <v>0</v>
      </c>
      <c r="AL49" s="50">
        <f>IF(AN49=21,K49,0)</f>
        <v>0</v>
      </c>
      <c r="AN49" s="68">
        <v>15</v>
      </c>
      <c r="AO49" s="68">
        <f>H49*0.15077519379845</f>
        <v>0</v>
      </c>
      <c r="AP49" s="68">
        <f>H49*(1-0.15077519379845)</f>
        <v>0</v>
      </c>
      <c r="AQ49" s="69" t="s">
        <v>73</v>
      </c>
      <c r="AV49" s="68">
        <f>AW49+AX49</f>
        <v>0</v>
      </c>
      <c r="AW49" s="68">
        <f>G49*AO49</f>
        <v>0</v>
      </c>
      <c r="AX49" s="68">
        <f>G49*AP49</f>
        <v>0</v>
      </c>
      <c r="AY49" s="71" t="s">
        <v>617</v>
      </c>
      <c r="AZ49" s="71" t="s">
        <v>640</v>
      </c>
      <c r="BA49" s="60" t="s">
        <v>647</v>
      </c>
      <c r="BC49" s="68">
        <f>AW49+AX49</f>
        <v>0</v>
      </c>
      <c r="BD49" s="68">
        <f>H49/(100-BE49)*100</f>
        <v>0</v>
      </c>
      <c r="BE49" s="68">
        <v>0</v>
      </c>
      <c r="BF49" s="68">
        <f>M49</f>
        <v>0.00019300000000000003</v>
      </c>
      <c r="BH49" s="50">
        <f>G49*AO49</f>
        <v>0</v>
      </c>
      <c r="BI49" s="50">
        <f>G49*AP49</f>
        <v>0</v>
      </c>
      <c r="BJ49" s="50">
        <f>G49*H49</f>
        <v>0</v>
      </c>
      <c r="BK49" s="50" t="s">
        <v>652</v>
      </c>
      <c r="BL49" s="68">
        <v>61</v>
      </c>
    </row>
    <row r="50" spans="1:15" ht="12.75">
      <c r="A50" s="17"/>
      <c r="D50" s="43" t="s">
        <v>397</v>
      </c>
      <c r="E50" s="45"/>
      <c r="G50" s="51">
        <v>19.3</v>
      </c>
      <c r="N50" s="16"/>
      <c r="O50" s="17"/>
    </row>
    <row r="51" spans="1:47" ht="12.75">
      <c r="A51" s="78"/>
      <c r="B51" s="79"/>
      <c r="C51" s="79" t="s">
        <v>134</v>
      </c>
      <c r="D51" s="192" t="s">
        <v>398</v>
      </c>
      <c r="E51" s="190"/>
      <c r="F51" s="78" t="s">
        <v>72</v>
      </c>
      <c r="G51" s="78" t="s">
        <v>72</v>
      </c>
      <c r="H51" s="78" t="s">
        <v>72</v>
      </c>
      <c r="I51" s="82">
        <f>SUM(I52:I52)</f>
        <v>0</v>
      </c>
      <c r="J51" s="82">
        <f>SUM(J52:J52)</f>
        <v>0</v>
      </c>
      <c r="K51" s="82">
        <f>SUM(K52:K52)</f>
        <v>0</v>
      </c>
      <c r="L51" s="83"/>
      <c r="M51" s="82">
        <f>SUM(M52:M52)</f>
        <v>0.00024804</v>
      </c>
      <c r="N51" s="76"/>
      <c r="O51" s="77"/>
      <c r="AI51" s="60"/>
      <c r="AS51" s="74">
        <f>SUM(AJ52:AJ52)</f>
        <v>0</v>
      </c>
      <c r="AT51" s="74">
        <f>SUM(AK52:AK52)</f>
        <v>0</v>
      </c>
      <c r="AU51" s="74">
        <f>SUM(AL52:AL52)</f>
        <v>0</v>
      </c>
    </row>
    <row r="52" spans="1:64" ht="12.75">
      <c r="A52" s="86" t="s">
        <v>84</v>
      </c>
      <c r="B52" s="86"/>
      <c r="C52" s="86" t="s">
        <v>224</v>
      </c>
      <c r="D52" s="183" t="s">
        <v>399</v>
      </c>
      <c r="E52" s="184"/>
      <c r="F52" s="86" t="s">
        <v>586</v>
      </c>
      <c r="G52" s="87">
        <v>24.804</v>
      </c>
      <c r="H52" s="118"/>
      <c r="I52" s="87">
        <f>G52*AO52</f>
        <v>0</v>
      </c>
      <c r="J52" s="87">
        <f>G52*AP52</f>
        <v>0</v>
      </c>
      <c r="K52" s="87">
        <f>G52*H52</f>
        <v>0</v>
      </c>
      <c r="L52" s="87">
        <v>1E-05</v>
      </c>
      <c r="M52" s="87">
        <f>G52*L52</f>
        <v>0.00024804</v>
      </c>
      <c r="N52" s="84" t="s">
        <v>606</v>
      </c>
      <c r="O52" s="77"/>
      <c r="Z52" s="68">
        <f>IF(AQ52="5",BJ52,0)</f>
        <v>0</v>
      </c>
      <c r="AB52" s="68">
        <f>IF(AQ52="1",BH52,0)</f>
        <v>0</v>
      </c>
      <c r="AC52" s="68">
        <f>IF(AQ52="1",BI52,0)</f>
        <v>0</v>
      </c>
      <c r="AD52" s="68">
        <f>IF(AQ52="7",BH52,0)</f>
        <v>0</v>
      </c>
      <c r="AE52" s="68">
        <f>IF(AQ52="7",BI52,0)</f>
        <v>0</v>
      </c>
      <c r="AF52" s="68">
        <f>IF(AQ52="2",BH52,0)</f>
        <v>0</v>
      </c>
      <c r="AG52" s="68">
        <f>IF(AQ52="2",BI52,0)</f>
        <v>0</v>
      </c>
      <c r="AH52" s="68">
        <f>IF(AQ52="0",BJ52,0)</f>
        <v>0</v>
      </c>
      <c r="AI52" s="60"/>
      <c r="AJ52" s="50">
        <f>IF(AN52=0,K52,0)</f>
        <v>0</v>
      </c>
      <c r="AK52" s="50">
        <f>IF(AN52=15,K52,0)</f>
        <v>0</v>
      </c>
      <c r="AL52" s="50">
        <f>IF(AN52=21,K52,0)</f>
        <v>0</v>
      </c>
      <c r="AN52" s="68">
        <v>15</v>
      </c>
      <c r="AO52" s="68">
        <f>H52*0.150775947745101</f>
        <v>0</v>
      </c>
      <c r="AP52" s="68">
        <f>H52*(1-0.150775947745101)</f>
        <v>0</v>
      </c>
      <c r="AQ52" s="69" t="s">
        <v>73</v>
      </c>
      <c r="AV52" s="68">
        <f>AW52+AX52</f>
        <v>0</v>
      </c>
      <c r="AW52" s="68">
        <f>G52*AO52</f>
        <v>0</v>
      </c>
      <c r="AX52" s="68">
        <f>G52*AP52</f>
        <v>0</v>
      </c>
      <c r="AY52" s="71" t="s">
        <v>618</v>
      </c>
      <c r="AZ52" s="71" t="s">
        <v>640</v>
      </c>
      <c r="BA52" s="60" t="s">
        <v>647</v>
      </c>
      <c r="BC52" s="68">
        <f>AW52+AX52</f>
        <v>0</v>
      </c>
      <c r="BD52" s="68">
        <f>H52/(100-BE52)*100</f>
        <v>0</v>
      </c>
      <c r="BE52" s="68">
        <v>0</v>
      </c>
      <c r="BF52" s="68">
        <f>M52</f>
        <v>0.00024804</v>
      </c>
      <c r="BH52" s="50">
        <f>G52*AO52</f>
        <v>0</v>
      </c>
      <c r="BI52" s="50">
        <f>G52*AP52</f>
        <v>0</v>
      </c>
      <c r="BJ52" s="50">
        <f>G52*H52</f>
        <v>0</v>
      </c>
      <c r="BK52" s="50" t="s">
        <v>652</v>
      </c>
      <c r="BL52" s="68">
        <v>62</v>
      </c>
    </row>
    <row r="53" spans="1:47" ht="12.75">
      <c r="A53" s="78"/>
      <c r="B53" s="79"/>
      <c r="C53" s="79" t="s">
        <v>135</v>
      </c>
      <c r="D53" s="192" t="s">
        <v>400</v>
      </c>
      <c r="E53" s="190"/>
      <c r="F53" s="78" t="s">
        <v>72</v>
      </c>
      <c r="G53" s="78" t="s">
        <v>72</v>
      </c>
      <c r="H53" s="78" t="s">
        <v>72</v>
      </c>
      <c r="I53" s="82">
        <f>SUM(I54:I57)</f>
        <v>0</v>
      </c>
      <c r="J53" s="82">
        <f>SUM(J54:J57)</f>
        <v>0</v>
      </c>
      <c r="K53" s="82">
        <f>SUM(K54:K57)</f>
        <v>0</v>
      </c>
      <c r="L53" s="83"/>
      <c r="M53" s="82">
        <f>SUM(M54:M57)</f>
        <v>0.31673039999999997</v>
      </c>
      <c r="N53" s="76"/>
      <c r="O53" s="77"/>
      <c r="AI53" s="60"/>
      <c r="AS53" s="74">
        <f>SUM(AJ54:AJ57)</f>
        <v>0</v>
      </c>
      <c r="AT53" s="74">
        <f>SUM(AK54:AK57)</f>
        <v>0</v>
      </c>
      <c r="AU53" s="74">
        <f>SUM(AL54:AL57)</f>
        <v>0</v>
      </c>
    </row>
    <row r="54" spans="1:64" ht="12.75">
      <c r="A54" s="86" t="s">
        <v>85</v>
      </c>
      <c r="B54" s="86"/>
      <c r="C54" s="86" t="s">
        <v>225</v>
      </c>
      <c r="D54" s="183" t="s">
        <v>401</v>
      </c>
      <c r="E54" s="184"/>
      <c r="F54" s="86" t="s">
        <v>585</v>
      </c>
      <c r="G54" s="87">
        <v>3.57</v>
      </c>
      <c r="H54" s="118"/>
      <c r="I54" s="87">
        <f>G54*AO54</f>
        <v>0</v>
      </c>
      <c r="J54" s="87">
        <f>G54*AP54</f>
        <v>0</v>
      </c>
      <c r="K54" s="87">
        <f>G54*H54</f>
        <v>0</v>
      </c>
      <c r="L54" s="87">
        <v>0.0798</v>
      </c>
      <c r="M54" s="87">
        <f>G54*L54</f>
        <v>0.284886</v>
      </c>
      <c r="N54" s="84" t="s">
        <v>606</v>
      </c>
      <c r="O54" s="77"/>
      <c r="Z54" s="68">
        <f>IF(AQ54="5",BJ54,0)</f>
        <v>0</v>
      </c>
      <c r="AB54" s="68">
        <f>IF(AQ54="1",BH54,0)</f>
        <v>0</v>
      </c>
      <c r="AC54" s="68">
        <f>IF(AQ54="1",BI54,0)</f>
        <v>0</v>
      </c>
      <c r="AD54" s="68">
        <f>IF(AQ54="7",BH54,0)</f>
        <v>0</v>
      </c>
      <c r="AE54" s="68">
        <f>IF(AQ54="7",BI54,0)</f>
        <v>0</v>
      </c>
      <c r="AF54" s="68">
        <f>IF(AQ54="2",BH54,0)</f>
        <v>0</v>
      </c>
      <c r="AG54" s="68">
        <f>IF(AQ54="2",BI54,0)</f>
        <v>0</v>
      </c>
      <c r="AH54" s="68">
        <f>IF(AQ54="0",BJ54,0)</f>
        <v>0</v>
      </c>
      <c r="AI54" s="60"/>
      <c r="AJ54" s="50">
        <f>IF(AN54=0,K54,0)</f>
        <v>0</v>
      </c>
      <c r="AK54" s="50">
        <f>IF(AN54=15,K54,0)</f>
        <v>0</v>
      </c>
      <c r="AL54" s="50">
        <f>IF(AN54=21,K54,0)</f>
        <v>0</v>
      </c>
      <c r="AN54" s="68">
        <v>15</v>
      </c>
      <c r="AO54" s="68">
        <f>H54*0.571332398316971</f>
        <v>0</v>
      </c>
      <c r="AP54" s="68">
        <f>H54*(1-0.571332398316971)</f>
        <v>0</v>
      </c>
      <c r="AQ54" s="69" t="s">
        <v>73</v>
      </c>
      <c r="AV54" s="68">
        <f>AW54+AX54</f>
        <v>0</v>
      </c>
      <c r="AW54" s="68">
        <f>G54*AO54</f>
        <v>0</v>
      </c>
      <c r="AX54" s="68">
        <f>G54*AP54</f>
        <v>0</v>
      </c>
      <c r="AY54" s="71" t="s">
        <v>619</v>
      </c>
      <c r="AZ54" s="71" t="s">
        <v>640</v>
      </c>
      <c r="BA54" s="60" t="s">
        <v>647</v>
      </c>
      <c r="BC54" s="68">
        <f>AW54+AX54</f>
        <v>0</v>
      </c>
      <c r="BD54" s="68">
        <f>H54/(100-BE54)*100</f>
        <v>0</v>
      </c>
      <c r="BE54" s="68">
        <v>0</v>
      </c>
      <c r="BF54" s="68">
        <f>M54</f>
        <v>0.284886</v>
      </c>
      <c r="BH54" s="50">
        <f>G54*AO54</f>
        <v>0</v>
      </c>
      <c r="BI54" s="50">
        <f>G54*AP54</f>
        <v>0</v>
      </c>
      <c r="BJ54" s="50">
        <f>G54*H54</f>
        <v>0</v>
      </c>
      <c r="BK54" s="50" t="s">
        <v>652</v>
      </c>
      <c r="BL54" s="68">
        <v>63</v>
      </c>
    </row>
    <row r="55" spans="1:15" ht="12.75">
      <c r="A55" s="95"/>
      <c r="B55" s="96"/>
      <c r="C55" s="96"/>
      <c r="D55" s="97" t="s">
        <v>402</v>
      </c>
      <c r="E55" s="98"/>
      <c r="F55" s="96"/>
      <c r="G55" s="99">
        <v>0</v>
      </c>
      <c r="H55" s="96"/>
      <c r="I55" s="96"/>
      <c r="J55" s="96"/>
      <c r="K55" s="96"/>
      <c r="L55" s="96"/>
      <c r="M55" s="96"/>
      <c r="N55" s="88"/>
      <c r="O55" s="77"/>
    </row>
    <row r="56" spans="1:15" ht="12.75">
      <c r="A56" s="95"/>
      <c r="B56" s="96"/>
      <c r="C56" s="96"/>
      <c r="D56" s="97" t="s">
        <v>403</v>
      </c>
      <c r="E56" s="98"/>
      <c r="F56" s="96"/>
      <c r="G56" s="99">
        <v>3.57</v>
      </c>
      <c r="H56" s="96"/>
      <c r="I56" s="96"/>
      <c r="J56" s="96"/>
      <c r="K56" s="96"/>
      <c r="L56" s="96"/>
      <c r="M56" s="96"/>
      <c r="N56" s="88"/>
      <c r="O56" s="77"/>
    </row>
    <row r="57" spans="1:64" ht="12.75">
      <c r="A57" s="86" t="s">
        <v>86</v>
      </c>
      <c r="B57" s="86"/>
      <c r="C57" s="86" t="s">
        <v>226</v>
      </c>
      <c r="D57" s="183" t="s">
        <v>404</v>
      </c>
      <c r="E57" s="184"/>
      <c r="F57" s="86" t="s">
        <v>585</v>
      </c>
      <c r="G57" s="87">
        <v>3.57</v>
      </c>
      <c r="H57" s="118"/>
      <c r="I57" s="87">
        <f>G57*AO57</f>
        <v>0</v>
      </c>
      <c r="J57" s="87">
        <f>G57*AP57</f>
        <v>0</v>
      </c>
      <c r="K57" s="87">
        <f>G57*H57</f>
        <v>0</v>
      </c>
      <c r="L57" s="87">
        <v>0.00892</v>
      </c>
      <c r="M57" s="87">
        <f>G57*L57</f>
        <v>0.0318444</v>
      </c>
      <c r="N57" s="84" t="s">
        <v>606</v>
      </c>
      <c r="O57" s="77"/>
      <c r="Z57" s="68">
        <f>IF(AQ57="5",BJ57,0)</f>
        <v>0</v>
      </c>
      <c r="AB57" s="68">
        <f>IF(AQ57="1",BH57,0)</f>
        <v>0</v>
      </c>
      <c r="AC57" s="68">
        <f>IF(AQ57="1",BI57,0)</f>
        <v>0</v>
      </c>
      <c r="AD57" s="68">
        <f>IF(AQ57="7",BH57,0)</f>
        <v>0</v>
      </c>
      <c r="AE57" s="68">
        <f>IF(AQ57="7",BI57,0)</f>
        <v>0</v>
      </c>
      <c r="AF57" s="68">
        <f>IF(AQ57="2",BH57,0)</f>
        <v>0</v>
      </c>
      <c r="AG57" s="68">
        <f>IF(AQ57="2",BI57,0)</f>
        <v>0</v>
      </c>
      <c r="AH57" s="68">
        <f>IF(AQ57="0",BJ57,0)</f>
        <v>0</v>
      </c>
      <c r="AI57" s="60"/>
      <c r="AJ57" s="50">
        <f>IF(AN57=0,K57,0)</f>
        <v>0</v>
      </c>
      <c r="AK57" s="50">
        <f>IF(AN57=15,K57,0)</f>
        <v>0</v>
      </c>
      <c r="AL57" s="50">
        <f>IF(AN57=21,K57,0)</f>
        <v>0</v>
      </c>
      <c r="AN57" s="68">
        <v>15</v>
      </c>
      <c r="AO57" s="68">
        <f>H57*0.704642032332564</f>
        <v>0</v>
      </c>
      <c r="AP57" s="68">
        <f>H57*(1-0.704642032332564)</f>
        <v>0</v>
      </c>
      <c r="AQ57" s="69" t="s">
        <v>73</v>
      </c>
      <c r="AV57" s="68">
        <f>AW57+AX57</f>
        <v>0</v>
      </c>
      <c r="AW57" s="68">
        <f>G57*AO57</f>
        <v>0</v>
      </c>
      <c r="AX57" s="68">
        <f>G57*AP57</f>
        <v>0</v>
      </c>
      <c r="AY57" s="71" t="s">
        <v>619</v>
      </c>
      <c r="AZ57" s="71" t="s">
        <v>640</v>
      </c>
      <c r="BA57" s="60" t="s">
        <v>647</v>
      </c>
      <c r="BC57" s="68">
        <f>AW57+AX57</f>
        <v>0</v>
      </c>
      <c r="BD57" s="68">
        <f>H57/(100-BE57)*100</f>
        <v>0</v>
      </c>
      <c r="BE57" s="68">
        <v>0</v>
      </c>
      <c r="BF57" s="68">
        <f>M57</f>
        <v>0.0318444</v>
      </c>
      <c r="BH57" s="50">
        <f>G57*AO57</f>
        <v>0</v>
      </c>
      <c r="BI57" s="50">
        <f>G57*AP57</f>
        <v>0</v>
      </c>
      <c r="BJ57" s="50">
        <f>G57*H57</f>
        <v>0</v>
      </c>
      <c r="BK57" s="50" t="s">
        <v>652</v>
      </c>
      <c r="BL57" s="68">
        <v>63</v>
      </c>
    </row>
    <row r="58" spans="1:47" ht="12.75">
      <c r="A58" s="78"/>
      <c r="B58" s="79"/>
      <c r="C58" s="79" t="s">
        <v>136</v>
      </c>
      <c r="D58" s="192" t="s">
        <v>405</v>
      </c>
      <c r="E58" s="190"/>
      <c r="F58" s="78" t="s">
        <v>72</v>
      </c>
      <c r="G58" s="78" t="s">
        <v>72</v>
      </c>
      <c r="H58" s="78" t="s">
        <v>72</v>
      </c>
      <c r="I58" s="82">
        <f>SUM(I59:I62)</f>
        <v>0</v>
      </c>
      <c r="J58" s="82">
        <f>SUM(J59:J62)</f>
        <v>0</v>
      </c>
      <c r="K58" s="82">
        <f>SUM(K59:K62)</f>
        <v>0</v>
      </c>
      <c r="L58" s="83"/>
      <c r="M58" s="82">
        <f>SUM(M59:M62)</f>
        <v>0.07386000000000001</v>
      </c>
      <c r="N58" s="76"/>
      <c r="O58" s="77"/>
      <c r="AI58" s="60"/>
      <c r="AS58" s="74">
        <f>SUM(AJ59:AJ62)</f>
        <v>0</v>
      </c>
      <c r="AT58" s="74">
        <f>SUM(AK59:AK62)</f>
        <v>0</v>
      </c>
      <c r="AU58" s="74">
        <f>SUM(AL59:AL62)</f>
        <v>0</v>
      </c>
    </row>
    <row r="59" spans="1:64" ht="12.75">
      <c r="A59" s="86" t="s">
        <v>87</v>
      </c>
      <c r="B59" s="86"/>
      <c r="C59" s="86" t="s">
        <v>227</v>
      </c>
      <c r="D59" s="183" t="s">
        <v>406</v>
      </c>
      <c r="E59" s="184"/>
      <c r="F59" s="86" t="s">
        <v>587</v>
      </c>
      <c r="G59" s="87">
        <v>1</v>
      </c>
      <c r="H59" s="118"/>
      <c r="I59" s="87">
        <f>G59*AO59</f>
        <v>0</v>
      </c>
      <c r="J59" s="87">
        <f>G59*AP59</f>
        <v>0</v>
      </c>
      <c r="K59" s="87">
        <f>G59*H59</f>
        <v>0</v>
      </c>
      <c r="L59" s="87">
        <v>0.01414</v>
      </c>
      <c r="M59" s="87">
        <f>G59*L59</f>
        <v>0.01414</v>
      </c>
      <c r="N59" s="84" t="s">
        <v>606</v>
      </c>
      <c r="O59" s="77"/>
      <c r="Z59" s="68">
        <f>IF(AQ59="5",BJ59,0)</f>
        <v>0</v>
      </c>
      <c r="AB59" s="68">
        <f>IF(AQ59="1",BH59,0)</f>
        <v>0</v>
      </c>
      <c r="AC59" s="68">
        <f>IF(AQ59="1",BI59,0)</f>
        <v>0</v>
      </c>
      <c r="AD59" s="68">
        <f>IF(AQ59="7",BH59,0)</f>
        <v>0</v>
      </c>
      <c r="AE59" s="68">
        <f>IF(AQ59="7",BI59,0)</f>
        <v>0</v>
      </c>
      <c r="AF59" s="68">
        <f>IF(AQ59="2",BH59,0)</f>
        <v>0</v>
      </c>
      <c r="AG59" s="68">
        <f>IF(AQ59="2",BI59,0)</f>
        <v>0</v>
      </c>
      <c r="AH59" s="68">
        <f>IF(AQ59="0",BJ59,0)</f>
        <v>0</v>
      </c>
      <c r="AI59" s="60"/>
      <c r="AJ59" s="50">
        <f>IF(AN59=0,K59,0)</f>
        <v>0</v>
      </c>
      <c r="AK59" s="50">
        <f>IF(AN59=15,K59,0)</f>
        <v>0</v>
      </c>
      <c r="AL59" s="50">
        <f>IF(AN59=21,K59,0)</f>
        <v>0</v>
      </c>
      <c r="AN59" s="68">
        <v>15</v>
      </c>
      <c r="AO59" s="68">
        <f>H59*0.158552844942525</f>
        <v>0</v>
      </c>
      <c r="AP59" s="68">
        <f>H59*(1-0.158552844942525)</f>
        <v>0</v>
      </c>
      <c r="AQ59" s="69" t="s">
        <v>73</v>
      </c>
      <c r="AV59" s="68">
        <f>AW59+AX59</f>
        <v>0</v>
      </c>
      <c r="AW59" s="68">
        <f>G59*AO59</f>
        <v>0</v>
      </c>
      <c r="AX59" s="68">
        <f>G59*AP59</f>
        <v>0</v>
      </c>
      <c r="AY59" s="71" t="s">
        <v>620</v>
      </c>
      <c r="AZ59" s="71" t="s">
        <v>640</v>
      </c>
      <c r="BA59" s="60" t="s">
        <v>647</v>
      </c>
      <c r="BC59" s="68">
        <f>AW59+AX59</f>
        <v>0</v>
      </c>
      <c r="BD59" s="68">
        <f>H59/(100-BE59)*100</f>
        <v>0</v>
      </c>
      <c r="BE59" s="68">
        <v>0</v>
      </c>
      <c r="BF59" s="68">
        <f>M59</f>
        <v>0.01414</v>
      </c>
      <c r="BH59" s="50">
        <f>G59*AO59</f>
        <v>0</v>
      </c>
      <c r="BI59" s="50">
        <f>G59*AP59</f>
        <v>0</v>
      </c>
      <c r="BJ59" s="50">
        <f>G59*H59</f>
        <v>0</v>
      </c>
      <c r="BK59" s="50" t="s">
        <v>652</v>
      </c>
      <c r="BL59" s="68">
        <v>64</v>
      </c>
    </row>
    <row r="60" spans="1:64" ht="12.75">
      <c r="A60" s="101" t="s">
        <v>88</v>
      </c>
      <c r="B60" s="101"/>
      <c r="C60" s="101" t="s">
        <v>228</v>
      </c>
      <c r="D60" s="195" t="s">
        <v>407</v>
      </c>
      <c r="E60" s="196"/>
      <c r="F60" s="101" t="s">
        <v>587</v>
      </c>
      <c r="G60" s="102">
        <v>1</v>
      </c>
      <c r="H60" s="119"/>
      <c r="I60" s="102">
        <f>G60*AO60</f>
        <v>0</v>
      </c>
      <c r="J60" s="102">
        <f>G60*AP60</f>
        <v>0</v>
      </c>
      <c r="K60" s="102">
        <f>G60*H60</f>
        <v>0</v>
      </c>
      <c r="L60" s="102">
        <v>0.00098</v>
      </c>
      <c r="M60" s="102">
        <f>G60*L60</f>
        <v>0.00098</v>
      </c>
      <c r="N60" s="100" t="s">
        <v>228</v>
      </c>
      <c r="O60" s="77"/>
      <c r="Z60" s="68">
        <f>IF(AQ60="5",BJ60,0)</f>
        <v>0</v>
      </c>
      <c r="AB60" s="68">
        <f>IF(AQ60="1",BH60,0)</f>
        <v>0</v>
      </c>
      <c r="AC60" s="68">
        <f>IF(AQ60="1",BI60,0)</f>
        <v>0</v>
      </c>
      <c r="AD60" s="68">
        <f>IF(AQ60="7",BH60,0)</f>
        <v>0</v>
      </c>
      <c r="AE60" s="68">
        <f>IF(AQ60="7",BI60,0)</f>
        <v>0</v>
      </c>
      <c r="AF60" s="68">
        <f>IF(AQ60="2",BH60,0)</f>
        <v>0</v>
      </c>
      <c r="AG60" s="68">
        <f>IF(AQ60="2",BI60,0)</f>
        <v>0</v>
      </c>
      <c r="AH60" s="68">
        <f>IF(AQ60="0",BJ60,0)</f>
        <v>0</v>
      </c>
      <c r="AI60" s="60"/>
      <c r="AJ60" s="52">
        <f>IF(AN60=0,K60,0)</f>
        <v>0</v>
      </c>
      <c r="AK60" s="52">
        <f>IF(AN60=15,K60,0)</f>
        <v>0</v>
      </c>
      <c r="AL60" s="52">
        <f>IF(AN60=21,K60,0)</f>
        <v>0</v>
      </c>
      <c r="AN60" s="68">
        <v>15</v>
      </c>
      <c r="AO60" s="68">
        <f>H60*1</f>
        <v>0</v>
      </c>
      <c r="AP60" s="68">
        <f>H60*(1-1)</f>
        <v>0</v>
      </c>
      <c r="AQ60" s="70" t="s">
        <v>73</v>
      </c>
      <c r="AV60" s="68">
        <f>AW60+AX60</f>
        <v>0</v>
      </c>
      <c r="AW60" s="68">
        <f>G60*AO60</f>
        <v>0</v>
      </c>
      <c r="AX60" s="68">
        <f>G60*AP60</f>
        <v>0</v>
      </c>
      <c r="AY60" s="71" t="s">
        <v>620</v>
      </c>
      <c r="AZ60" s="71" t="s">
        <v>640</v>
      </c>
      <c r="BA60" s="60" t="s">
        <v>647</v>
      </c>
      <c r="BC60" s="68">
        <f>AW60+AX60</f>
        <v>0</v>
      </c>
      <c r="BD60" s="68">
        <f>H60/(100-BE60)*100</f>
        <v>0</v>
      </c>
      <c r="BE60" s="68">
        <v>0</v>
      </c>
      <c r="BF60" s="68">
        <f>M60</f>
        <v>0.00098</v>
      </c>
      <c r="BH60" s="52">
        <f>G60*AO60</f>
        <v>0</v>
      </c>
      <c r="BI60" s="52">
        <f>G60*AP60</f>
        <v>0</v>
      </c>
      <c r="BJ60" s="52">
        <f>G60*H60</f>
        <v>0</v>
      </c>
      <c r="BK60" s="52" t="s">
        <v>653</v>
      </c>
      <c r="BL60" s="68">
        <v>64</v>
      </c>
    </row>
    <row r="61" spans="1:64" ht="12.75">
      <c r="A61" s="80" t="s">
        <v>89</v>
      </c>
      <c r="B61" s="80"/>
      <c r="C61" s="80" t="s">
        <v>229</v>
      </c>
      <c r="D61" s="185" t="s">
        <v>408</v>
      </c>
      <c r="E61" s="186"/>
      <c r="F61" s="80" t="s">
        <v>587</v>
      </c>
      <c r="G61" s="81">
        <v>1</v>
      </c>
      <c r="H61" s="120"/>
      <c r="I61" s="81">
        <f>G61*AO61</f>
        <v>0</v>
      </c>
      <c r="J61" s="81">
        <f>G61*AP61</f>
        <v>0</v>
      </c>
      <c r="K61" s="81">
        <f>G61*H61</f>
        <v>0</v>
      </c>
      <c r="L61" s="81">
        <v>0.02917</v>
      </c>
      <c r="M61" s="81">
        <f>G61*L61</f>
        <v>0.02917</v>
      </c>
      <c r="N61" s="85" t="s">
        <v>606</v>
      </c>
      <c r="O61" s="77"/>
      <c r="Z61" s="68">
        <f>IF(AQ61="5",BJ61,0)</f>
        <v>0</v>
      </c>
      <c r="AB61" s="68">
        <f>IF(AQ61="1",BH61,0)</f>
        <v>0</v>
      </c>
      <c r="AC61" s="68">
        <f>IF(AQ61="1",BI61,0)</f>
        <v>0</v>
      </c>
      <c r="AD61" s="68">
        <f>IF(AQ61="7",BH61,0)</f>
        <v>0</v>
      </c>
      <c r="AE61" s="68">
        <f>IF(AQ61="7",BI61,0)</f>
        <v>0</v>
      </c>
      <c r="AF61" s="68">
        <f>IF(AQ61="2",BH61,0)</f>
        <v>0</v>
      </c>
      <c r="AG61" s="68">
        <f>IF(AQ61="2",BI61,0)</f>
        <v>0</v>
      </c>
      <c r="AH61" s="68">
        <f>IF(AQ61="0",BJ61,0)</f>
        <v>0</v>
      </c>
      <c r="AI61" s="60"/>
      <c r="AJ61" s="50">
        <f>IF(AN61=0,K61,0)</f>
        <v>0</v>
      </c>
      <c r="AK61" s="50">
        <f>IF(AN61=15,K61,0)</f>
        <v>0</v>
      </c>
      <c r="AL61" s="50">
        <f>IF(AN61=21,K61,0)</f>
        <v>0</v>
      </c>
      <c r="AN61" s="68">
        <v>15</v>
      </c>
      <c r="AO61" s="68">
        <f>H61*0.639887814313346</f>
        <v>0</v>
      </c>
      <c r="AP61" s="68">
        <f>H61*(1-0.639887814313346)</f>
        <v>0</v>
      </c>
      <c r="AQ61" s="69" t="s">
        <v>73</v>
      </c>
      <c r="AV61" s="68">
        <f>AW61+AX61</f>
        <v>0</v>
      </c>
      <c r="AW61" s="68">
        <f>G61*AO61</f>
        <v>0</v>
      </c>
      <c r="AX61" s="68">
        <f>G61*AP61</f>
        <v>0</v>
      </c>
      <c r="AY61" s="71" t="s">
        <v>620</v>
      </c>
      <c r="AZ61" s="71" t="s">
        <v>640</v>
      </c>
      <c r="BA61" s="60" t="s">
        <v>647</v>
      </c>
      <c r="BC61" s="68">
        <f>AW61+AX61</f>
        <v>0</v>
      </c>
      <c r="BD61" s="68">
        <f>H61/(100-BE61)*100</f>
        <v>0</v>
      </c>
      <c r="BE61" s="68">
        <v>0</v>
      </c>
      <c r="BF61" s="68">
        <f>M61</f>
        <v>0.02917</v>
      </c>
      <c r="BH61" s="50">
        <f>G61*AO61</f>
        <v>0</v>
      </c>
      <c r="BI61" s="50">
        <f>G61*AP61</f>
        <v>0</v>
      </c>
      <c r="BJ61" s="50">
        <f>G61*H61</f>
        <v>0</v>
      </c>
      <c r="BK61" s="50" t="s">
        <v>652</v>
      </c>
      <c r="BL61" s="68">
        <v>64</v>
      </c>
    </row>
    <row r="62" spans="1:64" ht="12.75">
      <c r="A62" s="34" t="s">
        <v>90</v>
      </c>
      <c r="B62" s="41"/>
      <c r="C62" s="41" t="s">
        <v>230</v>
      </c>
      <c r="D62" s="187" t="s">
        <v>409</v>
      </c>
      <c r="E62" s="188"/>
      <c r="F62" s="41" t="s">
        <v>587</v>
      </c>
      <c r="G62" s="50">
        <v>1</v>
      </c>
      <c r="H62" s="117"/>
      <c r="I62" s="50">
        <f>G62*AO62</f>
        <v>0</v>
      </c>
      <c r="J62" s="50">
        <f>G62*AP62</f>
        <v>0</v>
      </c>
      <c r="K62" s="50">
        <f>G62*H62</f>
        <v>0</v>
      </c>
      <c r="L62" s="50">
        <v>0.02957</v>
      </c>
      <c r="M62" s="50">
        <f>G62*L62</f>
        <v>0.02957</v>
      </c>
      <c r="N62" s="65" t="s">
        <v>606</v>
      </c>
      <c r="O62" s="17"/>
      <c r="Z62" s="68">
        <f>IF(AQ62="5",BJ62,0)</f>
        <v>0</v>
      </c>
      <c r="AB62" s="68">
        <f>IF(AQ62="1",BH62,0)</f>
        <v>0</v>
      </c>
      <c r="AC62" s="68">
        <f>IF(AQ62="1",BI62,0)</f>
        <v>0</v>
      </c>
      <c r="AD62" s="68">
        <f>IF(AQ62="7",BH62,0)</f>
        <v>0</v>
      </c>
      <c r="AE62" s="68">
        <f>IF(AQ62="7",BI62,0)</f>
        <v>0</v>
      </c>
      <c r="AF62" s="68">
        <f>IF(AQ62="2",BH62,0)</f>
        <v>0</v>
      </c>
      <c r="AG62" s="68">
        <f>IF(AQ62="2",BI62,0)</f>
        <v>0</v>
      </c>
      <c r="AH62" s="68">
        <f>IF(AQ62="0",BJ62,0)</f>
        <v>0</v>
      </c>
      <c r="AI62" s="60"/>
      <c r="AJ62" s="50">
        <f>IF(AN62=0,K62,0)</f>
        <v>0</v>
      </c>
      <c r="AK62" s="50">
        <f>IF(AN62=15,K62,0)</f>
        <v>0</v>
      </c>
      <c r="AL62" s="50">
        <f>IF(AN62=21,K62,0)</f>
        <v>0</v>
      </c>
      <c r="AN62" s="68">
        <v>15</v>
      </c>
      <c r="AO62" s="68">
        <f>H62*0.648056710775047</f>
        <v>0</v>
      </c>
      <c r="AP62" s="68">
        <f>H62*(1-0.648056710775047)</f>
        <v>0</v>
      </c>
      <c r="AQ62" s="69" t="s">
        <v>73</v>
      </c>
      <c r="AV62" s="68">
        <f>AW62+AX62</f>
        <v>0</v>
      </c>
      <c r="AW62" s="68">
        <f>G62*AO62</f>
        <v>0</v>
      </c>
      <c r="AX62" s="68">
        <f>G62*AP62</f>
        <v>0</v>
      </c>
      <c r="AY62" s="71" t="s">
        <v>620</v>
      </c>
      <c r="AZ62" s="71" t="s">
        <v>640</v>
      </c>
      <c r="BA62" s="60" t="s">
        <v>647</v>
      </c>
      <c r="BC62" s="68">
        <f>AW62+AX62</f>
        <v>0</v>
      </c>
      <c r="BD62" s="68">
        <f>H62/(100-BE62)*100</f>
        <v>0</v>
      </c>
      <c r="BE62" s="68">
        <v>0</v>
      </c>
      <c r="BF62" s="68">
        <f>M62</f>
        <v>0.02957</v>
      </c>
      <c r="BH62" s="50">
        <f>G62*AO62</f>
        <v>0</v>
      </c>
      <c r="BI62" s="50">
        <f>G62*AP62</f>
        <v>0</v>
      </c>
      <c r="BJ62" s="50">
        <f>G62*H62</f>
        <v>0</v>
      </c>
      <c r="BK62" s="50" t="s">
        <v>652</v>
      </c>
      <c r="BL62" s="68">
        <v>64</v>
      </c>
    </row>
    <row r="63" spans="1:47" ht="12.75">
      <c r="A63" s="78"/>
      <c r="B63" s="79"/>
      <c r="C63" s="79" t="s">
        <v>231</v>
      </c>
      <c r="D63" s="192" t="s">
        <v>410</v>
      </c>
      <c r="E63" s="190"/>
      <c r="F63" s="78" t="s">
        <v>72</v>
      </c>
      <c r="G63" s="78" t="s">
        <v>72</v>
      </c>
      <c r="H63" s="78" t="s">
        <v>72</v>
      </c>
      <c r="I63" s="82">
        <f>SUM(I64:I75)</f>
        <v>0</v>
      </c>
      <c r="J63" s="82">
        <f>SUM(J64:J75)</f>
        <v>0</v>
      </c>
      <c r="K63" s="82">
        <f>SUM(K64:K75)</f>
        <v>0</v>
      </c>
      <c r="L63" s="83"/>
      <c r="M63" s="82">
        <f>SUM(M64:M75)</f>
        <v>0.0408602</v>
      </c>
      <c r="N63" s="76"/>
      <c r="O63" s="77"/>
      <c r="AI63" s="60"/>
      <c r="AS63" s="74">
        <f>SUM(AJ64:AJ75)</f>
        <v>0</v>
      </c>
      <c r="AT63" s="74">
        <f>SUM(AK64:AK75)</f>
        <v>0</v>
      </c>
      <c r="AU63" s="74">
        <f>SUM(AL64:AL75)</f>
        <v>0</v>
      </c>
    </row>
    <row r="64" spans="1:64" ht="12.75">
      <c r="A64" s="86" t="s">
        <v>91</v>
      </c>
      <c r="B64" s="86"/>
      <c r="C64" s="86" t="s">
        <v>232</v>
      </c>
      <c r="D64" s="183" t="s">
        <v>411</v>
      </c>
      <c r="E64" s="184"/>
      <c r="F64" s="86" t="s">
        <v>585</v>
      </c>
      <c r="G64" s="87">
        <v>9.89</v>
      </c>
      <c r="H64" s="118"/>
      <c r="I64" s="87">
        <f>G64*AO64</f>
        <v>0</v>
      </c>
      <c r="J64" s="87">
        <f>G64*AP64</f>
        <v>0</v>
      </c>
      <c r="K64" s="87">
        <f>G64*H64</f>
        <v>0</v>
      </c>
      <c r="L64" s="87">
        <v>0.00358</v>
      </c>
      <c r="M64" s="87">
        <f>G64*L64</f>
        <v>0.0354062</v>
      </c>
      <c r="N64" s="84" t="s">
        <v>606</v>
      </c>
      <c r="O64" s="77"/>
      <c r="Z64" s="68">
        <f>IF(AQ64="5",BJ64,0)</f>
        <v>0</v>
      </c>
      <c r="AB64" s="68">
        <f>IF(AQ64="1",BH64,0)</f>
        <v>0</v>
      </c>
      <c r="AC64" s="68">
        <f>IF(AQ64="1",BI64,0)</f>
        <v>0</v>
      </c>
      <c r="AD64" s="68">
        <f>IF(AQ64="7",BH64,0)</f>
        <v>0</v>
      </c>
      <c r="AE64" s="68">
        <f>IF(AQ64="7",BI64,0)</f>
        <v>0</v>
      </c>
      <c r="AF64" s="68">
        <f>IF(AQ64="2",BH64,0)</f>
        <v>0</v>
      </c>
      <c r="AG64" s="68">
        <f>IF(AQ64="2",BI64,0)</f>
        <v>0</v>
      </c>
      <c r="AH64" s="68">
        <f>IF(AQ64="0",BJ64,0)</f>
        <v>0</v>
      </c>
      <c r="AI64" s="60"/>
      <c r="AJ64" s="50">
        <f>IF(AN64=0,K64,0)</f>
        <v>0</v>
      </c>
      <c r="AK64" s="50">
        <f>IF(AN64=15,K64,0)</f>
        <v>0</v>
      </c>
      <c r="AL64" s="50">
        <f>IF(AN64=21,K64,0)</f>
        <v>0</v>
      </c>
      <c r="AN64" s="68">
        <v>15</v>
      </c>
      <c r="AO64" s="68">
        <f>H64*0.618281021532598</f>
        <v>0</v>
      </c>
      <c r="AP64" s="68">
        <f>H64*(1-0.618281021532598)</f>
        <v>0</v>
      </c>
      <c r="AQ64" s="69" t="s">
        <v>79</v>
      </c>
      <c r="AV64" s="68">
        <f>AW64+AX64</f>
        <v>0</v>
      </c>
      <c r="AW64" s="68">
        <f>G64*AO64</f>
        <v>0</v>
      </c>
      <c r="AX64" s="68">
        <f>G64*AP64</f>
        <v>0</v>
      </c>
      <c r="AY64" s="71" t="s">
        <v>621</v>
      </c>
      <c r="AZ64" s="71" t="s">
        <v>641</v>
      </c>
      <c r="BA64" s="60" t="s">
        <v>647</v>
      </c>
      <c r="BC64" s="68">
        <f>AW64+AX64</f>
        <v>0</v>
      </c>
      <c r="BD64" s="68">
        <f>H64/(100-BE64)*100</f>
        <v>0</v>
      </c>
      <c r="BE64" s="68">
        <v>0</v>
      </c>
      <c r="BF64" s="68">
        <f>M64</f>
        <v>0.0354062</v>
      </c>
      <c r="BH64" s="50">
        <f>G64*AO64</f>
        <v>0</v>
      </c>
      <c r="BI64" s="50">
        <f>G64*AP64</f>
        <v>0</v>
      </c>
      <c r="BJ64" s="50">
        <f>G64*H64</f>
        <v>0</v>
      </c>
      <c r="BK64" s="50" t="s">
        <v>652</v>
      </c>
      <c r="BL64" s="68">
        <v>711</v>
      </c>
    </row>
    <row r="65" spans="1:15" ht="12.75">
      <c r="A65" s="95"/>
      <c r="B65" s="96"/>
      <c r="C65" s="96"/>
      <c r="D65" s="97" t="s">
        <v>382</v>
      </c>
      <c r="E65" s="98"/>
      <c r="F65" s="96"/>
      <c r="G65" s="99">
        <v>0</v>
      </c>
      <c r="H65" s="96"/>
      <c r="I65" s="96"/>
      <c r="J65" s="96"/>
      <c r="K65" s="96"/>
      <c r="L65" s="96"/>
      <c r="M65" s="96"/>
      <c r="N65" s="88"/>
      <c r="O65" s="77"/>
    </row>
    <row r="66" spans="1:15" ht="12.75">
      <c r="A66" s="95"/>
      <c r="B66" s="96"/>
      <c r="C66" s="96"/>
      <c r="D66" s="97" t="s">
        <v>412</v>
      </c>
      <c r="E66" s="98"/>
      <c r="F66" s="96"/>
      <c r="G66" s="99">
        <v>0</v>
      </c>
      <c r="H66" s="96"/>
      <c r="I66" s="96"/>
      <c r="J66" s="96"/>
      <c r="K66" s="96"/>
      <c r="L66" s="96"/>
      <c r="M66" s="96"/>
      <c r="N66" s="88"/>
      <c r="O66" s="77"/>
    </row>
    <row r="67" spans="1:15" ht="12.75">
      <c r="A67" s="95"/>
      <c r="B67" s="96"/>
      <c r="C67" s="96"/>
      <c r="D67" s="97" t="s">
        <v>413</v>
      </c>
      <c r="E67" s="98"/>
      <c r="F67" s="96"/>
      <c r="G67" s="99">
        <v>3.17</v>
      </c>
      <c r="H67" s="96"/>
      <c r="I67" s="96"/>
      <c r="J67" s="96"/>
      <c r="K67" s="96"/>
      <c r="L67" s="96"/>
      <c r="M67" s="96"/>
      <c r="N67" s="88"/>
      <c r="O67" s="77"/>
    </row>
    <row r="68" spans="1:15" ht="12.75">
      <c r="A68" s="95"/>
      <c r="B68" s="96"/>
      <c r="C68" s="96"/>
      <c r="D68" s="97" t="s">
        <v>414</v>
      </c>
      <c r="E68" s="98"/>
      <c r="F68" s="96"/>
      <c r="G68" s="99">
        <v>0</v>
      </c>
      <c r="H68" s="96"/>
      <c r="I68" s="96"/>
      <c r="J68" s="96"/>
      <c r="K68" s="96"/>
      <c r="L68" s="96"/>
      <c r="M68" s="96"/>
      <c r="N68" s="88"/>
      <c r="O68" s="77"/>
    </row>
    <row r="69" spans="1:15" ht="12.75">
      <c r="A69" s="95"/>
      <c r="B69" s="96"/>
      <c r="C69" s="96"/>
      <c r="D69" s="97" t="s">
        <v>415</v>
      </c>
      <c r="E69" s="98"/>
      <c r="F69" s="96"/>
      <c r="G69" s="99">
        <v>6.72</v>
      </c>
      <c r="H69" s="96"/>
      <c r="I69" s="96"/>
      <c r="J69" s="96"/>
      <c r="K69" s="96"/>
      <c r="L69" s="96"/>
      <c r="M69" s="96"/>
      <c r="N69" s="88"/>
      <c r="O69" s="77"/>
    </row>
    <row r="70" spans="1:64" ht="12.75">
      <c r="A70" s="86" t="s">
        <v>92</v>
      </c>
      <c r="B70" s="86"/>
      <c r="C70" s="86" t="s">
        <v>233</v>
      </c>
      <c r="D70" s="183" t="s">
        <v>416</v>
      </c>
      <c r="E70" s="184"/>
      <c r="F70" s="86" t="s">
        <v>586</v>
      </c>
      <c r="G70" s="87">
        <v>9.6</v>
      </c>
      <c r="H70" s="118"/>
      <c r="I70" s="87">
        <f>G70*AO70</f>
        <v>0</v>
      </c>
      <c r="J70" s="87">
        <f>G70*AP70</f>
        <v>0</v>
      </c>
      <c r="K70" s="87">
        <f>G70*H70</f>
        <v>0</v>
      </c>
      <c r="L70" s="87">
        <v>0.00024</v>
      </c>
      <c r="M70" s="87">
        <f>G70*L70</f>
        <v>0.002304</v>
      </c>
      <c r="N70" s="84" t="s">
        <v>606</v>
      </c>
      <c r="O70" s="77"/>
      <c r="Z70" s="68">
        <f>IF(AQ70="5",BJ70,0)</f>
        <v>0</v>
      </c>
      <c r="AB70" s="68">
        <f>IF(AQ70="1",BH70,0)</f>
        <v>0</v>
      </c>
      <c r="AC70" s="68">
        <f>IF(AQ70="1",BI70,0)</f>
        <v>0</v>
      </c>
      <c r="AD70" s="68">
        <f>IF(AQ70="7",BH70,0)</f>
        <v>0</v>
      </c>
      <c r="AE70" s="68">
        <f>IF(AQ70="7",BI70,0)</f>
        <v>0</v>
      </c>
      <c r="AF70" s="68">
        <f>IF(AQ70="2",BH70,0)</f>
        <v>0</v>
      </c>
      <c r="AG70" s="68">
        <f>IF(AQ70="2",BI70,0)</f>
        <v>0</v>
      </c>
      <c r="AH70" s="68">
        <f>IF(AQ70="0",BJ70,0)</f>
        <v>0</v>
      </c>
      <c r="AI70" s="60"/>
      <c r="AJ70" s="50">
        <f>IF(AN70=0,K70,0)</f>
        <v>0</v>
      </c>
      <c r="AK70" s="50">
        <f>IF(AN70=15,K70,0)</f>
        <v>0</v>
      </c>
      <c r="AL70" s="50">
        <f>IF(AN70=21,K70,0)</f>
        <v>0</v>
      </c>
      <c r="AN70" s="68">
        <v>15</v>
      </c>
      <c r="AO70" s="68">
        <f>H70*0.593736654804271</f>
        <v>0</v>
      </c>
      <c r="AP70" s="68">
        <f>H70*(1-0.593736654804271)</f>
        <v>0</v>
      </c>
      <c r="AQ70" s="69" t="s">
        <v>79</v>
      </c>
      <c r="AV70" s="68">
        <f>AW70+AX70</f>
        <v>0</v>
      </c>
      <c r="AW70" s="68">
        <f>G70*AO70</f>
        <v>0</v>
      </c>
      <c r="AX70" s="68">
        <f>G70*AP70</f>
        <v>0</v>
      </c>
      <c r="AY70" s="71" t="s">
        <v>621</v>
      </c>
      <c r="AZ70" s="71" t="s">
        <v>641</v>
      </c>
      <c r="BA70" s="60" t="s">
        <v>647</v>
      </c>
      <c r="BC70" s="68">
        <f>AW70+AX70</f>
        <v>0</v>
      </c>
      <c r="BD70" s="68">
        <f>H70/(100-BE70)*100</f>
        <v>0</v>
      </c>
      <c r="BE70" s="68">
        <v>0</v>
      </c>
      <c r="BF70" s="68">
        <f>M70</f>
        <v>0.002304</v>
      </c>
      <c r="BH70" s="50">
        <f>G70*AO70</f>
        <v>0</v>
      </c>
      <c r="BI70" s="50">
        <f>G70*AP70</f>
        <v>0</v>
      </c>
      <c r="BJ70" s="50">
        <f>G70*H70</f>
        <v>0</v>
      </c>
      <c r="BK70" s="50" t="s">
        <v>652</v>
      </c>
      <c r="BL70" s="68">
        <v>711</v>
      </c>
    </row>
    <row r="71" spans="1:15" ht="12.75">
      <c r="A71" s="95"/>
      <c r="B71" s="96"/>
      <c r="C71" s="96"/>
      <c r="D71" s="97" t="s">
        <v>74</v>
      </c>
      <c r="E71" s="98"/>
      <c r="F71" s="96"/>
      <c r="G71" s="99">
        <v>2</v>
      </c>
      <c r="H71" s="96"/>
      <c r="I71" s="96"/>
      <c r="J71" s="96"/>
      <c r="K71" s="96"/>
      <c r="L71" s="96"/>
      <c r="M71" s="96"/>
      <c r="N71" s="88"/>
      <c r="O71" s="77"/>
    </row>
    <row r="72" spans="1:15" ht="12.75">
      <c r="A72" s="95"/>
      <c r="B72" s="96"/>
      <c r="C72" s="96"/>
      <c r="D72" s="97" t="s">
        <v>417</v>
      </c>
      <c r="E72" s="98"/>
      <c r="F72" s="96"/>
      <c r="G72" s="99">
        <v>7.6</v>
      </c>
      <c r="H72" s="96"/>
      <c r="I72" s="96"/>
      <c r="J72" s="96"/>
      <c r="K72" s="96"/>
      <c r="L72" s="96"/>
      <c r="M72" s="96"/>
      <c r="N72" s="88"/>
      <c r="O72" s="77"/>
    </row>
    <row r="73" spans="1:64" ht="12.75">
      <c r="A73" s="86" t="s">
        <v>93</v>
      </c>
      <c r="B73" s="86"/>
      <c r="C73" s="86" t="s">
        <v>234</v>
      </c>
      <c r="D73" s="183" t="s">
        <v>418</v>
      </c>
      <c r="E73" s="184"/>
      <c r="F73" s="86" t="s">
        <v>586</v>
      </c>
      <c r="G73" s="87">
        <v>6.3</v>
      </c>
      <c r="H73" s="118"/>
      <c r="I73" s="87">
        <f>G73*AO73</f>
        <v>0</v>
      </c>
      <c r="J73" s="87">
        <f>G73*AP73</f>
        <v>0</v>
      </c>
      <c r="K73" s="87">
        <f>G73*H73</f>
        <v>0</v>
      </c>
      <c r="L73" s="87">
        <v>0.0005</v>
      </c>
      <c r="M73" s="87">
        <f>G73*L73</f>
        <v>0.00315</v>
      </c>
      <c r="N73" s="84" t="s">
        <v>606</v>
      </c>
      <c r="O73" s="77"/>
      <c r="Z73" s="68">
        <f>IF(AQ73="5",BJ73,0)</f>
        <v>0</v>
      </c>
      <c r="AB73" s="68">
        <f>IF(AQ73="1",BH73,0)</f>
        <v>0</v>
      </c>
      <c r="AC73" s="68">
        <f>IF(AQ73="1",BI73,0)</f>
        <v>0</v>
      </c>
      <c r="AD73" s="68">
        <f>IF(AQ73="7",BH73,0)</f>
        <v>0</v>
      </c>
      <c r="AE73" s="68">
        <f>IF(AQ73="7",BI73,0)</f>
        <v>0</v>
      </c>
      <c r="AF73" s="68">
        <f>IF(AQ73="2",BH73,0)</f>
        <v>0</v>
      </c>
      <c r="AG73" s="68">
        <f>IF(AQ73="2",BI73,0)</f>
        <v>0</v>
      </c>
      <c r="AH73" s="68">
        <f>IF(AQ73="0",BJ73,0)</f>
        <v>0</v>
      </c>
      <c r="AI73" s="60"/>
      <c r="AJ73" s="50">
        <f>IF(AN73=0,K73,0)</f>
        <v>0</v>
      </c>
      <c r="AK73" s="50">
        <f>IF(AN73=15,K73,0)</f>
        <v>0</v>
      </c>
      <c r="AL73" s="50">
        <f>IF(AN73=21,K73,0)</f>
        <v>0</v>
      </c>
      <c r="AN73" s="68">
        <v>15</v>
      </c>
      <c r="AO73" s="68">
        <f>H73*0.603505617977528</f>
        <v>0</v>
      </c>
      <c r="AP73" s="68">
        <f>H73*(1-0.603505617977528)</f>
        <v>0</v>
      </c>
      <c r="AQ73" s="69" t="s">
        <v>79</v>
      </c>
      <c r="AV73" s="68">
        <f>AW73+AX73</f>
        <v>0</v>
      </c>
      <c r="AW73" s="68">
        <f>G73*AO73</f>
        <v>0</v>
      </c>
      <c r="AX73" s="68">
        <f>G73*AP73</f>
        <v>0</v>
      </c>
      <c r="AY73" s="71" t="s">
        <v>621</v>
      </c>
      <c r="AZ73" s="71" t="s">
        <v>641</v>
      </c>
      <c r="BA73" s="60" t="s">
        <v>647</v>
      </c>
      <c r="BC73" s="68">
        <f>AW73+AX73</f>
        <v>0</v>
      </c>
      <c r="BD73" s="68">
        <f>H73/(100-BE73)*100</f>
        <v>0</v>
      </c>
      <c r="BE73" s="68">
        <v>0</v>
      </c>
      <c r="BF73" s="68">
        <f>M73</f>
        <v>0.00315</v>
      </c>
      <c r="BH73" s="50">
        <f>G73*AO73</f>
        <v>0</v>
      </c>
      <c r="BI73" s="50">
        <f>G73*AP73</f>
        <v>0</v>
      </c>
      <c r="BJ73" s="50">
        <f>G73*H73</f>
        <v>0</v>
      </c>
      <c r="BK73" s="50" t="s">
        <v>652</v>
      </c>
      <c r="BL73" s="68">
        <v>711</v>
      </c>
    </row>
    <row r="74" spans="1:15" ht="12.75">
      <c r="A74" s="95"/>
      <c r="B74" s="96"/>
      <c r="C74" s="96"/>
      <c r="D74" s="97" t="s">
        <v>419</v>
      </c>
      <c r="E74" s="98"/>
      <c r="F74" s="96"/>
      <c r="G74" s="99">
        <v>6.3</v>
      </c>
      <c r="H74" s="96"/>
      <c r="I74" s="96"/>
      <c r="J74" s="96"/>
      <c r="K74" s="96"/>
      <c r="L74" s="96"/>
      <c r="M74" s="96"/>
      <c r="N74" s="88"/>
      <c r="O74" s="77"/>
    </row>
    <row r="75" spans="1:64" ht="12.75">
      <c r="A75" s="86" t="s">
        <v>94</v>
      </c>
      <c r="B75" s="86"/>
      <c r="C75" s="86" t="s">
        <v>235</v>
      </c>
      <c r="D75" s="183" t="s">
        <v>420</v>
      </c>
      <c r="E75" s="184"/>
      <c r="F75" s="86" t="s">
        <v>588</v>
      </c>
      <c r="G75" s="87">
        <v>0.1</v>
      </c>
      <c r="H75" s="118"/>
      <c r="I75" s="87">
        <f>G75*AO75</f>
        <v>0</v>
      </c>
      <c r="J75" s="87">
        <f>G75*AP75</f>
        <v>0</v>
      </c>
      <c r="K75" s="87">
        <f>G75*H75</f>
        <v>0</v>
      </c>
      <c r="L75" s="87">
        <v>0</v>
      </c>
      <c r="M75" s="87">
        <f>G75*L75</f>
        <v>0</v>
      </c>
      <c r="N75" s="84" t="s">
        <v>606</v>
      </c>
      <c r="O75" s="77"/>
      <c r="Z75" s="68">
        <f>IF(AQ75="5",BJ75,0)</f>
        <v>0</v>
      </c>
      <c r="AB75" s="68">
        <f>IF(AQ75="1",BH75,0)</f>
        <v>0</v>
      </c>
      <c r="AC75" s="68">
        <f>IF(AQ75="1",BI75,0)</f>
        <v>0</v>
      </c>
      <c r="AD75" s="68">
        <f>IF(AQ75="7",BH75,0)</f>
        <v>0</v>
      </c>
      <c r="AE75" s="68">
        <f>IF(AQ75="7",BI75,0)</f>
        <v>0</v>
      </c>
      <c r="AF75" s="68">
        <f>IF(AQ75="2",BH75,0)</f>
        <v>0</v>
      </c>
      <c r="AG75" s="68">
        <f>IF(AQ75="2",BI75,0)</f>
        <v>0</v>
      </c>
      <c r="AH75" s="68">
        <f>IF(AQ75="0",BJ75,0)</f>
        <v>0</v>
      </c>
      <c r="AI75" s="60"/>
      <c r="AJ75" s="50">
        <f>IF(AN75=0,K75,0)</f>
        <v>0</v>
      </c>
      <c r="AK75" s="50">
        <f>IF(AN75=15,K75,0)</f>
        <v>0</v>
      </c>
      <c r="AL75" s="50">
        <f>IF(AN75=21,K75,0)</f>
        <v>0</v>
      </c>
      <c r="AN75" s="68">
        <v>15</v>
      </c>
      <c r="AO75" s="68">
        <f>H75*0</f>
        <v>0</v>
      </c>
      <c r="AP75" s="68">
        <f>H75*(1-0)</f>
        <v>0</v>
      </c>
      <c r="AQ75" s="69" t="s">
        <v>77</v>
      </c>
      <c r="AV75" s="68">
        <f>AW75+AX75</f>
        <v>0</v>
      </c>
      <c r="AW75" s="68">
        <f>G75*AO75</f>
        <v>0</v>
      </c>
      <c r="AX75" s="68">
        <f>G75*AP75</f>
        <v>0</v>
      </c>
      <c r="AY75" s="71" t="s">
        <v>621</v>
      </c>
      <c r="AZ75" s="71" t="s">
        <v>641</v>
      </c>
      <c r="BA75" s="60" t="s">
        <v>647</v>
      </c>
      <c r="BC75" s="68">
        <f>AW75+AX75</f>
        <v>0</v>
      </c>
      <c r="BD75" s="68">
        <f>H75/(100-BE75)*100</f>
        <v>0</v>
      </c>
      <c r="BE75" s="68">
        <v>0</v>
      </c>
      <c r="BF75" s="68">
        <f>M75</f>
        <v>0</v>
      </c>
      <c r="BH75" s="50">
        <f>G75*AO75</f>
        <v>0</v>
      </c>
      <c r="BI75" s="50">
        <f>G75*AP75</f>
        <v>0</v>
      </c>
      <c r="BJ75" s="50">
        <f>G75*H75</f>
        <v>0</v>
      </c>
      <c r="BK75" s="50" t="s">
        <v>652</v>
      </c>
      <c r="BL75" s="68">
        <v>711</v>
      </c>
    </row>
    <row r="76" spans="1:47" ht="12.75">
      <c r="A76" s="104"/>
      <c r="B76" s="105"/>
      <c r="C76" s="105" t="s">
        <v>236</v>
      </c>
      <c r="D76" s="199" t="s">
        <v>421</v>
      </c>
      <c r="E76" s="190"/>
      <c r="F76" s="104" t="s">
        <v>72</v>
      </c>
      <c r="G76" s="104" t="s">
        <v>72</v>
      </c>
      <c r="H76" s="104" t="s">
        <v>72</v>
      </c>
      <c r="I76" s="106">
        <f>SUM(I77:I87)</f>
        <v>0</v>
      </c>
      <c r="J76" s="106">
        <f>SUM(J77:J87)</f>
        <v>0</v>
      </c>
      <c r="K76" s="106">
        <f>SUM(K77:K87)</f>
        <v>0</v>
      </c>
      <c r="L76" s="107"/>
      <c r="M76" s="106">
        <f>SUM(M77:M87)</f>
        <v>0.017724</v>
      </c>
      <c r="N76" s="103"/>
      <c r="O76" s="77"/>
      <c r="AI76" s="60"/>
      <c r="AS76" s="74">
        <f>SUM(AJ77:AJ87)</f>
        <v>0</v>
      </c>
      <c r="AT76" s="74">
        <f>SUM(AK77:AK87)</f>
        <v>0</v>
      </c>
      <c r="AU76" s="74">
        <f>SUM(AL77:AL87)</f>
        <v>0</v>
      </c>
    </row>
    <row r="77" spans="1:64" ht="12.75">
      <c r="A77" s="86" t="s">
        <v>95</v>
      </c>
      <c r="B77" s="86"/>
      <c r="C77" s="86" t="s">
        <v>237</v>
      </c>
      <c r="D77" s="183" t="s">
        <v>422</v>
      </c>
      <c r="E77" s="184"/>
      <c r="F77" s="86" t="s">
        <v>587</v>
      </c>
      <c r="G77" s="87">
        <v>1</v>
      </c>
      <c r="H77" s="118"/>
      <c r="I77" s="87">
        <f aca="true" t="shared" si="0" ref="I77:I87">G77*AO77</f>
        <v>0</v>
      </c>
      <c r="J77" s="87">
        <f aca="true" t="shared" si="1" ref="J77:J87">G77*AP77</f>
        <v>0</v>
      </c>
      <c r="K77" s="87">
        <f aca="true" t="shared" si="2" ref="K77:K87">G77*H77</f>
        <v>0</v>
      </c>
      <c r="L77" s="87">
        <v>0.00038</v>
      </c>
      <c r="M77" s="87">
        <f aca="true" t="shared" si="3" ref="M77:M87">G77*L77</f>
        <v>0.00038</v>
      </c>
      <c r="N77" s="84" t="s">
        <v>606</v>
      </c>
      <c r="O77" s="77"/>
      <c r="Z77" s="68">
        <f aca="true" t="shared" si="4" ref="Z77:Z87">IF(AQ77="5",BJ77,0)</f>
        <v>0</v>
      </c>
      <c r="AB77" s="68">
        <f aca="true" t="shared" si="5" ref="AB77:AB87">IF(AQ77="1",BH77,0)</f>
        <v>0</v>
      </c>
      <c r="AC77" s="68">
        <f aca="true" t="shared" si="6" ref="AC77:AC87">IF(AQ77="1",BI77,0)</f>
        <v>0</v>
      </c>
      <c r="AD77" s="68">
        <f aca="true" t="shared" si="7" ref="AD77:AD87">IF(AQ77="7",BH77,0)</f>
        <v>0</v>
      </c>
      <c r="AE77" s="68">
        <f aca="true" t="shared" si="8" ref="AE77:AE87">IF(AQ77="7",BI77,0)</f>
        <v>0</v>
      </c>
      <c r="AF77" s="68">
        <f aca="true" t="shared" si="9" ref="AF77:AF87">IF(AQ77="2",BH77,0)</f>
        <v>0</v>
      </c>
      <c r="AG77" s="68">
        <f aca="true" t="shared" si="10" ref="AG77:AG87">IF(AQ77="2",BI77,0)</f>
        <v>0</v>
      </c>
      <c r="AH77" s="68">
        <f aca="true" t="shared" si="11" ref="AH77:AH87">IF(AQ77="0",BJ77,0)</f>
        <v>0</v>
      </c>
      <c r="AI77" s="60"/>
      <c r="AJ77" s="50">
        <f aca="true" t="shared" si="12" ref="AJ77:AJ87">IF(AN77=0,K77,0)</f>
        <v>0</v>
      </c>
      <c r="AK77" s="50">
        <f aca="true" t="shared" si="13" ref="AK77:AK87">IF(AN77=15,K77,0)</f>
        <v>0</v>
      </c>
      <c r="AL77" s="50">
        <f aca="true" t="shared" si="14" ref="AL77:AL87">IF(AN77=21,K77,0)</f>
        <v>0</v>
      </c>
      <c r="AN77" s="68">
        <v>15</v>
      </c>
      <c r="AO77" s="68">
        <f>H77*0.810294117647059</f>
        <v>0</v>
      </c>
      <c r="AP77" s="68">
        <f>H77*(1-0.810294117647059)</f>
        <v>0</v>
      </c>
      <c r="AQ77" s="69" t="s">
        <v>79</v>
      </c>
      <c r="AV77" s="68">
        <f aca="true" t="shared" si="15" ref="AV77:AV87">AW77+AX77</f>
        <v>0</v>
      </c>
      <c r="AW77" s="68">
        <f aca="true" t="shared" si="16" ref="AW77:AW87">G77*AO77</f>
        <v>0</v>
      </c>
      <c r="AX77" s="68">
        <f aca="true" t="shared" si="17" ref="AX77:AX87">G77*AP77</f>
        <v>0</v>
      </c>
      <c r="AY77" s="71" t="s">
        <v>622</v>
      </c>
      <c r="AZ77" s="71" t="s">
        <v>642</v>
      </c>
      <c r="BA77" s="60" t="s">
        <v>647</v>
      </c>
      <c r="BC77" s="68">
        <f aca="true" t="shared" si="18" ref="BC77:BC87">AW77+AX77</f>
        <v>0</v>
      </c>
      <c r="BD77" s="68">
        <f aca="true" t="shared" si="19" ref="BD77:BD87">H77/(100-BE77)*100</f>
        <v>0</v>
      </c>
      <c r="BE77" s="68">
        <v>0</v>
      </c>
      <c r="BF77" s="68">
        <f aca="true" t="shared" si="20" ref="BF77:BF87">M77</f>
        <v>0.00038</v>
      </c>
      <c r="BH77" s="50">
        <f aca="true" t="shared" si="21" ref="BH77:BH87">G77*AO77</f>
        <v>0</v>
      </c>
      <c r="BI77" s="50">
        <f aca="true" t="shared" si="22" ref="BI77:BI87">G77*AP77</f>
        <v>0</v>
      </c>
      <c r="BJ77" s="50">
        <f aca="true" t="shared" si="23" ref="BJ77:BJ87">G77*H77</f>
        <v>0</v>
      </c>
      <c r="BK77" s="50" t="s">
        <v>652</v>
      </c>
      <c r="BL77" s="68">
        <v>721</v>
      </c>
    </row>
    <row r="78" spans="1:64" ht="12.75">
      <c r="A78" s="86" t="s">
        <v>96</v>
      </c>
      <c r="B78" s="86"/>
      <c r="C78" s="86" t="s">
        <v>238</v>
      </c>
      <c r="D78" s="183" t="s">
        <v>423</v>
      </c>
      <c r="E78" s="184"/>
      <c r="F78" s="86" t="s">
        <v>586</v>
      </c>
      <c r="G78" s="87">
        <v>6</v>
      </c>
      <c r="H78" s="118"/>
      <c r="I78" s="87">
        <f t="shared" si="0"/>
        <v>0</v>
      </c>
      <c r="J78" s="87">
        <f t="shared" si="1"/>
        <v>0</v>
      </c>
      <c r="K78" s="87">
        <f t="shared" si="2"/>
        <v>0</v>
      </c>
      <c r="L78" s="87">
        <v>0.0021</v>
      </c>
      <c r="M78" s="87">
        <f t="shared" si="3"/>
        <v>0.0126</v>
      </c>
      <c r="N78" s="84" t="s">
        <v>606</v>
      </c>
      <c r="O78" s="77"/>
      <c r="Z78" s="68">
        <f t="shared" si="4"/>
        <v>0</v>
      </c>
      <c r="AB78" s="68">
        <f t="shared" si="5"/>
        <v>0</v>
      </c>
      <c r="AC78" s="68">
        <f t="shared" si="6"/>
        <v>0</v>
      </c>
      <c r="AD78" s="68">
        <f t="shared" si="7"/>
        <v>0</v>
      </c>
      <c r="AE78" s="68">
        <f t="shared" si="8"/>
        <v>0</v>
      </c>
      <c r="AF78" s="68">
        <f t="shared" si="9"/>
        <v>0</v>
      </c>
      <c r="AG78" s="68">
        <f t="shared" si="10"/>
        <v>0</v>
      </c>
      <c r="AH78" s="68">
        <f t="shared" si="11"/>
        <v>0</v>
      </c>
      <c r="AI78" s="60"/>
      <c r="AJ78" s="50">
        <f t="shared" si="12"/>
        <v>0</v>
      </c>
      <c r="AK78" s="50">
        <f t="shared" si="13"/>
        <v>0</v>
      </c>
      <c r="AL78" s="50">
        <f t="shared" si="14"/>
        <v>0</v>
      </c>
      <c r="AN78" s="68">
        <v>15</v>
      </c>
      <c r="AO78" s="68">
        <f>H78*0</f>
        <v>0</v>
      </c>
      <c r="AP78" s="68">
        <f>H78*(1-0)</f>
        <v>0</v>
      </c>
      <c r="AQ78" s="69" t="s">
        <v>79</v>
      </c>
      <c r="AV78" s="68">
        <f t="shared" si="15"/>
        <v>0</v>
      </c>
      <c r="AW78" s="68">
        <f t="shared" si="16"/>
        <v>0</v>
      </c>
      <c r="AX78" s="68">
        <f t="shared" si="17"/>
        <v>0</v>
      </c>
      <c r="AY78" s="71" t="s">
        <v>622</v>
      </c>
      <c r="AZ78" s="71" t="s">
        <v>642</v>
      </c>
      <c r="BA78" s="60" t="s">
        <v>647</v>
      </c>
      <c r="BC78" s="68">
        <f t="shared" si="18"/>
        <v>0</v>
      </c>
      <c r="BD78" s="68">
        <f t="shared" si="19"/>
        <v>0</v>
      </c>
      <c r="BE78" s="68">
        <v>0</v>
      </c>
      <c r="BF78" s="68">
        <f t="shared" si="20"/>
        <v>0.0126</v>
      </c>
      <c r="BH78" s="50">
        <f t="shared" si="21"/>
        <v>0</v>
      </c>
      <c r="BI78" s="50">
        <f t="shared" si="22"/>
        <v>0</v>
      </c>
      <c r="BJ78" s="50">
        <f t="shared" si="23"/>
        <v>0</v>
      </c>
      <c r="BK78" s="50" t="s">
        <v>652</v>
      </c>
      <c r="BL78" s="68">
        <v>721</v>
      </c>
    </row>
    <row r="79" spans="1:64" ht="12.75">
      <c r="A79" s="86" t="s">
        <v>97</v>
      </c>
      <c r="B79" s="86"/>
      <c r="C79" s="86" t="s">
        <v>239</v>
      </c>
      <c r="D79" s="183" t="s">
        <v>424</v>
      </c>
      <c r="E79" s="184"/>
      <c r="F79" s="86" t="s">
        <v>586</v>
      </c>
      <c r="G79" s="87">
        <v>6.1</v>
      </c>
      <c r="H79" s="118"/>
      <c r="I79" s="87">
        <f t="shared" si="0"/>
        <v>0</v>
      </c>
      <c r="J79" s="87">
        <f t="shared" si="1"/>
        <v>0</v>
      </c>
      <c r="K79" s="87">
        <f t="shared" si="2"/>
        <v>0</v>
      </c>
      <c r="L79" s="87">
        <v>0.00047</v>
      </c>
      <c r="M79" s="87">
        <f t="shared" si="3"/>
        <v>0.0028669999999999998</v>
      </c>
      <c r="N79" s="84" t="s">
        <v>606</v>
      </c>
      <c r="O79" s="77"/>
      <c r="Z79" s="68">
        <f t="shared" si="4"/>
        <v>0</v>
      </c>
      <c r="AB79" s="68">
        <f t="shared" si="5"/>
        <v>0</v>
      </c>
      <c r="AC79" s="68">
        <f t="shared" si="6"/>
        <v>0</v>
      </c>
      <c r="AD79" s="68">
        <f t="shared" si="7"/>
        <v>0</v>
      </c>
      <c r="AE79" s="68">
        <f t="shared" si="8"/>
        <v>0</v>
      </c>
      <c r="AF79" s="68">
        <f t="shared" si="9"/>
        <v>0</v>
      </c>
      <c r="AG79" s="68">
        <f t="shared" si="10"/>
        <v>0</v>
      </c>
      <c r="AH79" s="68">
        <f t="shared" si="11"/>
        <v>0</v>
      </c>
      <c r="AI79" s="60"/>
      <c r="AJ79" s="50">
        <f t="shared" si="12"/>
        <v>0</v>
      </c>
      <c r="AK79" s="50">
        <f t="shared" si="13"/>
        <v>0</v>
      </c>
      <c r="AL79" s="50">
        <f t="shared" si="14"/>
        <v>0</v>
      </c>
      <c r="AN79" s="68">
        <v>15</v>
      </c>
      <c r="AO79" s="68">
        <f>H79*0.378966666666667</f>
        <v>0</v>
      </c>
      <c r="AP79" s="68">
        <f>H79*(1-0.378966666666667)</f>
        <v>0</v>
      </c>
      <c r="AQ79" s="69" t="s">
        <v>79</v>
      </c>
      <c r="AV79" s="68">
        <f t="shared" si="15"/>
        <v>0</v>
      </c>
      <c r="AW79" s="68">
        <f t="shared" si="16"/>
        <v>0</v>
      </c>
      <c r="AX79" s="68">
        <f t="shared" si="17"/>
        <v>0</v>
      </c>
      <c r="AY79" s="71" t="s">
        <v>622</v>
      </c>
      <c r="AZ79" s="71" t="s">
        <v>642</v>
      </c>
      <c r="BA79" s="60" t="s">
        <v>647</v>
      </c>
      <c r="BC79" s="68">
        <f t="shared" si="18"/>
        <v>0</v>
      </c>
      <c r="BD79" s="68">
        <f t="shared" si="19"/>
        <v>0</v>
      </c>
      <c r="BE79" s="68">
        <v>0</v>
      </c>
      <c r="BF79" s="68">
        <f t="shared" si="20"/>
        <v>0.0028669999999999998</v>
      </c>
      <c r="BH79" s="50">
        <f t="shared" si="21"/>
        <v>0</v>
      </c>
      <c r="BI79" s="50">
        <f t="shared" si="22"/>
        <v>0</v>
      </c>
      <c r="BJ79" s="50">
        <f t="shared" si="23"/>
        <v>0</v>
      </c>
      <c r="BK79" s="50" t="s">
        <v>652</v>
      </c>
      <c r="BL79" s="68">
        <v>721</v>
      </c>
    </row>
    <row r="80" spans="1:64" ht="12.75">
      <c r="A80" s="86" t="s">
        <v>98</v>
      </c>
      <c r="B80" s="86"/>
      <c r="C80" s="86" t="s">
        <v>240</v>
      </c>
      <c r="D80" s="183" t="s">
        <v>425</v>
      </c>
      <c r="E80" s="184"/>
      <c r="F80" s="86" t="s">
        <v>586</v>
      </c>
      <c r="G80" s="87">
        <v>0.5</v>
      </c>
      <c r="H80" s="118"/>
      <c r="I80" s="87">
        <f t="shared" si="0"/>
        <v>0</v>
      </c>
      <c r="J80" s="87">
        <f t="shared" si="1"/>
        <v>0</v>
      </c>
      <c r="K80" s="87">
        <f t="shared" si="2"/>
        <v>0</v>
      </c>
      <c r="L80" s="87">
        <v>0.00152</v>
      </c>
      <c r="M80" s="87">
        <f t="shared" si="3"/>
        <v>0.00076</v>
      </c>
      <c r="N80" s="84" t="s">
        <v>606</v>
      </c>
      <c r="O80" s="77"/>
      <c r="Z80" s="68">
        <f t="shared" si="4"/>
        <v>0</v>
      </c>
      <c r="AB80" s="68">
        <f t="shared" si="5"/>
        <v>0</v>
      </c>
      <c r="AC80" s="68">
        <f t="shared" si="6"/>
        <v>0</v>
      </c>
      <c r="AD80" s="68">
        <f t="shared" si="7"/>
        <v>0</v>
      </c>
      <c r="AE80" s="68">
        <f t="shared" si="8"/>
        <v>0</v>
      </c>
      <c r="AF80" s="68">
        <f t="shared" si="9"/>
        <v>0</v>
      </c>
      <c r="AG80" s="68">
        <f t="shared" si="10"/>
        <v>0</v>
      </c>
      <c r="AH80" s="68">
        <f t="shared" si="11"/>
        <v>0</v>
      </c>
      <c r="AI80" s="60"/>
      <c r="AJ80" s="50">
        <f t="shared" si="12"/>
        <v>0</v>
      </c>
      <c r="AK80" s="50">
        <f t="shared" si="13"/>
        <v>0</v>
      </c>
      <c r="AL80" s="50">
        <f t="shared" si="14"/>
        <v>0</v>
      </c>
      <c r="AN80" s="68">
        <v>15</v>
      </c>
      <c r="AO80" s="68">
        <f>H80*0.360591164051175</f>
        <v>0</v>
      </c>
      <c r="AP80" s="68">
        <f>H80*(1-0.360591164051175)</f>
        <v>0</v>
      </c>
      <c r="AQ80" s="69" t="s">
        <v>79</v>
      </c>
      <c r="AV80" s="68">
        <f t="shared" si="15"/>
        <v>0</v>
      </c>
      <c r="AW80" s="68">
        <f t="shared" si="16"/>
        <v>0</v>
      </c>
      <c r="AX80" s="68">
        <f t="shared" si="17"/>
        <v>0</v>
      </c>
      <c r="AY80" s="71" t="s">
        <v>622</v>
      </c>
      <c r="AZ80" s="71" t="s">
        <v>642</v>
      </c>
      <c r="BA80" s="60" t="s">
        <v>647</v>
      </c>
      <c r="BC80" s="68">
        <f t="shared" si="18"/>
        <v>0</v>
      </c>
      <c r="BD80" s="68">
        <f t="shared" si="19"/>
        <v>0</v>
      </c>
      <c r="BE80" s="68">
        <v>0</v>
      </c>
      <c r="BF80" s="68">
        <f t="shared" si="20"/>
        <v>0.00076</v>
      </c>
      <c r="BH80" s="50">
        <f t="shared" si="21"/>
        <v>0</v>
      </c>
      <c r="BI80" s="50">
        <f t="shared" si="22"/>
        <v>0</v>
      </c>
      <c r="BJ80" s="50">
        <f t="shared" si="23"/>
        <v>0</v>
      </c>
      <c r="BK80" s="50" t="s">
        <v>652</v>
      </c>
      <c r="BL80" s="68">
        <v>721</v>
      </c>
    </row>
    <row r="81" spans="1:64" ht="12.75">
      <c r="A81" s="86" t="s">
        <v>99</v>
      </c>
      <c r="B81" s="86"/>
      <c r="C81" s="86" t="s">
        <v>241</v>
      </c>
      <c r="D81" s="183" t="s">
        <v>426</v>
      </c>
      <c r="E81" s="184"/>
      <c r="F81" s="86" t="s">
        <v>586</v>
      </c>
      <c r="G81" s="87">
        <v>0.2</v>
      </c>
      <c r="H81" s="118"/>
      <c r="I81" s="87">
        <f t="shared" si="0"/>
        <v>0</v>
      </c>
      <c r="J81" s="87">
        <f t="shared" si="1"/>
        <v>0</v>
      </c>
      <c r="K81" s="87">
        <f t="shared" si="2"/>
        <v>0</v>
      </c>
      <c r="L81" s="87">
        <v>0.00131</v>
      </c>
      <c r="M81" s="87">
        <f t="shared" si="3"/>
        <v>0.000262</v>
      </c>
      <c r="N81" s="84" t="s">
        <v>606</v>
      </c>
      <c r="O81" s="77"/>
      <c r="Z81" s="68">
        <f t="shared" si="4"/>
        <v>0</v>
      </c>
      <c r="AB81" s="68">
        <f t="shared" si="5"/>
        <v>0</v>
      </c>
      <c r="AC81" s="68">
        <f t="shared" si="6"/>
        <v>0</v>
      </c>
      <c r="AD81" s="68">
        <f t="shared" si="7"/>
        <v>0</v>
      </c>
      <c r="AE81" s="68">
        <f t="shared" si="8"/>
        <v>0</v>
      </c>
      <c r="AF81" s="68">
        <f t="shared" si="9"/>
        <v>0</v>
      </c>
      <c r="AG81" s="68">
        <f t="shared" si="10"/>
        <v>0</v>
      </c>
      <c r="AH81" s="68">
        <f t="shared" si="11"/>
        <v>0</v>
      </c>
      <c r="AI81" s="60"/>
      <c r="AJ81" s="50">
        <f t="shared" si="12"/>
        <v>0</v>
      </c>
      <c r="AK81" s="50">
        <f t="shared" si="13"/>
        <v>0</v>
      </c>
      <c r="AL81" s="50">
        <f t="shared" si="14"/>
        <v>0</v>
      </c>
      <c r="AN81" s="68">
        <v>15</v>
      </c>
      <c r="AO81" s="68">
        <f>H81*0.460104575163399</f>
        <v>0</v>
      </c>
      <c r="AP81" s="68">
        <f>H81*(1-0.460104575163399)</f>
        <v>0</v>
      </c>
      <c r="AQ81" s="69" t="s">
        <v>79</v>
      </c>
      <c r="AV81" s="68">
        <f t="shared" si="15"/>
        <v>0</v>
      </c>
      <c r="AW81" s="68">
        <f t="shared" si="16"/>
        <v>0</v>
      </c>
      <c r="AX81" s="68">
        <f t="shared" si="17"/>
        <v>0</v>
      </c>
      <c r="AY81" s="71" t="s">
        <v>622</v>
      </c>
      <c r="AZ81" s="71" t="s">
        <v>642</v>
      </c>
      <c r="BA81" s="60" t="s">
        <v>647</v>
      </c>
      <c r="BC81" s="68">
        <f t="shared" si="18"/>
        <v>0</v>
      </c>
      <c r="BD81" s="68">
        <f t="shared" si="19"/>
        <v>0</v>
      </c>
      <c r="BE81" s="68">
        <v>0</v>
      </c>
      <c r="BF81" s="68">
        <f t="shared" si="20"/>
        <v>0.000262</v>
      </c>
      <c r="BH81" s="50">
        <f t="shared" si="21"/>
        <v>0</v>
      </c>
      <c r="BI81" s="50">
        <f t="shared" si="22"/>
        <v>0</v>
      </c>
      <c r="BJ81" s="50">
        <f t="shared" si="23"/>
        <v>0</v>
      </c>
      <c r="BK81" s="50" t="s">
        <v>652</v>
      </c>
      <c r="BL81" s="68">
        <v>721</v>
      </c>
    </row>
    <row r="82" spans="1:64" ht="12.75">
      <c r="A82" s="86" t="s">
        <v>100</v>
      </c>
      <c r="B82" s="86"/>
      <c r="C82" s="86" t="s">
        <v>242</v>
      </c>
      <c r="D82" s="183" t="s">
        <v>427</v>
      </c>
      <c r="E82" s="184"/>
      <c r="F82" s="86" t="s">
        <v>587</v>
      </c>
      <c r="G82" s="87">
        <v>4</v>
      </c>
      <c r="H82" s="118"/>
      <c r="I82" s="87">
        <f t="shared" si="0"/>
        <v>0</v>
      </c>
      <c r="J82" s="87">
        <f t="shared" si="1"/>
        <v>0</v>
      </c>
      <c r="K82" s="87">
        <f t="shared" si="2"/>
        <v>0</v>
      </c>
      <c r="L82" s="87">
        <v>0</v>
      </c>
      <c r="M82" s="87">
        <f t="shared" si="3"/>
        <v>0</v>
      </c>
      <c r="N82" s="84" t="s">
        <v>606</v>
      </c>
      <c r="O82" s="77"/>
      <c r="Z82" s="68">
        <f t="shared" si="4"/>
        <v>0</v>
      </c>
      <c r="AB82" s="68">
        <f t="shared" si="5"/>
        <v>0</v>
      </c>
      <c r="AC82" s="68">
        <f t="shared" si="6"/>
        <v>0</v>
      </c>
      <c r="AD82" s="68">
        <f t="shared" si="7"/>
        <v>0</v>
      </c>
      <c r="AE82" s="68">
        <f t="shared" si="8"/>
        <v>0</v>
      </c>
      <c r="AF82" s="68">
        <f t="shared" si="9"/>
        <v>0</v>
      </c>
      <c r="AG82" s="68">
        <f t="shared" si="10"/>
        <v>0</v>
      </c>
      <c r="AH82" s="68">
        <f t="shared" si="11"/>
        <v>0</v>
      </c>
      <c r="AI82" s="60"/>
      <c r="AJ82" s="50">
        <f t="shared" si="12"/>
        <v>0</v>
      </c>
      <c r="AK82" s="50">
        <f t="shared" si="13"/>
        <v>0</v>
      </c>
      <c r="AL82" s="50">
        <f t="shared" si="14"/>
        <v>0</v>
      </c>
      <c r="AN82" s="68">
        <v>15</v>
      </c>
      <c r="AO82" s="68">
        <f>H82*0</f>
        <v>0</v>
      </c>
      <c r="AP82" s="68">
        <f>H82*(1-0)</f>
        <v>0</v>
      </c>
      <c r="AQ82" s="69" t="s">
        <v>79</v>
      </c>
      <c r="AV82" s="68">
        <f t="shared" si="15"/>
        <v>0</v>
      </c>
      <c r="AW82" s="68">
        <f t="shared" si="16"/>
        <v>0</v>
      </c>
      <c r="AX82" s="68">
        <f t="shared" si="17"/>
        <v>0</v>
      </c>
      <c r="AY82" s="71" t="s">
        <v>622</v>
      </c>
      <c r="AZ82" s="71" t="s">
        <v>642</v>
      </c>
      <c r="BA82" s="60" t="s">
        <v>647</v>
      </c>
      <c r="BC82" s="68">
        <f t="shared" si="18"/>
        <v>0</v>
      </c>
      <c r="BD82" s="68">
        <f t="shared" si="19"/>
        <v>0</v>
      </c>
      <c r="BE82" s="68">
        <v>0</v>
      </c>
      <c r="BF82" s="68">
        <f t="shared" si="20"/>
        <v>0</v>
      </c>
      <c r="BH82" s="50">
        <f t="shared" si="21"/>
        <v>0</v>
      </c>
      <c r="BI82" s="50">
        <f t="shared" si="22"/>
        <v>0</v>
      </c>
      <c r="BJ82" s="50">
        <f t="shared" si="23"/>
        <v>0</v>
      </c>
      <c r="BK82" s="50" t="s">
        <v>652</v>
      </c>
      <c r="BL82" s="68">
        <v>721</v>
      </c>
    </row>
    <row r="83" spans="1:64" ht="12.75">
      <c r="A83" s="86" t="s">
        <v>101</v>
      </c>
      <c r="B83" s="86"/>
      <c r="C83" s="86" t="s">
        <v>243</v>
      </c>
      <c r="D83" s="183" t="s">
        <v>428</v>
      </c>
      <c r="E83" s="184"/>
      <c r="F83" s="86" t="s">
        <v>587</v>
      </c>
      <c r="G83" s="87">
        <v>1</v>
      </c>
      <c r="H83" s="118"/>
      <c r="I83" s="87">
        <f t="shared" si="0"/>
        <v>0</v>
      </c>
      <c r="J83" s="87">
        <f t="shared" si="1"/>
        <v>0</v>
      </c>
      <c r="K83" s="87">
        <f t="shared" si="2"/>
        <v>0</v>
      </c>
      <c r="L83" s="87">
        <v>0</v>
      </c>
      <c r="M83" s="87">
        <f t="shared" si="3"/>
        <v>0</v>
      </c>
      <c r="N83" s="84" t="s">
        <v>606</v>
      </c>
      <c r="O83" s="77"/>
      <c r="Z83" s="68">
        <f t="shared" si="4"/>
        <v>0</v>
      </c>
      <c r="AB83" s="68">
        <f t="shared" si="5"/>
        <v>0</v>
      </c>
      <c r="AC83" s="68">
        <f t="shared" si="6"/>
        <v>0</v>
      </c>
      <c r="AD83" s="68">
        <f t="shared" si="7"/>
        <v>0</v>
      </c>
      <c r="AE83" s="68">
        <f t="shared" si="8"/>
        <v>0</v>
      </c>
      <c r="AF83" s="68">
        <f t="shared" si="9"/>
        <v>0</v>
      </c>
      <c r="AG83" s="68">
        <f t="shared" si="10"/>
        <v>0</v>
      </c>
      <c r="AH83" s="68">
        <f t="shared" si="11"/>
        <v>0</v>
      </c>
      <c r="AI83" s="60"/>
      <c r="AJ83" s="50">
        <f t="shared" si="12"/>
        <v>0</v>
      </c>
      <c r="AK83" s="50">
        <f t="shared" si="13"/>
        <v>0</v>
      </c>
      <c r="AL83" s="50">
        <f t="shared" si="14"/>
        <v>0</v>
      </c>
      <c r="AN83" s="68">
        <v>15</v>
      </c>
      <c r="AO83" s="68">
        <f>H83*0</f>
        <v>0</v>
      </c>
      <c r="AP83" s="68">
        <f>H83*(1-0)</f>
        <v>0</v>
      </c>
      <c r="AQ83" s="69" t="s">
        <v>79</v>
      </c>
      <c r="AV83" s="68">
        <f t="shared" si="15"/>
        <v>0</v>
      </c>
      <c r="AW83" s="68">
        <f t="shared" si="16"/>
        <v>0</v>
      </c>
      <c r="AX83" s="68">
        <f t="shared" si="17"/>
        <v>0</v>
      </c>
      <c r="AY83" s="71" t="s">
        <v>622</v>
      </c>
      <c r="AZ83" s="71" t="s">
        <v>642</v>
      </c>
      <c r="BA83" s="60" t="s">
        <v>647</v>
      </c>
      <c r="BC83" s="68">
        <f t="shared" si="18"/>
        <v>0</v>
      </c>
      <c r="BD83" s="68">
        <f t="shared" si="19"/>
        <v>0</v>
      </c>
      <c r="BE83" s="68">
        <v>0</v>
      </c>
      <c r="BF83" s="68">
        <f t="shared" si="20"/>
        <v>0</v>
      </c>
      <c r="BH83" s="50">
        <f t="shared" si="21"/>
        <v>0</v>
      </c>
      <c r="BI83" s="50">
        <f t="shared" si="22"/>
        <v>0</v>
      </c>
      <c r="BJ83" s="50">
        <f t="shared" si="23"/>
        <v>0</v>
      </c>
      <c r="BK83" s="50" t="s">
        <v>652</v>
      </c>
      <c r="BL83" s="68">
        <v>721</v>
      </c>
    </row>
    <row r="84" spans="1:64" ht="12.75">
      <c r="A84" s="86" t="s">
        <v>102</v>
      </c>
      <c r="B84" s="86"/>
      <c r="C84" s="86" t="s">
        <v>244</v>
      </c>
      <c r="D84" s="183" t="s">
        <v>429</v>
      </c>
      <c r="E84" s="184"/>
      <c r="F84" s="86" t="s">
        <v>586</v>
      </c>
      <c r="G84" s="87">
        <v>6.9</v>
      </c>
      <c r="H84" s="118"/>
      <c r="I84" s="87">
        <f t="shared" si="0"/>
        <v>0</v>
      </c>
      <c r="J84" s="87">
        <f t="shared" si="1"/>
        <v>0</v>
      </c>
      <c r="K84" s="87">
        <f t="shared" si="2"/>
        <v>0</v>
      </c>
      <c r="L84" s="87">
        <v>0</v>
      </c>
      <c r="M84" s="87">
        <f t="shared" si="3"/>
        <v>0</v>
      </c>
      <c r="N84" s="84" t="s">
        <v>606</v>
      </c>
      <c r="O84" s="77"/>
      <c r="Z84" s="68">
        <f t="shared" si="4"/>
        <v>0</v>
      </c>
      <c r="AB84" s="68">
        <f t="shared" si="5"/>
        <v>0</v>
      </c>
      <c r="AC84" s="68">
        <f t="shared" si="6"/>
        <v>0</v>
      </c>
      <c r="AD84" s="68">
        <f t="shared" si="7"/>
        <v>0</v>
      </c>
      <c r="AE84" s="68">
        <f t="shared" si="8"/>
        <v>0</v>
      </c>
      <c r="AF84" s="68">
        <f t="shared" si="9"/>
        <v>0</v>
      </c>
      <c r="AG84" s="68">
        <f t="shared" si="10"/>
        <v>0</v>
      </c>
      <c r="AH84" s="68">
        <f t="shared" si="11"/>
        <v>0</v>
      </c>
      <c r="AI84" s="60"/>
      <c r="AJ84" s="50">
        <f t="shared" si="12"/>
        <v>0</v>
      </c>
      <c r="AK84" s="50">
        <f t="shared" si="13"/>
        <v>0</v>
      </c>
      <c r="AL84" s="50">
        <f t="shared" si="14"/>
        <v>0</v>
      </c>
      <c r="AN84" s="68">
        <v>15</v>
      </c>
      <c r="AO84" s="68">
        <f>H84*0</f>
        <v>0</v>
      </c>
      <c r="AP84" s="68">
        <f>H84*(1-0)</f>
        <v>0</v>
      </c>
      <c r="AQ84" s="69" t="s">
        <v>74</v>
      </c>
      <c r="AV84" s="68">
        <f t="shared" si="15"/>
        <v>0</v>
      </c>
      <c r="AW84" s="68">
        <f t="shared" si="16"/>
        <v>0</v>
      </c>
      <c r="AX84" s="68">
        <f t="shared" si="17"/>
        <v>0</v>
      </c>
      <c r="AY84" s="71" t="s">
        <v>622</v>
      </c>
      <c r="AZ84" s="71" t="s">
        <v>642</v>
      </c>
      <c r="BA84" s="60" t="s">
        <v>647</v>
      </c>
      <c r="BC84" s="68">
        <f t="shared" si="18"/>
        <v>0</v>
      </c>
      <c r="BD84" s="68">
        <f t="shared" si="19"/>
        <v>0</v>
      </c>
      <c r="BE84" s="68">
        <v>0</v>
      </c>
      <c r="BF84" s="68">
        <f t="shared" si="20"/>
        <v>0</v>
      </c>
      <c r="BH84" s="50">
        <f t="shared" si="21"/>
        <v>0</v>
      </c>
      <c r="BI84" s="50">
        <f t="shared" si="22"/>
        <v>0</v>
      </c>
      <c r="BJ84" s="50">
        <f t="shared" si="23"/>
        <v>0</v>
      </c>
      <c r="BK84" s="50" t="s">
        <v>652</v>
      </c>
      <c r="BL84" s="68">
        <v>721</v>
      </c>
    </row>
    <row r="85" spans="1:64" ht="12.75">
      <c r="A85" s="86" t="s">
        <v>103</v>
      </c>
      <c r="B85" s="86"/>
      <c r="C85" s="86" t="s">
        <v>245</v>
      </c>
      <c r="D85" s="183" t="s">
        <v>430</v>
      </c>
      <c r="E85" s="184"/>
      <c r="F85" s="86" t="s">
        <v>586</v>
      </c>
      <c r="G85" s="87">
        <v>6.9</v>
      </c>
      <c r="H85" s="118"/>
      <c r="I85" s="87">
        <f t="shared" si="0"/>
        <v>0</v>
      </c>
      <c r="J85" s="87">
        <f t="shared" si="1"/>
        <v>0</v>
      </c>
      <c r="K85" s="87">
        <f t="shared" si="2"/>
        <v>0</v>
      </c>
      <c r="L85" s="87">
        <v>0</v>
      </c>
      <c r="M85" s="87">
        <f t="shared" si="3"/>
        <v>0</v>
      </c>
      <c r="N85" s="84" t="s">
        <v>606</v>
      </c>
      <c r="O85" s="77"/>
      <c r="Z85" s="68">
        <f t="shared" si="4"/>
        <v>0</v>
      </c>
      <c r="AB85" s="68">
        <f t="shared" si="5"/>
        <v>0</v>
      </c>
      <c r="AC85" s="68">
        <f t="shared" si="6"/>
        <v>0</v>
      </c>
      <c r="AD85" s="68">
        <f t="shared" si="7"/>
        <v>0</v>
      </c>
      <c r="AE85" s="68">
        <f t="shared" si="8"/>
        <v>0</v>
      </c>
      <c r="AF85" s="68">
        <f t="shared" si="9"/>
        <v>0</v>
      </c>
      <c r="AG85" s="68">
        <f t="shared" si="10"/>
        <v>0</v>
      </c>
      <c r="AH85" s="68">
        <f t="shared" si="11"/>
        <v>0</v>
      </c>
      <c r="AI85" s="60"/>
      <c r="AJ85" s="50">
        <f t="shared" si="12"/>
        <v>0</v>
      </c>
      <c r="AK85" s="50">
        <f t="shared" si="13"/>
        <v>0</v>
      </c>
      <c r="AL85" s="50">
        <f t="shared" si="14"/>
        <v>0</v>
      </c>
      <c r="AN85" s="68">
        <v>15</v>
      </c>
      <c r="AO85" s="68">
        <f>H85*0.0265730305261369</f>
        <v>0</v>
      </c>
      <c r="AP85" s="68">
        <f>H85*(1-0.0265730305261369)</f>
        <v>0</v>
      </c>
      <c r="AQ85" s="69" t="s">
        <v>79</v>
      </c>
      <c r="AV85" s="68">
        <f t="shared" si="15"/>
        <v>0</v>
      </c>
      <c r="AW85" s="68">
        <f t="shared" si="16"/>
        <v>0</v>
      </c>
      <c r="AX85" s="68">
        <f t="shared" si="17"/>
        <v>0</v>
      </c>
      <c r="AY85" s="71" t="s">
        <v>622</v>
      </c>
      <c r="AZ85" s="71" t="s">
        <v>642</v>
      </c>
      <c r="BA85" s="60" t="s">
        <v>647</v>
      </c>
      <c r="BC85" s="68">
        <f t="shared" si="18"/>
        <v>0</v>
      </c>
      <c r="BD85" s="68">
        <f t="shared" si="19"/>
        <v>0</v>
      </c>
      <c r="BE85" s="68">
        <v>0</v>
      </c>
      <c r="BF85" s="68">
        <f t="shared" si="20"/>
        <v>0</v>
      </c>
      <c r="BH85" s="50">
        <f t="shared" si="21"/>
        <v>0</v>
      </c>
      <c r="BI85" s="50">
        <f t="shared" si="22"/>
        <v>0</v>
      </c>
      <c r="BJ85" s="50">
        <f t="shared" si="23"/>
        <v>0</v>
      </c>
      <c r="BK85" s="50" t="s">
        <v>652</v>
      </c>
      <c r="BL85" s="68">
        <v>721</v>
      </c>
    </row>
    <row r="86" spans="1:64" ht="12.75">
      <c r="A86" s="86" t="s">
        <v>104</v>
      </c>
      <c r="B86" s="86"/>
      <c r="C86" s="86" t="s">
        <v>246</v>
      </c>
      <c r="D86" s="183" t="s">
        <v>431</v>
      </c>
      <c r="E86" s="184"/>
      <c r="F86" s="86" t="s">
        <v>586</v>
      </c>
      <c r="G86" s="87">
        <v>0.5</v>
      </c>
      <c r="H86" s="118"/>
      <c r="I86" s="87">
        <f t="shared" si="0"/>
        <v>0</v>
      </c>
      <c r="J86" s="87">
        <f t="shared" si="1"/>
        <v>0</v>
      </c>
      <c r="K86" s="87">
        <f t="shared" si="2"/>
        <v>0</v>
      </c>
      <c r="L86" s="87">
        <v>0.00171</v>
      </c>
      <c r="M86" s="87">
        <f t="shared" si="3"/>
        <v>0.000855</v>
      </c>
      <c r="N86" s="84" t="s">
        <v>606</v>
      </c>
      <c r="O86" s="77"/>
      <c r="Z86" s="68">
        <f t="shared" si="4"/>
        <v>0</v>
      </c>
      <c r="AB86" s="68">
        <f t="shared" si="5"/>
        <v>0</v>
      </c>
      <c r="AC86" s="68">
        <f t="shared" si="6"/>
        <v>0</v>
      </c>
      <c r="AD86" s="68">
        <f t="shared" si="7"/>
        <v>0</v>
      </c>
      <c r="AE86" s="68">
        <f t="shared" si="8"/>
        <v>0</v>
      </c>
      <c r="AF86" s="68">
        <f t="shared" si="9"/>
        <v>0</v>
      </c>
      <c r="AG86" s="68">
        <f t="shared" si="10"/>
        <v>0</v>
      </c>
      <c r="AH86" s="68">
        <f t="shared" si="11"/>
        <v>0</v>
      </c>
      <c r="AI86" s="60"/>
      <c r="AJ86" s="50">
        <f t="shared" si="12"/>
        <v>0</v>
      </c>
      <c r="AK86" s="50">
        <f t="shared" si="13"/>
        <v>0</v>
      </c>
      <c r="AL86" s="50">
        <f t="shared" si="14"/>
        <v>0</v>
      </c>
      <c r="AN86" s="68">
        <v>15</v>
      </c>
      <c r="AO86" s="68">
        <f>H86*0.437290537042587</f>
        <v>0</v>
      </c>
      <c r="AP86" s="68">
        <f>H86*(1-0.437290537042587)</f>
        <v>0</v>
      </c>
      <c r="AQ86" s="69" t="s">
        <v>79</v>
      </c>
      <c r="AV86" s="68">
        <f t="shared" si="15"/>
        <v>0</v>
      </c>
      <c r="AW86" s="68">
        <f t="shared" si="16"/>
        <v>0</v>
      </c>
      <c r="AX86" s="68">
        <f t="shared" si="17"/>
        <v>0</v>
      </c>
      <c r="AY86" s="71" t="s">
        <v>622</v>
      </c>
      <c r="AZ86" s="71" t="s">
        <v>642</v>
      </c>
      <c r="BA86" s="60" t="s">
        <v>647</v>
      </c>
      <c r="BC86" s="68">
        <f t="shared" si="18"/>
        <v>0</v>
      </c>
      <c r="BD86" s="68">
        <f t="shared" si="19"/>
        <v>0</v>
      </c>
      <c r="BE86" s="68">
        <v>0</v>
      </c>
      <c r="BF86" s="68">
        <f t="shared" si="20"/>
        <v>0.000855</v>
      </c>
      <c r="BH86" s="50">
        <f t="shared" si="21"/>
        <v>0</v>
      </c>
      <c r="BI86" s="50">
        <f t="shared" si="22"/>
        <v>0</v>
      </c>
      <c r="BJ86" s="50">
        <f t="shared" si="23"/>
        <v>0</v>
      </c>
      <c r="BK86" s="50" t="s">
        <v>652</v>
      </c>
      <c r="BL86" s="68">
        <v>721</v>
      </c>
    </row>
    <row r="87" spans="1:64" ht="12.75">
      <c r="A87" s="86" t="s">
        <v>105</v>
      </c>
      <c r="B87" s="86"/>
      <c r="C87" s="86" t="s">
        <v>247</v>
      </c>
      <c r="D87" s="183" t="s">
        <v>432</v>
      </c>
      <c r="E87" s="184"/>
      <c r="F87" s="86" t="s">
        <v>588</v>
      </c>
      <c r="G87" s="87">
        <v>0.05</v>
      </c>
      <c r="H87" s="118"/>
      <c r="I87" s="87">
        <f t="shared" si="0"/>
        <v>0</v>
      </c>
      <c r="J87" s="87">
        <f t="shared" si="1"/>
        <v>0</v>
      </c>
      <c r="K87" s="87">
        <f t="shared" si="2"/>
        <v>0</v>
      </c>
      <c r="L87" s="87">
        <v>0</v>
      </c>
      <c r="M87" s="87">
        <f t="shared" si="3"/>
        <v>0</v>
      </c>
      <c r="N87" s="84" t="s">
        <v>606</v>
      </c>
      <c r="O87" s="77"/>
      <c r="Z87" s="68">
        <f t="shared" si="4"/>
        <v>0</v>
      </c>
      <c r="AB87" s="68">
        <f t="shared" si="5"/>
        <v>0</v>
      </c>
      <c r="AC87" s="68">
        <f t="shared" si="6"/>
        <v>0</v>
      </c>
      <c r="AD87" s="68">
        <f t="shared" si="7"/>
        <v>0</v>
      </c>
      <c r="AE87" s="68">
        <f t="shared" si="8"/>
        <v>0</v>
      </c>
      <c r="AF87" s="68">
        <f t="shared" si="9"/>
        <v>0</v>
      </c>
      <c r="AG87" s="68">
        <f t="shared" si="10"/>
        <v>0</v>
      </c>
      <c r="AH87" s="68">
        <f t="shared" si="11"/>
        <v>0</v>
      </c>
      <c r="AI87" s="60"/>
      <c r="AJ87" s="50">
        <f t="shared" si="12"/>
        <v>0</v>
      </c>
      <c r="AK87" s="50">
        <f t="shared" si="13"/>
        <v>0</v>
      </c>
      <c r="AL87" s="50">
        <f t="shared" si="14"/>
        <v>0</v>
      </c>
      <c r="AN87" s="68">
        <v>15</v>
      </c>
      <c r="AO87" s="68">
        <f>H87*0</f>
        <v>0</v>
      </c>
      <c r="AP87" s="68">
        <f>H87*(1-0)</f>
        <v>0</v>
      </c>
      <c r="AQ87" s="69" t="s">
        <v>77</v>
      </c>
      <c r="AV87" s="68">
        <f t="shared" si="15"/>
        <v>0</v>
      </c>
      <c r="AW87" s="68">
        <f t="shared" si="16"/>
        <v>0</v>
      </c>
      <c r="AX87" s="68">
        <f t="shared" si="17"/>
        <v>0</v>
      </c>
      <c r="AY87" s="71" t="s">
        <v>622</v>
      </c>
      <c r="AZ87" s="71" t="s">
        <v>642</v>
      </c>
      <c r="BA87" s="60" t="s">
        <v>647</v>
      </c>
      <c r="BC87" s="68">
        <f t="shared" si="18"/>
        <v>0</v>
      </c>
      <c r="BD87" s="68">
        <f t="shared" si="19"/>
        <v>0</v>
      </c>
      <c r="BE87" s="68">
        <v>0</v>
      </c>
      <c r="BF87" s="68">
        <f t="shared" si="20"/>
        <v>0</v>
      </c>
      <c r="BH87" s="50">
        <f t="shared" si="21"/>
        <v>0</v>
      </c>
      <c r="BI87" s="50">
        <f t="shared" si="22"/>
        <v>0</v>
      </c>
      <c r="BJ87" s="50">
        <f t="shared" si="23"/>
        <v>0</v>
      </c>
      <c r="BK87" s="50" t="s">
        <v>652</v>
      </c>
      <c r="BL87" s="68">
        <v>721</v>
      </c>
    </row>
    <row r="88" spans="1:47" ht="12.75">
      <c r="A88" s="104"/>
      <c r="B88" s="105"/>
      <c r="C88" s="105" t="s">
        <v>248</v>
      </c>
      <c r="D88" s="199" t="s">
        <v>433</v>
      </c>
      <c r="E88" s="190"/>
      <c r="F88" s="104" t="s">
        <v>72</v>
      </c>
      <c r="G88" s="104" t="s">
        <v>72</v>
      </c>
      <c r="H88" s="104" t="s">
        <v>72</v>
      </c>
      <c r="I88" s="106">
        <f>SUM(I89:I99)</f>
        <v>0</v>
      </c>
      <c r="J88" s="106">
        <f>SUM(J89:J99)</f>
        <v>0</v>
      </c>
      <c r="K88" s="106">
        <f>SUM(K89:K99)</f>
        <v>0</v>
      </c>
      <c r="L88" s="107"/>
      <c r="M88" s="106">
        <f>SUM(M89:M99)</f>
        <v>0.019496</v>
      </c>
      <c r="N88" s="103"/>
      <c r="O88" s="77"/>
      <c r="AI88" s="60"/>
      <c r="AS88" s="74">
        <f>SUM(AJ89:AJ99)</f>
        <v>0</v>
      </c>
      <c r="AT88" s="74">
        <f>SUM(AK89:AK99)</f>
        <v>0</v>
      </c>
      <c r="AU88" s="74">
        <f>SUM(AL89:AL99)</f>
        <v>0</v>
      </c>
    </row>
    <row r="89" spans="1:64" ht="12.75">
      <c r="A89" s="86" t="s">
        <v>106</v>
      </c>
      <c r="B89" s="86"/>
      <c r="C89" s="86" t="s">
        <v>249</v>
      </c>
      <c r="D89" s="183" t="s">
        <v>434</v>
      </c>
      <c r="E89" s="184"/>
      <c r="F89" s="86" t="s">
        <v>586</v>
      </c>
      <c r="G89" s="87">
        <v>3</v>
      </c>
      <c r="H89" s="118"/>
      <c r="I89" s="87">
        <f aca="true" t="shared" si="24" ref="I89:I99">G89*AO89</f>
        <v>0</v>
      </c>
      <c r="J89" s="87">
        <f aca="true" t="shared" si="25" ref="J89:J99">G89*AP89</f>
        <v>0</v>
      </c>
      <c r="K89" s="87">
        <f aca="true" t="shared" si="26" ref="K89:K99">G89*H89</f>
        <v>0</v>
      </c>
      <c r="L89" s="87">
        <v>0.00213</v>
      </c>
      <c r="M89" s="87">
        <f aca="true" t="shared" si="27" ref="M89:M99">G89*L89</f>
        <v>0.00639</v>
      </c>
      <c r="N89" s="84" t="s">
        <v>606</v>
      </c>
      <c r="O89" s="77"/>
      <c r="Z89" s="68">
        <f aca="true" t="shared" si="28" ref="Z89:Z99">IF(AQ89="5",BJ89,0)</f>
        <v>0</v>
      </c>
      <c r="AB89" s="68">
        <f aca="true" t="shared" si="29" ref="AB89:AB99">IF(AQ89="1",BH89,0)</f>
        <v>0</v>
      </c>
      <c r="AC89" s="68">
        <f aca="true" t="shared" si="30" ref="AC89:AC99">IF(AQ89="1",BI89,0)</f>
        <v>0</v>
      </c>
      <c r="AD89" s="68">
        <f aca="true" t="shared" si="31" ref="AD89:AD99">IF(AQ89="7",BH89,0)</f>
        <v>0</v>
      </c>
      <c r="AE89" s="68">
        <f aca="true" t="shared" si="32" ref="AE89:AE99">IF(AQ89="7",BI89,0)</f>
        <v>0</v>
      </c>
      <c r="AF89" s="68">
        <f aca="true" t="shared" si="33" ref="AF89:AF99">IF(AQ89="2",BH89,0)</f>
        <v>0</v>
      </c>
      <c r="AG89" s="68">
        <f aca="true" t="shared" si="34" ref="AG89:AG99">IF(AQ89="2",BI89,0)</f>
        <v>0</v>
      </c>
      <c r="AH89" s="68">
        <f aca="true" t="shared" si="35" ref="AH89:AH99">IF(AQ89="0",BJ89,0)</f>
        <v>0</v>
      </c>
      <c r="AI89" s="60"/>
      <c r="AJ89" s="50">
        <f aca="true" t="shared" si="36" ref="AJ89:AJ99">IF(AN89=0,K89,0)</f>
        <v>0</v>
      </c>
      <c r="AK89" s="50">
        <f aca="true" t="shared" si="37" ref="AK89:AK99">IF(AN89=15,K89,0)</f>
        <v>0</v>
      </c>
      <c r="AL89" s="50">
        <f aca="true" t="shared" si="38" ref="AL89:AL99">IF(AN89=21,K89,0)</f>
        <v>0</v>
      </c>
      <c r="AN89" s="68">
        <v>15</v>
      </c>
      <c r="AO89" s="68">
        <f>H89*0</f>
        <v>0</v>
      </c>
      <c r="AP89" s="68">
        <f>H89*(1-0)</f>
        <v>0</v>
      </c>
      <c r="AQ89" s="69" t="s">
        <v>79</v>
      </c>
      <c r="AV89" s="68">
        <f aca="true" t="shared" si="39" ref="AV89:AV99">AW89+AX89</f>
        <v>0</v>
      </c>
      <c r="AW89" s="68">
        <f aca="true" t="shared" si="40" ref="AW89:AW99">G89*AO89</f>
        <v>0</v>
      </c>
      <c r="AX89" s="68">
        <f aca="true" t="shared" si="41" ref="AX89:AX99">G89*AP89</f>
        <v>0</v>
      </c>
      <c r="AY89" s="71" t="s">
        <v>623</v>
      </c>
      <c r="AZ89" s="71" t="s">
        <v>642</v>
      </c>
      <c r="BA89" s="60" t="s">
        <v>647</v>
      </c>
      <c r="BC89" s="68">
        <f aca="true" t="shared" si="42" ref="BC89:BC99">AW89+AX89</f>
        <v>0</v>
      </c>
      <c r="BD89" s="68">
        <f aca="true" t="shared" si="43" ref="BD89:BD99">H89/(100-BE89)*100</f>
        <v>0</v>
      </c>
      <c r="BE89" s="68">
        <v>0</v>
      </c>
      <c r="BF89" s="68">
        <f aca="true" t="shared" si="44" ref="BF89:BF99">M89</f>
        <v>0.00639</v>
      </c>
      <c r="BH89" s="50">
        <f aca="true" t="shared" si="45" ref="BH89:BH99">G89*AO89</f>
        <v>0</v>
      </c>
      <c r="BI89" s="50">
        <f aca="true" t="shared" si="46" ref="BI89:BI99">G89*AP89</f>
        <v>0</v>
      </c>
      <c r="BJ89" s="50">
        <f aca="true" t="shared" si="47" ref="BJ89:BJ99">G89*H89</f>
        <v>0</v>
      </c>
      <c r="BK89" s="50" t="s">
        <v>652</v>
      </c>
      <c r="BL89" s="68">
        <v>722</v>
      </c>
    </row>
    <row r="90" spans="1:64" ht="12.75">
      <c r="A90" s="86" t="s">
        <v>107</v>
      </c>
      <c r="B90" s="86"/>
      <c r="C90" s="86" t="s">
        <v>250</v>
      </c>
      <c r="D90" s="183" t="s">
        <v>435</v>
      </c>
      <c r="E90" s="184"/>
      <c r="F90" s="86" t="s">
        <v>587</v>
      </c>
      <c r="G90" s="87">
        <v>2</v>
      </c>
      <c r="H90" s="118"/>
      <c r="I90" s="87">
        <f t="shared" si="24"/>
        <v>0</v>
      </c>
      <c r="J90" s="87">
        <f t="shared" si="25"/>
        <v>0</v>
      </c>
      <c r="K90" s="87">
        <f t="shared" si="26"/>
        <v>0</v>
      </c>
      <c r="L90" s="87">
        <v>0</v>
      </c>
      <c r="M90" s="87">
        <f t="shared" si="27"/>
        <v>0</v>
      </c>
      <c r="N90" s="84" t="s">
        <v>606</v>
      </c>
      <c r="O90" s="77"/>
      <c r="Z90" s="68">
        <f t="shared" si="28"/>
        <v>0</v>
      </c>
      <c r="AB90" s="68">
        <f t="shared" si="29"/>
        <v>0</v>
      </c>
      <c r="AC90" s="68">
        <f t="shared" si="30"/>
        <v>0</v>
      </c>
      <c r="AD90" s="68">
        <f t="shared" si="31"/>
        <v>0</v>
      </c>
      <c r="AE90" s="68">
        <f t="shared" si="32"/>
        <v>0</v>
      </c>
      <c r="AF90" s="68">
        <f t="shared" si="33"/>
        <v>0</v>
      </c>
      <c r="AG90" s="68">
        <f t="shared" si="34"/>
        <v>0</v>
      </c>
      <c r="AH90" s="68">
        <f t="shared" si="35"/>
        <v>0</v>
      </c>
      <c r="AI90" s="60"/>
      <c r="AJ90" s="50">
        <f t="shared" si="36"/>
        <v>0</v>
      </c>
      <c r="AK90" s="50">
        <f t="shared" si="37"/>
        <v>0</v>
      </c>
      <c r="AL90" s="50">
        <f t="shared" si="38"/>
        <v>0</v>
      </c>
      <c r="AN90" s="68">
        <v>15</v>
      </c>
      <c r="AO90" s="68">
        <f>H90*0</f>
        <v>0</v>
      </c>
      <c r="AP90" s="68">
        <f>H90*(1-0)</f>
        <v>0</v>
      </c>
      <c r="AQ90" s="69" t="s">
        <v>79</v>
      </c>
      <c r="AV90" s="68">
        <f t="shared" si="39"/>
        <v>0</v>
      </c>
      <c r="AW90" s="68">
        <f t="shared" si="40"/>
        <v>0</v>
      </c>
      <c r="AX90" s="68">
        <f t="shared" si="41"/>
        <v>0</v>
      </c>
      <c r="AY90" s="71" t="s">
        <v>623</v>
      </c>
      <c r="AZ90" s="71" t="s">
        <v>642</v>
      </c>
      <c r="BA90" s="60" t="s">
        <v>647</v>
      </c>
      <c r="BC90" s="68">
        <f t="shared" si="42"/>
        <v>0</v>
      </c>
      <c r="BD90" s="68">
        <f t="shared" si="43"/>
        <v>0</v>
      </c>
      <c r="BE90" s="68">
        <v>0</v>
      </c>
      <c r="BF90" s="68">
        <f t="shared" si="44"/>
        <v>0</v>
      </c>
      <c r="BH90" s="50">
        <f t="shared" si="45"/>
        <v>0</v>
      </c>
      <c r="BI90" s="50">
        <f t="shared" si="46"/>
        <v>0</v>
      </c>
      <c r="BJ90" s="50">
        <f t="shared" si="47"/>
        <v>0</v>
      </c>
      <c r="BK90" s="50" t="s">
        <v>652</v>
      </c>
      <c r="BL90" s="68">
        <v>722</v>
      </c>
    </row>
    <row r="91" spans="1:64" ht="12.75">
      <c r="A91" s="86" t="s">
        <v>108</v>
      </c>
      <c r="B91" s="86"/>
      <c r="C91" s="86" t="s">
        <v>251</v>
      </c>
      <c r="D91" s="183" t="s">
        <v>436</v>
      </c>
      <c r="E91" s="184"/>
      <c r="F91" s="86" t="s">
        <v>587</v>
      </c>
      <c r="G91" s="87">
        <v>2</v>
      </c>
      <c r="H91" s="118"/>
      <c r="I91" s="87">
        <f t="shared" si="24"/>
        <v>0</v>
      </c>
      <c r="J91" s="87">
        <f t="shared" si="25"/>
        <v>0</v>
      </c>
      <c r="K91" s="87">
        <f t="shared" si="26"/>
        <v>0</v>
      </c>
      <c r="L91" s="87">
        <v>2E-05</v>
      </c>
      <c r="M91" s="87">
        <f t="shared" si="27"/>
        <v>4E-05</v>
      </c>
      <c r="N91" s="84" t="s">
        <v>606</v>
      </c>
      <c r="O91" s="77"/>
      <c r="Z91" s="68">
        <f t="shared" si="28"/>
        <v>0</v>
      </c>
      <c r="AB91" s="68">
        <f t="shared" si="29"/>
        <v>0</v>
      </c>
      <c r="AC91" s="68">
        <f t="shared" si="30"/>
        <v>0</v>
      </c>
      <c r="AD91" s="68">
        <f t="shared" si="31"/>
        <v>0</v>
      </c>
      <c r="AE91" s="68">
        <f t="shared" si="32"/>
        <v>0</v>
      </c>
      <c r="AF91" s="68">
        <f t="shared" si="33"/>
        <v>0</v>
      </c>
      <c r="AG91" s="68">
        <f t="shared" si="34"/>
        <v>0</v>
      </c>
      <c r="AH91" s="68">
        <f t="shared" si="35"/>
        <v>0</v>
      </c>
      <c r="AI91" s="60"/>
      <c r="AJ91" s="50">
        <f t="shared" si="36"/>
        <v>0</v>
      </c>
      <c r="AK91" s="50">
        <f t="shared" si="37"/>
        <v>0</v>
      </c>
      <c r="AL91" s="50">
        <f t="shared" si="38"/>
        <v>0</v>
      </c>
      <c r="AN91" s="68">
        <v>15</v>
      </c>
      <c r="AO91" s="68">
        <f>H91*0.0286063569682152</f>
        <v>0</v>
      </c>
      <c r="AP91" s="68">
        <f>H91*(1-0.0286063569682152)</f>
        <v>0</v>
      </c>
      <c r="AQ91" s="69" t="s">
        <v>79</v>
      </c>
      <c r="AV91" s="68">
        <f t="shared" si="39"/>
        <v>0</v>
      </c>
      <c r="AW91" s="68">
        <f t="shared" si="40"/>
        <v>0</v>
      </c>
      <c r="AX91" s="68">
        <f t="shared" si="41"/>
        <v>0</v>
      </c>
      <c r="AY91" s="71" t="s">
        <v>623</v>
      </c>
      <c r="AZ91" s="71" t="s">
        <v>642</v>
      </c>
      <c r="BA91" s="60" t="s">
        <v>647</v>
      </c>
      <c r="BC91" s="68">
        <f t="shared" si="42"/>
        <v>0</v>
      </c>
      <c r="BD91" s="68">
        <f t="shared" si="43"/>
        <v>0</v>
      </c>
      <c r="BE91" s="68">
        <v>0</v>
      </c>
      <c r="BF91" s="68">
        <f t="shared" si="44"/>
        <v>4E-05</v>
      </c>
      <c r="BH91" s="50">
        <f t="shared" si="45"/>
        <v>0</v>
      </c>
      <c r="BI91" s="50">
        <f t="shared" si="46"/>
        <v>0</v>
      </c>
      <c r="BJ91" s="50">
        <f t="shared" si="47"/>
        <v>0</v>
      </c>
      <c r="BK91" s="50" t="s">
        <v>652</v>
      </c>
      <c r="BL91" s="68">
        <v>722</v>
      </c>
    </row>
    <row r="92" spans="1:64" ht="12.75">
      <c r="A92" s="86" t="s">
        <v>109</v>
      </c>
      <c r="B92" s="86"/>
      <c r="C92" s="86" t="s">
        <v>252</v>
      </c>
      <c r="D92" s="183" t="s">
        <v>437</v>
      </c>
      <c r="E92" s="184"/>
      <c r="F92" s="86" t="s">
        <v>586</v>
      </c>
      <c r="G92" s="87">
        <v>12.7</v>
      </c>
      <c r="H92" s="118"/>
      <c r="I92" s="87">
        <f t="shared" si="24"/>
        <v>0</v>
      </c>
      <c r="J92" s="87">
        <f t="shared" si="25"/>
        <v>0</v>
      </c>
      <c r="K92" s="87">
        <f t="shared" si="26"/>
        <v>0</v>
      </c>
      <c r="L92" s="87">
        <v>0.0005</v>
      </c>
      <c r="M92" s="87">
        <f t="shared" si="27"/>
        <v>0.00635</v>
      </c>
      <c r="N92" s="84" t="s">
        <v>606</v>
      </c>
      <c r="O92" s="77"/>
      <c r="Z92" s="68">
        <f t="shared" si="28"/>
        <v>0</v>
      </c>
      <c r="AB92" s="68">
        <f t="shared" si="29"/>
        <v>0</v>
      </c>
      <c r="AC92" s="68">
        <f t="shared" si="30"/>
        <v>0</v>
      </c>
      <c r="AD92" s="68">
        <f t="shared" si="31"/>
        <v>0</v>
      </c>
      <c r="AE92" s="68">
        <f t="shared" si="32"/>
        <v>0</v>
      </c>
      <c r="AF92" s="68">
        <f t="shared" si="33"/>
        <v>0</v>
      </c>
      <c r="AG92" s="68">
        <f t="shared" si="34"/>
        <v>0</v>
      </c>
      <c r="AH92" s="68">
        <f t="shared" si="35"/>
        <v>0</v>
      </c>
      <c r="AI92" s="60"/>
      <c r="AJ92" s="50">
        <f t="shared" si="36"/>
        <v>0</v>
      </c>
      <c r="AK92" s="50">
        <f t="shared" si="37"/>
        <v>0</v>
      </c>
      <c r="AL92" s="50">
        <f t="shared" si="38"/>
        <v>0</v>
      </c>
      <c r="AN92" s="68">
        <v>15</v>
      </c>
      <c r="AO92" s="68">
        <f>H92*0.352889575703322</f>
        <v>0</v>
      </c>
      <c r="AP92" s="68">
        <f>H92*(1-0.352889575703322)</f>
        <v>0</v>
      </c>
      <c r="AQ92" s="69" t="s">
        <v>79</v>
      </c>
      <c r="AV92" s="68">
        <f t="shared" si="39"/>
        <v>0</v>
      </c>
      <c r="AW92" s="68">
        <f t="shared" si="40"/>
        <v>0</v>
      </c>
      <c r="AX92" s="68">
        <f t="shared" si="41"/>
        <v>0</v>
      </c>
      <c r="AY92" s="71" t="s">
        <v>623</v>
      </c>
      <c r="AZ92" s="71" t="s">
        <v>642</v>
      </c>
      <c r="BA92" s="60" t="s">
        <v>647</v>
      </c>
      <c r="BC92" s="68">
        <f t="shared" si="42"/>
        <v>0</v>
      </c>
      <c r="BD92" s="68">
        <f t="shared" si="43"/>
        <v>0</v>
      </c>
      <c r="BE92" s="68">
        <v>0</v>
      </c>
      <c r="BF92" s="68">
        <f t="shared" si="44"/>
        <v>0.00635</v>
      </c>
      <c r="BH92" s="50">
        <f t="shared" si="45"/>
        <v>0</v>
      </c>
      <c r="BI92" s="50">
        <f t="shared" si="46"/>
        <v>0</v>
      </c>
      <c r="BJ92" s="50">
        <f t="shared" si="47"/>
        <v>0</v>
      </c>
      <c r="BK92" s="50" t="s">
        <v>652</v>
      </c>
      <c r="BL92" s="68">
        <v>722</v>
      </c>
    </row>
    <row r="93" spans="1:64" ht="12.75">
      <c r="A93" s="86" t="s">
        <v>110</v>
      </c>
      <c r="B93" s="86"/>
      <c r="C93" s="86" t="s">
        <v>253</v>
      </c>
      <c r="D93" s="183" t="s">
        <v>438</v>
      </c>
      <c r="E93" s="184"/>
      <c r="F93" s="86" t="s">
        <v>587</v>
      </c>
      <c r="G93" s="87">
        <v>2</v>
      </c>
      <c r="H93" s="118"/>
      <c r="I93" s="87">
        <f t="shared" si="24"/>
        <v>0</v>
      </c>
      <c r="J93" s="87">
        <f t="shared" si="25"/>
        <v>0</v>
      </c>
      <c r="K93" s="87">
        <f t="shared" si="26"/>
        <v>0</v>
      </c>
      <c r="L93" s="87">
        <v>0.00063</v>
      </c>
      <c r="M93" s="87">
        <f t="shared" si="27"/>
        <v>0.00126</v>
      </c>
      <c r="N93" s="84" t="s">
        <v>606</v>
      </c>
      <c r="O93" s="77"/>
      <c r="Z93" s="68">
        <f t="shared" si="28"/>
        <v>0</v>
      </c>
      <c r="AB93" s="68">
        <f t="shared" si="29"/>
        <v>0</v>
      </c>
      <c r="AC93" s="68">
        <f t="shared" si="30"/>
        <v>0</v>
      </c>
      <c r="AD93" s="68">
        <f t="shared" si="31"/>
        <v>0</v>
      </c>
      <c r="AE93" s="68">
        <f t="shared" si="32"/>
        <v>0</v>
      </c>
      <c r="AF93" s="68">
        <f t="shared" si="33"/>
        <v>0</v>
      </c>
      <c r="AG93" s="68">
        <f t="shared" si="34"/>
        <v>0</v>
      </c>
      <c r="AH93" s="68">
        <f t="shared" si="35"/>
        <v>0</v>
      </c>
      <c r="AI93" s="60"/>
      <c r="AJ93" s="50">
        <f t="shared" si="36"/>
        <v>0</v>
      </c>
      <c r="AK93" s="50">
        <f t="shared" si="37"/>
        <v>0</v>
      </c>
      <c r="AL93" s="50">
        <f t="shared" si="38"/>
        <v>0</v>
      </c>
      <c r="AN93" s="68">
        <v>15</v>
      </c>
      <c r="AO93" s="68">
        <f>H93*0.493581780538302</f>
        <v>0</v>
      </c>
      <c r="AP93" s="68">
        <f>H93*(1-0.493581780538302)</f>
        <v>0</v>
      </c>
      <c r="AQ93" s="69" t="s">
        <v>79</v>
      </c>
      <c r="AV93" s="68">
        <f t="shared" si="39"/>
        <v>0</v>
      </c>
      <c r="AW93" s="68">
        <f t="shared" si="40"/>
        <v>0</v>
      </c>
      <c r="AX93" s="68">
        <f t="shared" si="41"/>
        <v>0</v>
      </c>
      <c r="AY93" s="71" t="s">
        <v>623</v>
      </c>
      <c r="AZ93" s="71" t="s">
        <v>642</v>
      </c>
      <c r="BA93" s="60" t="s">
        <v>647</v>
      </c>
      <c r="BC93" s="68">
        <f t="shared" si="42"/>
        <v>0</v>
      </c>
      <c r="BD93" s="68">
        <f t="shared" si="43"/>
        <v>0</v>
      </c>
      <c r="BE93" s="68">
        <v>0</v>
      </c>
      <c r="BF93" s="68">
        <f t="shared" si="44"/>
        <v>0.00126</v>
      </c>
      <c r="BH93" s="50">
        <f t="shared" si="45"/>
        <v>0</v>
      </c>
      <c r="BI93" s="50">
        <f t="shared" si="46"/>
        <v>0</v>
      </c>
      <c r="BJ93" s="50">
        <f t="shared" si="47"/>
        <v>0</v>
      </c>
      <c r="BK93" s="50" t="s">
        <v>652</v>
      </c>
      <c r="BL93" s="68">
        <v>722</v>
      </c>
    </row>
    <row r="94" spans="1:64" ht="12.75">
      <c r="A94" s="86" t="s">
        <v>111</v>
      </c>
      <c r="B94" s="86"/>
      <c r="C94" s="86" t="s">
        <v>254</v>
      </c>
      <c r="D94" s="183" t="s">
        <v>439</v>
      </c>
      <c r="E94" s="184"/>
      <c r="F94" s="86" t="s">
        <v>589</v>
      </c>
      <c r="G94" s="87">
        <v>3</v>
      </c>
      <c r="H94" s="118"/>
      <c r="I94" s="87">
        <f t="shared" si="24"/>
        <v>0</v>
      </c>
      <c r="J94" s="87">
        <f t="shared" si="25"/>
        <v>0</v>
      </c>
      <c r="K94" s="87">
        <f t="shared" si="26"/>
        <v>0</v>
      </c>
      <c r="L94" s="87">
        <v>0.00148</v>
      </c>
      <c r="M94" s="87">
        <f t="shared" si="27"/>
        <v>0.0044399999999999995</v>
      </c>
      <c r="N94" s="84" t="s">
        <v>606</v>
      </c>
      <c r="O94" s="77"/>
      <c r="Z94" s="68">
        <f t="shared" si="28"/>
        <v>0</v>
      </c>
      <c r="AB94" s="68">
        <f t="shared" si="29"/>
        <v>0</v>
      </c>
      <c r="AC94" s="68">
        <f t="shared" si="30"/>
        <v>0</v>
      </c>
      <c r="AD94" s="68">
        <f t="shared" si="31"/>
        <v>0</v>
      </c>
      <c r="AE94" s="68">
        <f t="shared" si="32"/>
        <v>0</v>
      </c>
      <c r="AF94" s="68">
        <f t="shared" si="33"/>
        <v>0</v>
      </c>
      <c r="AG94" s="68">
        <f t="shared" si="34"/>
        <v>0</v>
      </c>
      <c r="AH94" s="68">
        <f t="shared" si="35"/>
        <v>0</v>
      </c>
      <c r="AI94" s="60"/>
      <c r="AJ94" s="50">
        <f t="shared" si="36"/>
        <v>0</v>
      </c>
      <c r="AK94" s="50">
        <f t="shared" si="37"/>
        <v>0</v>
      </c>
      <c r="AL94" s="50">
        <f t="shared" si="38"/>
        <v>0</v>
      </c>
      <c r="AN94" s="68">
        <v>15</v>
      </c>
      <c r="AO94" s="68">
        <f>H94*0.500380666268853</f>
        <v>0</v>
      </c>
      <c r="AP94" s="68">
        <f>H94*(1-0.500380666268853)</f>
        <v>0</v>
      </c>
      <c r="AQ94" s="69" t="s">
        <v>79</v>
      </c>
      <c r="AV94" s="68">
        <f t="shared" si="39"/>
        <v>0</v>
      </c>
      <c r="AW94" s="68">
        <f t="shared" si="40"/>
        <v>0</v>
      </c>
      <c r="AX94" s="68">
        <f t="shared" si="41"/>
        <v>0</v>
      </c>
      <c r="AY94" s="71" t="s">
        <v>623</v>
      </c>
      <c r="AZ94" s="71" t="s">
        <v>642</v>
      </c>
      <c r="BA94" s="60" t="s">
        <v>647</v>
      </c>
      <c r="BC94" s="68">
        <f t="shared" si="42"/>
        <v>0</v>
      </c>
      <c r="BD94" s="68">
        <f t="shared" si="43"/>
        <v>0</v>
      </c>
      <c r="BE94" s="68">
        <v>0</v>
      </c>
      <c r="BF94" s="68">
        <f t="shared" si="44"/>
        <v>0.0044399999999999995</v>
      </c>
      <c r="BH94" s="50">
        <f t="shared" si="45"/>
        <v>0</v>
      </c>
      <c r="BI94" s="50">
        <f t="shared" si="46"/>
        <v>0</v>
      </c>
      <c r="BJ94" s="50">
        <f t="shared" si="47"/>
        <v>0</v>
      </c>
      <c r="BK94" s="50" t="s">
        <v>652</v>
      </c>
      <c r="BL94" s="68">
        <v>722</v>
      </c>
    </row>
    <row r="95" spans="1:64" ht="12.75">
      <c r="A95" s="86" t="s">
        <v>112</v>
      </c>
      <c r="B95" s="86"/>
      <c r="C95" s="86" t="s">
        <v>255</v>
      </c>
      <c r="D95" s="183" t="s">
        <v>440</v>
      </c>
      <c r="E95" s="184"/>
      <c r="F95" s="86" t="s">
        <v>586</v>
      </c>
      <c r="G95" s="87">
        <v>12.7</v>
      </c>
      <c r="H95" s="118"/>
      <c r="I95" s="87">
        <f t="shared" si="24"/>
        <v>0</v>
      </c>
      <c r="J95" s="87">
        <f t="shared" si="25"/>
        <v>0</v>
      </c>
      <c r="K95" s="87">
        <f t="shared" si="26"/>
        <v>0</v>
      </c>
      <c r="L95" s="87">
        <v>7E-05</v>
      </c>
      <c r="M95" s="87">
        <f t="shared" si="27"/>
        <v>0.0008889999999999999</v>
      </c>
      <c r="N95" s="84" t="s">
        <v>606</v>
      </c>
      <c r="O95" s="77"/>
      <c r="Z95" s="68">
        <f t="shared" si="28"/>
        <v>0</v>
      </c>
      <c r="AB95" s="68">
        <f t="shared" si="29"/>
        <v>0</v>
      </c>
      <c r="AC95" s="68">
        <f t="shared" si="30"/>
        <v>0</v>
      </c>
      <c r="AD95" s="68">
        <f t="shared" si="31"/>
        <v>0</v>
      </c>
      <c r="AE95" s="68">
        <f t="shared" si="32"/>
        <v>0</v>
      </c>
      <c r="AF95" s="68">
        <f t="shared" si="33"/>
        <v>0</v>
      </c>
      <c r="AG95" s="68">
        <f t="shared" si="34"/>
        <v>0</v>
      </c>
      <c r="AH95" s="68">
        <f t="shared" si="35"/>
        <v>0</v>
      </c>
      <c r="AI95" s="60"/>
      <c r="AJ95" s="50">
        <f t="shared" si="36"/>
        <v>0</v>
      </c>
      <c r="AK95" s="50">
        <f t="shared" si="37"/>
        <v>0</v>
      </c>
      <c r="AL95" s="50">
        <f t="shared" si="38"/>
        <v>0</v>
      </c>
      <c r="AN95" s="68">
        <v>15</v>
      </c>
      <c r="AO95" s="68">
        <f>H95*0.448558558558559</f>
        <v>0</v>
      </c>
      <c r="AP95" s="68">
        <f>H95*(1-0.448558558558559)</f>
        <v>0</v>
      </c>
      <c r="AQ95" s="69" t="s">
        <v>79</v>
      </c>
      <c r="AV95" s="68">
        <f t="shared" si="39"/>
        <v>0</v>
      </c>
      <c r="AW95" s="68">
        <f t="shared" si="40"/>
        <v>0</v>
      </c>
      <c r="AX95" s="68">
        <f t="shared" si="41"/>
        <v>0</v>
      </c>
      <c r="AY95" s="71" t="s">
        <v>623</v>
      </c>
      <c r="AZ95" s="71" t="s">
        <v>642</v>
      </c>
      <c r="BA95" s="60" t="s">
        <v>647</v>
      </c>
      <c r="BC95" s="68">
        <f t="shared" si="42"/>
        <v>0</v>
      </c>
      <c r="BD95" s="68">
        <f t="shared" si="43"/>
        <v>0</v>
      </c>
      <c r="BE95" s="68">
        <v>0</v>
      </c>
      <c r="BF95" s="68">
        <f t="shared" si="44"/>
        <v>0.0008889999999999999</v>
      </c>
      <c r="BH95" s="50">
        <f t="shared" si="45"/>
        <v>0</v>
      </c>
      <c r="BI95" s="50">
        <f t="shared" si="46"/>
        <v>0</v>
      </c>
      <c r="BJ95" s="50">
        <f t="shared" si="47"/>
        <v>0</v>
      </c>
      <c r="BK95" s="50" t="s">
        <v>652</v>
      </c>
      <c r="BL95" s="68">
        <v>722</v>
      </c>
    </row>
    <row r="96" spans="1:64" ht="12.75">
      <c r="A96" s="86" t="s">
        <v>113</v>
      </c>
      <c r="B96" s="86"/>
      <c r="C96" s="86" t="s">
        <v>256</v>
      </c>
      <c r="D96" s="183" t="s">
        <v>441</v>
      </c>
      <c r="E96" s="184"/>
      <c r="F96" s="86" t="s">
        <v>587</v>
      </c>
      <c r="G96" s="87">
        <v>5</v>
      </c>
      <c r="H96" s="118"/>
      <c r="I96" s="87">
        <f t="shared" si="24"/>
        <v>0</v>
      </c>
      <c r="J96" s="87">
        <f t="shared" si="25"/>
        <v>0</v>
      </c>
      <c r="K96" s="87">
        <f t="shared" si="26"/>
        <v>0</v>
      </c>
      <c r="L96" s="87">
        <v>0</v>
      </c>
      <c r="M96" s="87">
        <f t="shared" si="27"/>
        <v>0</v>
      </c>
      <c r="N96" s="84" t="s">
        <v>606</v>
      </c>
      <c r="O96" s="77"/>
      <c r="Z96" s="68">
        <f t="shared" si="28"/>
        <v>0</v>
      </c>
      <c r="AB96" s="68">
        <f t="shared" si="29"/>
        <v>0</v>
      </c>
      <c r="AC96" s="68">
        <f t="shared" si="30"/>
        <v>0</v>
      </c>
      <c r="AD96" s="68">
        <f t="shared" si="31"/>
        <v>0</v>
      </c>
      <c r="AE96" s="68">
        <f t="shared" si="32"/>
        <v>0</v>
      </c>
      <c r="AF96" s="68">
        <f t="shared" si="33"/>
        <v>0</v>
      </c>
      <c r="AG96" s="68">
        <f t="shared" si="34"/>
        <v>0</v>
      </c>
      <c r="AH96" s="68">
        <f t="shared" si="35"/>
        <v>0</v>
      </c>
      <c r="AI96" s="60"/>
      <c r="AJ96" s="50">
        <f t="shared" si="36"/>
        <v>0</v>
      </c>
      <c r="AK96" s="50">
        <f t="shared" si="37"/>
        <v>0</v>
      </c>
      <c r="AL96" s="50">
        <f t="shared" si="38"/>
        <v>0</v>
      </c>
      <c r="AN96" s="68">
        <v>15</v>
      </c>
      <c r="AO96" s="68">
        <f>H96*0</f>
        <v>0</v>
      </c>
      <c r="AP96" s="68">
        <f>H96*(1-0)</f>
        <v>0</v>
      </c>
      <c r="AQ96" s="69" t="s">
        <v>79</v>
      </c>
      <c r="AV96" s="68">
        <f t="shared" si="39"/>
        <v>0</v>
      </c>
      <c r="AW96" s="68">
        <f t="shared" si="40"/>
        <v>0</v>
      </c>
      <c r="AX96" s="68">
        <f t="shared" si="41"/>
        <v>0</v>
      </c>
      <c r="AY96" s="71" t="s">
        <v>623</v>
      </c>
      <c r="AZ96" s="71" t="s">
        <v>642</v>
      </c>
      <c r="BA96" s="60" t="s">
        <v>647</v>
      </c>
      <c r="BC96" s="68">
        <f t="shared" si="42"/>
        <v>0</v>
      </c>
      <c r="BD96" s="68">
        <f t="shared" si="43"/>
        <v>0</v>
      </c>
      <c r="BE96" s="68">
        <v>0</v>
      </c>
      <c r="BF96" s="68">
        <f t="shared" si="44"/>
        <v>0</v>
      </c>
      <c r="BH96" s="50">
        <f t="shared" si="45"/>
        <v>0</v>
      </c>
      <c r="BI96" s="50">
        <f t="shared" si="46"/>
        <v>0</v>
      </c>
      <c r="BJ96" s="50">
        <f t="shared" si="47"/>
        <v>0</v>
      </c>
      <c r="BK96" s="50" t="s">
        <v>652</v>
      </c>
      <c r="BL96" s="68">
        <v>722</v>
      </c>
    </row>
    <row r="97" spans="1:64" ht="12.75">
      <c r="A97" s="86" t="s">
        <v>114</v>
      </c>
      <c r="B97" s="86"/>
      <c r="C97" s="86" t="s">
        <v>257</v>
      </c>
      <c r="D97" s="183" t="s">
        <v>442</v>
      </c>
      <c r="E97" s="184"/>
      <c r="F97" s="86" t="s">
        <v>586</v>
      </c>
      <c r="G97" s="87">
        <v>12.7</v>
      </c>
      <c r="H97" s="118"/>
      <c r="I97" s="87">
        <f t="shared" si="24"/>
        <v>0</v>
      </c>
      <c r="J97" s="87">
        <f t="shared" si="25"/>
        <v>0</v>
      </c>
      <c r="K97" s="87">
        <f t="shared" si="26"/>
        <v>0</v>
      </c>
      <c r="L97" s="87">
        <v>1E-05</v>
      </c>
      <c r="M97" s="87">
        <f t="shared" si="27"/>
        <v>0.000127</v>
      </c>
      <c r="N97" s="84" t="s">
        <v>606</v>
      </c>
      <c r="O97" s="77"/>
      <c r="Z97" s="68">
        <f t="shared" si="28"/>
        <v>0</v>
      </c>
      <c r="AB97" s="68">
        <f t="shared" si="29"/>
        <v>0</v>
      </c>
      <c r="AC97" s="68">
        <f t="shared" si="30"/>
        <v>0</v>
      </c>
      <c r="AD97" s="68">
        <f t="shared" si="31"/>
        <v>0</v>
      </c>
      <c r="AE97" s="68">
        <f t="shared" si="32"/>
        <v>0</v>
      </c>
      <c r="AF97" s="68">
        <f t="shared" si="33"/>
        <v>0</v>
      </c>
      <c r="AG97" s="68">
        <f t="shared" si="34"/>
        <v>0</v>
      </c>
      <c r="AH97" s="68">
        <f t="shared" si="35"/>
        <v>0</v>
      </c>
      <c r="AI97" s="60"/>
      <c r="AJ97" s="50">
        <f t="shared" si="36"/>
        <v>0</v>
      </c>
      <c r="AK97" s="50">
        <f t="shared" si="37"/>
        <v>0</v>
      </c>
      <c r="AL97" s="50">
        <f t="shared" si="38"/>
        <v>0</v>
      </c>
      <c r="AN97" s="68">
        <v>15</v>
      </c>
      <c r="AO97" s="68">
        <f>H97*0.0501626394052045</f>
        <v>0</v>
      </c>
      <c r="AP97" s="68">
        <f>H97*(1-0.0501626394052045)</f>
        <v>0</v>
      </c>
      <c r="AQ97" s="69" t="s">
        <v>79</v>
      </c>
      <c r="AV97" s="68">
        <f t="shared" si="39"/>
        <v>0</v>
      </c>
      <c r="AW97" s="68">
        <f t="shared" si="40"/>
        <v>0</v>
      </c>
      <c r="AX97" s="68">
        <f t="shared" si="41"/>
        <v>0</v>
      </c>
      <c r="AY97" s="71" t="s">
        <v>623</v>
      </c>
      <c r="AZ97" s="71" t="s">
        <v>642</v>
      </c>
      <c r="BA97" s="60" t="s">
        <v>647</v>
      </c>
      <c r="BC97" s="68">
        <f t="shared" si="42"/>
        <v>0</v>
      </c>
      <c r="BD97" s="68">
        <f t="shared" si="43"/>
        <v>0</v>
      </c>
      <c r="BE97" s="68">
        <v>0</v>
      </c>
      <c r="BF97" s="68">
        <f t="shared" si="44"/>
        <v>0.000127</v>
      </c>
      <c r="BH97" s="50">
        <f t="shared" si="45"/>
        <v>0</v>
      </c>
      <c r="BI97" s="50">
        <f t="shared" si="46"/>
        <v>0</v>
      </c>
      <c r="BJ97" s="50">
        <f t="shared" si="47"/>
        <v>0</v>
      </c>
      <c r="BK97" s="50" t="s">
        <v>652</v>
      </c>
      <c r="BL97" s="68">
        <v>722</v>
      </c>
    </row>
    <row r="98" spans="1:64" ht="12.75">
      <c r="A98" s="86" t="s">
        <v>115</v>
      </c>
      <c r="B98" s="86"/>
      <c r="C98" s="86" t="s">
        <v>258</v>
      </c>
      <c r="D98" s="183" t="s">
        <v>443</v>
      </c>
      <c r="E98" s="184"/>
      <c r="F98" s="86" t="s">
        <v>586</v>
      </c>
      <c r="G98" s="87">
        <v>12.7</v>
      </c>
      <c r="H98" s="118"/>
      <c r="I98" s="87">
        <f t="shared" si="24"/>
        <v>0</v>
      </c>
      <c r="J98" s="87">
        <f t="shared" si="25"/>
        <v>0</v>
      </c>
      <c r="K98" s="87">
        <f t="shared" si="26"/>
        <v>0</v>
      </c>
      <c r="L98" s="87">
        <v>0</v>
      </c>
      <c r="M98" s="87">
        <f t="shared" si="27"/>
        <v>0</v>
      </c>
      <c r="N98" s="84" t="s">
        <v>606</v>
      </c>
      <c r="O98" s="77"/>
      <c r="Z98" s="68">
        <f t="shared" si="28"/>
        <v>0</v>
      </c>
      <c r="AB98" s="68">
        <f t="shared" si="29"/>
        <v>0</v>
      </c>
      <c r="AC98" s="68">
        <f t="shared" si="30"/>
        <v>0</v>
      </c>
      <c r="AD98" s="68">
        <f t="shared" si="31"/>
        <v>0</v>
      </c>
      <c r="AE98" s="68">
        <f t="shared" si="32"/>
        <v>0</v>
      </c>
      <c r="AF98" s="68">
        <f t="shared" si="33"/>
        <v>0</v>
      </c>
      <c r="AG98" s="68">
        <f t="shared" si="34"/>
        <v>0</v>
      </c>
      <c r="AH98" s="68">
        <f t="shared" si="35"/>
        <v>0</v>
      </c>
      <c r="AI98" s="60"/>
      <c r="AJ98" s="50">
        <f t="shared" si="36"/>
        <v>0</v>
      </c>
      <c r="AK98" s="50">
        <f t="shared" si="37"/>
        <v>0</v>
      </c>
      <c r="AL98" s="50">
        <f t="shared" si="38"/>
        <v>0</v>
      </c>
      <c r="AN98" s="68">
        <v>15</v>
      </c>
      <c r="AO98" s="68">
        <f>H98*0.0137254901960784</f>
        <v>0</v>
      </c>
      <c r="AP98" s="68">
        <f>H98*(1-0.0137254901960784)</f>
        <v>0</v>
      </c>
      <c r="AQ98" s="69" t="s">
        <v>79</v>
      </c>
      <c r="AV98" s="68">
        <f t="shared" si="39"/>
        <v>0</v>
      </c>
      <c r="AW98" s="68">
        <f t="shared" si="40"/>
        <v>0</v>
      </c>
      <c r="AX98" s="68">
        <f t="shared" si="41"/>
        <v>0</v>
      </c>
      <c r="AY98" s="71" t="s">
        <v>623</v>
      </c>
      <c r="AZ98" s="71" t="s">
        <v>642</v>
      </c>
      <c r="BA98" s="60" t="s">
        <v>647</v>
      </c>
      <c r="BC98" s="68">
        <f t="shared" si="42"/>
        <v>0</v>
      </c>
      <c r="BD98" s="68">
        <f t="shared" si="43"/>
        <v>0</v>
      </c>
      <c r="BE98" s="68">
        <v>0</v>
      </c>
      <c r="BF98" s="68">
        <f t="shared" si="44"/>
        <v>0</v>
      </c>
      <c r="BH98" s="50">
        <f t="shared" si="45"/>
        <v>0</v>
      </c>
      <c r="BI98" s="50">
        <f t="shared" si="46"/>
        <v>0</v>
      </c>
      <c r="BJ98" s="50">
        <f t="shared" si="47"/>
        <v>0</v>
      </c>
      <c r="BK98" s="50" t="s">
        <v>652</v>
      </c>
      <c r="BL98" s="68">
        <v>722</v>
      </c>
    </row>
    <row r="99" spans="1:64" ht="12.75">
      <c r="A99" s="86" t="s">
        <v>116</v>
      </c>
      <c r="B99" s="86"/>
      <c r="C99" s="86" t="s">
        <v>259</v>
      </c>
      <c r="D99" s="183" t="s">
        <v>444</v>
      </c>
      <c r="E99" s="184"/>
      <c r="F99" s="86" t="s">
        <v>588</v>
      </c>
      <c r="G99" s="87">
        <v>0.032</v>
      </c>
      <c r="H99" s="118"/>
      <c r="I99" s="87">
        <f t="shared" si="24"/>
        <v>0</v>
      </c>
      <c r="J99" s="87">
        <f t="shared" si="25"/>
        <v>0</v>
      </c>
      <c r="K99" s="87">
        <f t="shared" si="26"/>
        <v>0</v>
      </c>
      <c r="L99" s="87">
        <v>0</v>
      </c>
      <c r="M99" s="87">
        <f t="shared" si="27"/>
        <v>0</v>
      </c>
      <c r="N99" s="84" t="s">
        <v>606</v>
      </c>
      <c r="O99" s="77"/>
      <c r="Z99" s="68">
        <f t="shared" si="28"/>
        <v>0</v>
      </c>
      <c r="AB99" s="68">
        <f t="shared" si="29"/>
        <v>0</v>
      </c>
      <c r="AC99" s="68">
        <f t="shared" si="30"/>
        <v>0</v>
      </c>
      <c r="AD99" s="68">
        <f t="shared" si="31"/>
        <v>0</v>
      </c>
      <c r="AE99" s="68">
        <f t="shared" si="32"/>
        <v>0</v>
      </c>
      <c r="AF99" s="68">
        <f t="shared" si="33"/>
        <v>0</v>
      </c>
      <c r="AG99" s="68">
        <f t="shared" si="34"/>
        <v>0</v>
      </c>
      <c r="AH99" s="68">
        <f t="shared" si="35"/>
        <v>0</v>
      </c>
      <c r="AI99" s="60"/>
      <c r="AJ99" s="50">
        <f t="shared" si="36"/>
        <v>0</v>
      </c>
      <c r="AK99" s="50">
        <f t="shared" si="37"/>
        <v>0</v>
      </c>
      <c r="AL99" s="50">
        <f t="shared" si="38"/>
        <v>0</v>
      </c>
      <c r="AN99" s="68">
        <v>15</v>
      </c>
      <c r="AO99" s="68">
        <f>H99*0</f>
        <v>0</v>
      </c>
      <c r="AP99" s="68">
        <f>H99*(1-0)</f>
        <v>0</v>
      </c>
      <c r="AQ99" s="69" t="s">
        <v>77</v>
      </c>
      <c r="AV99" s="68">
        <f t="shared" si="39"/>
        <v>0</v>
      </c>
      <c r="AW99" s="68">
        <f t="shared" si="40"/>
        <v>0</v>
      </c>
      <c r="AX99" s="68">
        <f t="shared" si="41"/>
        <v>0</v>
      </c>
      <c r="AY99" s="71" t="s">
        <v>623</v>
      </c>
      <c r="AZ99" s="71" t="s">
        <v>642</v>
      </c>
      <c r="BA99" s="60" t="s">
        <v>647</v>
      </c>
      <c r="BC99" s="68">
        <f t="shared" si="42"/>
        <v>0</v>
      </c>
      <c r="BD99" s="68">
        <f t="shared" si="43"/>
        <v>0</v>
      </c>
      <c r="BE99" s="68">
        <v>0</v>
      </c>
      <c r="BF99" s="68">
        <f t="shared" si="44"/>
        <v>0</v>
      </c>
      <c r="BH99" s="50">
        <f t="shared" si="45"/>
        <v>0</v>
      </c>
      <c r="BI99" s="50">
        <f t="shared" si="46"/>
        <v>0</v>
      </c>
      <c r="BJ99" s="50">
        <f t="shared" si="47"/>
        <v>0</v>
      </c>
      <c r="BK99" s="50" t="s">
        <v>652</v>
      </c>
      <c r="BL99" s="68">
        <v>722</v>
      </c>
    </row>
    <row r="100" spans="1:47" ht="12.75">
      <c r="A100" s="104"/>
      <c r="B100" s="105"/>
      <c r="C100" s="105" t="s">
        <v>260</v>
      </c>
      <c r="D100" s="199" t="s">
        <v>445</v>
      </c>
      <c r="E100" s="190"/>
      <c r="F100" s="104" t="s">
        <v>72</v>
      </c>
      <c r="G100" s="104" t="s">
        <v>72</v>
      </c>
      <c r="H100" s="104" t="s">
        <v>72</v>
      </c>
      <c r="I100" s="106">
        <f>SUM(I101:I131)</f>
        <v>0</v>
      </c>
      <c r="J100" s="106">
        <f>SUM(J101:J131)</f>
        <v>0</v>
      </c>
      <c r="K100" s="106">
        <f>SUM(K101:K131)</f>
        <v>0</v>
      </c>
      <c r="L100" s="107"/>
      <c r="M100" s="106">
        <f>SUM(M101:M131)</f>
        <v>0.2773</v>
      </c>
      <c r="N100" s="103"/>
      <c r="O100" s="77"/>
      <c r="AI100" s="60"/>
      <c r="AS100" s="74">
        <f>SUM(AJ101:AJ131)</f>
        <v>0</v>
      </c>
      <c r="AT100" s="74">
        <f>SUM(AK101:AK131)</f>
        <v>0</v>
      </c>
      <c r="AU100" s="74">
        <f>SUM(AL101:AL131)</f>
        <v>0</v>
      </c>
    </row>
    <row r="101" spans="1:64" ht="12.75">
      <c r="A101" s="86" t="s">
        <v>117</v>
      </c>
      <c r="B101" s="86"/>
      <c r="C101" s="86" t="s">
        <v>261</v>
      </c>
      <c r="D101" s="183" t="s">
        <v>446</v>
      </c>
      <c r="E101" s="184"/>
      <c r="F101" s="86" t="s">
        <v>590</v>
      </c>
      <c r="G101" s="87">
        <v>1</v>
      </c>
      <c r="H101" s="118"/>
      <c r="I101" s="87">
        <f aca="true" t="shared" si="48" ref="I101:I108">G101*AO101</f>
        <v>0</v>
      </c>
      <c r="J101" s="87">
        <f aca="true" t="shared" si="49" ref="J101:J108">G101*AP101</f>
        <v>0</v>
      </c>
      <c r="K101" s="87">
        <f aca="true" t="shared" si="50" ref="K101:K108">G101*H101</f>
        <v>0</v>
      </c>
      <c r="L101" s="87">
        <v>0.01933</v>
      </c>
      <c r="M101" s="87">
        <f aca="true" t="shared" si="51" ref="M101:M108">G101*L101</f>
        <v>0.01933</v>
      </c>
      <c r="N101" s="84" t="s">
        <v>606</v>
      </c>
      <c r="O101" s="77"/>
      <c r="Z101" s="68">
        <f aca="true" t="shared" si="52" ref="Z101:Z108">IF(AQ101="5",BJ101,0)</f>
        <v>0</v>
      </c>
      <c r="AB101" s="68">
        <f aca="true" t="shared" si="53" ref="AB101:AB108">IF(AQ101="1",BH101,0)</f>
        <v>0</v>
      </c>
      <c r="AC101" s="68">
        <f aca="true" t="shared" si="54" ref="AC101:AC108">IF(AQ101="1",BI101,0)</f>
        <v>0</v>
      </c>
      <c r="AD101" s="68">
        <f aca="true" t="shared" si="55" ref="AD101:AD108">IF(AQ101="7",BH101,0)</f>
        <v>0</v>
      </c>
      <c r="AE101" s="68">
        <f aca="true" t="shared" si="56" ref="AE101:AE108">IF(AQ101="7",BI101,0)</f>
        <v>0</v>
      </c>
      <c r="AF101" s="68">
        <f aca="true" t="shared" si="57" ref="AF101:AF108">IF(AQ101="2",BH101,0)</f>
        <v>0</v>
      </c>
      <c r="AG101" s="68">
        <f aca="true" t="shared" si="58" ref="AG101:AG108">IF(AQ101="2",BI101,0)</f>
        <v>0</v>
      </c>
      <c r="AH101" s="68">
        <f aca="true" t="shared" si="59" ref="AH101:AH108">IF(AQ101="0",BJ101,0)</f>
        <v>0</v>
      </c>
      <c r="AI101" s="60"/>
      <c r="AJ101" s="50">
        <f aca="true" t="shared" si="60" ref="AJ101:AJ108">IF(AN101=0,K101,0)</f>
        <v>0</v>
      </c>
      <c r="AK101" s="50">
        <f aca="true" t="shared" si="61" ref="AK101:AK108">IF(AN101=15,K101,0)</f>
        <v>0</v>
      </c>
      <c r="AL101" s="50">
        <f aca="true" t="shared" si="62" ref="AL101:AL108">IF(AN101=21,K101,0)</f>
        <v>0</v>
      </c>
      <c r="AN101" s="68">
        <v>15</v>
      </c>
      <c r="AO101" s="68">
        <f aca="true" t="shared" si="63" ref="AO101:AO108">H101*0</f>
        <v>0</v>
      </c>
      <c r="AP101" s="68">
        <f aca="true" t="shared" si="64" ref="AP101:AP108">H101*(1-0)</f>
        <v>0</v>
      </c>
      <c r="AQ101" s="69" t="s">
        <v>79</v>
      </c>
      <c r="AV101" s="68">
        <f aca="true" t="shared" si="65" ref="AV101:AV108">AW101+AX101</f>
        <v>0</v>
      </c>
      <c r="AW101" s="68">
        <f aca="true" t="shared" si="66" ref="AW101:AW108">G101*AO101</f>
        <v>0</v>
      </c>
      <c r="AX101" s="68">
        <f aca="true" t="shared" si="67" ref="AX101:AX108">G101*AP101</f>
        <v>0</v>
      </c>
      <c r="AY101" s="71" t="s">
        <v>624</v>
      </c>
      <c r="AZ101" s="71" t="s">
        <v>642</v>
      </c>
      <c r="BA101" s="60" t="s">
        <v>647</v>
      </c>
      <c r="BC101" s="68">
        <f aca="true" t="shared" si="68" ref="BC101:BC108">AW101+AX101</f>
        <v>0</v>
      </c>
      <c r="BD101" s="68">
        <f aca="true" t="shared" si="69" ref="BD101:BD108">H101/(100-BE101)*100</f>
        <v>0</v>
      </c>
      <c r="BE101" s="68">
        <v>0</v>
      </c>
      <c r="BF101" s="68">
        <f aca="true" t="shared" si="70" ref="BF101:BF108">M101</f>
        <v>0.01933</v>
      </c>
      <c r="BH101" s="50">
        <f aca="true" t="shared" si="71" ref="BH101:BH108">G101*AO101</f>
        <v>0</v>
      </c>
      <c r="BI101" s="50">
        <f aca="true" t="shared" si="72" ref="BI101:BI108">G101*AP101</f>
        <v>0</v>
      </c>
      <c r="BJ101" s="50">
        <f aca="true" t="shared" si="73" ref="BJ101:BJ108">G101*H101</f>
        <v>0</v>
      </c>
      <c r="BK101" s="50" t="s">
        <v>652</v>
      </c>
      <c r="BL101" s="68">
        <v>725</v>
      </c>
    </row>
    <row r="102" spans="1:64" ht="12.75">
      <c r="A102" s="86" t="s">
        <v>118</v>
      </c>
      <c r="B102" s="86"/>
      <c r="C102" s="86" t="s">
        <v>262</v>
      </c>
      <c r="D102" s="183" t="s">
        <v>447</v>
      </c>
      <c r="E102" s="184"/>
      <c r="F102" s="86" t="s">
        <v>590</v>
      </c>
      <c r="G102" s="87">
        <v>1</v>
      </c>
      <c r="H102" s="118"/>
      <c r="I102" s="87">
        <f t="shared" si="48"/>
        <v>0</v>
      </c>
      <c r="J102" s="87">
        <f t="shared" si="49"/>
        <v>0</v>
      </c>
      <c r="K102" s="87">
        <f t="shared" si="50"/>
        <v>0</v>
      </c>
      <c r="L102" s="87">
        <v>0.01946</v>
      </c>
      <c r="M102" s="87">
        <f t="shared" si="51"/>
        <v>0.01946</v>
      </c>
      <c r="N102" s="84" t="s">
        <v>606</v>
      </c>
      <c r="O102" s="77"/>
      <c r="Z102" s="68">
        <f t="shared" si="52"/>
        <v>0</v>
      </c>
      <c r="AB102" s="68">
        <f t="shared" si="53"/>
        <v>0</v>
      </c>
      <c r="AC102" s="68">
        <f t="shared" si="54"/>
        <v>0</v>
      </c>
      <c r="AD102" s="68">
        <f t="shared" si="55"/>
        <v>0</v>
      </c>
      <c r="AE102" s="68">
        <f t="shared" si="56"/>
        <v>0</v>
      </c>
      <c r="AF102" s="68">
        <f t="shared" si="57"/>
        <v>0</v>
      </c>
      <c r="AG102" s="68">
        <f t="shared" si="58"/>
        <v>0</v>
      </c>
      <c r="AH102" s="68">
        <f t="shared" si="59"/>
        <v>0</v>
      </c>
      <c r="AI102" s="60"/>
      <c r="AJ102" s="50">
        <f t="shared" si="60"/>
        <v>0</v>
      </c>
      <c r="AK102" s="50">
        <f t="shared" si="61"/>
        <v>0</v>
      </c>
      <c r="AL102" s="50">
        <f t="shared" si="62"/>
        <v>0</v>
      </c>
      <c r="AN102" s="68">
        <v>15</v>
      </c>
      <c r="AO102" s="68">
        <f t="shared" si="63"/>
        <v>0</v>
      </c>
      <c r="AP102" s="68">
        <f t="shared" si="64"/>
        <v>0</v>
      </c>
      <c r="AQ102" s="69" t="s">
        <v>79</v>
      </c>
      <c r="AV102" s="68">
        <f t="shared" si="65"/>
        <v>0</v>
      </c>
      <c r="AW102" s="68">
        <f t="shared" si="66"/>
        <v>0</v>
      </c>
      <c r="AX102" s="68">
        <f t="shared" si="67"/>
        <v>0</v>
      </c>
      <c r="AY102" s="71" t="s">
        <v>624</v>
      </c>
      <c r="AZ102" s="71" t="s">
        <v>642</v>
      </c>
      <c r="BA102" s="60" t="s">
        <v>647</v>
      </c>
      <c r="BC102" s="68">
        <f t="shared" si="68"/>
        <v>0</v>
      </c>
      <c r="BD102" s="68">
        <f t="shared" si="69"/>
        <v>0</v>
      </c>
      <c r="BE102" s="68">
        <v>0</v>
      </c>
      <c r="BF102" s="68">
        <f t="shared" si="70"/>
        <v>0.01946</v>
      </c>
      <c r="BH102" s="50">
        <f t="shared" si="71"/>
        <v>0</v>
      </c>
      <c r="BI102" s="50">
        <f t="shared" si="72"/>
        <v>0</v>
      </c>
      <c r="BJ102" s="50">
        <f t="shared" si="73"/>
        <v>0</v>
      </c>
      <c r="BK102" s="50" t="s">
        <v>652</v>
      </c>
      <c r="BL102" s="68">
        <v>725</v>
      </c>
    </row>
    <row r="103" spans="1:64" ht="12.75">
      <c r="A103" s="86" t="s">
        <v>119</v>
      </c>
      <c r="B103" s="86"/>
      <c r="C103" s="86" t="s">
        <v>263</v>
      </c>
      <c r="D103" s="183" t="s">
        <v>448</v>
      </c>
      <c r="E103" s="184"/>
      <c r="F103" s="86" t="s">
        <v>587</v>
      </c>
      <c r="G103" s="87">
        <v>1</v>
      </c>
      <c r="H103" s="118"/>
      <c r="I103" s="87">
        <f t="shared" si="48"/>
        <v>0</v>
      </c>
      <c r="J103" s="87">
        <f t="shared" si="49"/>
        <v>0</v>
      </c>
      <c r="K103" s="87">
        <f t="shared" si="50"/>
        <v>0</v>
      </c>
      <c r="L103" s="87">
        <v>0.00225</v>
      </c>
      <c r="M103" s="87">
        <f t="shared" si="51"/>
        <v>0.00225</v>
      </c>
      <c r="N103" s="84" t="s">
        <v>606</v>
      </c>
      <c r="O103" s="77"/>
      <c r="Z103" s="68">
        <f t="shared" si="52"/>
        <v>0</v>
      </c>
      <c r="AB103" s="68">
        <f t="shared" si="53"/>
        <v>0</v>
      </c>
      <c r="AC103" s="68">
        <f t="shared" si="54"/>
        <v>0</v>
      </c>
      <c r="AD103" s="68">
        <f t="shared" si="55"/>
        <v>0</v>
      </c>
      <c r="AE103" s="68">
        <f t="shared" si="56"/>
        <v>0</v>
      </c>
      <c r="AF103" s="68">
        <f t="shared" si="57"/>
        <v>0</v>
      </c>
      <c r="AG103" s="68">
        <f t="shared" si="58"/>
        <v>0</v>
      </c>
      <c r="AH103" s="68">
        <f t="shared" si="59"/>
        <v>0</v>
      </c>
      <c r="AI103" s="60"/>
      <c r="AJ103" s="50">
        <f t="shared" si="60"/>
        <v>0</v>
      </c>
      <c r="AK103" s="50">
        <f t="shared" si="61"/>
        <v>0</v>
      </c>
      <c r="AL103" s="50">
        <f t="shared" si="62"/>
        <v>0</v>
      </c>
      <c r="AN103" s="68">
        <v>15</v>
      </c>
      <c r="AO103" s="68">
        <f t="shared" si="63"/>
        <v>0</v>
      </c>
      <c r="AP103" s="68">
        <f t="shared" si="64"/>
        <v>0</v>
      </c>
      <c r="AQ103" s="69" t="s">
        <v>79</v>
      </c>
      <c r="AV103" s="68">
        <f t="shared" si="65"/>
        <v>0</v>
      </c>
      <c r="AW103" s="68">
        <f t="shared" si="66"/>
        <v>0</v>
      </c>
      <c r="AX103" s="68">
        <f t="shared" si="67"/>
        <v>0</v>
      </c>
      <c r="AY103" s="71" t="s">
        <v>624</v>
      </c>
      <c r="AZ103" s="71" t="s">
        <v>642</v>
      </c>
      <c r="BA103" s="60" t="s">
        <v>647</v>
      </c>
      <c r="BC103" s="68">
        <f t="shared" si="68"/>
        <v>0</v>
      </c>
      <c r="BD103" s="68">
        <f t="shared" si="69"/>
        <v>0</v>
      </c>
      <c r="BE103" s="68">
        <v>0</v>
      </c>
      <c r="BF103" s="68">
        <f t="shared" si="70"/>
        <v>0.00225</v>
      </c>
      <c r="BH103" s="50">
        <f t="shared" si="71"/>
        <v>0</v>
      </c>
      <c r="BI103" s="50">
        <f t="shared" si="72"/>
        <v>0</v>
      </c>
      <c r="BJ103" s="50">
        <f t="shared" si="73"/>
        <v>0</v>
      </c>
      <c r="BK103" s="50" t="s">
        <v>652</v>
      </c>
      <c r="BL103" s="68">
        <v>725</v>
      </c>
    </row>
    <row r="104" spans="1:64" ht="12.75">
      <c r="A104" s="86" t="s">
        <v>120</v>
      </c>
      <c r="B104" s="86"/>
      <c r="C104" s="86" t="s">
        <v>264</v>
      </c>
      <c r="D104" s="183" t="s">
        <v>449</v>
      </c>
      <c r="E104" s="184"/>
      <c r="F104" s="86" t="s">
        <v>590</v>
      </c>
      <c r="G104" s="87">
        <v>1</v>
      </c>
      <c r="H104" s="118"/>
      <c r="I104" s="87">
        <f t="shared" si="48"/>
        <v>0</v>
      </c>
      <c r="J104" s="87">
        <f t="shared" si="49"/>
        <v>0</v>
      </c>
      <c r="K104" s="87">
        <f t="shared" si="50"/>
        <v>0</v>
      </c>
      <c r="L104" s="87">
        <v>0.00086</v>
      </c>
      <c r="M104" s="87">
        <f t="shared" si="51"/>
        <v>0.00086</v>
      </c>
      <c r="N104" s="84" t="s">
        <v>606</v>
      </c>
      <c r="O104" s="77"/>
      <c r="Z104" s="68">
        <f t="shared" si="52"/>
        <v>0</v>
      </c>
      <c r="AB104" s="68">
        <f t="shared" si="53"/>
        <v>0</v>
      </c>
      <c r="AC104" s="68">
        <f t="shared" si="54"/>
        <v>0</v>
      </c>
      <c r="AD104" s="68">
        <f t="shared" si="55"/>
        <v>0</v>
      </c>
      <c r="AE104" s="68">
        <f t="shared" si="56"/>
        <v>0</v>
      </c>
      <c r="AF104" s="68">
        <f t="shared" si="57"/>
        <v>0</v>
      </c>
      <c r="AG104" s="68">
        <f t="shared" si="58"/>
        <v>0</v>
      </c>
      <c r="AH104" s="68">
        <f t="shared" si="59"/>
        <v>0</v>
      </c>
      <c r="AI104" s="60"/>
      <c r="AJ104" s="50">
        <f t="shared" si="60"/>
        <v>0</v>
      </c>
      <c r="AK104" s="50">
        <f t="shared" si="61"/>
        <v>0</v>
      </c>
      <c r="AL104" s="50">
        <f t="shared" si="62"/>
        <v>0</v>
      </c>
      <c r="AN104" s="68">
        <v>15</v>
      </c>
      <c r="AO104" s="68">
        <f t="shared" si="63"/>
        <v>0</v>
      </c>
      <c r="AP104" s="68">
        <f t="shared" si="64"/>
        <v>0</v>
      </c>
      <c r="AQ104" s="69" t="s">
        <v>79</v>
      </c>
      <c r="AV104" s="68">
        <f t="shared" si="65"/>
        <v>0</v>
      </c>
      <c r="AW104" s="68">
        <f t="shared" si="66"/>
        <v>0</v>
      </c>
      <c r="AX104" s="68">
        <f t="shared" si="67"/>
        <v>0</v>
      </c>
      <c r="AY104" s="71" t="s">
        <v>624</v>
      </c>
      <c r="AZ104" s="71" t="s">
        <v>642</v>
      </c>
      <c r="BA104" s="60" t="s">
        <v>647</v>
      </c>
      <c r="BC104" s="68">
        <f t="shared" si="68"/>
        <v>0</v>
      </c>
      <c r="BD104" s="68">
        <f t="shared" si="69"/>
        <v>0</v>
      </c>
      <c r="BE104" s="68">
        <v>0</v>
      </c>
      <c r="BF104" s="68">
        <f t="shared" si="70"/>
        <v>0.00086</v>
      </c>
      <c r="BH104" s="50">
        <f t="shared" si="71"/>
        <v>0</v>
      </c>
      <c r="BI104" s="50">
        <f t="shared" si="72"/>
        <v>0</v>
      </c>
      <c r="BJ104" s="50">
        <f t="shared" si="73"/>
        <v>0</v>
      </c>
      <c r="BK104" s="50" t="s">
        <v>652</v>
      </c>
      <c r="BL104" s="68">
        <v>725</v>
      </c>
    </row>
    <row r="105" spans="1:64" ht="12.75">
      <c r="A105" s="86" t="s">
        <v>121</v>
      </c>
      <c r="B105" s="86"/>
      <c r="C105" s="86" t="s">
        <v>265</v>
      </c>
      <c r="D105" s="183" t="s">
        <v>450</v>
      </c>
      <c r="E105" s="184"/>
      <c r="F105" s="86" t="s">
        <v>587</v>
      </c>
      <c r="G105" s="87">
        <v>3</v>
      </c>
      <c r="H105" s="118"/>
      <c r="I105" s="87">
        <f t="shared" si="48"/>
        <v>0</v>
      </c>
      <c r="J105" s="87">
        <f t="shared" si="49"/>
        <v>0</v>
      </c>
      <c r="K105" s="87">
        <f t="shared" si="50"/>
        <v>0</v>
      </c>
      <c r="L105" s="87">
        <v>0.00085</v>
      </c>
      <c r="M105" s="87">
        <f t="shared" si="51"/>
        <v>0.0025499999999999997</v>
      </c>
      <c r="N105" s="84" t="s">
        <v>606</v>
      </c>
      <c r="O105" s="77"/>
      <c r="Z105" s="68">
        <f t="shared" si="52"/>
        <v>0</v>
      </c>
      <c r="AB105" s="68">
        <f t="shared" si="53"/>
        <v>0</v>
      </c>
      <c r="AC105" s="68">
        <f t="shared" si="54"/>
        <v>0</v>
      </c>
      <c r="AD105" s="68">
        <f t="shared" si="55"/>
        <v>0</v>
      </c>
      <c r="AE105" s="68">
        <f t="shared" si="56"/>
        <v>0</v>
      </c>
      <c r="AF105" s="68">
        <f t="shared" si="57"/>
        <v>0</v>
      </c>
      <c r="AG105" s="68">
        <f t="shared" si="58"/>
        <v>0</v>
      </c>
      <c r="AH105" s="68">
        <f t="shared" si="59"/>
        <v>0</v>
      </c>
      <c r="AI105" s="60"/>
      <c r="AJ105" s="50">
        <f t="shared" si="60"/>
        <v>0</v>
      </c>
      <c r="AK105" s="50">
        <f t="shared" si="61"/>
        <v>0</v>
      </c>
      <c r="AL105" s="50">
        <f t="shared" si="62"/>
        <v>0</v>
      </c>
      <c r="AN105" s="68">
        <v>15</v>
      </c>
      <c r="AO105" s="68">
        <f t="shared" si="63"/>
        <v>0</v>
      </c>
      <c r="AP105" s="68">
        <f t="shared" si="64"/>
        <v>0</v>
      </c>
      <c r="AQ105" s="69" t="s">
        <v>79</v>
      </c>
      <c r="AV105" s="68">
        <f t="shared" si="65"/>
        <v>0</v>
      </c>
      <c r="AW105" s="68">
        <f t="shared" si="66"/>
        <v>0</v>
      </c>
      <c r="AX105" s="68">
        <f t="shared" si="67"/>
        <v>0</v>
      </c>
      <c r="AY105" s="71" t="s">
        <v>624</v>
      </c>
      <c r="AZ105" s="71" t="s">
        <v>642</v>
      </c>
      <c r="BA105" s="60" t="s">
        <v>647</v>
      </c>
      <c r="BC105" s="68">
        <f t="shared" si="68"/>
        <v>0</v>
      </c>
      <c r="BD105" s="68">
        <f t="shared" si="69"/>
        <v>0</v>
      </c>
      <c r="BE105" s="68">
        <v>0</v>
      </c>
      <c r="BF105" s="68">
        <f t="shared" si="70"/>
        <v>0.0025499999999999997</v>
      </c>
      <c r="BH105" s="50">
        <f t="shared" si="71"/>
        <v>0</v>
      </c>
      <c r="BI105" s="50">
        <f t="shared" si="72"/>
        <v>0</v>
      </c>
      <c r="BJ105" s="50">
        <f t="shared" si="73"/>
        <v>0</v>
      </c>
      <c r="BK105" s="50" t="s">
        <v>652</v>
      </c>
      <c r="BL105" s="68">
        <v>725</v>
      </c>
    </row>
    <row r="106" spans="1:64" ht="12.75">
      <c r="A106" s="86" t="s">
        <v>122</v>
      </c>
      <c r="B106" s="86"/>
      <c r="C106" s="86" t="s">
        <v>266</v>
      </c>
      <c r="D106" s="183" t="s">
        <v>451</v>
      </c>
      <c r="E106" s="184"/>
      <c r="F106" s="86" t="s">
        <v>590</v>
      </c>
      <c r="G106" s="87">
        <v>1</v>
      </c>
      <c r="H106" s="118"/>
      <c r="I106" s="87">
        <f t="shared" si="48"/>
        <v>0</v>
      </c>
      <c r="J106" s="87">
        <f t="shared" si="49"/>
        <v>0</v>
      </c>
      <c r="K106" s="87">
        <f t="shared" si="50"/>
        <v>0</v>
      </c>
      <c r="L106" s="87">
        <v>0.125</v>
      </c>
      <c r="M106" s="87">
        <f t="shared" si="51"/>
        <v>0.125</v>
      </c>
      <c r="N106" s="84" t="s">
        <v>606</v>
      </c>
      <c r="O106" s="77"/>
      <c r="Z106" s="68">
        <f t="shared" si="52"/>
        <v>0</v>
      </c>
      <c r="AB106" s="68">
        <f t="shared" si="53"/>
        <v>0</v>
      </c>
      <c r="AC106" s="68">
        <f t="shared" si="54"/>
        <v>0</v>
      </c>
      <c r="AD106" s="68">
        <f t="shared" si="55"/>
        <v>0</v>
      </c>
      <c r="AE106" s="68">
        <f t="shared" si="56"/>
        <v>0</v>
      </c>
      <c r="AF106" s="68">
        <f t="shared" si="57"/>
        <v>0</v>
      </c>
      <c r="AG106" s="68">
        <f t="shared" si="58"/>
        <v>0</v>
      </c>
      <c r="AH106" s="68">
        <f t="shared" si="59"/>
        <v>0</v>
      </c>
      <c r="AI106" s="60"/>
      <c r="AJ106" s="50">
        <f t="shared" si="60"/>
        <v>0</v>
      </c>
      <c r="AK106" s="50">
        <f t="shared" si="61"/>
        <v>0</v>
      </c>
      <c r="AL106" s="50">
        <f t="shared" si="62"/>
        <v>0</v>
      </c>
      <c r="AN106" s="68">
        <v>15</v>
      </c>
      <c r="AO106" s="68">
        <f t="shared" si="63"/>
        <v>0</v>
      </c>
      <c r="AP106" s="68">
        <f t="shared" si="64"/>
        <v>0</v>
      </c>
      <c r="AQ106" s="69" t="s">
        <v>79</v>
      </c>
      <c r="AV106" s="68">
        <f t="shared" si="65"/>
        <v>0</v>
      </c>
      <c r="AW106" s="68">
        <f t="shared" si="66"/>
        <v>0</v>
      </c>
      <c r="AX106" s="68">
        <f t="shared" si="67"/>
        <v>0</v>
      </c>
      <c r="AY106" s="71" t="s">
        <v>624</v>
      </c>
      <c r="AZ106" s="71" t="s">
        <v>642</v>
      </c>
      <c r="BA106" s="60" t="s">
        <v>647</v>
      </c>
      <c r="BC106" s="68">
        <f t="shared" si="68"/>
        <v>0</v>
      </c>
      <c r="BD106" s="68">
        <f t="shared" si="69"/>
        <v>0</v>
      </c>
      <c r="BE106" s="68">
        <v>0</v>
      </c>
      <c r="BF106" s="68">
        <f t="shared" si="70"/>
        <v>0.125</v>
      </c>
      <c r="BH106" s="50">
        <f t="shared" si="71"/>
        <v>0</v>
      </c>
      <c r="BI106" s="50">
        <f t="shared" si="72"/>
        <v>0</v>
      </c>
      <c r="BJ106" s="50">
        <f t="shared" si="73"/>
        <v>0</v>
      </c>
      <c r="BK106" s="50" t="s">
        <v>652</v>
      </c>
      <c r="BL106" s="68">
        <v>725</v>
      </c>
    </row>
    <row r="107" spans="1:64" ht="12.75">
      <c r="A107" s="86" t="s">
        <v>123</v>
      </c>
      <c r="B107" s="86"/>
      <c r="C107" s="86" t="s">
        <v>265</v>
      </c>
      <c r="D107" s="183" t="s">
        <v>450</v>
      </c>
      <c r="E107" s="184"/>
      <c r="F107" s="86" t="s">
        <v>587</v>
      </c>
      <c r="G107" s="87">
        <v>3</v>
      </c>
      <c r="H107" s="118"/>
      <c r="I107" s="87">
        <f t="shared" si="48"/>
        <v>0</v>
      </c>
      <c r="J107" s="87">
        <f t="shared" si="49"/>
        <v>0</v>
      </c>
      <c r="K107" s="87">
        <f t="shared" si="50"/>
        <v>0</v>
      </c>
      <c r="L107" s="87">
        <v>0.00085</v>
      </c>
      <c r="M107" s="87">
        <f t="shared" si="51"/>
        <v>0.0025499999999999997</v>
      </c>
      <c r="N107" s="84" t="s">
        <v>606</v>
      </c>
      <c r="O107" s="77"/>
      <c r="Z107" s="68">
        <f t="shared" si="52"/>
        <v>0</v>
      </c>
      <c r="AB107" s="68">
        <f t="shared" si="53"/>
        <v>0</v>
      </c>
      <c r="AC107" s="68">
        <f t="shared" si="54"/>
        <v>0</v>
      </c>
      <c r="AD107" s="68">
        <f t="shared" si="55"/>
        <v>0</v>
      </c>
      <c r="AE107" s="68">
        <f t="shared" si="56"/>
        <v>0</v>
      </c>
      <c r="AF107" s="68">
        <f t="shared" si="57"/>
        <v>0</v>
      </c>
      <c r="AG107" s="68">
        <f t="shared" si="58"/>
        <v>0</v>
      </c>
      <c r="AH107" s="68">
        <f t="shared" si="59"/>
        <v>0</v>
      </c>
      <c r="AI107" s="60"/>
      <c r="AJ107" s="50">
        <f t="shared" si="60"/>
        <v>0</v>
      </c>
      <c r="AK107" s="50">
        <f t="shared" si="61"/>
        <v>0</v>
      </c>
      <c r="AL107" s="50">
        <f t="shared" si="62"/>
        <v>0</v>
      </c>
      <c r="AN107" s="68">
        <v>15</v>
      </c>
      <c r="AO107" s="68">
        <f t="shared" si="63"/>
        <v>0</v>
      </c>
      <c r="AP107" s="68">
        <f t="shared" si="64"/>
        <v>0</v>
      </c>
      <c r="AQ107" s="69" t="s">
        <v>79</v>
      </c>
      <c r="AV107" s="68">
        <f t="shared" si="65"/>
        <v>0</v>
      </c>
      <c r="AW107" s="68">
        <f t="shared" si="66"/>
        <v>0</v>
      </c>
      <c r="AX107" s="68">
        <f t="shared" si="67"/>
        <v>0</v>
      </c>
      <c r="AY107" s="71" t="s">
        <v>624</v>
      </c>
      <c r="AZ107" s="71" t="s">
        <v>642</v>
      </c>
      <c r="BA107" s="60" t="s">
        <v>647</v>
      </c>
      <c r="BC107" s="68">
        <f t="shared" si="68"/>
        <v>0</v>
      </c>
      <c r="BD107" s="68">
        <f t="shared" si="69"/>
        <v>0</v>
      </c>
      <c r="BE107" s="68">
        <v>0</v>
      </c>
      <c r="BF107" s="68">
        <f t="shared" si="70"/>
        <v>0.0025499999999999997</v>
      </c>
      <c r="BH107" s="50">
        <f t="shared" si="71"/>
        <v>0</v>
      </c>
      <c r="BI107" s="50">
        <f t="shared" si="72"/>
        <v>0</v>
      </c>
      <c r="BJ107" s="50">
        <f t="shared" si="73"/>
        <v>0</v>
      </c>
      <c r="BK107" s="50" t="s">
        <v>652</v>
      </c>
      <c r="BL107" s="68">
        <v>725</v>
      </c>
    </row>
    <row r="108" spans="1:64" ht="12.75">
      <c r="A108" s="86" t="s">
        <v>124</v>
      </c>
      <c r="B108" s="86"/>
      <c r="C108" s="86" t="s">
        <v>267</v>
      </c>
      <c r="D108" s="183" t="s">
        <v>452</v>
      </c>
      <c r="E108" s="184"/>
      <c r="F108" s="86" t="s">
        <v>587</v>
      </c>
      <c r="G108" s="87">
        <v>2</v>
      </c>
      <c r="H108" s="118"/>
      <c r="I108" s="87">
        <f t="shared" si="48"/>
        <v>0</v>
      </c>
      <c r="J108" s="87">
        <f t="shared" si="49"/>
        <v>0</v>
      </c>
      <c r="K108" s="87">
        <f t="shared" si="50"/>
        <v>0</v>
      </c>
      <c r="L108" s="87">
        <v>0.005</v>
      </c>
      <c r="M108" s="87">
        <f t="shared" si="51"/>
        <v>0.01</v>
      </c>
      <c r="N108" s="84" t="s">
        <v>606</v>
      </c>
      <c r="O108" s="77"/>
      <c r="Z108" s="68">
        <f t="shared" si="52"/>
        <v>0</v>
      </c>
      <c r="AB108" s="68">
        <f t="shared" si="53"/>
        <v>0</v>
      </c>
      <c r="AC108" s="68">
        <f t="shared" si="54"/>
        <v>0</v>
      </c>
      <c r="AD108" s="68">
        <f t="shared" si="55"/>
        <v>0</v>
      </c>
      <c r="AE108" s="68">
        <f t="shared" si="56"/>
        <v>0</v>
      </c>
      <c r="AF108" s="68">
        <f t="shared" si="57"/>
        <v>0</v>
      </c>
      <c r="AG108" s="68">
        <f t="shared" si="58"/>
        <v>0</v>
      </c>
      <c r="AH108" s="68">
        <f t="shared" si="59"/>
        <v>0</v>
      </c>
      <c r="AI108" s="60"/>
      <c r="AJ108" s="50">
        <f t="shared" si="60"/>
        <v>0</v>
      </c>
      <c r="AK108" s="50">
        <f t="shared" si="61"/>
        <v>0</v>
      </c>
      <c r="AL108" s="50">
        <f t="shared" si="62"/>
        <v>0</v>
      </c>
      <c r="AN108" s="68">
        <v>15</v>
      </c>
      <c r="AO108" s="68">
        <f t="shared" si="63"/>
        <v>0</v>
      </c>
      <c r="AP108" s="68">
        <f t="shared" si="64"/>
        <v>0</v>
      </c>
      <c r="AQ108" s="69" t="s">
        <v>79</v>
      </c>
      <c r="AV108" s="68">
        <f t="shared" si="65"/>
        <v>0</v>
      </c>
      <c r="AW108" s="68">
        <f t="shared" si="66"/>
        <v>0</v>
      </c>
      <c r="AX108" s="68">
        <f t="shared" si="67"/>
        <v>0</v>
      </c>
      <c r="AY108" s="71" t="s">
        <v>624</v>
      </c>
      <c r="AZ108" s="71" t="s">
        <v>642</v>
      </c>
      <c r="BA108" s="60" t="s">
        <v>647</v>
      </c>
      <c r="BC108" s="68">
        <f t="shared" si="68"/>
        <v>0</v>
      </c>
      <c r="BD108" s="68">
        <f t="shared" si="69"/>
        <v>0</v>
      </c>
      <c r="BE108" s="68">
        <v>0</v>
      </c>
      <c r="BF108" s="68">
        <f t="shared" si="70"/>
        <v>0.01</v>
      </c>
      <c r="BH108" s="50">
        <f t="shared" si="71"/>
        <v>0</v>
      </c>
      <c r="BI108" s="50">
        <f t="shared" si="72"/>
        <v>0</v>
      </c>
      <c r="BJ108" s="50">
        <f t="shared" si="73"/>
        <v>0</v>
      </c>
      <c r="BK108" s="50" t="s">
        <v>652</v>
      </c>
      <c r="BL108" s="68">
        <v>725</v>
      </c>
    </row>
    <row r="109" spans="1:15" ht="12.75">
      <c r="A109" s="95"/>
      <c r="B109" s="96"/>
      <c r="C109" s="96"/>
      <c r="D109" s="97" t="s">
        <v>453</v>
      </c>
      <c r="E109" s="98"/>
      <c r="F109" s="96"/>
      <c r="G109" s="99">
        <v>0</v>
      </c>
      <c r="H109" s="96"/>
      <c r="I109" s="96"/>
      <c r="J109" s="96"/>
      <c r="K109" s="96"/>
      <c r="L109" s="96"/>
      <c r="M109" s="96"/>
      <c r="N109" s="88"/>
      <c r="O109" s="77"/>
    </row>
    <row r="110" spans="1:15" ht="12.75">
      <c r="A110" s="95"/>
      <c r="B110" s="96"/>
      <c r="C110" s="96"/>
      <c r="D110" s="97" t="s">
        <v>454</v>
      </c>
      <c r="E110" s="98"/>
      <c r="F110" s="96"/>
      <c r="G110" s="99">
        <v>0</v>
      </c>
      <c r="H110" s="96"/>
      <c r="I110" s="96"/>
      <c r="J110" s="96"/>
      <c r="K110" s="96"/>
      <c r="L110" s="96"/>
      <c r="M110" s="96"/>
      <c r="N110" s="88"/>
      <c r="O110" s="77"/>
    </row>
    <row r="111" spans="1:15" ht="12.75">
      <c r="A111" s="90"/>
      <c r="B111" s="91"/>
      <c r="C111" s="91"/>
      <c r="D111" s="92" t="s">
        <v>74</v>
      </c>
      <c r="E111" s="93"/>
      <c r="F111" s="91"/>
      <c r="G111" s="94">
        <v>2</v>
      </c>
      <c r="H111" s="91"/>
      <c r="I111" s="91"/>
      <c r="J111" s="91"/>
      <c r="K111" s="91"/>
      <c r="L111" s="91"/>
      <c r="M111" s="91"/>
      <c r="N111" s="89"/>
      <c r="O111" s="77"/>
    </row>
    <row r="112" spans="1:64" ht="12.75">
      <c r="A112" s="34" t="s">
        <v>125</v>
      </c>
      <c r="B112" s="41"/>
      <c r="C112" s="41" t="s">
        <v>268</v>
      </c>
      <c r="D112" s="187" t="s">
        <v>455</v>
      </c>
      <c r="E112" s="188"/>
      <c r="F112" s="41" t="s">
        <v>590</v>
      </c>
      <c r="G112" s="50">
        <v>1</v>
      </c>
      <c r="H112" s="117"/>
      <c r="I112" s="50">
        <f aca="true" t="shared" si="74" ref="I112:I131">G112*AO112</f>
        <v>0</v>
      </c>
      <c r="J112" s="50">
        <f aca="true" t="shared" si="75" ref="J112:J131">G112*AP112</f>
        <v>0</v>
      </c>
      <c r="K112" s="50">
        <f aca="true" t="shared" si="76" ref="K112:K131">G112*H112</f>
        <v>0</v>
      </c>
      <c r="L112" s="50">
        <v>0.00141</v>
      </c>
      <c r="M112" s="50">
        <f aca="true" t="shared" si="77" ref="M112:M131">G112*L112</f>
        <v>0.00141</v>
      </c>
      <c r="N112" s="65" t="s">
        <v>606</v>
      </c>
      <c r="O112" s="17"/>
      <c r="Z112" s="68">
        <f aca="true" t="shared" si="78" ref="Z112:Z131">IF(AQ112="5",BJ112,0)</f>
        <v>0</v>
      </c>
      <c r="AB112" s="68">
        <f aca="true" t="shared" si="79" ref="AB112:AB131">IF(AQ112="1",BH112,0)</f>
        <v>0</v>
      </c>
      <c r="AC112" s="68">
        <f aca="true" t="shared" si="80" ref="AC112:AC131">IF(AQ112="1",BI112,0)</f>
        <v>0</v>
      </c>
      <c r="AD112" s="68">
        <f aca="true" t="shared" si="81" ref="AD112:AD131">IF(AQ112="7",BH112,0)</f>
        <v>0</v>
      </c>
      <c r="AE112" s="68">
        <f aca="true" t="shared" si="82" ref="AE112:AE131">IF(AQ112="7",BI112,0)</f>
        <v>0</v>
      </c>
      <c r="AF112" s="68">
        <f aca="true" t="shared" si="83" ref="AF112:AF131">IF(AQ112="2",BH112,0)</f>
        <v>0</v>
      </c>
      <c r="AG112" s="68">
        <f aca="true" t="shared" si="84" ref="AG112:AG131">IF(AQ112="2",BI112,0)</f>
        <v>0</v>
      </c>
      <c r="AH112" s="68">
        <f aca="true" t="shared" si="85" ref="AH112:AH131">IF(AQ112="0",BJ112,0)</f>
        <v>0</v>
      </c>
      <c r="AI112" s="60"/>
      <c r="AJ112" s="50">
        <f aca="true" t="shared" si="86" ref="AJ112:AJ131">IF(AN112=0,K112,0)</f>
        <v>0</v>
      </c>
      <c r="AK112" s="50">
        <f aca="true" t="shared" si="87" ref="AK112:AK131">IF(AN112=15,K112,0)</f>
        <v>0</v>
      </c>
      <c r="AL112" s="50">
        <f aca="true" t="shared" si="88" ref="AL112:AL131">IF(AN112=21,K112,0)</f>
        <v>0</v>
      </c>
      <c r="AN112" s="68">
        <v>15</v>
      </c>
      <c r="AO112" s="68">
        <f>H112*0.115237556561086</f>
        <v>0</v>
      </c>
      <c r="AP112" s="68">
        <f>H112*(1-0.115237556561086)</f>
        <v>0</v>
      </c>
      <c r="AQ112" s="69" t="s">
        <v>79</v>
      </c>
      <c r="AV112" s="68">
        <f aca="true" t="shared" si="89" ref="AV112:AV131">AW112+AX112</f>
        <v>0</v>
      </c>
      <c r="AW112" s="68">
        <f aca="true" t="shared" si="90" ref="AW112:AW131">G112*AO112</f>
        <v>0</v>
      </c>
      <c r="AX112" s="68">
        <f aca="true" t="shared" si="91" ref="AX112:AX131">G112*AP112</f>
        <v>0</v>
      </c>
      <c r="AY112" s="71" t="s">
        <v>624</v>
      </c>
      <c r="AZ112" s="71" t="s">
        <v>642</v>
      </c>
      <c r="BA112" s="60" t="s">
        <v>647</v>
      </c>
      <c r="BC112" s="68">
        <f aca="true" t="shared" si="92" ref="BC112:BC131">AW112+AX112</f>
        <v>0</v>
      </c>
      <c r="BD112" s="68">
        <f aca="true" t="shared" si="93" ref="BD112:BD131">H112/(100-BE112)*100</f>
        <v>0</v>
      </c>
      <c r="BE112" s="68">
        <v>0</v>
      </c>
      <c r="BF112" s="68">
        <f aca="true" t="shared" si="94" ref="BF112:BF131">M112</f>
        <v>0.00141</v>
      </c>
      <c r="BH112" s="50">
        <f aca="true" t="shared" si="95" ref="BH112:BH131">G112*AO112</f>
        <v>0</v>
      </c>
      <c r="BI112" s="50">
        <f aca="true" t="shared" si="96" ref="BI112:BI131">G112*AP112</f>
        <v>0</v>
      </c>
      <c r="BJ112" s="50">
        <f aca="true" t="shared" si="97" ref="BJ112:BJ131">G112*H112</f>
        <v>0</v>
      </c>
      <c r="BK112" s="50" t="s">
        <v>652</v>
      </c>
      <c r="BL112" s="68">
        <v>725</v>
      </c>
    </row>
    <row r="113" spans="1:64" ht="12.75">
      <c r="A113" s="34" t="s">
        <v>126</v>
      </c>
      <c r="B113" s="41"/>
      <c r="C113" s="41" t="s">
        <v>269</v>
      </c>
      <c r="D113" s="187" t="s">
        <v>456</v>
      </c>
      <c r="E113" s="188"/>
      <c r="F113" s="41" t="s">
        <v>590</v>
      </c>
      <c r="G113" s="50">
        <v>1</v>
      </c>
      <c r="H113" s="117"/>
      <c r="I113" s="50">
        <f t="shared" si="74"/>
        <v>0</v>
      </c>
      <c r="J113" s="50">
        <f t="shared" si="75"/>
        <v>0</v>
      </c>
      <c r="K113" s="50">
        <f t="shared" si="76"/>
        <v>0</v>
      </c>
      <c r="L113" s="50">
        <v>0.01401</v>
      </c>
      <c r="M113" s="50">
        <f t="shared" si="77"/>
        <v>0.01401</v>
      </c>
      <c r="N113" s="65" t="s">
        <v>606</v>
      </c>
      <c r="O113" s="17"/>
      <c r="Z113" s="68">
        <f t="shared" si="78"/>
        <v>0</v>
      </c>
      <c r="AB113" s="68">
        <f t="shared" si="79"/>
        <v>0</v>
      </c>
      <c r="AC113" s="68">
        <f t="shared" si="80"/>
        <v>0</v>
      </c>
      <c r="AD113" s="68">
        <f t="shared" si="81"/>
        <v>0</v>
      </c>
      <c r="AE113" s="68">
        <f t="shared" si="82"/>
        <v>0</v>
      </c>
      <c r="AF113" s="68">
        <f t="shared" si="83"/>
        <v>0</v>
      </c>
      <c r="AG113" s="68">
        <f t="shared" si="84"/>
        <v>0</v>
      </c>
      <c r="AH113" s="68">
        <f t="shared" si="85"/>
        <v>0</v>
      </c>
      <c r="AI113" s="60"/>
      <c r="AJ113" s="50">
        <f t="shared" si="86"/>
        <v>0</v>
      </c>
      <c r="AK113" s="50">
        <f t="shared" si="87"/>
        <v>0</v>
      </c>
      <c r="AL113" s="50">
        <f t="shared" si="88"/>
        <v>0</v>
      </c>
      <c r="AN113" s="68">
        <v>15</v>
      </c>
      <c r="AO113" s="68">
        <f>H113*0.661334681496461</f>
        <v>0</v>
      </c>
      <c r="AP113" s="68">
        <f>H113*(1-0.661334681496461)</f>
        <v>0</v>
      </c>
      <c r="AQ113" s="69" t="s">
        <v>79</v>
      </c>
      <c r="AV113" s="68">
        <f t="shared" si="89"/>
        <v>0</v>
      </c>
      <c r="AW113" s="68">
        <f t="shared" si="90"/>
        <v>0</v>
      </c>
      <c r="AX113" s="68">
        <f t="shared" si="91"/>
        <v>0</v>
      </c>
      <c r="AY113" s="71" t="s">
        <v>624</v>
      </c>
      <c r="AZ113" s="71" t="s">
        <v>642</v>
      </c>
      <c r="BA113" s="60" t="s">
        <v>647</v>
      </c>
      <c r="BC113" s="68">
        <f t="shared" si="92"/>
        <v>0</v>
      </c>
      <c r="BD113" s="68">
        <f t="shared" si="93"/>
        <v>0</v>
      </c>
      <c r="BE113" s="68">
        <v>0</v>
      </c>
      <c r="BF113" s="68">
        <f t="shared" si="94"/>
        <v>0.01401</v>
      </c>
      <c r="BH113" s="50">
        <f t="shared" si="95"/>
        <v>0</v>
      </c>
      <c r="BI113" s="50">
        <f t="shared" si="96"/>
        <v>0</v>
      </c>
      <c r="BJ113" s="50">
        <f t="shared" si="97"/>
        <v>0</v>
      </c>
      <c r="BK113" s="50" t="s">
        <v>652</v>
      </c>
      <c r="BL113" s="68">
        <v>725</v>
      </c>
    </row>
    <row r="114" spans="1:64" ht="12.75">
      <c r="A114" s="34" t="s">
        <v>127</v>
      </c>
      <c r="B114" s="41"/>
      <c r="C114" s="41" t="s">
        <v>270</v>
      </c>
      <c r="D114" s="187" t="s">
        <v>457</v>
      </c>
      <c r="E114" s="188"/>
      <c r="F114" s="41" t="s">
        <v>587</v>
      </c>
      <c r="G114" s="50">
        <v>1</v>
      </c>
      <c r="H114" s="117"/>
      <c r="I114" s="50">
        <f t="shared" si="74"/>
        <v>0</v>
      </c>
      <c r="J114" s="50">
        <f t="shared" si="75"/>
        <v>0</v>
      </c>
      <c r="K114" s="50">
        <f t="shared" si="76"/>
        <v>0</v>
      </c>
      <c r="L114" s="50">
        <v>0.0002</v>
      </c>
      <c r="M114" s="50">
        <f t="shared" si="77"/>
        <v>0.0002</v>
      </c>
      <c r="N114" s="65" t="s">
        <v>606</v>
      </c>
      <c r="O114" s="17"/>
      <c r="Z114" s="68">
        <f t="shared" si="78"/>
        <v>0</v>
      </c>
      <c r="AB114" s="68">
        <f t="shared" si="79"/>
        <v>0</v>
      </c>
      <c r="AC114" s="68">
        <f t="shared" si="80"/>
        <v>0</v>
      </c>
      <c r="AD114" s="68">
        <f t="shared" si="81"/>
        <v>0</v>
      </c>
      <c r="AE114" s="68">
        <f t="shared" si="82"/>
        <v>0</v>
      </c>
      <c r="AF114" s="68">
        <f t="shared" si="83"/>
        <v>0</v>
      </c>
      <c r="AG114" s="68">
        <f t="shared" si="84"/>
        <v>0</v>
      </c>
      <c r="AH114" s="68">
        <f t="shared" si="85"/>
        <v>0</v>
      </c>
      <c r="AI114" s="60"/>
      <c r="AJ114" s="50">
        <f t="shared" si="86"/>
        <v>0</v>
      </c>
      <c r="AK114" s="50">
        <f t="shared" si="87"/>
        <v>0</v>
      </c>
      <c r="AL114" s="50">
        <f t="shared" si="88"/>
        <v>0</v>
      </c>
      <c r="AN114" s="68">
        <v>15</v>
      </c>
      <c r="AO114" s="68">
        <f>H114*0.673503836317136</f>
        <v>0</v>
      </c>
      <c r="AP114" s="68">
        <f>H114*(1-0.673503836317136)</f>
        <v>0</v>
      </c>
      <c r="AQ114" s="69" t="s">
        <v>79</v>
      </c>
      <c r="AV114" s="68">
        <f t="shared" si="89"/>
        <v>0</v>
      </c>
      <c r="AW114" s="68">
        <f t="shared" si="90"/>
        <v>0</v>
      </c>
      <c r="AX114" s="68">
        <f t="shared" si="91"/>
        <v>0</v>
      </c>
      <c r="AY114" s="71" t="s">
        <v>624</v>
      </c>
      <c r="AZ114" s="71" t="s">
        <v>642</v>
      </c>
      <c r="BA114" s="60" t="s">
        <v>647</v>
      </c>
      <c r="BC114" s="68">
        <f t="shared" si="92"/>
        <v>0</v>
      </c>
      <c r="BD114" s="68">
        <f t="shared" si="93"/>
        <v>0</v>
      </c>
      <c r="BE114" s="68">
        <v>0</v>
      </c>
      <c r="BF114" s="68">
        <f t="shared" si="94"/>
        <v>0.0002</v>
      </c>
      <c r="BH114" s="50">
        <f t="shared" si="95"/>
        <v>0</v>
      </c>
      <c r="BI114" s="50">
        <f t="shared" si="96"/>
        <v>0</v>
      </c>
      <c r="BJ114" s="50">
        <f t="shared" si="97"/>
        <v>0</v>
      </c>
      <c r="BK114" s="50" t="s">
        <v>652</v>
      </c>
      <c r="BL114" s="68">
        <v>725</v>
      </c>
    </row>
    <row r="115" spans="1:64" ht="12.75">
      <c r="A115" s="34" t="s">
        <v>128</v>
      </c>
      <c r="B115" s="41"/>
      <c r="C115" s="41" t="s">
        <v>271</v>
      </c>
      <c r="D115" s="187" t="s">
        <v>458</v>
      </c>
      <c r="E115" s="188"/>
      <c r="F115" s="41" t="s">
        <v>587</v>
      </c>
      <c r="G115" s="50">
        <v>1</v>
      </c>
      <c r="H115" s="117"/>
      <c r="I115" s="50">
        <f t="shared" si="74"/>
        <v>0</v>
      </c>
      <c r="J115" s="50">
        <f t="shared" si="75"/>
        <v>0</v>
      </c>
      <c r="K115" s="50">
        <f t="shared" si="76"/>
        <v>0</v>
      </c>
      <c r="L115" s="50">
        <v>0.00041</v>
      </c>
      <c r="M115" s="50">
        <f t="shared" si="77"/>
        <v>0.00041</v>
      </c>
      <c r="N115" s="65" t="s">
        <v>606</v>
      </c>
      <c r="O115" s="17"/>
      <c r="Z115" s="68">
        <f t="shared" si="78"/>
        <v>0</v>
      </c>
      <c r="AB115" s="68">
        <f t="shared" si="79"/>
        <v>0</v>
      </c>
      <c r="AC115" s="68">
        <f t="shared" si="80"/>
        <v>0</v>
      </c>
      <c r="AD115" s="68">
        <f t="shared" si="81"/>
        <v>0</v>
      </c>
      <c r="AE115" s="68">
        <f t="shared" si="82"/>
        <v>0</v>
      </c>
      <c r="AF115" s="68">
        <f t="shared" si="83"/>
        <v>0</v>
      </c>
      <c r="AG115" s="68">
        <f t="shared" si="84"/>
        <v>0</v>
      </c>
      <c r="AH115" s="68">
        <f t="shared" si="85"/>
        <v>0</v>
      </c>
      <c r="AI115" s="60"/>
      <c r="AJ115" s="50">
        <f t="shared" si="86"/>
        <v>0</v>
      </c>
      <c r="AK115" s="50">
        <f t="shared" si="87"/>
        <v>0</v>
      </c>
      <c r="AL115" s="50">
        <f t="shared" si="88"/>
        <v>0</v>
      </c>
      <c r="AN115" s="68">
        <v>15</v>
      </c>
      <c r="AO115" s="68">
        <f>H115*0.494415841584158</f>
        <v>0</v>
      </c>
      <c r="AP115" s="68">
        <f>H115*(1-0.494415841584158)</f>
        <v>0</v>
      </c>
      <c r="AQ115" s="69" t="s">
        <v>79</v>
      </c>
      <c r="AV115" s="68">
        <f t="shared" si="89"/>
        <v>0</v>
      </c>
      <c r="AW115" s="68">
        <f t="shared" si="90"/>
        <v>0</v>
      </c>
      <c r="AX115" s="68">
        <f t="shared" si="91"/>
        <v>0</v>
      </c>
      <c r="AY115" s="71" t="s">
        <v>624</v>
      </c>
      <c r="AZ115" s="71" t="s">
        <v>642</v>
      </c>
      <c r="BA115" s="60" t="s">
        <v>647</v>
      </c>
      <c r="BC115" s="68">
        <f t="shared" si="92"/>
        <v>0</v>
      </c>
      <c r="BD115" s="68">
        <f t="shared" si="93"/>
        <v>0</v>
      </c>
      <c r="BE115" s="68">
        <v>0</v>
      </c>
      <c r="BF115" s="68">
        <f t="shared" si="94"/>
        <v>0.00041</v>
      </c>
      <c r="BH115" s="50">
        <f t="shared" si="95"/>
        <v>0</v>
      </c>
      <c r="BI115" s="50">
        <f t="shared" si="96"/>
        <v>0</v>
      </c>
      <c r="BJ115" s="50">
        <f t="shared" si="97"/>
        <v>0</v>
      </c>
      <c r="BK115" s="50" t="s">
        <v>652</v>
      </c>
      <c r="BL115" s="68">
        <v>725</v>
      </c>
    </row>
    <row r="116" spans="1:64" ht="12.75">
      <c r="A116" s="34" t="s">
        <v>129</v>
      </c>
      <c r="B116" s="41"/>
      <c r="C116" s="41" t="s">
        <v>272</v>
      </c>
      <c r="D116" s="187" t="s">
        <v>459</v>
      </c>
      <c r="E116" s="188"/>
      <c r="F116" s="41" t="s">
        <v>587</v>
      </c>
      <c r="G116" s="50">
        <v>2</v>
      </c>
      <c r="H116" s="117"/>
      <c r="I116" s="50">
        <f t="shared" si="74"/>
        <v>0</v>
      </c>
      <c r="J116" s="50">
        <f t="shared" si="75"/>
        <v>0</v>
      </c>
      <c r="K116" s="50">
        <f t="shared" si="76"/>
        <v>0</v>
      </c>
      <c r="L116" s="50">
        <v>4E-05</v>
      </c>
      <c r="M116" s="50">
        <f t="shared" si="77"/>
        <v>8E-05</v>
      </c>
      <c r="N116" s="65" t="s">
        <v>606</v>
      </c>
      <c r="O116" s="17"/>
      <c r="Z116" s="68">
        <f t="shared" si="78"/>
        <v>0</v>
      </c>
      <c r="AB116" s="68">
        <f t="shared" si="79"/>
        <v>0</v>
      </c>
      <c r="AC116" s="68">
        <f t="shared" si="80"/>
        <v>0</v>
      </c>
      <c r="AD116" s="68">
        <f t="shared" si="81"/>
        <v>0</v>
      </c>
      <c r="AE116" s="68">
        <f t="shared" si="82"/>
        <v>0</v>
      </c>
      <c r="AF116" s="68">
        <f t="shared" si="83"/>
        <v>0</v>
      </c>
      <c r="AG116" s="68">
        <f t="shared" si="84"/>
        <v>0</v>
      </c>
      <c r="AH116" s="68">
        <f t="shared" si="85"/>
        <v>0</v>
      </c>
      <c r="AI116" s="60"/>
      <c r="AJ116" s="50">
        <f t="shared" si="86"/>
        <v>0</v>
      </c>
      <c r="AK116" s="50">
        <f t="shared" si="87"/>
        <v>0</v>
      </c>
      <c r="AL116" s="50">
        <f t="shared" si="88"/>
        <v>0</v>
      </c>
      <c r="AN116" s="68">
        <v>15</v>
      </c>
      <c r="AO116" s="68">
        <f>H116*0.0298739495798319</f>
        <v>0</v>
      </c>
      <c r="AP116" s="68">
        <f>H116*(1-0.0298739495798319)</f>
        <v>0</v>
      </c>
      <c r="AQ116" s="69" t="s">
        <v>79</v>
      </c>
      <c r="AV116" s="68">
        <f t="shared" si="89"/>
        <v>0</v>
      </c>
      <c r="AW116" s="68">
        <f t="shared" si="90"/>
        <v>0</v>
      </c>
      <c r="AX116" s="68">
        <f t="shared" si="91"/>
        <v>0</v>
      </c>
      <c r="AY116" s="71" t="s">
        <v>624</v>
      </c>
      <c r="AZ116" s="71" t="s">
        <v>642</v>
      </c>
      <c r="BA116" s="60" t="s">
        <v>647</v>
      </c>
      <c r="BC116" s="68">
        <f t="shared" si="92"/>
        <v>0</v>
      </c>
      <c r="BD116" s="68">
        <f t="shared" si="93"/>
        <v>0</v>
      </c>
      <c r="BE116" s="68">
        <v>0</v>
      </c>
      <c r="BF116" s="68">
        <f t="shared" si="94"/>
        <v>8E-05</v>
      </c>
      <c r="BH116" s="50">
        <f t="shared" si="95"/>
        <v>0</v>
      </c>
      <c r="BI116" s="50">
        <f t="shared" si="96"/>
        <v>0</v>
      </c>
      <c r="BJ116" s="50">
        <f t="shared" si="97"/>
        <v>0</v>
      </c>
      <c r="BK116" s="50" t="s">
        <v>652</v>
      </c>
      <c r="BL116" s="68">
        <v>725</v>
      </c>
    </row>
    <row r="117" spans="1:64" ht="12.75">
      <c r="A117" s="34" t="s">
        <v>130</v>
      </c>
      <c r="B117" s="41"/>
      <c r="C117" s="41" t="s">
        <v>273</v>
      </c>
      <c r="D117" s="187" t="s">
        <v>460</v>
      </c>
      <c r="E117" s="188"/>
      <c r="F117" s="41" t="s">
        <v>587</v>
      </c>
      <c r="G117" s="50">
        <v>1</v>
      </c>
      <c r="H117" s="117"/>
      <c r="I117" s="50">
        <f t="shared" si="74"/>
        <v>0</v>
      </c>
      <c r="J117" s="50">
        <f t="shared" si="75"/>
        <v>0</v>
      </c>
      <c r="K117" s="50">
        <f t="shared" si="76"/>
        <v>0</v>
      </c>
      <c r="L117" s="50">
        <v>0.00013</v>
      </c>
      <c r="M117" s="50">
        <f t="shared" si="77"/>
        <v>0.00013</v>
      </c>
      <c r="N117" s="65" t="s">
        <v>606</v>
      </c>
      <c r="O117" s="17"/>
      <c r="Z117" s="68">
        <f t="shared" si="78"/>
        <v>0</v>
      </c>
      <c r="AB117" s="68">
        <f t="shared" si="79"/>
        <v>0</v>
      </c>
      <c r="AC117" s="68">
        <f t="shared" si="80"/>
        <v>0</v>
      </c>
      <c r="AD117" s="68">
        <f t="shared" si="81"/>
        <v>0</v>
      </c>
      <c r="AE117" s="68">
        <f t="shared" si="82"/>
        <v>0</v>
      </c>
      <c r="AF117" s="68">
        <f t="shared" si="83"/>
        <v>0</v>
      </c>
      <c r="AG117" s="68">
        <f t="shared" si="84"/>
        <v>0</v>
      </c>
      <c r="AH117" s="68">
        <f t="shared" si="85"/>
        <v>0</v>
      </c>
      <c r="AI117" s="60"/>
      <c r="AJ117" s="50">
        <f t="shared" si="86"/>
        <v>0</v>
      </c>
      <c r="AK117" s="50">
        <f t="shared" si="87"/>
        <v>0</v>
      </c>
      <c r="AL117" s="50">
        <f t="shared" si="88"/>
        <v>0</v>
      </c>
      <c r="AN117" s="68">
        <v>15</v>
      </c>
      <c r="AO117" s="68">
        <f>H117*0.209803921568627</f>
        <v>0</v>
      </c>
      <c r="AP117" s="68">
        <f>H117*(1-0.209803921568627)</f>
        <v>0</v>
      </c>
      <c r="AQ117" s="69" t="s">
        <v>79</v>
      </c>
      <c r="AV117" s="68">
        <f t="shared" si="89"/>
        <v>0</v>
      </c>
      <c r="AW117" s="68">
        <f t="shared" si="90"/>
        <v>0</v>
      </c>
      <c r="AX117" s="68">
        <f t="shared" si="91"/>
        <v>0</v>
      </c>
      <c r="AY117" s="71" t="s">
        <v>624</v>
      </c>
      <c r="AZ117" s="71" t="s">
        <v>642</v>
      </c>
      <c r="BA117" s="60" t="s">
        <v>647</v>
      </c>
      <c r="BC117" s="68">
        <f t="shared" si="92"/>
        <v>0</v>
      </c>
      <c r="BD117" s="68">
        <f t="shared" si="93"/>
        <v>0</v>
      </c>
      <c r="BE117" s="68">
        <v>0</v>
      </c>
      <c r="BF117" s="68">
        <f t="shared" si="94"/>
        <v>0.00013</v>
      </c>
      <c r="BH117" s="50">
        <f t="shared" si="95"/>
        <v>0</v>
      </c>
      <c r="BI117" s="50">
        <f t="shared" si="96"/>
        <v>0</v>
      </c>
      <c r="BJ117" s="50">
        <f t="shared" si="97"/>
        <v>0</v>
      </c>
      <c r="BK117" s="50" t="s">
        <v>652</v>
      </c>
      <c r="BL117" s="68">
        <v>725</v>
      </c>
    </row>
    <row r="118" spans="1:64" ht="12.75">
      <c r="A118" s="34" t="s">
        <v>131</v>
      </c>
      <c r="B118" s="41"/>
      <c r="C118" s="41" t="s">
        <v>274</v>
      </c>
      <c r="D118" s="187" t="s">
        <v>461</v>
      </c>
      <c r="E118" s="188"/>
      <c r="F118" s="41" t="s">
        <v>587</v>
      </c>
      <c r="G118" s="50">
        <v>1</v>
      </c>
      <c r="H118" s="117"/>
      <c r="I118" s="50">
        <f t="shared" si="74"/>
        <v>0</v>
      </c>
      <c r="J118" s="50">
        <f t="shared" si="75"/>
        <v>0</v>
      </c>
      <c r="K118" s="50">
        <f t="shared" si="76"/>
        <v>0</v>
      </c>
      <c r="L118" s="50">
        <v>0.0005</v>
      </c>
      <c r="M118" s="50">
        <f t="shared" si="77"/>
        <v>0.0005</v>
      </c>
      <c r="N118" s="65" t="s">
        <v>606</v>
      </c>
      <c r="O118" s="17"/>
      <c r="Z118" s="68">
        <f t="shared" si="78"/>
        <v>0</v>
      </c>
      <c r="AB118" s="68">
        <f t="shared" si="79"/>
        <v>0</v>
      </c>
      <c r="AC118" s="68">
        <f t="shared" si="80"/>
        <v>0</v>
      </c>
      <c r="AD118" s="68">
        <f t="shared" si="81"/>
        <v>0</v>
      </c>
      <c r="AE118" s="68">
        <f t="shared" si="82"/>
        <v>0</v>
      </c>
      <c r="AF118" s="68">
        <f t="shared" si="83"/>
        <v>0</v>
      </c>
      <c r="AG118" s="68">
        <f t="shared" si="84"/>
        <v>0</v>
      </c>
      <c r="AH118" s="68">
        <f t="shared" si="85"/>
        <v>0</v>
      </c>
      <c r="AI118" s="60"/>
      <c r="AJ118" s="50">
        <f t="shared" si="86"/>
        <v>0</v>
      </c>
      <c r="AK118" s="50">
        <f t="shared" si="87"/>
        <v>0</v>
      </c>
      <c r="AL118" s="50">
        <f t="shared" si="88"/>
        <v>0</v>
      </c>
      <c r="AN118" s="68">
        <v>15</v>
      </c>
      <c r="AO118" s="68">
        <f>H118*0.915288652952887</f>
        <v>0</v>
      </c>
      <c r="AP118" s="68">
        <f>H118*(1-0.915288652952887)</f>
        <v>0</v>
      </c>
      <c r="AQ118" s="69" t="s">
        <v>79</v>
      </c>
      <c r="AV118" s="68">
        <f t="shared" si="89"/>
        <v>0</v>
      </c>
      <c r="AW118" s="68">
        <f t="shared" si="90"/>
        <v>0</v>
      </c>
      <c r="AX118" s="68">
        <f t="shared" si="91"/>
        <v>0</v>
      </c>
      <c r="AY118" s="71" t="s">
        <v>624</v>
      </c>
      <c r="AZ118" s="71" t="s">
        <v>642</v>
      </c>
      <c r="BA118" s="60" t="s">
        <v>647</v>
      </c>
      <c r="BC118" s="68">
        <f t="shared" si="92"/>
        <v>0</v>
      </c>
      <c r="BD118" s="68">
        <f t="shared" si="93"/>
        <v>0</v>
      </c>
      <c r="BE118" s="68">
        <v>0</v>
      </c>
      <c r="BF118" s="68">
        <f t="shared" si="94"/>
        <v>0.0005</v>
      </c>
      <c r="BH118" s="50">
        <f t="shared" si="95"/>
        <v>0</v>
      </c>
      <c r="BI118" s="50">
        <f t="shared" si="96"/>
        <v>0</v>
      </c>
      <c r="BJ118" s="50">
        <f t="shared" si="97"/>
        <v>0</v>
      </c>
      <c r="BK118" s="50" t="s">
        <v>652</v>
      </c>
      <c r="BL118" s="68">
        <v>725</v>
      </c>
    </row>
    <row r="119" spans="1:64" ht="12.75">
      <c r="A119" s="34" t="s">
        <v>132</v>
      </c>
      <c r="B119" s="41"/>
      <c r="C119" s="41" t="s">
        <v>275</v>
      </c>
      <c r="D119" s="187" t="s">
        <v>462</v>
      </c>
      <c r="E119" s="188"/>
      <c r="F119" s="41" t="s">
        <v>587</v>
      </c>
      <c r="G119" s="50">
        <v>1</v>
      </c>
      <c r="H119" s="117"/>
      <c r="I119" s="50">
        <f t="shared" si="74"/>
        <v>0</v>
      </c>
      <c r="J119" s="50">
        <f t="shared" si="75"/>
        <v>0</v>
      </c>
      <c r="K119" s="50">
        <f t="shared" si="76"/>
        <v>0</v>
      </c>
      <c r="L119" s="50">
        <v>0.00033</v>
      </c>
      <c r="M119" s="50">
        <f t="shared" si="77"/>
        <v>0.00033</v>
      </c>
      <c r="N119" s="65" t="s">
        <v>606</v>
      </c>
      <c r="O119" s="17"/>
      <c r="Z119" s="68">
        <f t="shared" si="78"/>
        <v>0</v>
      </c>
      <c r="AB119" s="68">
        <f t="shared" si="79"/>
        <v>0</v>
      </c>
      <c r="AC119" s="68">
        <f t="shared" si="80"/>
        <v>0</v>
      </c>
      <c r="AD119" s="68">
        <f t="shared" si="81"/>
        <v>0</v>
      </c>
      <c r="AE119" s="68">
        <f t="shared" si="82"/>
        <v>0</v>
      </c>
      <c r="AF119" s="68">
        <f t="shared" si="83"/>
        <v>0</v>
      </c>
      <c r="AG119" s="68">
        <f t="shared" si="84"/>
        <v>0</v>
      </c>
      <c r="AH119" s="68">
        <f t="shared" si="85"/>
        <v>0</v>
      </c>
      <c r="AI119" s="60"/>
      <c r="AJ119" s="50">
        <f t="shared" si="86"/>
        <v>0</v>
      </c>
      <c r="AK119" s="50">
        <f t="shared" si="87"/>
        <v>0</v>
      </c>
      <c r="AL119" s="50">
        <f t="shared" si="88"/>
        <v>0</v>
      </c>
      <c r="AN119" s="68">
        <v>15</v>
      </c>
      <c r="AO119" s="68">
        <f>H119*0.829103078982597</f>
        <v>0</v>
      </c>
      <c r="AP119" s="68">
        <f>H119*(1-0.829103078982597)</f>
        <v>0</v>
      </c>
      <c r="AQ119" s="69" t="s">
        <v>79</v>
      </c>
      <c r="AV119" s="68">
        <f t="shared" si="89"/>
        <v>0</v>
      </c>
      <c r="AW119" s="68">
        <f t="shared" si="90"/>
        <v>0</v>
      </c>
      <c r="AX119" s="68">
        <f t="shared" si="91"/>
        <v>0</v>
      </c>
      <c r="AY119" s="71" t="s">
        <v>624</v>
      </c>
      <c r="AZ119" s="71" t="s">
        <v>642</v>
      </c>
      <c r="BA119" s="60" t="s">
        <v>647</v>
      </c>
      <c r="BC119" s="68">
        <f t="shared" si="92"/>
        <v>0</v>
      </c>
      <c r="BD119" s="68">
        <f t="shared" si="93"/>
        <v>0</v>
      </c>
      <c r="BE119" s="68">
        <v>0</v>
      </c>
      <c r="BF119" s="68">
        <f t="shared" si="94"/>
        <v>0.00033</v>
      </c>
      <c r="BH119" s="50">
        <f t="shared" si="95"/>
        <v>0</v>
      </c>
      <c r="BI119" s="50">
        <f t="shared" si="96"/>
        <v>0</v>
      </c>
      <c r="BJ119" s="50">
        <f t="shared" si="97"/>
        <v>0</v>
      </c>
      <c r="BK119" s="50" t="s">
        <v>652</v>
      </c>
      <c r="BL119" s="68">
        <v>725</v>
      </c>
    </row>
    <row r="120" spans="1:64" ht="12.75">
      <c r="A120" s="34" t="s">
        <v>133</v>
      </c>
      <c r="B120" s="41"/>
      <c r="C120" s="41" t="s">
        <v>276</v>
      </c>
      <c r="D120" s="187" t="s">
        <v>463</v>
      </c>
      <c r="E120" s="188"/>
      <c r="F120" s="41" t="s">
        <v>590</v>
      </c>
      <c r="G120" s="50">
        <v>7</v>
      </c>
      <c r="H120" s="117"/>
      <c r="I120" s="50">
        <f t="shared" si="74"/>
        <v>0</v>
      </c>
      <c r="J120" s="50">
        <f t="shared" si="75"/>
        <v>0</v>
      </c>
      <c r="K120" s="50">
        <f t="shared" si="76"/>
        <v>0</v>
      </c>
      <c r="L120" s="50">
        <v>0.00017</v>
      </c>
      <c r="M120" s="50">
        <f t="shared" si="77"/>
        <v>0.00119</v>
      </c>
      <c r="N120" s="65" t="s">
        <v>606</v>
      </c>
      <c r="O120" s="17"/>
      <c r="Z120" s="68">
        <f t="shared" si="78"/>
        <v>0</v>
      </c>
      <c r="AB120" s="68">
        <f t="shared" si="79"/>
        <v>0</v>
      </c>
      <c r="AC120" s="68">
        <f t="shared" si="80"/>
        <v>0</v>
      </c>
      <c r="AD120" s="68">
        <f t="shared" si="81"/>
        <v>0</v>
      </c>
      <c r="AE120" s="68">
        <f t="shared" si="82"/>
        <v>0</v>
      </c>
      <c r="AF120" s="68">
        <f t="shared" si="83"/>
        <v>0</v>
      </c>
      <c r="AG120" s="68">
        <f t="shared" si="84"/>
        <v>0</v>
      </c>
      <c r="AH120" s="68">
        <f t="shared" si="85"/>
        <v>0</v>
      </c>
      <c r="AI120" s="60"/>
      <c r="AJ120" s="50">
        <f t="shared" si="86"/>
        <v>0</v>
      </c>
      <c r="AK120" s="50">
        <f t="shared" si="87"/>
        <v>0</v>
      </c>
      <c r="AL120" s="50">
        <f t="shared" si="88"/>
        <v>0</v>
      </c>
      <c r="AN120" s="68">
        <v>15</v>
      </c>
      <c r="AO120" s="68">
        <f>H120*0.523036437246963</f>
        <v>0</v>
      </c>
      <c r="AP120" s="68">
        <f>H120*(1-0.523036437246963)</f>
        <v>0</v>
      </c>
      <c r="AQ120" s="69" t="s">
        <v>79</v>
      </c>
      <c r="AV120" s="68">
        <f t="shared" si="89"/>
        <v>0</v>
      </c>
      <c r="AW120" s="68">
        <f t="shared" si="90"/>
        <v>0</v>
      </c>
      <c r="AX120" s="68">
        <f t="shared" si="91"/>
        <v>0</v>
      </c>
      <c r="AY120" s="71" t="s">
        <v>624</v>
      </c>
      <c r="AZ120" s="71" t="s">
        <v>642</v>
      </c>
      <c r="BA120" s="60" t="s">
        <v>647</v>
      </c>
      <c r="BC120" s="68">
        <f t="shared" si="92"/>
        <v>0</v>
      </c>
      <c r="BD120" s="68">
        <f t="shared" si="93"/>
        <v>0</v>
      </c>
      <c r="BE120" s="68">
        <v>0</v>
      </c>
      <c r="BF120" s="68">
        <f t="shared" si="94"/>
        <v>0.00119</v>
      </c>
      <c r="BH120" s="50">
        <f t="shared" si="95"/>
        <v>0</v>
      </c>
      <c r="BI120" s="50">
        <f t="shared" si="96"/>
        <v>0</v>
      </c>
      <c r="BJ120" s="50">
        <f t="shared" si="97"/>
        <v>0</v>
      </c>
      <c r="BK120" s="50" t="s">
        <v>652</v>
      </c>
      <c r="BL120" s="68">
        <v>725</v>
      </c>
    </row>
    <row r="121" spans="1:64" ht="12.75">
      <c r="A121" s="34" t="s">
        <v>134</v>
      </c>
      <c r="B121" s="41"/>
      <c r="C121" s="41" t="s">
        <v>277</v>
      </c>
      <c r="D121" s="187" t="s">
        <v>464</v>
      </c>
      <c r="E121" s="188"/>
      <c r="F121" s="41" t="s">
        <v>587</v>
      </c>
      <c r="G121" s="50">
        <v>2</v>
      </c>
      <c r="H121" s="117"/>
      <c r="I121" s="50">
        <f t="shared" si="74"/>
        <v>0</v>
      </c>
      <c r="J121" s="50">
        <f t="shared" si="75"/>
        <v>0</v>
      </c>
      <c r="K121" s="50">
        <f t="shared" si="76"/>
        <v>0</v>
      </c>
      <c r="L121" s="50">
        <v>0.00164</v>
      </c>
      <c r="M121" s="50">
        <f t="shared" si="77"/>
        <v>0.00328</v>
      </c>
      <c r="N121" s="65" t="s">
        <v>606</v>
      </c>
      <c r="O121" s="17"/>
      <c r="Z121" s="68">
        <f t="shared" si="78"/>
        <v>0</v>
      </c>
      <c r="AB121" s="68">
        <f t="shared" si="79"/>
        <v>0</v>
      </c>
      <c r="AC121" s="68">
        <f t="shared" si="80"/>
        <v>0</v>
      </c>
      <c r="AD121" s="68">
        <f t="shared" si="81"/>
        <v>0</v>
      </c>
      <c r="AE121" s="68">
        <f t="shared" si="82"/>
        <v>0</v>
      </c>
      <c r="AF121" s="68">
        <f t="shared" si="83"/>
        <v>0</v>
      </c>
      <c r="AG121" s="68">
        <f t="shared" si="84"/>
        <v>0</v>
      </c>
      <c r="AH121" s="68">
        <f t="shared" si="85"/>
        <v>0</v>
      </c>
      <c r="AI121" s="60"/>
      <c r="AJ121" s="50">
        <f t="shared" si="86"/>
        <v>0</v>
      </c>
      <c r="AK121" s="50">
        <f t="shared" si="87"/>
        <v>0</v>
      </c>
      <c r="AL121" s="50">
        <f t="shared" si="88"/>
        <v>0</v>
      </c>
      <c r="AN121" s="68">
        <v>15</v>
      </c>
      <c r="AO121" s="68">
        <f>H121*0.886520884520885</f>
        <v>0</v>
      </c>
      <c r="AP121" s="68">
        <f>H121*(1-0.886520884520885)</f>
        <v>0</v>
      </c>
      <c r="AQ121" s="69" t="s">
        <v>79</v>
      </c>
      <c r="AV121" s="68">
        <f t="shared" si="89"/>
        <v>0</v>
      </c>
      <c r="AW121" s="68">
        <f t="shared" si="90"/>
        <v>0</v>
      </c>
      <c r="AX121" s="68">
        <f t="shared" si="91"/>
        <v>0</v>
      </c>
      <c r="AY121" s="71" t="s">
        <v>624</v>
      </c>
      <c r="AZ121" s="71" t="s">
        <v>642</v>
      </c>
      <c r="BA121" s="60" t="s">
        <v>647</v>
      </c>
      <c r="BC121" s="68">
        <f t="shared" si="92"/>
        <v>0</v>
      </c>
      <c r="BD121" s="68">
        <f t="shared" si="93"/>
        <v>0</v>
      </c>
      <c r="BE121" s="68">
        <v>0</v>
      </c>
      <c r="BF121" s="68">
        <f t="shared" si="94"/>
        <v>0.00328</v>
      </c>
      <c r="BH121" s="50">
        <f t="shared" si="95"/>
        <v>0</v>
      </c>
      <c r="BI121" s="50">
        <f t="shared" si="96"/>
        <v>0</v>
      </c>
      <c r="BJ121" s="50">
        <f t="shared" si="97"/>
        <v>0</v>
      </c>
      <c r="BK121" s="50" t="s">
        <v>652</v>
      </c>
      <c r="BL121" s="68">
        <v>725</v>
      </c>
    </row>
    <row r="122" spans="1:64" ht="12.75">
      <c r="A122" s="34" t="s">
        <v>135</v>
      </c>
      <c r="B122" s="41"/>
      <c r="C122" s="41" t="s">
        <v>278</v>
      </c>
      <c r="D122" s="187" t="s">
        <v>465</v>
      </c>
      <c r="E122" s="188"/>
      <c r="F122" s="41" t="s">
        <v>587</v>
      </c>
      <c r="G122" s="50">
        <v>1</v>
      </c>
      <c r="H122" s="117"/>
      <c r="I122" s="50">
        <f t="shared" si="74"/>
        <v>0</v>
      </c>
      <c r="J122" s="50">
        <f t="shared" si="75"/>
        <v>0</v>
      </c>
      <c r="K122" s="50">
        <f t="shared" si="76"/>
        <v>0</v>
      </c>
      <c r="L122" s="50">
        <v>0.00152</v>
      </c>
      <c r="M122" s="50">
        <f t="shared" si="77"/>
        <v>0.00152</v>
      </c>
      <c r="N122" s="65" t="s">
        <v>606</v>
      </c>
      <c r="O122" s="17"/>
      <c r="Z122" s="68">
        <f t="shared" si="78"/>
        <v>0</v>
      </c>
      <c r="AB122" s="68">
        <f t="shared" si="79"/>
        <v>0</v>
      </c>
      <c r="AC122" s="68">
        <f t="shared" si="80"/>
        <v>0</v>
      </c>
      <c r="AD122" s="68">
        <f t="shared" si="81"/>
        <v>0</v>
      </c>
      <c r="AE122" s="68">
        <f t="shared" si="82"/>
        <v>0</v>
      </c>
      <c r="AF122" s="68">
        <f t="shared" si="83"/>
        <v>0</v>
      </c>
      <c r="AG122" s="68">
        <f t="shared" si="84"/>
        <v>0</v>
      </c>
      <c r="AH122" s="68">
        <f t="shared" si="85"/>
        <v>0</v>
      </c>
      <c r="AI122" s="60"/>
      <c r="AJ122" s="50">
        <f t="shared" si="86"/>
        <v>0</v>
      </c>
      <c r="AK122" s="50">
        <f t="shared" si="87"/>
        <v>0</v>
      </c>
      <c r="AL122" s="50">
        <f t="shared" si="88"/>
        <v>0</v>
      </c>
      <c r="AN122" s="68">
        <v>15</v>
      </c>
      <c r="AO122" s="68">
        <f>H122*0.852484261501211</f>
        <v>0</v>
      </c>
      <c r="AP122" s="68">
        <f>H122*(1-0.852484261501211)</f>
        <v>0</v>
      </c>
      <c r="AQ122" s="69" t="s">
        <v>79</v>
      </c>
      <c r="AV122" s="68">
        <f t="shared" si="89"/>
        <v>0</v>
      </c>
      <c r="AW122" s="68">
        <f t="shared" si="90"/>
        <v>0</v>
      </c>
      <c r="AX122" s="68">
        <f t="shared" si="91"/>
        <v>0</v>
      </c>
      <c r="AY122" s="71" t="s">
        <v>624</v>
      </c>
      <c r="AZ122" s="71" t="s">
        <v>642</v>
      </c>
      <c r="BA122" s="60" t="s">
        <v>647</v>
      </c>
      <c r="BC122" s="68">
        <f t="shared" si="92"/>
        <v>0</v>
      </c>
      <c r="BD122" s="68">
        <f t="shared" si="93"/>
        <v>0</v>
      </c>
      <c r="BE122" s="68">
        <v>0</v>
      </c>
      <c r="BF122" s="68">
        <f t="shared" si="94"/>
        <v>0.00152</v>
      </c>
      <c r="BH122" s="50">
        <f t="shared" si="95"/>
        <v>0</v>
      </c>
      <c r="BI122" s="50">
        <f t="shared" si="96"/>
        <v>0</v>
      </c>
      <c r="BJ122" s="50">
        <f t="shared" si="97"/>
        <v>0</v>
      </c>
      <c r="BK122" s="50" t="s">
        <v>652</v>
      </c>
      <c r="BL122" s="68">
        <v>725</v>
      </c>
    </row>
    <row r="123" spans="1:64" ht="12.75">
      <c r="A123" s="34" t="s">
        <v>136</v>
      </c>
      <c r="B123" s="41"/>
      <c r="C123" s="41" t="s">
        <v>279</v>
      </c>
      <c r="D123" s="187" t="s">
        <v>466</v>
      </c>
      <c r="E123" s="188"/>
      <c r="F123" s="41" t="s">
        <v>590</v>
      </c>
      <c r="G123" s="50">
        <v>1</v>
      </c>
      <c r="H123" s="117"/>
      <c r="I123" s="50">
        <f t="shared" si="74"/>
        <v>0</v>
      </c>
      <c r="J123" s="50">
        <f t="shared" si="75"/>
        <v>0</v>
      </c>
      <c r="K123" s="50">
        <f t="shared" si="76"/>
        <v>0</v>
      </c>
      <c r="L123" s="50">
        <v>0.00024</v>
      </c>
      <c r="M123" s="50">
        <f t="shared" si="77"/>
        <v>0.00024</v>
      </c>
      <c r="N123" s="65" t="s">
        <v>606</v>
      </c>
      <c r="O123" s="17"/>
      <c r="Z123" s="68">
        <f t="shared" si="78"/>
        <v>0</v>
      </c>
      <c r="AB123" s="68">
        <f t="shared" si="79"/>
        <v>0</v>
      </c>
      <c r="AC123" s="68">
        <f t="shared" si="80"/>
        <v>0</v>
      </c>
      <c r="AD123" s="68">
        <f t="shared" si="81"/>
        <v>0</v>
      </c>
      <c r="AE123" s="68">
        <f t="shared" si="82"/>
        <v>0</v>
      </c>
      <c r="AF123" s="68">
        <f t="shared" si="83"/>
        <v>0</v>
      </c>
      <c r="AG123" s="68">
        <f t="shared" si="84"/>
        <v>0</v>
      </c>
      <c r="AH123" s="68">
        <f t="shared" si="85"/>
        <v>0</v>
      </c>
      <c r="AI123" s="60"/>
      <c r="AJ123" s="50">
        <f t="shared" si="86"/>
        <v>0</v>
      </c>
      <c r="AK123" s="50">
        <f t="shared" si="87"/>
        <v>0</v>
      </c>
      <c r="AL123" s="50">
        <f t="shared" si="88"/>
        <v>0</v>
      </c>
      <c r="AN123" s="68">
        <v>15</v>
      </c>
      <c r="AO123" s="68">
        <f>H123*0.894161184210526</f>
        <v>0</v>
      </c>
      <c r="AP123" s="68">
        <f>H123*(1-0.894161184210526)</f>
        <v>0</v>
      </c>
      <c r="AQ123" s="69" t="s">
        <v>79</v>
      </c>
      <c r="AV123" s="68">
        <f t="shared" si="89"/>
        <v>0</v>
      </c>
      <c r="AW123" s="68">
        <f t="shared" si="90"/>
        <v>0</v>
      </c>
      <c r="AX123" s="68">
        <f t="shared" si="91"/>
        <v>0</v>
      </c>
      <c r="AY123" s="71" t="s">
        <v>624</v>
      </c>
      <c r="AZ123" s="71" t="s">
        <v>642</v>
      </c>
      <c r="BA123" s="60" t="s">
        <v>647</v>
      </c>
      <c r="BC123" s="68">
        <f t="shared" si="92"/>
        <v>0</v>
      </c>
      <c r="BD123" s="68">
        <f t="shared" si="93"/>
        <v>0</v>
      </c>
      <c r="BE123" s="68">
        <v>0</v>
      </c>
      <c r="BF123" s="68">
        <f t="shared" si="94"/>
        <v>0.00024</v>
      </c>
      <c r="BH123" s="50">
        <f t="shared" si="95"/>
        <v>0</v>
      </c>
      <c r="BI123" s="50">
        <f t="shared" si="96"/>
        <v>0</v>
      </c>
      <c r="BJ123" s="50">
        <f t="shared" si="97"/>
        <v>0</v>
      </c>
      <c r="BK123" s="50" t="s">
        <v>652</v>
      </c>
      <c r="BL123" s="68">
        <v>725</v>
      </c>
    </row>
    <row r="124" spans="1:64" ht="12.75">
      <c r="A124" s="34" t="s">
        <v>137</v>
      </c>
      <c r="B124" s="41"/>
      <c r="C124" s="41" t="s">
        <v>280</v>
      </c>
      <c r="D124" s="187" t="s">
        <v>467</v>
      </c>
      <c r="E124" s="188"/>
      <c r="F124" s="41" t="s">
        <v>590</v>
      </c>
      <c r="G124" s="50">
        <v>1</v>
      </c>
      <c r="H124" s="117"/>
      <c r="I124" s="50">
        <f t="shared" si="74"/>
        <v>0</v>
      </c>
      <c r="J124" s="50">
        <f t="shared" si="75"/>
        <v>0</v>
      </c>
      <c r="K124" s="50">
        <f t="shared" si="76"/>
        <v>0</v>
      </c>
      <c r="L124" s="50">
        <v>0.00186</v>
      </c>
      <c r="M124" s="50">
        <f t="shared" si="77"/>
        <v>0.00186</v>
      </c>
      <c r="N124" s="65" t="s">
        <v>606</v>
      </c>
      <c r="O124" s="17"/>
      <c r="Z124" s="68">
        <f t="shared" si="78"/>
        <v>0</v>
      </c>
      <c r="AB124" s="68">
        <f t="shared" si="79"/>
        <v>0</v>
      </c>
      <c r="AC124" s="68">
        <f t="shared" si="80"/>
        <v>0</v>
      </c>
      <c r="AD124" s="68">
        <f t="shared" si="81"/>
        <v>0</v>
      </c>
      <c r="AE124" s="68">
        <f t="shared" si="82"/>
        <v>0</v>
      </c>
      <c r="AF124" s="68">
        <f t="shared" si="83"/>
        <v>0</v>
      </c>
      <c r="AG124" s="68">
        <f t="shared" si="84"/>
        <v>0</v>
      </c>
      <c r="AH124" s="68">
        <f t="shared" si="85"/>
        <v>0</v>
      </c>
      <c r="AI124" s="60"/>
      <c r="AJ124" s="50">
        <f t="shared" si="86"/>
        <v>0</v>
      </c>
      <c r="AK124" s="50">
        <f t="shared" si="87"/>
        <v>0</v>
      </c>
      <c r="AL124" s="50">
        <f t="shared" si="88"/>
        <v>0</v>
      </c>
      <c r="AN124" s="68">
        <v>15</v>
      </c>
      <c r="AO124" s="68">
        <f>H124*0.449284009546539</f>
        <v>0</v>
      </c>
      <c r="AP124" s="68">
        <f>H124*(1-0.449284009546539)</f>
        <v>0</v>
      </c>
      <c r="AQ124" s="69" t="s">
        <v>79</v>
      </c>
      <c r="AV124" s="68">
        <f t="shared" si="89"/>
        <v>0</v>
      </c>
      <c r="AW124" s="68">
        <f t="shared" si="90"/>
        <v>0</v>
      </c>
      <c r="AX124" s="68">
        <f t="shared" si="91"/>
        <v>0</v>
      </c>
      <c r="AY124" s="71" t="s">
        <v>624</v>
      </c>
      <c r="AZ124" s="71" t="s">
        <v>642</v>
      </c>
      <c r="BA124" s="60" t="s">
        <v>647</v>
      </c>
      <c r="BC124" s="68">
        <f t="shared" si="92"/>
        <v>0</v>
      </c>
      <c r="BD124" s="68">
        <f t="shared" si="93"/>
        <v>0</v>
      </c>
      <c r="BE124" s="68">
        <v>0</v>
      </c>
      <c r="BF124" s="68">
        <f t="shared" si="94"/>
        <v>0.00186</v>
      </c>
      <c r="BH124" s="50">
        <f t="shared" si="95"/>
        <v>0</v>
      </c>
      <c r="BI124" s="50">
        <f t="shared" si="96"/>
        <v>0</v>
      </c>
      <c r="BJ124" s="50">
        <f t="shared" si="97"/>
        <v>0</v>
      </c>
      <c r="BK124" s="50" t="s">
        <v>652</v>
      </c>
      <c r="BL124" s="68">
        <v>725</v>
      </c>
    </row>
    <row r="125" spans="1:64" ht="12.75">
      <c r="A125" s="34" t="s">
        <v>138</v>
      </c>
      <c r="B125" s="41"/>
      <c r="C125" s="41" t="s">
        <v>281</v>
      </c>
      <c r="D125" s="187" t="s">
        <v>468</v>
      </c>
      <c r="E125" s="188"/>
      <c r="F125" s="41" t="s">
        <v>590</v>
      </c>
      <c r="G125" s="50">
        <v>1</v>
      </c>
      <c r="H125" s="117"/>
      <c r="I125" s="50">
        <f t="shared" si="74"/>
        <v>0</v>
      </c>
      <c r="J125" s="50">
        <f t="shared" si="75"/>
        <v>0</v>
      </c>
      <c r="K125" s="50">
        <f t="shared" si="76"/>
        <v>0</v>
      </c>
      <c r="L125" s="50">
        <v>0.02794</v>
      </c>
      <c r="M125" s="50">
        <f t="shared" si="77"/>
        <v>0.02794</v>
      </c>
      <c r="N125" s="65" t="s">
        <v>606</v>
      </c>
      <c r="O125" s="17"/>
      <c r="Z125" s="68">
        <f t="shared" si="78"/>
        <v>0</v>
      </c>
      <c r="AB125" s="68">
        <f t="shared" si="79"/>
        <v>0</v>
      </c>
      <c r="AC125" s="68">
        <f t="shared" si="80"/>
        <v>0</v>
      </c>
      <c r="AD125" s="68">
        <f t="shared" si="81"/>
        <v>0</v>
      </c>
      <c r="AE125" s="68">
        <f t="shared" si="82"/>
        <v>0</v>
      </c>
      <c r="AF125" s="68">
        <f t="shared" si="83"/>
        <v>0</v>
      </c>
      <c r="AG125" s="68">
        <f t="shared" si="84"/>
        <v>0</v>
      </c>
      <c r="AH125" s="68">
        <f t="shared" si="85"/>
        <v>0</v>
      </c>
      <c r="AI125" s="60"/>
      <c r="AJ125" s="50">
        <f t="shared" si="86"/>
        <v>0</v>
      </c>
      <c r="AK125" s="50">
        <f t="shared" si="87"/>
        <v>0</v>
      </c>
      <c r="AL125" s="50">
        <f t="shared" si="88"/>
        <v>0</v>
      </c>
      <c r="AN125" s="68">
        <v>15</v>
      </c>
      <c r="AO125" s="68">
        <f>H125*0.849222123104371</f>
        <v>0</v>
      </c>
      <c r="AP125" s="68">
        <f>H125*(1-0.849222123104371)</f>
        <v>0</v>
      </c>
      <c r="AQ125" s="69" t="s">
        <v>79</v>
      </c>
      <c r="AV125" s="68">
        <f t="shared" si="89"/>
        <v>0</v>
      </c>
      <c r="AW125" s="68">
        <f t="shared" si="90"/>
        <v>0</v>
      </c>
      <c r="AX125" s="68">
        <f t="shared" si="91"/>
        <v>0</v>
      </c>
      <c r="AY125" s="71" t="s">
        <v>624</v>
      </c>
      <c r="AZ125" s="71" t="s">
        <v>642</v>
      </c>
      <c r="BA125" s="60" t="s">
        <v>647</v>
      </c>
      <c r="BC125" s="68">
        <f t="shared" si="92"/>
        <v>0</v>
      </c>
      <c r="BD125" s="68">
        <f t="shared" si="93"/>
        <v>0</v>
      </c>
      <c r="BE125" s="68">
        <v>0</v>
      </c>
      <c r="BF125" s="68">
        <f t="shared" si="94"/>
        <v>0.02794</v>
      </c>
      <c r="BH125" s="50">
        <f t="shared" si="95"/>
        <v>0</v>
      </c>
      <c r="BI125" s="50">
        <f t="shared" si="96"/>
        <v>0</v>
      </c>
      <c r="BJ125" s="50">
        <f t="shared" si="97"/>
        <v>0</v>
      </c>
      <c r="BK125" s="50" t="s">
        <v>652</v>
      </c>
      <c r="BL125" s="68">
        <v>725</v>
      </c>
    </row>
    <row r="126" spans="1:64" ht="12.75">
      <c r="A126" s="34" t="s">
        <v>139</v>
      </c>
      <c r="B126" s="41"/>
      <c r="C126" s="41" t="s">
        <v>282</v>
      </c>
      <c r="D126" s="187" t="s">
        <v>469</v>
      </c>
      <c r="E126" s="188"/>
      <c r="F126" s="41" t="s">
        <v>590</v>
      </c>
      <c r="G126" s="50">
        <v>2</v>
      </c>
      <c r="H126" s="117"/>
      <c r="I126" s="50">
        <f t="shared" si="74"/>
        <v>0</v>
      </c>
      <c r="J126" s="50">
        <f t="shared" si="75"/>
        <v>0</v>
      </c>
      <c r="K126" s="50">
        <f t="shared" si="76"/>
        <v>0</v>
      </c>
      <c r="L126" s="50">
        <v>0.0011</v>
      </c>
      <c r="M126" s="50">
        <f t="shared" si="77"/>
        <v>0.0022</v>
      </c>
      <c r="N126" s="65" t="s">
        <v>606</v>
      </c>
      <c r="O126" s="17"/>
      <c r="Z126" s="68">
        <f t="shared" si="78"/>
        <v>0</v>
      </c>
      <c r="AB126" s="68">
        <f t="shared" si="79"/>
        <v>0</v>
      </c>
      <c r="AC126" s="68">
        <f t="shared" si="80"/>
        <v>0</v>
      </c>
      <c r="AD126" s="68">
        <f t="shared" si="81"/>
        <v>0</v>
      </c>
      <c r="AE126" s="68">
        <f t="shared" si="82"/>
        <v>0</v>
      </c>
      <c r="AF126" s="68">
        <f t="shared" si="83"/>
        <v>0</v>
      </c>
      <c r="AG126" s="68">
        <f t="shared" si="84"/>
        <v>0</v>
      </c>
      <c r="AH126" s="68">
        <f t="shared" si="85"/>
        <v>0</v>
      </c>
      <c r="AI126" s="60"/>
      <c r="AJ126" s="50">
        <f t="shared" si="86"/>
        <v>0</v>
      </c>
      <c r="AK126" s="50">
        <f t="shared" si="87"/>
        <v>0</v>
      </c>
      <c r="AL126" s="50">
        <f t="shared" si="88"/>
        <v>0</v>
      </c>
      <c r="AN126" s="68">
        <v>15</v>
      </c>
      <c r="AO126" s="68">
        <f>H126*0.778173575129534</f>
        <v>0</v>
      </c>
      <c r="AP126" s="68">
        <f>H126*(1-0.778173575129534)</f>
        <v>0</v>
      </c>
      <c r="AQ126" s="69" t="s">
        <v>79</v>
      </c>
      <c r="AV126" s="68">
        <f t="shared" si="89"/>
        <v>0</v>
      </c>
      <c r="AW126" s="68">
        <f t="shared" si="90"/>
        <v>0</v>
      </c>
      <c r="AX126" s="68">
        <f t="shared" si="91"/>
        <v>0</v>
      </c>
      <c r="AY126" s="71" t="s">
        <v>624</v>
      </c>
      <c r="AZ126" s="71" t="s">
        <v>642</v>
      </c>
      <c r="BA126" s="60" t="s">
        <v>647</v>
      </c>
      <c r="BC126" s="68">
        <f t="shared" si="92"/>
        <v>0</v>
      </c>
      <c r="BD126" s="68">
        <f t="shared" si="93"/>
        <v>0</v>
      </c>
      <c r="BE126" s="68">
        <v>0</v>
      </c>
      <c r="BF126" s="68">
        <f t="shared" si="94"/>
        <v>0.0022</v>
      </c>
      <c r="BH126" s="50">
        <f t="shared" si="95"/>
        <v>0</v>
      </c>
      <c r="BI126" s="50">
        <f t="shared" si="96"/>
        <v>0</v>
      </c>
      <c r="BJ126" s="50">
        <f t="shared" si="97"/>
        <v>0</v>
      </c>
      <c r="BK126" s="50" t="s">
        <v>652</v>
      </c>
      <c r="BL126" s="68">
        <v>725</v>
      </c>
    </row>
    <row r="127" spans="1:64" ht="12.75">
      <c r="A127" s="35" t="s">
        <v>140</v>
      </c>
      <c r="B127" s="42"/>
      <c r="C127" s="42" t="s">
        <v>283</v>
      </c>
      <c r="D127" s="197" t="s">
        <v>470</v>
      </c>
      <c r="E127" s="198"/>
      <c r="F127" s="42" t="s">
        <v>587</v>
      </c>
      <c r="G127" s="52">
        <v>1</v>
      </c>
      <c r="H127" s="121"/>
      <c r="I127" s="52">
        <f t="shared" si="74"/>
        <v>0</v>
      </c>
      <c r="J127" s="52">
        <f t="shared" si="75"/>
        <v>0</v>
      </c>
      <c r="K127" s="52">
        <f t="shared" si="76"/>
        <v>0</v>
      </c>
      <c r="L127" s="52">
        <v>0.008</v>
      </c>
      <c r="M127" s="52">
        <f t="shared" si="77"/>
        <v>0.008</v>
      </c>
      <c r="N127" s="66" t="s">
        <v>606</v>
      </c>
      <c r="O127" s="17"/>
      <c r="Z127" s="68">
        <f t="shared" si="78"/>
        <v>0</v>
      </c>
      <c r="AB127" s="68">
        <f t="shared" si="79"/>
        <v>0</v>
      </c>
      <c r="AC127" s="68">
        <f t="shared" si="80"/>
        <v>0</v>
      </c>
      <c r="AD127" s="68">
        <f t="shared" si="81"/>
        <v>0</v>
      </c>
      <c r="AE127" s="68">
        <f t="shared" si="82"/>
        <v>0</v>
      </c>
      <c r="AF127" s="68">
        <f t="shared" si="83"/>
        <v>0</v>
      </c>
      <c r="AG127" s="68">
        <f t="shared" si="84"/>
        <v>0</v>
      </c>
      <c r="AH127" s="68">
        <f t="shared" si="85"/>
        <v>0</v>
      </c>
      <c r="AI127" s="60"/>
      <c r="AJ127" s="52">
        <f t="shared" si="86"/>
        <v>0</v>
      </c>
      <c r="AK127" s="52">
        <f t="shared" si="87"/>
        <v>0</v>
      </c>
      <c r="AL127" s="52">
        <f t="shared" si="88"/>
        <v>0</v>
      </c>
      <c r="AN127" s="68">
        <v>15</v>
      </c>
      <c r="AO127" s="68">
        <f>H127*1</f>
        <v>0</v>
      </c>
      <c r="AP127" s="68">
        <f>H127*(1-1)</f>
        <v>0</v>
      </c>
      <c r="AQ127" s="70" t="s">
        <v>79</v>
      </c>
      <c r="AV127" s="68">
        <f t="shared" si="89"/>
        <v>0</v>
      </c>
      <c r="AW127" s="68">
        <f t="shared" si="90"/>
        <v>0</v>
      </c>
      <c r="AX127" s="68">
        <f t="shared" si="91"/>
        <v>0</v>
      </c>
      <c r="AY127" s="71" t="s">
        <v>624</v>
      </c>
      <c r="AZ127" s="71" t="s">
        <v>642</v>
      </c>
      <c r="BA127" s="60" t="s">
        <v>647</v>
      </c>
      <c r="BC127" s="68">
        <f t="shared" si="92"/>
        <v>0</v>
      </c>
      <c r="BD127" s="68">
        <f t="shared" si="93"/>
        <v>0</v>
      </c>
      <c r="BE127" s="68">
        <v>0</v>
      </c>
      <c r="BF127" s="68">
        <f t="shared" si="94"/>
        <v>0.008</v>
      </c>
      <c r="BH127" s="52">
        <f t="shared" si="95"/>
        <v>0</v>
      </c>
      <c r="BI127" s="52">
        <f t="shared" si="96"/>
        <v>0</v>
      </c>
      <c r="BJ127" s="52">
        <f t="shared" si="97"/>
        <v>0</v>
      </c>
      <c r="BK127" s="52" t="s">
        <v>653</v>
      </c>
      <c r="BL127" s="68">
        <v>725</v>
      </c>
    </row>
    <row r="128" spans="1:64" ht="12.75">
      <c r="A128" s="35" t="s">
        <v>141</v>
      </c>
      <c r="B128" s="42"/>
      <c r="C128" s="42" t="s">
        <v>284</v>
      </c>
      <c r="D128" s="197" t="s">
        <v>471</v>
      </c>
      <c r="E128" s="198"/>
      <c r="F128" s="42" t="s">
        <v>587</v>
      </c>
      <c r="G128" s="52">
        <v>1</v>
      </c>
      <c r="H128" s="121"/>
      <c r="I128" s="52">
        <f t="shared" si="74"/>
        <v>0</v>
      </c>
      <c r="J128" s="52">
        <f t="shared" si="75"/>
        <v>0</v>
      </c>
      <c r="K128" s="52">
        <f t="shared" si="76"/>
        <v>0</v>
      </c>
      <c r="L128" s="52">
        <v>0.013</v>
      </c>
      <c r="M128" s="52">
        <f t="shared" si="77"/>
        <v>0.013</v>
      </c>
      <c r="N128" s="66" t="s">
        <v>606</v>
      </c>
      <c r="O128" s="17"/>
      <c r="Z128" s="68">
        <f t="shared" si="78"/>
        <v>0</v>
      </c>
      <c r="AB128" s="68">
        <f t="shared" si="79"/>
        <v>0</v>
      </c>
      <c r="AC128" s="68">
        <f t="shared" si="80"/>
        <v>0</v>
      </c>
      <c r="AD128" s="68">
        <f t="shared" si="81"/>
        <v>0</v>
      </c>
      <c r="AE128" s="68">
        <f t="shared" si="82"/>
        <v>0</v>
      </c>
      <c r="AF128" s="68">
        <f t="shared" si="83"/>
        <v>0</v>
      </c>
      <c r="AG128" s="68">
        <f t="shared" si="84"/>
        <v>0</v>
      </c>
      <c r="AH128" s="68">
        <f t="shared" si="85"/>
        <v>0</v>
      </c>
      <c r="AI128" s="60"/>
      <c r="AJ128" s="52">
        <f t="shared" si="86"/>
        <v>0</v>
      </c>
      <c r="AK128" s="52">
        <f t="shared" si="87"/>
        <v>0</v>
      </c>
      <c r="AL128" s="52">
        <f t="shared" si="88"/>
        <v>0</v>
      </c>
      <c r="AN128" s="68">
        <v>15</v>
      </c>
      <c r="AO128" s="68">
        <f>H128*1</f>
        <v>0</v>
      </c>
      <c r="AP128" s="68">
        <f>H128*(1-1)</f>
        <v>0</v>
      </c>
      <c r="AQ128" s="70" t="s">
        <v>79</v>
      </c>
      <c r="AV128" s="68">
        <f t="shared" si="89"/>
        <v>0</v>
      </c>
      <c r="AW128" s="68">
        <f t="shared" si="90"/>
        <v>0</v>
      </c>
      <c r="AX128" s="68">
        <f t="shared" si="91"/>
        <v>0</v>
      </c>
      <c r="AY128" s="71" t="s">
        <v>624</v>
      </c>
      <c r="AZ128" s="71" t="s">
        <v>642</v>
      </c>
      <c r="BA128" s="60" t="s">
        <v>647</v>
      </c>
      <c r="BC128" s="68">
        <f t="shared" si="92"/>
        <v>0</v>
      </c>
      <c r="BD128" s="68">
        <f t="shared" si="93"/>
        <v>0</v>
      </c>
      <c r="BE128" s="68">
        <v>0</v>
      </c>
      <c r="BF128" s="68">
        <f t="shared" si="94"/>
        <v>0.013</v>
      </c>
      <c r="BH128" s="52">
        <f t="shared" si="95"/>
        <v>0</v>
      </c>
      <c r="BI128" s="52">
        <f t="shared" si="96"/>
        <v>0</v>
      </c>
      <c r="BJ128" s="52">
        <f t="shared" si="97"/>
        <v>0</v>
      </c>
      <c r="BK128" s="52" t="s">
        <v>653</v>
      </c>
      <c r="BL128" s="68">
        <v>725</v>
      </c>
    </row>
    <row r="129" spans="1:64" ht="12.75">
      <c r="A129" s="35" t="s">
        <v>142</v>
      </c>
      <c r="B129" s="42"/>
      <c r="C129" s="42" t="s">
        <v>285</v>
      </c>
      <c r="D129" s="197" t="s">
        <v>472</v>
      </c>
      <c r="E129" s="198"/>
      <c r="F129" s="42" t="s">
        <v>587</v>
      </c>
      <c r="G129" s="52">
        <v>1</v>
      </c>
      <c r="H129" s="121"/>
      <c r="I129" s="52">
        <f t="shared" si="74"/>
        <v>0</v>
      </c>
      <c r="J129" s="52">
        <f t="shared" si="75"/>
        <v>0</v>
      </c>
      <c r="K129" s="52">
        <f t="shared" si="76"/>
        <v>0</v>
      </c>
      <c r="L129" s="52">
        <v>0.01</v>
      </c>
      <c r="M129" s="52">
        <f t="shared" si="77"/>
        <v>0.01</v>
      </c>
      <c r="N129" s="66" t="s">
        <v>606</v>
      </c>
      <c r="O129" s="17"/>
      <c r="Z129" s="68">
        <f t="shared" si="78"/>
        <v>0</v>
      </c>
      <c r="AB129" s="68">
        <f t="shared" si="79"/>
        <v>0</v>
      </c>
      <c r="AC129" s="68">
        <f t="shared" si="80"/>
        <v>0</v>
      </c>
      <c r="AD129" s="68">
        <f t="shared" si="81"/>
        <v>0</v>
      </c>
      <c r="AE129" s="68">
        <f t="shared" si="82"/>
        <v>0</v>
      </c>
      <c r="AF129" s="68">
        <f t="shared" si="83"/>
        <v>0</v>
      </c>
      <c r="AG129" s="68">
        <f t="shared" si="84"/>
        <v>0</v>
      </c>
      <c r="AH129" s="68">
        <f t="shared" si="85"/>
        <v>0</v>
      </c>
      <c r="AI129" s="60"/>
      <c r="AJ129" s="52">
        <f t="shared" si="86"/>
        <v>0</v>
      </c>
      <c r="AK129" s="52">
        <f t="shared" si="87"/>
        <v>0</v>
      </c>
      <c r="AL129" s="52">
        <f t="shared" si="88"/>
        <v>0</v>
      </c>
      <c r="AN129" s="68">
        <v>15</v>
      </c>
      <c r="AO129" s="68">
        <f>H129*1</f>
        <v>0</v>
      </c>
      <c r="AP129" s="68">
        <f>H129*(1-1)</f>
        <v>0</v>
      </c>
      <c r="AQ129" s="70" t="s">
        <v>79</v>
      </c>
      <c r="AV129" s="68">
        <f t="shared" si="89"/>
        <v>0</v>
      </c>
      <c r="AW129" s="68">
        <f t="shared" si="90"/>
        <v>0</v>
      </c>
      <c r="AX129" s="68">
        <f t="shared" si="91"/>
        <v>0</v>
      </c>
      <c r="AY129" s="71" t="s">
        <v>624</v>
      </c>
      <c r="AZ129" s="71" t="s">
        <v>642</v>
      </c>
      <c r="BA129" s="60" t="s">
        <v>647</v>
      </c>
      <c r="BC129" s="68">
        <f t="shared" si="92"/>
        <v>0</v>
      </c>
      <c r="BD129" s="68">
        <f t="shared" si="93"/>
        <v>0</v>
      </c>
      <c r="BE129" s="68">
        <v>0</v>
      </c>
      <c r="BF129" s="68">
        <f t="shared" si="94"/>
        <v>0.01</v>
      </c>
      <c r="BH129" s="52">
        <f t="shared" si="95"/>
        <v>0</v>
      </c>
      <c r="BI129" s="52">
        <f t="shared" si="96"/>
        <v>0</v>
      </c>
      <c r="BJ129" s="52">
        <f t="shared" si="97"/>
        <v>0</v>
      </c>
      <c r="BK129" s="52" t="s">
        <v>653</v>
      </c>
      <c r="BL129" s="68">
        <v>725</v>
      </c>
    </row>
    <row r="130" spans="1:64" ht="12.75">
      <c r="A130" s="35" t="s">
        <v>143</v>
      </c>
      <c r="B130" s="42"/>
      <c r="C130" s="42" t="s">
        <v>286</v>
      </c>
      <c r="D130" s="197" t="s">
        <v>473</v>
      </c>
      <c r="E130" s="198"/>
      <c r="F130" s="42" t="s">
        <v>587</v>
      </c>
      <c r="G130" s="52">
        <v>1</v>
      </c>
      <c r="H130" s="121"/>
      <c r="I130" s="52">
        <f t="shared" si="74"/>
        <v>0</v>
      </c>
      <c r="J130" s="52">
        <f t="shared" si="75"/>
        <v>0</v>
      </c>
      <c r="K130" s="52">
        <f t="shared" si="76"/>
        <v>0</v>
      </c>
      <c r="L130" s="52">
        <v>0.009</v>
      </c>
      <c r="M130" s="52">
        <f t="shared" si="77"/>
        <v>0.009</v>
      </c>
      <c r="N130" s="66" t="s">
        <v>606</v>
      </c>
      <c r="O130" s="17"/>
      <c r="Z130" s="68">
        <f t="shared" si="78"/>
        <v>0</v>
      </c>
      <c r="AB130" s="68">
        <f t="shared" si="79"/>
        <v>0</v>
      </c>
      <c r="AC130" s="68">
        <f t="shared" si="80"/>
        <v>0</v>
      </c>
      <c r="AD130" s="68">
        <f t="shared" si="81"/>
        <v>0</v>
      </c>
      <c r="AE130" s="68">
        <f t="shared" si="82"/>
        <v>0</v>
      </c>
      <c r="AF130" s="68">
        <f t="shared" si="83"/>
        <v>0</v>
      </c>
      <c r="AG130" s="68">
        <f t="shared" si="84"/>
        <v>0</v>
      </c>
      <c r="AH130" s="68">
        <f t="shared" si="85"/>
        <v>0</v>
      </c>
      <c r="AI130" s="60"/>
      <c r="AJ130" s="52">
        <f t="shared" si="86"/>
        <v>0</v>
      </c>
      <c r="AK130" s="52">
        <f t="shared" si="87"/>
        <v>0</v>
      </c>
      <c r="AL130" s="52">
        <f t="shared" si="88"/>
        <v>0</v>
      </c>
      <c r="AN130" s="68">
        <v>15</v>
      </c>
      <c r="AO130" s="68">
        <f>H130*1</f>
        <v>0</v>
      </c>
      <c r="AP130" s="68">
        <f>H130*(1-1)</f>
        <v>0</v>
      </c>
      <c r="AQ130" s="70" t="s">
        <v>79</v>
      </c>
      <c r="AV130" s="68">
        <f t="shared" si="89"/>
        <v>0</v>
      </c>
      <c r="AW130" s="68">
        <f t="shared" si="90"/>
        <v>0</v>
      </c>
      <c r="AX130" s="68">
        <f t="shared" si="91"/>
        <v>0</v>
      </c>
      <c r="AY130" s="71" t="s">
        <v>624</v>
      </c>
      <c r="AZ130" s="71" t="s">
        <v>642</v>
      </c>
      <c r="BA130" s="60" t="s">
        <v>647</v>
      </c>
      <c r="BC130" s="68">
        <f t="shared" si="92"/>
        <v>0</v>
      </c>
      <c r="BD130" s="68">
        <f t="shared" si="93"/>
        <v>0</v>
      </c>
      <c r="BE130" s="68">
        <v>0</v>
      </c>
      <c r="BF130" s="68">
        <f t="shared" si="94"/>
        <v>0.009</v>
      </c>
      <c r="BH130" s="52">
        <f t="shared" si="95"/>
        <v>0</v>
      </c>
      <c r="BI130" s="52">
        <f t="shared" si="96"/>
        <v>0</v>
      </c>
      <c r="BJ130" s="52">
        <f t="shared" si="97"/>
        <v>0</v>
      </c>
      <c r="BK130" s="52" t="s">
        <v>653</v>
      </c>
      <c r="BL130" s="68">
        <v>725</v>
      </c>
    </row>
    <row r="131" spans="1:64" ht="12.75">
      <c r="A131" s="86" t="s">
        <v>144</v>
      </c>
      <c r="B131" s="86"/>
      <c r="C131" s="86" t="s">
        <v>287</v>
      </c>
      <c r="D131" s="183" t="s">
        <v>474</v>
      </c>
      <c r="E131" s="184"/>
      <c r="F131" s="86" t="s">
        <v>588</v>
      </c>
      <c r="G131" s="87">
        <v>0.3</v>
      </c>
      <c r="H131" s="118"/>
      <c r="I131" s="87">
        <f t="shared" si="74"/>
        <v>0</v>
      </c>
      <c r="J131" s="87">
        <f t="shared" si="75"/>
        <v>0</v>
      </c>
      <c r="K131" s="87">
        <f t="shared" si="76"/>
        <v>0</v>
      </c>
      <c r="L131" s="87">
        <v>0</v>
      </c>
      <c r="M131" s="87">
        <f t="shared" si="77"/>
        <v>0</v>
      </c>
      <c r="N131" s="84" t="s">
        <v>606</v>
      </c>
      <c r="O131" s="77"/>
      <c r="Z131" s="68">
        <f t="shared" si="78"/>
        <v>0</v>
      </c>
      <c r="AB131" s="68">
        <f t="shared" si="79"/>
        <v>0</v>
      </c>
      <c r="AC131" s="68">
        <f t="shared" si="80"/>
        <v>0</v>
      </c>
      <c r="AD131" s="68">
        <f t="shared" si="81"/>
        <v>0</v>
      </c>
      <c r="AE131" s="68">
        <f t="shared" si="82"/>
        <v>0</v>
      </c>
      <c r="AF131" s="68">
        <f t="shared" si="83"/>
        <v>0</v>
      </c>
      <c r="AG131" s="68">
        <f t="shared" si="84"/>
        <v>0</v>
      </c>
      <c r="AH131" s="68">
        <f t="shared" si="85"/>
        <v>0</v>
      </c>
      <c r="AI131" s="60"/>
      <c r="AJ131" s="50">
        <f t="shared" si="86"/>
        <v>0</v>
      </c>
      <c r="AK131" s="50">
        <f t="shared" si="87"/>
        <v>0</v>
      </c>
      <c r="AL131" s="50">
        <f t="shared" si="88"/>
        <v>0</v>
      </c>
      <c r="AN131" s="68">
        <v>15</v>
      </c>
      <c r="AO131" s="68">
        <f>H131*0</f>
        <v>0</v>
      </c>
      <c r="AP131" s="68">
        <f>H131*(1-0)</f>
        <v>0</v>
      </c>
      <c r="AQ131" s="69" t="s">
        <v>79</v>
      </c>
      <c r="AV131" s="68">
        <f t="shared" si="89"/>
        <v>0</v>
      </c>
      <c r="AW131" s="68">
        <f t="shared" si="90"/>
        <v>0</v>
      </c>
      <c r="AX131" s="68">
        <f t="shared" si="91"/>
        <v>0</v>
      </c>
      <c r="AY131" s="71" t="s">
        <v>624</v>
      </c>
      <c r="AZ131" s="71" t="s">
        <v>642</v>
      </c>
      <c r="BA131" s="60" t="s">
        <v>647</v>
      </c>
      <c r="BC131" s="68">
        <f t="shared" si="92"/>
        <v>0</v>
      </c>
      <c r="BD131" s="68">
        <f t="shared" si="93"/>
        <v>0</v>
      </c>
      <c r="BE131" s="68">
        <v>0</v>
      </c>
      <c r="BF131" s="68">
        <f t="shared" si="94"/>
        <v>0</v>
      </c>
      <c r="BH131" s="50">
        <f t="shared" si="95"/>
        <v>0</v>
      </c>
      <c r="BI131" s="50">
        <f t="shared" si="96"/>
        <v>0</v>
      </c>
      <c r="BJ131" s="50">
        <f t="shared" si="97"/>
        <v>0</v>
      </c>
      <c r="BK131" s="50" t="s">
        <v>652</v>
      </c>
      <c r="BL131" s="68">
        <v>725</v>
      </c>
    </row>
    <row r="132" spans="1:47" ht="12.75">
      <c r="A132" s="78"/>
      <c r="B132" s="79"/>
      <c r="C132" s="79" t="s">
        <v>288</v>
      </c>
      <c r="D132" s="192" t="s">
        <v>475</v>
      </c>
      <c r="E132" s="190"/>
      <c r="F132" s="78" t="s">
        <v>72</v>
      </c>
      <c r="G132" s="78" t="s">
        <v>72</v>
      </c>
      <c r="H132" s="78" t="s">
        <v>72</v>
      </c>
      <c r="I132" s="82">
        <f>SUM(I133:I136)</f>
        <v>0</v>
      </c>
      <c r="J132" s="82">
        <f>SUM(J133:J136)</f>
        <v>0</v>
      </c>
      <c r="K132" s="82">
        <f>SUM(K133:K136)</f>
        <v>0</v>
      </c>
      <c r="L132" s="83"/>
      <c r="M132" s="82">
        <f>SUM(M133:M136)</f>
        <v>0.0001</v>
      </c>
      <c r="N132" s="76"/>
      <c r="O132" s="77"/>
      <c r="AI132" s="60"/>
      <c r="AS132" s="74">
        <f>SUM(AJ133:AJ136)</f>
        <v>0</v>
      </c>
      <c r="AT132" s="74">
        <f>SUM(AK133:AK136)</f>
        <v>0</v>
      </c>
      <c r="AU132" s="74">
        <f>SUM(AL133:AL136)</f>
        <v>0</v>
      </c>
    </row>
    <row r="133" spans="1:64" ht="12.75">
      <c r="A133" s="86" t="s">
        <v>145</v>
      </c>
      <c r="B133" s="86"/>
      <c r="C133" s="86" t="s">
        <v>289</v>
      </c>
      <c r="D133" s="183" t="s">
        <v>476</v>
      </c>
      <c r="E133" s="184"/>
      <c r="F133" s="86" t="s">
        <v>587</v>
      </c>
      <c r="G133" s="87">
        <v>2</v>
      </c>
      <c r="H133" s="118"/>
      <c r="I133" s="87">
        <f>G133*AO133</f>
        <v>0</v>
      </c>
      <c r="J133" s="87">
        <f>G133*AP133</f>
        <v>0</v>
      </c>
      <c r="K133" s="87">
        <f>G133*H133</f>
        <v>0</v>
      </c>
      <c r="L133" s="87">
        <v>0</v>
      </c>
      <c r="M133" s="87">
        <f>G133*L133</f>
        <v>0</v>
      </c>
      <c r="N133" s="84" t="s">
        <v>606</v>
      </c>
      <c r="O133" s="77"/>
      <c r="Z133" s="68">
        <f>IF(AQ133="5",BJ133,0)</f>
        <v>0</v>
      </c>
      <c r="AB133" s="68">
        <f>IF(AQ133="1",BH133,0)</f>
        <v>0</v>
      </c>
      <c r="AC133" s="68">
        <f>IF(AQ133="1",BI133,0)</f>
        <v>0</v>
      </c>
      <c r="AD133" s="68">
        <f>IF(AQ133="7",BH133,0)</f>
        <v>0</v>
      </c>
      <c r="AE133" s="68">
        <f>IF(AQ133="7",BI133,0)</f>
        <v>0</v>
      </c>
      <c r="AF133" s="68">
        <f>IF(AQ133="2",BH133,0)</f>
        <v>0</v>
      </c>
      <c r="AG133" s="68">
        <f>IF(AQ133="2",BI133,0)</f>
        <v>0</v>
      </c>
      <c r="AH133" s="68">
        <f>IF(AQ133="0",BJ133,0)</f>
        <v>0</v>
      </c>
      <c r="AI133" s="60"/>
      <c r="AJ133" s="50">
        <f>IF(AN133=0,K133,0)</f>
        <v>0</v>
      </c>
      <c r="AK133" s="50">
        <f>IF(AN133=15,K133,0)</f>
        <v>0</v>
      </c>
      <c r="AL133" s="50">
        <f>IF(AN133=21,K133,0)</f>
        <v>0</v>
      </c>
      <c r="AN133" s="68">
        <v>15</v>
      </c>
      <c r="AO133" s="68">
        <f>H133*0</f>
        <v>0</v>
      </c>
      <c r="AP133" s="68">
        <f>H133*(1-0)</f>
        <v>0</v>
      </c>
      <c r="AQ133" s="69" t="s">
        <v>79</v>
      </c>
      <c r="AV133" s="68">
        <f>AW133+AX133</f>
        <v>0</v>
      </c>
      <c r="AW133" s="68">
        <f>G133*AO133</f>
        <v>0</v>
      </c>
      <c r="AX133" s="68">
        <f>G133*AP133</f>
        <v>0</v>
      </c>
      <c r="AY133" s="71" t="s">
        <v>625</v>
      </c>
      <c r="AZ133" s="71" t="s">
        <v>642</v>
      </c>
      <c r="BA133" s="60" t="s">
        <v>647</v>
      </c>
      <c r="BC133" s="68">
        <f>AW133+AX133</f>
        <v>0</v>
      </c>
      <c r="BD133" s="68">
        <f>H133/(100-BE133)*100</f>
        <v>0</v>
      </c>
      <c r="BE133" s="68">
        <v>0</v>
      </c>
      <c r="BF133" s="68">
        <f>M133</f>
        <v>0</v>
      </c>
      <c r="BH133" s="50">
        <f>G133*AO133</f>
        <v>0</v>
      </c>
      <c r="BI133" s="50">
        <f>G133*AP133</f>
        <v>0</v>
      </c>
      <c r="BJ133" s="50">
        <f>G133*H133</f>
        <v>0</v>
      </c>
      <c r="BK133" s="50" t="s">
        <v>652</v>
      </c>
      <c r="BL133" s="68">
        <v>728</v>
      </c>
    </row>
    <row r="134" spans="1:64" ht="12.75">
      <c r="A134" s="101" t="s">
        <v>146</v>
      </c>
      <c r="B134" s="101"/>
      <c r="C134" s="101" t="s">
        <v>290</v>
      </c>
      <c r="D134" s="195" t="s">
        <v>477</v>
      </c>
      <c r="E134" s="196"/>
      <c r="F134" s="101" t="s">
        <v>587</v>
      </c>
      <c r="G134" s="102">
        <v>2</v>
      </c>
      <c r="H134" s="119"/>
      <c r="I134" s="102">
        <f>G134*AO134</f>
        <v>0</v>
      </c>
      <c r="J134" s="102">
        <f>G134*AP134</f>
        <v>0</v>
      </c>
      <c r="K134" s="102">
        <f>G134*H134</f>
        <v>0</v>
      </c>
      <c r="L134" s="102">
        <v>5E-05</v>
      </c>
      <c r="M134" s="102">
        <f>G134*L134</f>
        <v>0.0001</v>
      </c>
      <c r="N134" s="100" t="s">
        <v>606</v>
      </c>
      <c r="O134" s="77"/>
      <c r="Z134" s="68">
        <f>IF(AQ134="5",BJ134,0)</f>
        <v>0</v>
      </c>
      <c r="AB134" s="68">
        <f>IF(AQ134="1",BH134,0)</f>
        <v>0</v>
      </c>
      <c r="AC134" s="68">
        <f>IF(AQ134="1",BI134,0)</f>
        <v>0</v>
      </c>
      <c r="AD134" s="68">
        <f>IF(AQ134="7",BH134,0)</f>
        <v>0</v>
      </c>
      <c r="AE134" s="68">
        <f>IF(AQ134="7",BI134,0)</f>
        <v>0</v>
      </c>
      <c r="AF134" s="68">
        <f>IF(AQ134="2",BH134,0)</f>
        <v>0</v>
      </c>
      <c r="AG134" s="68">
        <f>IF(AQ134="2",BI134,0)</f>
        <v>0</v>
      </c>
      <c r="AH134" s="68">
        <f>IF(AQ134="0",BJ134,0)</f>
        <v>0</v>
      </c>
      <c r="AI134" s="60"/>
      <c r="AJ134" s="52">
        <f>IF(AN134=0,K134,0)</f>
        <v>0</v>
      </c>
      <c r="AK134" s="52">
        <f>IF(AN134=15,K134,0)</f>
        <v>0</v>
      </c>
      <c r="AL134" s="52">
        <f>IF(AN134=21,K134,0)</f>
        <v>0</v>
      </c>
      <c r="AN134" s="68">
        <v>15</v>
      </c>
      <c r="AO134" s="68">
        <f>H134*1</f>
        <v>0</v>
      </c>
      <c r="AP134" s="68">
        <f>H134*(1-1)</f>
        <v>0</v>
      </c>
      <c r="AQ134" s="70" t="s">
        <v>79</v>
      </c>
      <c r="AV134" s="68">
        <f>AW134+AX134</f>
        <v>0</v>
      </c>
      <c r="AW134" s="68">
        <f>G134*AO134</f>
        <v>0</v>
      </c>
      <c r="AX134" s="68">
        <f>G134*AP134</f>
        <v>0</v>
      </c>
      <c r="AY134" s="71" t="s">
        <v>625</v>
      </c>
      <c r="AZ134" s="71" t="s">
        <v>642</v>
      </c>
      <c r="BA134" s="60" t="s">
        <v>647</v>
      </c>
      <c r="BC134" s="68">
        <f>AW134+AX134</f>
        <v>0</v>
      </c>
      <c r="BD134" s="68">
        <f>H134/(100-BE134)*100</f>
        <v>0</v>
      </c>
      <c r="BE134" s="68">
        <v>0</v>
      </c>
      <c r="BF134" s="68">
        <f>M134</f>
        <v>0.0001</v>
      </c>
      <c r="BH134" s="52">
        <f>G134*AO134</f>
        <v>0</v>
      </c>
      <c r="BI134" s="52">
        <f>G134*AP134</f>
        <v>0</v>
      </c>
      <c r="BJ134" s="52">
        <f>G134*H134</f>
        <v>0</v>
      </c>
      <c r="BK134" s="52" t="s">
        <v>653</v>
      </c>
      <c r="BL134" s="68">
        <v>728</v>
      </c>
    </row>
    <row r="135" spans="1:64" ht="12.75">
      <c r="A135" s="86" t="s">
        <v>147</v>
      </c>
      <c r="B135" s="86"/>
      <c r="C135" s="86" t="s">
        <v>228</v>
      </c>
      <c r="D135" s="183" t="s">
        <v>478</v>
      </c>
      <c r="E135" s="184"/>
      <c r="F135" s="86" t="s">
        <v>588</v>
      </c>
      <c r="G135" s="87">
        <v>1</v>
      </c>
      <c r="H135" s="118"/>
      <c r="I135" s="87">
        <f>G135*AO135</f>
        <v>0</v>
      </c>
      <c r="J135" s="87">
        <f>G135*AP135</f>
        <v>0</v>
      </c>
      <c r="K135" s="87">
        <f>G135*H135</f>
        <v>0</v>
      </c>
      <c r="L135" s="87">
        <v>0</v>
      </c>
      <c r="M135" s="87">
        <f>G135*L135</f>
        <v>0</v>
      </c>
      <c r="N135" s="84" t="s">
        <v>228</v>
      </c>
      <c r="O135" s="77"/>
      <c r="Z135" s="68">
        <f>IF(AQ135="5",BJ135,0)</f>
        <v>0</v>
      </c>
      <c r="AB135" s="68">
        <f>IF(AQ135="1",BH135,0)</f>
        <v>0</v>
      </c>
      <c r="AC135" s="68">
        <f>IF(AQ135="1",BI135,0)</f>
        <v>0</v>
      </c>
      <c r="AD135" s="68">
        <f>IF(AQ135="7",BH135,0)</f>
        <v>0</v>
      </c>
      <c r="AE135" s="68">
        <f>IF(AQ135="7",BI135,0)</f>
        <v>0</v>
      </c>
      <c r="AF135" s="68">
        <f>IF(AQ135="2",BH135,0)</f>
        <v>0</v>
      </c>
      <c r="AG135" s="68">
        <f>IF(AQ135="2",BI135,0)</f>
        <v>0</v>
      </c>
      <c r="AH135" s="68">
        <f>IF(AQ135="0",BJ135,0)</f>
        <v>0</v>
      </c>
      <c r="AI135" s="60"/>
      <c r="AJ135" s="50">
        <f>IF(AN135=0,K135,0)</f>
        <v>0</v>
      </c>
      <c r="AK135" s="50">
        <f>IF(AN135=15,K135,0)</f>
        <v>0</v>
      </c>
      <c r="AL135" s="50">
        <f>IF(AN135=21,K135,0)</f>
        <v>0</v>
      </c>
      <c r="AN135" s="68">
        <v>15</v>
      </c>
      <c r="AO135" s="68">
        <f>H135*0</f>
        <v>0</v>
      </c>
      <c r="AP135" s="68">
        <f>H135*(1-0)</f>
        <v>0</v>
      </c>
      <c r="AQ135" s="69" t="s">
        <v>77</v>
      </c>
      <c r="AV135" s="68">
        <f>AW135+AX135</f>
        <v>0</v>
      </c>
      <c r="AW135" s="68">
        <f>G135*AO135</f>
        <v>0</v>
      </c>
      <c r="AX135" s="68">
        <f>G135*AP135</f>
        <v>0</v>
      </c>
      <c r="AY135" s="71" t="s">
        <v>625</v>
      </c>
      <c r="AZ135" s="71" t="s">
        <v>642</v>
      </c>
      <c r="BA135" s="60" t="s">
        <v>647</v>
      </c>
      <c r="BC135" s="68">
        <f>AW135+AX135</f>
        <v>0</v>
      </c>
      <c r="BD135" s="68">
        <f>H135/(100-BE135)*100</f>
        <v>0</v>
      </c>
      <c r="BE135" s="68">
        <v>0</v>
      </c>
      <c r="BF135" s="68">
        <f>M135</f>
        <v>0</v>
      </c>
      <c r="BH135" s="50">
        <f>G135*AO135</f>
        <v>0</v>
      </c>
      <c r="BI135" s="50">
        <f>G135*AP135</f>
        <v>0</v>
      </c>
      <c r="BJ135" s="50">
        <f>G135*H135</f>
        <v>0</v>
      </c>
      <c r="BK135" s="50" t="s">
        <v>652</v>
      </c>
      <c r="BL135" s="68">
        <v>728</v>
      </c>
    </row>
    <row r="136" spans="1:64" ht="12.75">
      <c r="A136" s="86" t="s">
        <v>148</v>
      </c>
      <c r="B136" s="86"/>
      <c r="C136" s="86" t="s">
        <v>291</v>
      </c>
      <c r="D136" s="183" t="s">
        <v>479</v>
      </c>
      <c r="E136" s="184"/>
      <c r="F136" s="86" t="s">
        <v>588</v>
      </c>
      <c r="G136" s="87">
        <v>0.01</v>
      </c>
      <c r="H136" s="118"/>
      <c r="I136" s="87">
        <f>G136*AO136</f>
        <v>0</v>
      </c>
      <c r="J136" s="87">
        <f>G136*AP136</f>
        <v>0</v>
      </c>
      <c r="K136" s="87">
        <f>G136*H136</f>
        <v>0</v>
      </c>
      <c r="L136" s="87">
        <v>0</v>
      </c>
      <c r="M136" s="87">
        <f>G136*L136</f>
        <v>0</v>
      </c>
      <c r="N136" s="84" t="s">
        <v>606</v>
      </c>
      <c r="O136" s="77"/>
      <c r="Z136" s="68">
        <f>IF(AQ136="5",BJ136,0)</f>
        <v>0</v>
      </c>
      <c r="AB136" s="68">
        <f>IF(AQ136="1",BH136,0)</f>
        <v>0</v>
      </c>
      <c r="AC136" s="68">
        <f>IF(AQ136="1",BI136,0)</f>
        <v>0</v>
      </c>
      <c r="AD136" s="68">
        <f>IF(AQ136="7",BH136,0)</f>
        <v>0</v>
      </c>
      <c r="AE136" s="68">
        <f>IF(AQ136="7",BI136,0)</f>
        <v>0</v>
      </c>
      <c r="AF136" s="68">
        <f>IF(AQ136="2",BH136,0)</f>
        <v>0</v>
      </c>
      <c r="AG136" s="68">
        <f>IF(AQ136="2",BI136,0)</f>
        <v>0</v>
      </c>
      <c r="AH136" s="68">
        <f>IF(AQ136="0",BJ136,0)</f>
        <v>0</v>
      </c>
      <c r="AI136" s="60"/>
      <c r="AJ136" s="50">
        <f>IF(AN136=0,K136,0)</f>
        <v>0</v>
      </c>
      <c r="AK136" s="50">
        <f>IF(AN136=15,K136,0)</f>
        <v>0</v>
      </c>
      <c r="AL136" s="50">
        <f>IF(AN136=21,K136,0)</f>
        <v>0</v>
      </c>
      <c r="AN136" s="68">
        <v>15</v>
      </c>
      <c r="AO136" s="68">
        <f>H136*0</f>
        <v>0</v>
      </c>
      <c r="AP136" s="68">
        <f>H136*(1-0)</f>
        <v>0</v>
      </c>
      <c r="AQ136" s="69" t="s">
        <v>77</v>
      </c>
      <c r="AV136" s="68">
        <f>AW136+AX136</f>
        <v>0</v>
      </c>
      <c r="AW136" s="68">
        <f>G136*AO136</f>
        <v>0</v>
      </c>
      <c r="AX136" s="68">
        <f>G136*AP136</f>
        <v>0</v>
      </c>
      <c r="AY136" s="71" t="s">
        <v>625</v>
      </c>
      <c r="AZ136" s="71" t="s">
        <v>642</v>
      </c>
      <c r="BA136" s="60" t="s">
        <v>647</v>
      </c>
      <c r="BC136" s="68">
        <f>AW136+AX136</f>
        <v>0</v>
      </c>
      <c r="BD136" s="68">
        <f>H136/(100-BE136)*100</f>
        <v>0</v>
      </c>
      <c r="BE136" s="68">
        <v>0</v>
      </c>
      <c r="BF136" s="68">
        <f>M136</f>
        <v>0</v>
      </c>
      <c r="BH136" s="50">
        <f>G136*AO136</f>
        <v>0</v>
      </c>
      <c r="BI136" s="50">
        <f>G136*AP136</f>
        <v>0</v>
      </c>
      <c r="BJ136" s="50">
        <f>G136*H136</f>
        <v>0</v>
      </c>
      <c r="BK136" s="50" t="s">
        <v>652</v>
      </c>
      <c r="BL136" s="68">
        <v>728</v>
      </c>
    </row>
    <row r="137" spans="1:47" ht="12.75">
      <c r="A137" s="78"/>
      <c r="B137" s="79"/>
      <c r="C137" s="79" t="s">
        <v>292</v>
      </c>
      <c r="D137" s="192" t="s">
        <v>480</v>
      </c>
      <c r="E137" s="190"/>
      <c r="F137" s="78" t="s">
        <v>72</v>
      </c>
      <c r="G137" s="78" t="s">
        <v>72</v>
      </c>
      <c r="H137" s="78" t="s">
        <v>72</v>
      </c>
      <c r="I137" s="82">
        <f>SUM(I138:I150)</f>
        <v>0</v>
      </c>
      <c r="J137" s="82">
        <f>SUM(J138:J150)</f>
        <v>0</v>
      </c>
      <c r="K137" s="82">
        <f>SUM(K138:K150)</f>
        <v>0</v>
      </c>
      <c r="L137" s="83"/>
      <c r="M137" s="82">
        <f>SUM(M138:M150)</f>
        <v>0.4351</v>
      </c>
      <c r="N137" s="76"/>
      <c r="O137" s="77"/>
      <c r="AI137" s="60"/>
      <c r="AS137" s="74">
        <f>SUM(AJ138:AJ150)</f>
        <v>0</v>
      </c>
      <c r="AT137" s="74">
        <f>SUM(AK138:AK150)</f>
        <v>0</v>
      </c>
      <c r="AU137" s="74">
        <f>SUM(AL138:AL150)</f>
        <v>0</v>
      </c>
    </row>
    <row r="138" spans="1:64" ht="12.75">
      <c r="A138" s="86" t="s">
        <v>149</v>
      </c>
      <c r="B138" s="86"/>
      <c r="C138" s="86" t="s">
        <v>293</v>
      </c>
      <c r="D138" s="183" t="s">
        <v>481</v>
      </c>
      <c r="E138" s="184"/>
      <c r="F138" s="86" t="s">
        <v>587</v>
      </c>
      <c r="G138" s="87">
        <v>2</v>
      </c>
      <c r="H138" s="118"/>
      <c r="I138" s="87">
        <f aca="true" t="shared" si="98" ref="I138:I150">G138*AO138</f>
        <v>0</v>
      </c>
      <c r="J138" s="87">
        <f aca="true" t="shared" si="99" ref="J138:J150">G138*AP138</f>
        <v>0</v>
      </c>
      <c r="K138" s="87">
        <f aca="true" t="shared" si="100" ref="K138:K150">G138*H138</f>
        <v>0</v>
      </c>
      <c r="L138" s="87">
        <v>0.0018</v>
      </c>
      <c r="M138" s="87">
        <f aca="true" t="shared" si="101" ref="M138:M150">G138*L138</f>
        <v>0.0036</v>
      </c>
      <c r="N138" s="84" t="s">
        <v>606</v>
      </c>
      <c r="O138" s="77"/>
      <c r="Z138" s="68">
        <f aca="true" t="shared" si="102" ref="Z138:Z150">IF(AQ138="5",BJ138,0)</f>
        <v>0</v>
      </c>
      <c r="AB138" s="68">
        <f aca="true" t="shared" si="103" ref="AB138:AB150">IF(AQ138="1",BH138,0)</f>
        <v>0</v>
      </c>
      <c r="AC138" s="68">
        <f aca="true" t="shared" si="104" ref="AC138:AC150">IF(AQ138="1",BI138,0)</f>
        <v>0</v>
      </c>
      <c r="AD138" s="68">
        <f aca="true" t="shared" si="105" ref="AD138:AD150">IF(AQ138="7",BH138,0)</f>
        <v>0</v>
      </c>
      <c r="AE138" s="68">
        <f aca="true" t="shared" si="106" ref="AE138:AE150">IF(AQ138="7",BI138,0)</f>
        <v>0</v>
      </c>
      <c r="AF138" s="68">
        <f aca="true" t="shared" si="107" ref="AF138:AF150">IF(AQ138="2",BH138,0)</f>
        <v>0</v>
      </c>
      <c r="AG138" s="68">
        <f aca="true" t="shared" si="108" ref="AG138:AG150">IF(AQ138="2",BI138,0)</f>
        <v>0</v>
      </c>
      <c r="AH138" s="68">
        <f aca="true" t="shared" si="109" ref="AH138:AH150">IF(AQ138="0",BJ138,0)</f>
        <v>0</v>
      </c>
      <c r="AI138" s="60"/>
      <c r="AJ138" s="50">
        <f aca="true" t="shared" si="110" ref="AJ138:AJ150">IF(AN138=0,K138,0)</f>
        <v>0</v>
      </c>
      <c r="AK138" s="50">
        <f aca="true" t="shared" si="111" ref="AK138:AK150">IF(AN138=15,K138,0)</f>
        <v>0</v>
      </c>
      <c r="AL138" s="50">
        <f aca="true" t="shared" si="112" ref="AL138:AL150">IF(AN138=21,K138,0)</f>
        <v>0</v>
      </c>
      <c r="AN138" s="68">
        <v>15</v>
      </c>
      <c r="AO138" s="68">
        <f>H138*0</f>
        <v>0</v>
      </c>
      <c r="AP138" s="68">
        <f>H138*(1-0)</f>
        <v>0</v>
      </c>
      <c r="AQ138" s="69" t="s">
        <v>79</v>
      </c>
      <c r="AV138" s="68">
        <f aca="true" t="shared" si="113" ref="AV138:AV150">AW138+AX138</f>
        <v>0</v>
      </c>
      <c r="AW138" s="68">
        <f aca="true" t="shared" si="114" ref="AW138:AW150">G138*AO138</f>
        <v>0</v>
      </c>
      <c r="AX138" s="68">
        <f aca="true" t="shared" si="115" ref="AX138:AX150">G138*AP138</f>
        <v>0</v>
      </c>
      <c r="AY138" s="71" t="s">
        <v>626</v>
      </c>
      <c r="AZ138" s="71" t="s">
        <v>643</v>
      </c>
      <c r="BA138" s="60" t="s">
        <v>647</v>
      </c>
      <c r="BC138" s="68">
        <f aca="true" t="shared" si="116" ref="BC138:BC150">AW138+AX138</f>
        <v>0</v>
      </c>
      <c r="BD138" s="68">
        <f aca="true" t="shared" si="117" ref="BD138:BD150">H138/(100-BE138)*100</f>
        <v>0</v>
      </c>
      <c r="BE138" s="68">
        <v>0</v>
      </c>
      <c r="BF138" s="68">
        <f aca="true" t="shared" si="118" ref="BF138:BF150">M138</f>
        <v>0.0036</v>
      </c>
      <c r="BH138" s="50">
        <f aca="true" t="shared" si="119" ref="BH138:BH150">G138*AO138</f>
        <v>0</v>
      </c>
      <c r="BI138" s="50">
        <f aca="true" t="shared" si="120" ref="BI138:BI150">G138*AP138</f>
        <v>0</v>
      </c>
      <c r="BJ138" s="50">
        <f aca="true" t="shared" si="121" ref="BJ138:BJ150">G138*H138</f>
        <v>0</v>
      </c>
      <c r="BK138" s="50" t="s">
        <v>652</v>
      </c>
      <c r="BL138" s="68">
        <v>766</v>
      </c>
    </row>
    <row r="139" spans="1:64" ht="12.75">
      <c r="A139" s="86" t="s">
        <v>150</v>
      </c>
      <c r="B139" s="86"/>
      <c r="C139" s="86" t="s">
        <v>294</v>
      </c>
      <c r="D139" s="183" t="s">
        <v>482</v>
      </c>
      <c r="E139" s="184"/>
      <c r="F139" s="86" t="s">
        <v>587</v>
      </c>
      <c r="G139" s="87">
        <v>1</v>
      </c>
      <c r="H139" s="118"/>
      <c r="I139" s="87">
        <f t="shared" si="98"/>
        <v>0</v>
      </c>
      <c r="J139" s="87">
        <f t="shared" si="99"/>
        <v>0</v>
      </c>
      <c r="K139" s="87">
        <f t="shared" si="100"/>
        <v>0</v>
      </c>
      <c r="L139" s="87">
        <v>0.174</v>
      </c>
      <c r="M139" s="87">
        <f t="shared" si="101"/>
        <v>0.174</v>
      </c>
      <c r="N139" s="84" t="s">
        <v>606</v>
      </c>
      <c r="O139" s="77"/>
      <c r="Z139" s="68">
        <f t="shared" si="102"/>
        <v>0</v>
      </c>
      <c r="AB139" s="68">
        <f t="shared" si="103"/>
        <v>0</v>
      </c>
      <c r="AC139" s="68">
        <f t="shared" si="104"/>
        <v>0</v>
      </c>
      <c r="AD139" s="68">
        <f t="shared" si="105"/>
        <v>0</v>
      </c>
      <c r="AE139" s="68">
        <f t="shared" si="106"/>
        <v>0</v>
      </c>
      <c r="AF139" s="68">
        <f t="shared" si="107"/>
        <v>0</v>
      </c>
      <c r="AG139" s="68">
        <f t="shared" si="108"/>
        <v>0</v>
      </c>
      <c r="AH139" s="68">
        <f t="shared" si="109"/>
        <v>0</v>
      </c>
      <c r="AI139" s="60"/>
      <c r="AJ139" s="50">
        <f t="shared" si="110"/>
        <v>0</v>
      </c>
      <c r="AK139" s="50">
        <f t="shared" si="111"/>
        <v>0</v>
      </c>
      <c r="AL139" s="50">
        <f t="shared" si="112"/>
        <v>0</v>
      </c>
      <c r="AN139" s="68">
        <v>15</v>
      </c>
      <c r="AO139" s="68">
        <f>H139*0</f>
        <v>0</v>
      </c>
      <c r="AP139" s="68">
        <f>H139*(1-0)</f>
        <v>0</v>
      </c>
      <c r="AQ139" s="69" t="s">
        <v>79</v>
      </c>
      <c r="AV139" s="68">
        <f t="shared" si="113"/>
        <v>0</v>
      </c>
      <c r="AW139" s="68">
        <f t="shared" si="114"/>
        <v>0</v>
      </c>
      <c r="AX139" s="68">
        <f t="shared" si="115"/>
        <v>0</v>
      </c>
      <c r="AY139" s="71" t="s">
        <v>626</v>
      </c>
      <c r="AZ139" s="71" t="s">
        <v>643</v>
      </c>
      <c r="BA139" s="60" t="s">
        <v>647</v>
      </c>
      <c r="BC139" s="68">
        <f t="shared" si="116"/>
        <v>0</v>
      </c>
      <c r="BD139" s="68">
        <f t="shared" si="117"/>
        <v>0</v>
      </c>
      <c r="BE139" s="68">
        <v>0</v>
      </c>
      <c r="BF139" s="68">
        <f t="shared" si="118"/>
        <v>0.174</v>
      </c>
      <c r="BH139" s="50">
        <f t="shared" si="119"/>
        <v>0</v>
      </c>
      <c r="BI139" s="50">
        <f t="shared" si="120"/>
        <v>0</v>
      </c>
      <c r="BJ139" s="50">
        <f t="shared" si="121"/>
        <v>0</v>
      </c>
      <c r="BK139" s="50" t="s">
        <v>652</v>
      </c>
      <c r="BL139" s="68">
        <v>766</v>
      </c>
    </row>
    <row r="140" spans="1:64" ht="12.75">
      <c r="A140" s="86" t="s">
        <v>151</v>
      </c>
      <c r="B140" s="86"/>
      <c r="C140" s="86" t="s">
        <v>295</v>
      </c>
      <c r="D140" s="183" t="s">
        <v>483</v>
      </c>
      <c r="E140" s="184"/>
      <c r="F140" s="86" t="s">
        <v>587</v>
      </c>
      <c r="G140" s="87">
        <v>2</v>
      </c>
      <c r="H140" s="118"/>
      <c r="I140" s="87">
        <f t="shared" si="98"/>
        <v>0</v>
      </c>
      <c r="J140" s="87">
        <f t="shared" si="99"/>
        <v>0</v>
      </c>
      <c r="K140" s="87">
        <f t="shared" si="100"/>
        <v>0</v>
      </c>
      <c r="L140" s="87">
        <v>0.1104</v>
      </c>
      <c r="M140" s="87">
        <f t="shared" si="101"/>
        <v>0.2208</v>
      </c>
      <c r="N140" s="84" t="s">
        <v>606</v>
      </c>
      <c r="O140" s="77"/>
      <c r="Z140" s="68">
        <f t="shared" si="102"/>
        <v>0</v>
      </c>
      <c r="AB140" s="68">
        <f t="shared" si="103"/>
        <v>0</v>
      </c>
      <c r="AC140" s="68">
        <f t="shared" si="104"/>
        <v>0</v>
      </c>
      <c r="AD140" s="68">
        <f t="shared" si="105"/>
        <v>0</v>
      </c>
      <c r="AE140" s="68">
        <f t="shared" si="106"/>
        <v>0</v>
      </c>
      <c r="AF140" s="68">
        <f t="shared" si="107"/>
        <v>0</v>
      </c>
      <c r="AG140" s="68">
        <f t="shared" si="108"/>
        <v>0</v>
      </c>
      <c r="AH140" s="68">
        <f t="shared" si="109"/>
        <v>0</v>
      </c>
      <c r="AI140" s="60"/>
      <c r="AJ140" s="50">
        <f t="shared" si="110"/>
        <v>0</v>
      </c>
      <c r="AK140" s="50">
        <f t="shared" si="111"/>
        <v>0</v>
      </c>
      <c r="AL140" s="50">
        <f t="shared" si="112"/>
        <v>0</v>
      </c>
      <c r="AN140" s="68">
        <v>15</v>
      </c>
      <c r="AO140" s="68">
        <f>H140*0</f>
        <v>0</v>
      </c>
      <c r="AP140" s="68">
        <f>H140*(1-0)</f>
        <v>0</v>
      </c>
      <c r="AQ140" s="69" t="s">
        <v>79</v>
      </c>
      <c r="AV140" s="68">
        <f t="shared" si="113"/>
        <v>0</v>
      </c>
      <c r="AW140" s="68">
        <f t="shared" si="114"/>
        <v>0</v>
      </c>
      <c r="AX140" s="68">
        <f t="shared" si="115"/>
        <v>0</v>
      </c>
      <c r="AY140" s="71" t="s">
        <v>626</v>
      </c>
      <c r="AZ140" s="71" t="s">
        <v>643</v>
      </c>
      <c r="BA140" s="60" t="s">
        <v>647</v>
      </c>
      <c r="BC140" s="68">
        <f t="shared" si="116"/>
        <v>0</v>
      </c>
      <c r="BD140" s="68">
        <f t="shared" si="117"/>
        <v>0</v>
      </c>
      <c r="BE140" s="68">
        <v>0</v>
      </c>
      <c r="BF140" s="68">
        <f t="shared" si="118"/>
        <v>0.2208</v>
      </c>
      <c r="BH140" s="50">
        <f t="shared" si="119"/>
        <v>0</v>
      </c>
      <c r="BI140" s="50">
        <f t="shared" si="120"/>
        <v>0</v>
      </c>
      <c r="BJ140" s="50">
        <f t="shared" si="121"/>
        <v>0</v>
      </c>
      <c r="BK140" s="50" t="s">
        <v>652</v>
      </c>
      <c r="BL140" s="68">
        <v>766</v>
      </c>
    </row>
    <row r="141" spans="1:64" ht="12.75">
      <c r="A141" s="80" t="s">
        <v>152</v>
      </c>
      <c r="B141" s="80"/>
      <c r="C141" s="80" t="s">
        <v>296</v>
      </c>
      <c r="D141" s="185" t="s">
        <v>484</v>
      </c>
      <c r="E141" s="186"/>
      <c r="F141" s="80" t="s">
        <v>587</v>
      </c>
      <c r="G141" s="81">
        <v>3</v>
      </c>
      <c r="H141" s="120"/>
      <c r="I141" s="81">
        <f t="shared" si="98"/>
        <v>0</v>
      </c>
      <c r="J141" s="81">
        <f t="shared" si="99"/>
        <v>0</v>
      </c>
      <c r="K141" s="81">
        <f t="shared" si="100"/>
        <v>0</v>
      </c>
      <c r="L141" s="81">
        <v>0</v>
      </c>
      <c r="M141" s="81">
        <f t="shared" si="101"/>
        <v>0</v>
      </c>
      <c r="N141" s="85" t="s">
        <v>606</v>
      </c>
      <c r="O141" s="77"/>
      <c r="Z141" s="68">
        <f t="shared" si="102"/>
        <v>0</v>
      </c>
      <c r="AB141" s="68">
        <f t="shared" si="103"/>
        <v>0</v>
      </c>
      <c r="AC141" s="68">
        <f t="shared" si="104"/>
        <v>0</v>
      </c>
      <c r="AD141" s="68">
        <f t="shared" si="105"/>
        <v>0</v>
      </c>
      <c r="AE141" s="68">
        <f t="shared" si="106"/>
        <v>0</v>
      </c>
      <c r="AF141" s="68">
        <f t="shared" si="107"/>
        <v>0</v>
      </c>
      <c r="AG141" s="68">
        <f t="shared" si="108"/>
        <v>0</v>
      </c>
      <c r="AH141" s="68">
        <f t="shared" si="109"/>
        <v>0</v>
      </c>
      <c r="AI141" s="60"/>
      <c r="AJ141" s="50">
        <f t="shared" si="110"/>
        <v>0</v>
      </c>
      <c r="AK141" s="50">
        <f t="shared" si="111"/>
        <v>0</v>
      </c>
      <c r="AL141" s="50">
        <f t="shared" si="112"/>
        <v>0</v>
      </c>
      <c r="AN141" s="68">
        <v>15</v>
      </c>
      <c r="AO141" s="68">
        <f>H141*0</f>
        <v>0</v>
      </c>
      <c r="AP141" s="68">
        <f>H141*(1-0)</f>
        <v>0</v>
      </c>
      <c r="AQ141" s="69" t="s">
        <v>79</v>
      </c>
      <c r="AV141" s="68">
        <f t="shared" si="113"/>
        <v>0</v>
      </c>
      <c r="AW141" s="68">
        <f t="shared" si="114"/>
        <v>0</v>
      </c>
      <c r="AX141" s="68">
        <f t="shared" si="115"/>
        <v>0</v>
      </c>
      <c r="AY141" s="71" t="s">
        <v>626</v>
      </c>
      <c r="AZ141" s="71" t="s">
        <v>643</v>
      </c>
      <c r="BA141" s="60" t="s">
        <v>647</v>
      </c>
      <c r="BC141" s="68">
        <f t="shared" si="116"/>
        <v>0</v>
      </c>
      <c r="BD141" s="68">
        <f t="shared" si="117"/>
        <v>0</v>
      </c>
      <c r="BE141" s="68">
        <v>0</v>
      </c>
      <c r="BF141" s="68">
        <f t="shared" si="118"/>
        <v>0</v>
      </c>
      <c r="BH141" s="50">
        <f t="shared" si="119"/>
        <v>0</v>
      </c>
      <c r="BI141" s="50">
        <f t="shared" si="120"/>
        <v>0</v>
      </c>
      <c r="BJ141" s="50">
        <f t="shared" si="121"/>
        <v>0</v>
      </c>
      <c r="BK141" s="50" t="s">
        <v>652</v>
      </c>
      <c r="BL141" s="68">
        <v>766</v>
      </c>
    </row>
    <row r="142" spans="1:64" ht="12.75">
      <c r="A142" s="35" t="s">
        <v>153</v>
      </c>
      <c r="B142" s="42"/>
      <c r="C142" s="42" t="s">
        <v>297</v>
      </c>
      <c r="D142" s="197" t="s">
        <v>485</v>
      </c>
      <c r="E142" s="198"/>
      <c r="F142" s="42" t="s">
        <v>587</v>
      </c>
      <c r="G142" s="52">
        <v>1</v>
      </c>
      <c r="H142" s="121"/>
      <c r="I142" s="52">
        <f t="shared" si="98"/>
        <v>0</v>
      </c>
      <c r="J142" s="52">
        <f t="shared" si="99"/>
        <v>0</v>
      </c>
      <c r="K142" s="52">
        <f t="shared" si="100"/>
        <v>0</v>
      </c>
      <c r="L142" s="52">
        <v>0.0138</v>
      </c>
      <c r="M142" s="52">
        <f t="shared" si="101"/>
        <v>0.0138</v>
      </c>
      <c r="N142" s="66" t="s">
        <v>606</v>
      </c>
      <c r="O142" s="17"/>
      <c r="Z142" s="68">
        <f t="shared" si="102"/>
        <v>0</v>
      </c>
      <c r="AB142" s="68">
        <f t="shared" si="103"/>
        <v>0</v>
      </c>
      <c r="AC142" s="68">
        <f t="shared" si="104"/>
        <v>0</v>
      </c>
      <c r="AD142" s="68">
        <f t="shared" si="105"/>
        <v>0</v>
      </c>
      <c r="AE142" s="68">
        <f t="shared" si="106"/>
        <v>0</v>
      </c>
      <c r="AF142" s="68">
        <f t="shared" si="107"/>
        <v>0</v>
      </c>
      <c r="AG142" s="68">
        <f t="shared" si="108"/>
        <v>0</v>
      </c>
      <c r="AH142" s="68">
        <f t="shared" si="109"/>
        <v>0</v>
      </c>
      <c r="AI142" s="60"/>
      <c r="AJ142" s="52">
        <f t="shared" si="110"/>
        <v>0</v>
      </c>
      <c r="AK142" s="52">
        <f t="shared" si="111"/>
        <v>0</v>
      </c>
      <c r="AL142" s="52">
        <f t="shared" si="112"/>
        <v>0</v>
      </c>
      <c r="AN142" s="68">
        <v>15</v>
      </c>
      <c r="AO142" s="68">
        <f>H142*1</f>
        <v>0</v>
      </c>
      <c r="AP142" s="68">
        <f>H142*(1-1)</f>
        <v>0</v>
      </c>
      <c r="AQ142" s="70" t="s">
        <v>79</v>
      </c>
      <c r="AV142" s="68">
        <f t="shared" si="113"/>
        <v>0</v>
      </c>
      <c r="AW142" s="68">
        <f t="shared" si="114"/>
        <v>0</v>
      </c>
      <c r="AX142" s="68">
        <f t="shared" si="115"/>
        <v>0</v>
      </c>
      <c r="AY142" s="71" t="s">
        <v>626</v>
      </c>
      <c r="AZ142" s="71" t="s">
        <v>643</v>
      </c>
      <c r="BA142" s="60" t="s">
        <v>647</v>
      </c>
      <c r="BC142" s="68">
        <f t="shared" si="116"/>
        <v>0</v>
      </c>
      <c r="BD142" s="68">
        <f t="shared" si="117"/>
        <v>0</v>
      </c>
      <c r="BE142" s="68">
        <v>0</v>
      </c>
      <c r="BF142" s="68">
        <f t="shared" si="118"/>
        <v>0.0138</v>
      </c>
      <c r="BH142" s="52">
        <f t="shared" si="119"/>
        <v>0</v>
      </c>
      <c r="BI142" s="52">
        <f t="shared" si="120"/>
        <v>0</v>
      </c>
      <c r="BJ142" s="52">
        <f t="shared" si="121"/>
        <v>0</v>
      </c>
      <c r="BK142" s="52" t="s">
        <v>653</v>
      </c>
      <c r="BL142" s="68">
        <v>766</v>
      </c>
    </row>
    <row r="143" spans="1:64" ht="12.75">
      <c r="A143" s="101" t="s">
        <v>154</v>
      </c>
      <c r="B143" s="101"/>
      <c r="C143" s="101" t="s">
        <v>298</v>
      </c>
      <c r="D143" s="195" t="s">
        <v>486</v>
      </c>
      <c r="E143" s="196"/>
      <c r="F143" s="101" t="s">
        <v>587</v>
      </c>
      <c r="G143" s="102">
        <v>1</v>
      </c>
      <c r="H143" s="119"/>
      <c r="I143" s="102">
        <f t="shared" si="98"/>
        <v>0</v>
      </c>
      <c r="J143" s="102">
        <f t="shared" si="99"/>
        <v>0</v>
      </c>
      <c r="K143" s="102">
        <f t="shared" si="100"/>
        <v>0</v>
      </c>
      <c r="L143" s="102">
        <v>0.0205</v>
      </c>
      <c r="M143" s="102">
        <f t="shared" si="101"/>
        <v>0.0205</v>
      </c>
      <c r="N143" s="100" t="s">
        <v>606</v>
      </c>
      <c r="O143" s="77"/>
      <c r="Z143" s="68">
        <f t="shared" si="102"/>
        <v>0</v>
      </c>
      <c r="AB143" s="68">
        <f t="shared" si="103"/>
        <v>0</v>
      </c>
      <c r="AC143" s="68">
        <f t="shared" si="104"/>
        <v>0</v>
      </c>
      <c r="AD143" s="68">
        <f t="shared" si="105"/>
        <v>0</v>
      </c>
      <c r="AE143" s="68">
        <f t="shared" si="106"/>
        <v>0</v>
      </c>
      <c r="AF143" s="68">
        <f t="shared" si="107"/>
        <v>0</v>
      </c>
      <c r="AG143" s="68">
        <f t="shared" si="108"/>
        <v>0</v>
      </c>
      <c r="AH143" s="68">
        <f t="shared" si="109"/>
        <v>0</v>
      </c>
      <c r="AI143" s="60"/>
      <c r="AJ143" s="52">
        <f t="shared" si="110"/>
        <v>0</v>
      </c>
      <c r="AK143" s="52">
        <f t="shared" si="111"/>
        <v>0</v>
      </c>
      <c r="AL143" s="52">
        <f t="shared" si="112"/>
        <v>0</v>
      </c>
      <c r="AN143" s="68">
        <v>15</v>
      </c>
      <c r="AO143" s="68">
        <f>H143*1</f>
        <v>0</v>
      </c>
      <c r="AP143" s="68">
        <f>H143*(1-1)</f>
        <v>0</v>
      </c>
      <c r="AQ143" s="70" t="s">
        <v>79</v>
      </c>
      <c r="AV143" s="68">
        <f t="shared" si="113"/>
        <v>0</v>
      </c>
      <c r="AW143" s="68">
        <f t="shared" si="114"/>
        <v>0</v>
      </c>
      <c r="AX143" s="68">
        <f t="shared" si="115"/>
        <v>0</v>
      </c>
      <c r="AY143" s="71" t="s">
        <v>626</v>
      </c>
      <c r="AZ143" s="71" t="s">
        <v>643</v>
      </c>
      <c r="BA143" s="60" t="s">
        <v>647</v>
      </c>
      <c r="BC143" s="68">
        <f t="shared" si="116"/>
        <v>0</v>
      </c>
      <c r="BD143" s="68">
        <f t="shared" si="117"/>
        <v>0</v>
      </c>
      <c r="BE143" s="68">
        <v>0</v>
      </c>
      <c r="BF143" s="68">
        <f t="shared" si="118"/>
        <v>0.0205</v>
      </c>
      <c r="BH143" s="52">
        <f t="shared" si="119"/>
        <v>0</v>
      </c>
      <c r="BI143" s="52">
        <f t="shared" si="120"/>
        <v>0</v>
      </c>
      <c r="BJ143" s="52">
        <f t="shared" si="121"/>
        <v>0</v>
      </c>
      <c r="BK143" s="52" t="s">
        <v>653</v>
      </c>
      <c r="BL143" s="68">
        <v>766</v>
      </c>
    </row>
    <row r="144" spans="1:64" ht="12.75">
      <c r="A144" s="80" t="s">
        <v>155</v>
      </c>
      <c r="B144" s="80"/>
      <c r="C144" s="80" t="s">
        <v>299</v>
      </c>
      <c r="D144" s="185" t="s">
        <v>487</v>
      </c>
      <c r="E144" s="186"/>
      <c r="F144" s="80" t="s">
        <v>587</v>
      </c>
      <c r="G144" s="81">
        <v>2</v>
      </c>
      <c r="H144" s="120"/>
      <c r="I144" s="81">
        <f t="shared" si="98"/>
        <v>0</v>
      </c>
      <c r="J144" s="81">
        <f t="shared" si="99"/>
        <v>0</v>
      </c>
      <c r="K144" s="81">
        <f t="shared" si="100"/>
        <v>0</v>
      </c>
      <c r="L144" s="81">
        <v>0</v>
      </c>
      <c r="M144" s="81">
        <f t="shared" si="101"/>
        <v>0</v>
      </c>
      <c r="N144" s="85" t="s">
        <v>606</v>
      </c>
      <c r="O144" s="77"/>
      <c r="Z144" s="68">
        <f t="shared" si="102"/>
        <v>0</v>
      </c>
      <c r="AB144" s="68">
        <f t="shared" si="103"/>
        <v>0</v>
      </c>
      <c r="AC144" s="68">
        <f t="shared" si="104"/>
        <v>0</v>
      </c>
      <c r="AD144" s="68">
        <f t="shared" si="105"/>
        <v>0</v>
      </c>
      <c r="AE144" s="68">
        <f t="shared" si="106"/>
        <v>0</v>
      </c>
      <c r="AF144" s="68">
        <f t="shared" si="107"/>
        <v>0</v>
      </c>
      <c r="AG144" s="68">
        <f t="shared" si="108"/>
        <v>0</v>
      </c>
      <c r="AH144" s="68">
        <f t="shared" si="109"/>
        <v>0</v>
      </c>
      <c r="AI144" s="60"/>
      <c r="AJ144" s="50">
        <f t="shared" si="110"/>
        <v>0</v>
      </c>
      <c r="AK144" s="50">
        <f t="shared" si="111"/>
        <v>0</v>
      </c>
      <c r="AL144" s="50">
        <f t="shared" si="112"/>
        <v>0</v>
      </c>
      <c r="AN144" s="68">
        <v>15</v>
      </c>
      <c r="AO144" s="68">
        <f>H144*0</f>
        <v>0</v>
      </c>
      <c r="AP144" s="68">
        <f>H144*(1-0)</f>
        <v>0</v>
      </c>
      <c r="AQ144" s="69" t="s">
        <v>79</v>
      </c>
      <c r="AV144" s="68">
        <f t="shared" si="113"/>
        <v>0</v>
      </c>
      <c r="AW144" s="68">
        <f t="shared" si="114"/>
        <v>0</v>
      </c>
      <c r="AX144" s="68">
        <f t="shared" si="115"/>
        <v>0</v>
      </c>
      <c r="AY144" s="71" t="s">
        <v>626</v>
      </c>
      <c r="AZ144" s="71" t="s">
        <v>643</v>
      </c>
      <c r="BA144" s="60" t="s">
        <v>647</v>
      </c>
      <c r="BC144" s="68">
        <f t="shared" si="116"/>
        <v>0</v>
      </c>
      <c r="BD144" s="68">
        <f t="shared" si="117"/>
        <v>0</v>
      </c>
      <c r="BE144" s="68">
        <v>0</v>
      </c>
      <c r="BF144" s="68">
        <f t="shared" si="118"/>
        <v>0</v>
      </c>
      <c r="BH144" s="50">
        <f t="shared" si="119"/>
        <v>0</v>
      </c>
      <c r="BI144" s="50">
        <f t="shared" si="120"/>
        <v>0</v>
      </c>
      <c r="BJ144" s="50">
        <f t="shared" si="121"/>
        <v>0</v>
      </c>
      <c r="BK144" s="50" t="s">
        <v>652</v>
      </c>
      <c r="BL144" s="68">
        <v>766</v>
      </c>
    </row>
    <row r="145" spans="1:64" ht="12.75">
      <c r="A145" s="35" t="s">
        <v>156</v>
      </c>
      <c r="B145" s="42"/>
      <c r="C145" s="42" t="s">
        <v>300</v>
      </c>
      <c r="D145" s="197" t="s">
        <v>488</v>
      </c>
      <c r="E145" s="198"/>
      <c r="F145" s="42" t="s">
        <v>587</v>
      </c>
      <c r="G145" s="52">
        <v>2</v>
      </c>
      <c r="H145" s="121"/>
      <c r="I145" s="52">
        <f t="shared" si="98"/>
        <v>0</v>
      </c>
      <c r="J145" s="52">
        <f t="shared" si="99"/>
        <v>0</v>
      </c>
      <c r="K145" s="52">
        <f t="shared" si="100"/>
        <v>0</v>
      </c>
      <c r="L145" s="52">
        <v>0.00075</v>
      </c>
      <c r="M145" s="52">
        <f t="shared" si="101"/>
        <v>0.0015</v>
      </c>
      <c r="N145" s="66" t="s">
        <v>606</v>
      </c>
      <c r="O145" s="17"/>
      <c r="Z145" s="68">
        <f t="shared" si="102"/>
        <v>0</v>
      </c>
      <c r="AB145" s="68">
        <f t="shared" si="103"/>
        <v>0</v>
      </c>
      <c r="AC145" s="68">
        <f t="shared" si="104"/>
        <v>0</v>
      </c>
      <c r="AD145" s="68">
        <f t="shared" si="105"/>
        <v>0</v>
      </c>
      <c r="AE145" s="68">
        <f t="shared" si="106"/>
        <v>0</v>
      </c>
      <c r="AF145" s="68">
        <f t="shared" si="107"/>
        <v>0</v>
      </c>
      <c r="AG145" s="68">
        <f t="shared" si="108"/>
        <v>0</v>
      </c>
      <c r="AH145" s="68">
        <f t="shared" si="109"/>
        <v>0</v>
      </c>
      <c r="AI145" s="60"/>
      <c r="AJ145" s="52">
        <f t="shared" si="110"/>
        <v>0</v>
      </c>
      <c r="AK145" s="52">
        <f t="shared" si="111"/>
        <v>0</v>
      </c>
      <c r="AL145" s="52">
        <f t="shared" si="112"/>
        <v>0</v>
      </c>
      <c r="AN145" s="68">
        <v>15</v>
      </c>
      <c r="AO145" s="68">
        <f>H145*1</f>
        <v>0</v>
      </c>
      <c r="AP145" s="68">
        <f>H145*(1-1)</f>
        <v>0</v>
      </c>
      <c r="AQ145" s="70" t="s">
        <v>79</v>
      </c>
      <c r="AV145" s="68">
        <f t="shared" si="113"/>
        <v>0</v>
      </c>
      <c r="AW145" s="68">
        <f t="shared" si="114"/>
        <v>0</v>
      </c>
      <c r="AX145" s="68">
        <f t="shared" si="115"/>
        <v>0</v>
      </c>
      <c r="AY145" s="71" t="s">
        <v>626</v>
      </c>
      <c r="AZ145" s="71" t="s">
        <v>643</v>
      </c>
      <c r="BA145" s="60" t="s">
        <v>647</v>
      </c>
      <c r="BC145" s="68">
        <f t="shared" si="116"/>
        <v>0</v>
      </c>
      <c r="BD145" s="68">
        <f t="shared" si="117"/>
        <v>0</v>
      </c>
      <c r="BE145" s="68">
        <v>0</v>
      </c>
      <c r="BF145" s="68">
        <f t="shared" si="118"/>
        <v>0.0015</v>
      </c>
      <c r="BH145" s="52">
        <f t="shared" si="119"/>
        <v>0</v>
      </c>
      <c r="BI145" s="52">
        <f t="shared" si="120"/>
        <v>0</v>
      </c>
      <c r="BJ145" s="52">
        <f t="shared" si="121"/>
        <v>0</v>
      </c>
      <c r="BK145" s="52" t="s">
        <v>653</v>
      </c>
      <c r="BL145" s="68">
        <v>766</v>
      </c>
    </row>
    <row r="146" spans="1:64" ht="12.75">
      <c r="A146" s="101" t="s">
        <v>157</v>
      </c>
      <c r="B146" s="101"/>
      <c r="C146" s="101" t="s">
        <v>301</v>
      </c>
      <c r="D146" s="195" t="s">
        <v>489</v>
      </c>
      <c r="E146" s="196"/>
      <c r="F146" s="101" t="s">
        <v>587</v>
      </c>
      <c r="G146" s="102">
        <v>2</v>
      </c>
      <c r="H146" s="119"/>
      <c r="I146" s="102">
        <f t="shared" si="98"/>
        <v>0</v>
      </c>
      <c r="J146" s="102">
        <f t="shared" si="99"/>
        <v>0</v>
      </c>
      <c r="K146" s="102">
        <f t="shared" si="100"/>
        <v>0</v>
      </c>
      <c r="L146" s="102">
        <v>0.00045</v>
      </c>
      <c r="M146" s="102">
        <f t="shared" si="101"/>
        <v>0.0009</v>
      </c>
      <c r="N146" s="100" t="s">
        <v>606</v>
      </c>
      <c r="O146" s="77"/>
      <c r="Z146" s="68">
        <f t="shared" si="102"/>
        <v>0</v>
      </c>
      <c r="AB146" s="68">
        <f t="shared" si="103"/>
        <v>0</v>
      </c>
      <c r="AC146" s="68">
        <f t="shared" si="104"/>
        <v>0</v>
      </c>
      <c r="AD146" s="68">
        <f t="shared" si="105"/>
        <v>0</v>
      </c>
      <c r="AE146" s="68">
        <f t="shared" si="106"/>
        <v>0</v>
      </c>
      <c r="AF146" s="68">
        <f t="shared" si="107"/>
        <v>0</v>
      </c>
      <c r="AG146" s="68">
        <f t="shared" si="108"/>
        <v>0</v>
      </c>
      <c r="AH146" s="68">
        <f t="shared" si="109"/>
        <v>0</v>
      </c>
      <c r="AI146" s="60"/>
      <c r="AJ146" s="52">
        <f t="shared" si="110"/>
        <v>0</v>
      </c>
      <c r="AK146" s="52">
        <f t="shared" si="111"/>
        <v>0</v>
      </c>
      <c r="AL146" s="52">
        <f t="shared" si="112"/>
        <v>0</v>
      </c>
      <c r="AN146" s="68">
        <v>15</v>
      </c>
      <c r="AO146" s="68">
        <f>H146*1</f>
        <v>0</v>
      </c>
      <c r="AP146" s="68">
        <f>H146*(1-1)</f>
        <v>0</v>
      </c>
      <c r="AQ146" s="70" t="s">
        <v>79</v>
      </c>
      <c r="AV146" s="68">
        <f t="shared" si="113"/>
        <v>0</v>
      </c>
      <c r="AW146" s="68">
        <f t="shared" si="114"/>
        <v>0</v>
      </c>
      <c r="AX146" s="68">
        <f t="shared" si="115"/>
        <v>0</v>
      </c>
      <c r="AY146" s="71" t="s">
        <v>626</v>
      </c>
      <c r="AZ146" s="71" t="s">
        <v>643</v>
      </c>
      <c r="BA146" s="60" t="s">
        <v>647</v>
      </c>
      <c r="BC146" s="68">
        <f t="shared" si="116"/>
        <v>0</v>
      </c>
      <c r="BD146" s="68">
        <f t="shared" si="117"/>
        <v>0</v>
      </c>
      <c r="BE146" s="68">
        <v>0</v>
      </c>
      <c r="BF146" s="68">
        <f t="shared" si="118"/>
        <v>0.0009</v>
      </c>
      <c r="BH146" s="52">
        <f t="shared" si="119"/>
        <v>0</v>
      </c>
      <c r="BI146" s="52">
        <f t="shared" si="120"/>
        <v>0</v>
      </c>
      <c r="BJ146" s="52">
        <f t="shared" si="121"/>
        <v>0</v>
      </c>
      <c r="BK146" s="52" t="s">
        <v>653</v>
      </c>
      <c r="BL146" s="68">
        <v>766</v>
      </c>
    </row>
    <row r="147" spans="1:64" ht="12.75">
      <c r="A147" s="86" t="s">
        <v>158</v>
      </c>
      <c r="B147" s="86"/>
      <c r="C147" s="86" t="s">
        <v>302</v>
      </c>
      <c r="D147" s="183" t="s">
        <v>490</v>
      </c>
      <c r="E147" s="184"/>
      <c r="F147" s="86" t="s">
        <v>587</v>
      </c>
      <c r="G147" s="87">
        <v>3</v>
      </c>
      <c r="H147" s="118"/>
      <c r="I147" s="87">
        <f t="shared" si="98"/>
        <v>0</v>
      </c>
      <c r="J147" s="87">
        <f t="shared" si="99"/>
        <v>0</v>
      </c>
      <c r="K147" s="87">
        <f t="shared" si="100"/>
        <v>0</v>
      </c>
      <c r="L147" s="87">
        <v>0</v>
      </c>
      <c r="M147" s="87">
        <f t="shared" si="101"/>
        <v>0</v>
      </c>
      <c r="N147" s="84" t="s">
        <v>606</v>
      </c>
      <c r="O147" s="77"/>
      <c r="Z147" s="68">
        <f t="shared" si="102"/>
        <v>0</v>
      </c>
      <c r="AB147" s="68">
        <f t="shared" si="103"/>
        <v>0</v>
      </c>
      <c r="AC147" s="68">
        <f t="shared" si="104"/>
        <v>0</v>
      </c>
      <c r="AD147" s="68">
        <f t="shared" si="105"/>
        <v>0</v>
      </c>
      <c r="AE147" s="68">
        <f t="shared" si="106"/>
        <v>0</v>
      </c>
      <c r="AF147" s="68">
        <f t="shared" si="107"/>
        <v>0</v>
      </c>
      <c r="AG147" s="68">
        <f t="shared" si="108"/>
        <v>0</v>
      </c>
      <c r="AH147" s="68">
        <f t="shared" si="109"/>
        <v>0</v>
      </c>
      <c r="AI147" s="60"/>
      <c r="AJ147" s="50">
        <f t="shared" si="110"/>
        <v>0</v>
      </c>
      <c r="AK147" s="50">
        <f t="shared" si="111"/>
        <v>0</v>
      </c>
      <c r="AL147" s="50">
        <f t="shared" si="112"/>
        <v>0</v>
      </c>
      <c r="AN147" s="68">
        <v>15</v>
      </c>
      <c r="AO147" s="68">
        <f>H147*0</f>
        <v>0</v>
      </c>
      <c r="AP147" s="68">
        <f>H147*(1-0)</f>
        <v>0</v>
      </c>
      <c r="AQ147" s="69" t="s">
        <v>79</v>
      </c>
      <c r="AV147" s="68">
        <f t="shared" si="113"/>
        <v>0</v>
      </c>
      <c r="AW147" s="68">
        <f t="shared" si="114"/>
        <v>0</v>
      </c>
      <c r="AX147" s="68">
        <f t="shared" si="115"/>
        <v>0</v>
      </c>
      <c r="AY147" s="71" t="s">
        <v>626</v>
      </c>
      <c r="AZ147" s="71" t="s">
        <v>643</v>
      </c>
      <c r="BA147" s="60" t="s">
        <v>647</v>
      </c>
      <c r="BC147" s="68">
        <f t="shared" si="116"/>
        <v>0</v>
      </c>
      <c r="BD147" s="68">
        <f t="shared" si="117"/>
        <v>0</v>
      </c>
      <c r="BE147" s="68">
        <v>0</v>
      </c>
      <c r="BF147" s="68">
        <f t="shared" si="118"/>
        <v>0</v>
      </c>
      <c r="BH147" s="50">
        <f t="shared" si="119"/>
        <v>0</v>
      </c>
      <c r="BI147" s="50">
        <f t="shared" si="120"/>
        <v>0</v>
      </c>
      <c r="BJ147" s="50">
        <f t="shared" si="121"/>
        <v>0</v>
      </c>
      <c r="BK147" s="50" t="s">
        <v>652</v>
      </c>
      <c r="BL147" s="68">
        <v>766</v>
      </c>
    </row>
    <row r="148" spans="1:64" ht="12.75">
      <c r="A148" s="86" t="s">
        <v>159</v>
      </c>
      <c r="B148" s="86"/>
      <c r="C148" s="86" t="s">
        <v>303</v>
      </c>
      <c r="D148" s="183" t="s">
        <v>491</v>
      </c>
      <c r="E148" s="184"/>
      <c r="F148" s="86" t="s">
        <v>587</v>
      </c>
      <c r="G148" s="87">
        <v>1</v>
      </c>
      <c r="H148" s="118"/>
      <c r="I148" s="87">
        <f t="shared" si="98"/>
        <v>0</v>
      </c>
      <c r="J148" s="87">
        <f t="shared" si="99"/>
        <v>0</v>
      </c>
      <c r="K148" s="87">
        <f t="shared" si="100"/>
        <v>0</v>
      </c>
      <c r="L148" s="87">
        <v>0</v>
      </c>
      <c r="M148" s="87">
        <f t="shared" si="101"/>
        <v>0</v>
      </c>
      <c r="N148" s="84" t="s">
        <v>606</v>
      </c>
      <c r="O148" s="77"/>
      <c r="Z148" s="68">
        <f t="shared" si="102"/>
        <v>0</v>
      </c>
      <c r="AB148" s="68">
        <f t="shared" si="103"/>
        <v>0</v>
      </c>
      <c r="AC148" s="68">
        <f t="shared" si="104"/>
        <v>0</v>
      </c>
      <c r="AD148" s="68">
        <f t="shared" si="105"/>
        <v>0</v>
      </c>
      <c r="AE148" s="68">
        <f t="shared" si="106"/>
        <v>0</v>
      </c>
      <c r="AF148" s="68">
        <f t="shared" si="107"/>
        <v>0</v>
      </c>
      <c r="AG148" s="68">
        <f t="shared" si="108"/>
        <v>0</v>
      </c>
      <c r="AH148" s="68">
        <f t="shared" si="109"/>
        <v>0</v>
      </c>
      <c r="AI148" s="60"/>
      <c r="AJ148" s="50">
        <f t="shared" si="110"/>
        <v>0</v>
      </c>
      <c r="AK148" s="50">
        <f t="shared" si="111"/>
        <v>0</v>
      </c>
      <c r="AL148" s="50">
        <f t="shared" si="112"/>
        <v>0</v>
      </c>
      <c r="AN148" s="68">
        <v>15</v>
      </c>
      <c r="AO148" s="68">
        <f>H148*0</f>
        <v>0</v>
      </c>
      <c r="AP148" s="68">
        <f>H148*(1-0)</f>
        <v>0</v>
      </c>
      <c r="AQ148" s="69" t="s">
        <v>79</v>
      </c>
      <c r="AV148" s="68">
        <f t="shared" si="113"/>
        <v>0</v>
      </c>
      <c r="AW148" s="68">
        <f t="shared" si="114"/>
        <v>0</v>
      </c>
      <c r="AX148" s="68">
        <f t="shared" si="115"/>
        <v>0</v>
      </c>
      <c r="AY148" s="71" t="s">
        <v>626</v>
      </c>
      <c r="AZ148" s="71" t="s">
        <v>643</v>
      </c>
      <c r="BA148" s="60" t="s">
        <v>647</v>
      </c>
      <c r="BC148" s="68">
        <f t="shared" si="116"/>
        <v>0</v>
      </c>
      <c r="BD148" s="68">
        <f t="shared" si="117"/>
        <v>0</v>
      </c>
      <c r="BE148" s="68">
        <v>0</v>
      </c>
      <c r="BF148" s="68">
        <f t="shared" si="118"/>
        <v>0</v>
      </c>
      <c r="BH148" s="50">
        <f t="shared" si="119"/>
        <v>0</v>
      </c>
      <c r="BI148" s="50">
        <f t="shared" si="120"/>
        <v>0</v>
      </c>
      <c r="BJ148" s="50">
        <f t="shared" si="121"/>
        <v>0</v>
      </c>
      <c r="BK148" s="50" t="s">
        <v>652</v>
      </c>
      <c r="BL148" s="68">
        <v>766</v>
      </c>
    </row>
    <row r="149" spans="1:64" ht="12.75">
      <c r="A149" s="101" t="s">
        <v>160</v>
      </c>
      <c r="B149" s="101"/>
      <c r="C149" s="101" t="s">
        <v>228</v>
      </c>
      <c r="D149" s="195" t="s">
        <v>492</v>
      </c>
      <c r="E149" s="196"/>
      <c r="F149" s="101" t="s">
        <v>591</v>
      </c>
      <c r="G149" s="102">
        <v>1</v>
      </c>
      <c r="H149" s="119"/>
      <c r="I149" s="102">
        <f t="shared" si="98"/>
        <v>0</v>
      </c>
      <c r="J149" s="102">
        <f t="shared" si="99"/>
        <v>0</v>
      </c>
      <c r="K149" s="102">
        <f t="shared" si="100"/>
        <v>0</v>
      </c>
      <c r="L149" s="102">
        <v>0</v>
      </c>
      <c r="M149" s="102">
        <f t="shared" si="101"/>
        <v>0</v>
      </c>
      <c r="N149" s="100" t="s">
        <v>228</v>
      </c>
      <c r="O149" s="77"/>
      <c r="Z149" s="68">
        <f t="shared" si="102"/>
        <v>0</v>
      </c>
      <c r="AB149" s="68">
        <f t="shared" si="103"/>
        <v>0</v>
      </c>
      <c r="AC149" s="68">
        <f t="shared" si="104"/>
        <v>0</v>
      </c>
      <c r="AD149" s="68">
        <f t="shared" si="105"/>
        <v>0</v>
      </c>
      <c r="AE149" s="68">
        <f t="shared" si="106"/>
        <v>0</v>
      </c>
      <c r="AF149" s="68">
        <f t="shared" si="107"/>
        <v>0</v>
      </c>
      <c r="AG149" s="68">
        <f t="shared" si="108"/>
        <v>0</v>
      </c>
      <c r="AH149" s="68">
        <f t="shared" si="109"/>
        <v>0</v>
      </c>
      <c r="AI149" s="60"/>
      <c r="AJ149" s="52">
        <f t="shared" si="110"/>
        <v>0</v>
      </c>
      <c r="AK149" s="52">
        <f t="shared" si="111"/>
        <v>0</v>
      </c>
      <c r="AL149" s="52">
        <f t="shared" si="112"/>
        <v>0</v>
      </c>
      <c r="AN149" s="68">
        <v>15</v>
      </c>
      <c r="AO149" s="68">
        <f>H149*1</f>
        <v>0</v>
      </c>
      <c r="AP149" s="68">
        <f>H149*(1-1)</f>
        <v>0</v>
      </c>
      <c r="AQ149" s="70" t="s">
        <v>79</v>
      </c>
      <c r="AV149" s="68">
        <f t="shared" si="113"/>
        <v>0</v>
      </c>
      <c r="AW149" s="68">
        <f t="shared" si="114"/>
        <v>0</v>
      </c>
      <c r="AX149" s="68">
        <f t="shared" si="115"/>
        <v>0</v>
      </c>
      <c r="AY149" s="71" t="s">
        <v>626</v>
      </c>
      <c r="AZ149" s="71" t="s">
        <v>643</v>
      </c>
      <c r="BA149" s="60" t="s">
        <v>647</v>
      </c>
      <c r="BC149" s="68">
        <f t="shared" si="116"/>
        <v>0</v>
      </c>
      <c r="BD149" s="68">
        <f t="shared" si="117"/>
        <v>0</v>
      </c>
      <c r="BE149" s="68">
        <v>0</v>
      </c>
      <c r="BF149" s="68">
        <f t="shared" si="118"/>
        <v>0</v>
      </c>
      <c r="BH149" s="52">
        <f t="shared" si="119"/>
        <v>0</v>
      </c>
      <c r="BI149" s="52">
        <f t="shared" si="120"/>
        <v>0</v>
      </c>
      <c r="BJ149" s="52">
        <f t="shared" si="121"/>
        <v>0</v>
      </c>
      <c r="BK149" s="52" t="s">
        <v>653</v>
      </c>
      <c r="BL149" s="68">
        <v>766</v>
      </c>
    </row>
    <row r="150" spans="1:64" ht="12.75">
      <c r="A150" s="86" t="s">
        <v>161</v>
      </c>
      <c r="B150" s="86"/>
      <c r="C150" s="86" t="s">
        <v>304</v>
      </c>
      <c r="D150" s="183" t="s">
        <v>493</v>
      </c>
      <c r="E150" s="184"/>
      <c r="F150" s="86" t="s">
        <v>588</v>
      </c>
      <c r="G150" s="87">
        <v>0.4</v>
      </c>
      <c r="H150" s="118"/>
      <c r="I150" s="87">
        <f t="shared" si="98"/>
        <v>0</v>
      </c>
      <c r="J150" s="87">
        <f t="shared" si="99"/>
        <v>0</v>
      </c>
      <c r="K150" s="87">
        <f t="shared" si="100"/>
        <v>0</v>
      </c>
      <c r="L150" s="87">
        <v>0</v>
      </c>
      <c r="M150" s="87">
        <f t="shared" si="101"/>
        <v>0</v>
      </c>
      <c r="N150" s="84" t="s">
        <v>606</v>
      </c>
      <c r="O150" s="77"/>
      <c r="Z150" s="68">
        <f t="shared" si="102"/>
        <v>0</v>
      </c>
      <c r="AB150" s="68">
        <f t="shared" si="103"/>
        <v>0</v>
      </c>
      <c r="AC150" s="68">
        <f t="shared" si="104"/>
        <v>0</v>
      </c>
      <c r="AD150" s="68">
        <f t="shared" si="105"/>
        <v>0</v>
      </c>
      <c r="AE150" s="68">
        <f t="shared" si="106"/>
        <v>0</v>
      </c>
      <c r="AF150" s="68">
        <f t="shared" si="107"/>
        <v>0</v>
      </c>
      <c r="AG150" s="68">
        <f t="shared" si="108"/>
        <v>0</v>
      </c>
      <c r="AH150" s="68">
        <f t="shared" si="109"/>
        <v>0</v>
      </c>
      <c r="AI150" s="60"/>
      <c r="AJ150" s="50">
        <f t="shared" si="110"/>
        <v>0</v>
      </c>
      <c r="AK150" s="50">
        <f t="shared" si="111"/>
        <v>0</v>
      </c>
      <c r="AL150" s="50">
        <f t="shared" si="112"/>
        <v>0</v>
      </c>
      <c r="AN150" s="68">
        <v>15</v>
      </c>
      <c r="AO150" s="68">
        <f>H150*0</f>
        <v>0</v>
      </c>
      <c r="AP150" s="68">
        <f>H150*(1-0)</f>
        <v>0</v>
      </c>
      <c r="AQ150" s="69" t="s">
        <v>77</v>
      </c>
      <c r="AV150" s="68">
        <f t="shared" si="113"/>
        <v>0</v>
      </c>
      <c r="AW150" s="68">
        <f t="shared" si="114"/>
        <v>0</v>
      </c>
      <c r="AX150" s="68">
        <f t="shared" si="115"/>
        <v>0</v>
      </c>
      <c r="AY150" s="71" t="s">
        <v>626</v>
      </c>
      <c r="AZ150" s="71" t="s">
        <v>643</v>
      </c>
      <c r="BA150" s="60" t="s">
        <v>647</v>
      </c>
      <c r="BC150" s="68">
        <f t="shared" si="116"/>
        <v>0</v>
      </c>
      <c r="BD150" s="68">
        <f t="shared" si="117"/>
        <v>0</v>
      </c>
      <c r="BE150" s="68">
        <v>0</v>
      </c>
      <c r="BF150" s="68">
        <f t="shared" si="118"/>
        <v>0</v>
      </c>
      <c r="BH150" s="50">
        <f t="shared" si="119"/>
        <v>0</v>
      </c>
      <c r="BI150" s="50">
        <f t="shared" si="120"/>
        <v>0</v>
      </c>
      <c r="BJ150" s="50">
        <f t="shared" si="121"/>
        <v>0</v>
      </c>
      <c r="BK150" s="50" t="s">
        <v>652</v>
      </c>
      <c r="BL150" s="68">
        <v>766</v>
      </c>
    </row>
    <row r="151" spans="1:47" ht="12.75">
      <c r="A151" s="78"/>
      <c r="B151" s="79"/>
      <c r="C151" s="79" t="s">
        <v>305</v>
      </c>
      <c r="D151" s="192" t="s">
        <v>494</v>
      </c>
      <c r="E151" s="190"/>
      <c r="F151" s="78" t="s">
        <v>72</v>
      </c>
      <c r="G151" s="78" t="s">
        <v>72</v>
      </c>
      <c r="H151" s="78" t="s">
        <v>72</v>
      </c>
      <c r="I151" s="82">
        <f>SUM(I152:I161)</f>
        <v>0</v>
      </c>
      <c r="J151" s="82">
        <f>SUM(J152:J161)</f>
        <v>0</v>
      </c>
      <c r="K151" s="82">
        <f>SUM(K152:K161)</f>
        <v>0</v>
      </c>
      <c r="L151" s="83"/>
      <c r="M151" s="82">
        <f>SUM(M152:M161)</f>
        <v>0.08292719999999999</v>
      </c>
      <c r="N151" s="76"/>
      <c r="O151" s="77"/>
      <c r="AI151" s="60"/>
      <c r="AS151" s="74">
        <f>SUM(AJ152:AJ161)</f>
        <v>0</v>
      </c>
      <c r="AT151" s="74">
        <f>SUM(AK152:AK161)</f>
        <v>0</v>
      </c>
      <c r="AU151" s="74">
        <f>SUM(AL152:AL161)</f>
        <v>0</v>
      </c>
    </row>
    <row r="152" spans="1:64" ht="12.75">
      <c r="A152" s="86" t="s">
        <v>162</v>
      </c>
      <c r="B152" s="86"/>
      <c r="C152" s="86" t="s">
        <v>306</v>
      </c>
      <c r="D152" s="183" t="s">
        <v>495</v>
      </c>
      <c r="E152" s="184"/>
      <c r="F152" s="86" t="s">
        <v>585</v>
      </c>
      <c r="G152" s="87">
        <v>3.17</v>
      </c>
      <c r="H152" s="118"/>
      <c r="I152" s="87">
        <f>G152*AO152</f>
        <v>0</v>
      </c>
      <c r="J152" s="87">
        <f>G152*AP152</f>
        <v>0</v>
      </c>
      <c r="K152" s="87">
        <f>G152*H152</f>
        <v>0</v>
      </c>
      <c r="L152" s="87">
        <v>0.00483</v>
      </c>
      <c r="M152" s="87">
        <f>G152*L152</f>
        <v>0.0153111</v>
      </c>
      <c r="N152" s="84" t="s">
        <v>606</v>
      </c>
      <c r="O152" s="77"/>
      <c r="Z152" s="68">
        <f>IF(AQ152="5",BJ152,0)</f>
        <v>0</v>
      </c>
      <c r="AB152" s="68">
        <f>IF(AQ152="1",BH152,0)</f>
        <v>0</v>
      </c>
      <c r="AC152" s="68">
        <f>IF(AQ152="1",BI152,0)</f>
        <v>0</v>
      </c>
      <c r="AD152" s="68">
        <f>IF(AQ152="7",BH152,0)</f>
        <v>0</v>
      </c>
      <c r="AE152" s="68">
        <f>IF(AQ152="7",BI152,0)</f>
        <v>0</v>
      </c>
      <c r="AF152" s="68">
        <f>IF(AQ152="2",BH152,0)</f>
        <v>0</v>
      </c>
      <c r="AG152" s="68">
        <f>IF(AQ152="2",BI152,0)</f>
        <v>0</v>
      </c>
      <c r="AH152" s="68">
        <f>IF(AQ152="0",BJ152,0)</f>
        <v>0</v>
      </c>
      <c r="AI152" s="60"/>
      <c r="AJ152" s="50">
        <f>IF(AN152=0,K152,0)</f>
        <v>0</v>
      </c>
      <c r="AK152" s="50">
        <f>IF(AN152=15,K152,0)</f>
        <v>0</v>
      </c>
      <c r="AL152" s="50">
        <f>IF(AN152=21,K152,0)</f>
        <v>0</v>
      </c>
      <c r="AN152" s="68">
        <v>15</v>
      </c>
      <c r="AO152" s="68">
        <f>H152*0.15991652754591</f>
        <v>0</v>
      </c>
      <c r="AP152" s="68">
        <f>H152*(1-0.15991652754591)</f>
        <v>0</v>
      </c>
      <c r="AQ152" s="69" t="s">
        <v>79</v>
      </c>
      <c r="AV152" s="68">
        <f>AW152+AX152</f>
        <v>0</v>
      </c>
      <c r="AW152" s="68">
        <f>G152*AO152</f>
        <v>0</v>
      </c>
      <c r="AX152" s="68">
        <f>G152*AP152</f>
        <v>0</v>
      </c>
      <c r="AY152" s="71" t="s">
        <v>627</v>
      </c>
      <c r="AZ152" s="71" t="s">
        <v>644</v>
      </c>
      <c r="BA152" s="60" t="s">
        <v>647</v>
      </c>
      <c r="BC152" s="68">
        <f>AW152+AX152</f>
        <v>0</v>
      </c>
      <c r="BD152" s="68">
        <f>H152/(100-BE152)*100</f>
        <v>0</v>
      </c>
      <c r="BE152" s="68">
        <v>0</v>
      </c>
      <c r="BF152" s="68">
        <f>M152</f>
        <v>0.0153111</v>
      </c>
      <c r="BH152" s="50">
        <f>G152*AO152</f>
        <v>0</v>
      </c>
      <c r="BI152" s="50">
        <f>G152*AP152</f>
        <v>0</v>
      </c>
      <c r="BJ152" s="50">
        <f>G152*H152</f>
        <v>0</v>
      </c>
      <c r="BK152" s="50" t="s">
        <v>652</v>
      </c>
      <c r="BL152" s="68">
        <v>771</v>
      </c>
    </row>
    <row r="153" spans="1:15" ht="12.75">
      <c r="A153" s="95"/>
      <c r="B153" s="96"/>
      <c r="C153" s="96"/>
      <c r="D153" s="97" t="s">
        <v>382</v>
      </c>
      <c r="E153" s="98"/>
      <c r="F153" s="96"/>
      <c r="G153" s="99">
        <v>0</v>
      </c>
      <c r="H153" s="96"/>
      <c r="I153" s="96"/>
      <c r="J153" s="96"/>
      <c r="K153" s="96"/>
      <c r="L153" s="96"/>
      <c r="M153" s="96"/>
      <c r="N153" s="88"/>
      <c r="O153" s="77"/>
    </row>
    <row r="154" spans="1:15" ht="12.75">
      <c r="A154" s="95"/>
      <c r="B154" s="96"/>
      <c r="C154" s="96"/>
      <c r="D154" s="97" t="s">
        <v>413</v>
      </c>
      <c r="E154" s="98"/>
      <c r="F154" s="96"/>
      <c r="G154" s="99">
        <v>3.17</v>
      </c>
      <c r="H154" s="96"/>
      <c r="I154" s="96"/>
      <c r="J154" s="96"/>
      <c r="K154" s="96"/>
      <c r="L154" s="96"/>
      <c r="M154" s="96"/>
      <c r="N154" s="88"/>
      <c r="O154" s="77"/>
    </row>
    <row r="155" spans="1:64" ht="12.75">
      <c r="A155" s="86" t="s">
        <v>163</v>
      </c>
      <c r="B155" s="86"/>
      <c r="C155" s="86" t="s">
        <v>307</v>
      </c>
      <c r="D155" s="183" t="s">
        <v>496</v>
      </c>
      <c r="E155" s="184"/>
      <c r="F155" s="86" t="s">
        <v>585</v>
      </c>
      <c r="G155" s="87">
        <v>3.17</v>
      </c>
      <c r="H155" s="118"/>
      <c r="I155" s="87">
        <f>G155*AO155</f>
        <v>0</v>
      </c>
      <c r="J155" s="87">
        <f>G155*AP155</f>
        <v>0</v>
      </c>
      <c r="K155" s="87">
        <f>G155*H155</f>
        <v>0</v>
      </c>
      <c r="L155" s="87">
        <v>0</v>
      </c>
      <c r="M155" s="87">
        <f>G155*L155</f>
        <v>0</v>
      </c>
      <c r="N155" s="84" t="s">
        <v>606</v>
      </c>
      <c r="O155" s="77"/>
      <c r="Z155" s="68">
        <f>IF(AQ155="5",BJ155,0)</f>
        <v>0</v>
      </c>
      <c r="AB155" s="68">
        <f>IF(AQ155="1",BH155,0)</f>
        <v>0</v>
      </c>
      <c r="AC155" s="68">
        <f>IF(AQ155="1",BI155,0)</f>
        <v>0</v>
      </c>
      <c r="AD155" s="68">
        <f>IF(AQ155="7",BH155,0)</f>
        <v>0</v>
      </c>
      <c r="AE155" s="68">
        <f>IF(AQ155="7",BI155,0)</f>
        <v>0</v>
      </c>
      <c r="AF155" s="68">
        <f>IF(AQ155="2",BH155,0)</f>
        <v>0</v>
      </c>
      <c r="AG155" s="68">
        <f>IF(AQ155="2",BI155,0)</f>
        <v>0</v>
      </c>
      <c r="AH155" s="68">
        <f>IF(AQ155="0",BJ155,0)</f>
        <v>0</v>
      </c>
      <c r="AI155" s="60"/>
      <c r="AJ155" s="50">
        <f>IF(AN155=0,K155,0)</f>
        <v>0</v>
      </c>
      <c r="AK155" s="50">
        <f>IF(AN155=15,K155,0)</f>
        <v>0</v>
      </c>
      <c r="AL155" s="50">
        <f>IF(AN155=21,K155,0)</f>
        <v>0</v>
      </c>
      <c r="AN155" s="68">
        <v>15</v>
      </c>
      <c r="AO155" s="68">
        <f>H155*0</f>
        <v>0</v>
      </c>
      <c r="AP155" s="68">
        <f>H155*(1-0)</f>
        <v>0</v>
      </c>
      <c r="AQ155" s="69" t="s">
        <v>79</v>
      </c>
      <c r="AV155" s="68">
        <f>AW155+AX155</f>
        <v>0</v>
      </c>
      <c r="AW155" s="68">
        <f>G155*AO155</f>
        <v>0</v>
      </c>
      <c r="AX155" s="68">
        <f>G155*AP155</f>
        <v>0</v>
      </c>
      <c r="AY155" s="71" t="s">
        <v>627</v>
      </c>
      <c r="AZ155" s="71" t="s">
        <v>644</v>
      </c>
      <c r="BA155" s="60" t="s">
        <v>647</v>
      </c>
      <c r="BC155" s="68">
        <f>AW155+AX155</f>
        <v>0</v>
      </c>
      <c r="BD155" s="68">
        <f>H155/(100-BE155)*100</f>
        <v>0</v>
      </c>
      <c r="BE155" s="68">
        <v>0</v>
      </c>
      <c r="BF155" s="68">
        <f>M155</f>
        <v>0</v>
      </c>
      <c r="BH155" s="50">
        <f>G155*AO155</f>
        <v>0</v>
      </c>
      <c r="BI155" s="50">
        <f>G155*AP155</f>
        <v>0</v>
      </c>
      <c r="BJ155" s="50">
        <f>G155*H155</f>
        <v>0</v>
      </c>
      <c r="BK155" s="50" t="s">
        <v>652</v>
      </c>
      <c r="BL155" s="68">
        <v>771</v>
      </c>
    </row>
    <row r="156" spans="1:64" ht="12.75">
      <c r="A156" s="86" t="s">
        <v>164</v>
      </c>
      <c r="B156" s="86"/>
      <c r="C156" s="86" t="s">
        <v>308</v>
      </c>
      <c r="D156" s="183" t="s">
        <v>497</v>
      </c>
      <c r="E156" s="184"/>
      <c r="F156" s="86" t="s">
        <v>585</v>
      </c>
      <c r="G156" s="87">
        <v>3.17</v>
      </c>
      <c r="H156" s="118"/>
      <c r="I156" s="87">
        <f>G156*AO156</f>
        <v>0</v>
      </c>
      <c r="J156" s="87">
        <f>G156*AP156</f>
        <v>0</v>
      </c>
      <c r="K156" s="87">
        <f>G156*H156</f>
        <v>0</v>
      </c>
      <c r="L156" s="87">
        <v>0</v>
      </c>
      <c r="M156" s="87">
        <f>G156*L156</f>
        <v>0</v>
      </c>
      <c r="N156" s="84" t="s">
        <v>606</v>
      </c>
      <c r="O156" s="77"/>
      <c r="Z156" s="68">
        <f>IF(AQ156="5",BJ156,0)</f>
        <v>0</v>
      </c>
      <c r="AB156" s="68">
        <f>IF(AQ156="1",BH156,0)</f>
        <v>0</v>
      </c>
      <c r="AC156" s="68">
        <f>IF(AQ156="1",BI156,0)</f>
        <v>0</v>
      </c>
      <c r="AD156" s="68">
        <f>IF(AQ156="7",BH156,0)</f>
        <v>0</v>
      </c>
      <c r="AE156" s="68">
        <f>IF(AQ156="7",BI156,0)</f>
        <v>0</v>
      </c>
      <c r="AF156" s="68">
        <f>IF(AQ156="2",BH156,0)</f>
        <v>0</v>
      </c>
      <c r="AG156" s="68">
        <f>IF(AQ156="2",BI156,0)</f>
        <v>0</v>
      </c>
      <c r="AH156" s="68">
        <f>IF(AQ156="0",BJ156,0)</f>
        <v>0</v>
      </c>
      <c r="AI156" s="60"/>
      <c r="AJ156" s="50">
        <f>IF(AN156=0,K156,0)</f>
        <v>0</v>
      </c>
      <c r="AK156" s="50">
        <f>IF(AN156=15,K156,0)</f>
        <v>0</v>
      </c>
      <c r="AL156" s="50">
        <f>IF(AN156=21,K156,0)</f>
        <v>0</v>
      </c>
      <c r="AN156" s="68">
        <v>15</v>
      </c>
      <c r="AO156" s="68">
        <f>H156*0</f>
        <v>0</v>
      </c>
      <c r="AP156" s="68">
        <f>H156*(1-0)</f>
        <v>0</v>
      </c>
      <c r="AQ156" s="69" t="s">
        <v>79</v>
      </c>
      <c r="AV156" s="68">
        <f>AW156+AX156</f>
        <v>0</v>
      </c>
      <c r="AW156" s="68">
        <f>G156*AO156</f>
        <v>0</v>
      </c>
      <c r="AX156" s="68">
        <f>G156*AP156</f>
        <v>0</v>
      </c>
      <c r="AY156" s="71" t="s">
        <v>627</v>
      </c>
      <c r="AZ156" s="71" t="s">
        <v>644</v>
      </c>
      <c r="BA156" s="60" t="s">
        <v>647</v>
      </c>
      <c r="BC156" s="68">
        <f>AW156+AX156</f>
        <v>0</v>
      </c>
      <c r="BD156" s="68">
        <f>H156/(100-BE156)*100</f>
        <v>0</v>
      </c>
      <c r="BE156" s="68">
        <v>0</v>
      </c>
      <c r="BF156" s="68">
        <f>M156</f>
        <v>0</v>
      </c>
      <c r="BH156" s="50">
        <f>G156*AO156</f>
        <v>0</v>
      </c>
      <c r="BI156" s="50">
        <f>G156*AP156</f>
        <v>0</v>
      </c>
      <c r="BJ156" s="50">
        <f>G156*H156</f>
        <v>0</v>
      </c>
      <c r="BK156" s="50" t="s">
        <v>652</v>
      </c>
      <c r="BL156" s="68">
        <v>771</v>
      </c>
    </row>
    <row r="157" spans="1:64" ht="12.75">
      <c r="A157" s="86" t="s">
        <v>165</v>
      </c>
      <c r="B157" s="86"/>
      <c r="C157" s="86" t="s">
        <v>309</v>
      </c>
      <c r="D157" s="183" t="s">
        <v>498</v>
      </c>
      <c r="E157" s="184"/>
      <c r="F157" s="86" t="s">
        <v>585</v>
      </c>
      <c r="G157" s="87">
        <v>3.17</v>
      </c>
      <c r="H157" s="118"/>
      <c r="I157" s="87">
        <f>G157*AO157</f>
        <v>0</v>
      </c>
      <c r="J157" s="87">
        <f>G157*AP157</f>
        <v>0</v>
      </c>
      <c r="K157" s="87">
        <f>G157*H157</f>
        <v>0</v>
      </c>
      <c r="L157" s="87">
        <v>0</v>
      </c>
      <c r="M157" s="87">
        <f>G157*L157</f>
        <v>0</v>
      </c>
      <c r="N157" s="84" t="s">
        <v>606</v>
      </c>
      <c r="O157" s="77"/>
      <c r="Z157" s="68">
        <f>IF(AQ157="5",BJ157,0)</f>
        <v>0</v>
      </c>
      <c r="AB157" s="68">
        <f>IF(AQ157="1",BH157,0)</f>
        <v>0</v>
      </c>
      <c r="AC157" s="68">
        <f>IF(AQ157="1",BI157,0)</f>
        <v>0</v>
      </c>
      <c r="AD157" s="68">
        <f>IF(AQ157="7",BH157,0)</f>
        <v>0</v>
      </c>
      <c r="AE157" s="68">
        <f>IF(AQ157="7",BI157,0)</f>
        <v>0</v>
      </c>
      <c r="AF157" s="68">
        <f>IF(AQ157="2",BH157,0)</f>
        <v>0</v>
      </c>
      <c r="AG157" s="68">
        <f>IF(AQ157="2",BI157,0)</f>
        <v>0</v>
      </c>
      <c r="AH157" s="68">
        <f>IF(AQ157="0",BJ157,0)</f>
        <v>0</v>
      </c>
      <c r="AI157" s="60"/>
      <c r="AJ157" s="50">
        <f>IF(AN157=0,K157,0)</f>
        <v>0</v>
      </c>
      <c r="AK157" s="50">
        <f>IF(AN157=15,K157,0)</f>
        <v>0</v>
      </c>
      <c r="AL157" s="50">
        <f>IF(AN157=21,K157,0)</f>
        <v>0</v>
      </c>
      <c r="AN157" s="68">
        <v>15</v>
      </c>
      <c r="AO157" s="68">
        <f>H157*0</f>
        <v>0</v>
      </c>
      <c r="AP157" s="68">
        <f>H157*(1-0)</f>
        <v>0</v>
      </c>
      <c r="AQ157" s="69" t="s">
        <v>79</v>
      </c>
      <c r="AV157" s="68">
        <f>AW157+AX157</f>
        <v>0</v>
      </c>
      <c r="AW157" s="68">
        <f>G157*AO157</f>
        <v>0</v>
      </c>
      <c r="AX157" s="68">
        <f>G157*AP157</f>
        <v>0</v>
      </c>
      <c r="AY157" s="71" t="s">
        <v>627</v>
      </c>
      <c r="AZ157" s="71" t="s">
        <v>644</v>
      </c>
      <c r="BA157" s="60" t="s">
        <v>647</v>
      </c>
      <c r="BC157" s="68">
        <f>AW157+AX157</f>
        <v>0</v>
      </c>
      <c r="BD157" s="68">
        <f>H157/(100-BE157)*100</f>
        <v>0</v>
      </c>
      <c r="BE157" s="68">
        <v>0</v>
      </c>
      <c r="BF157" s="68">
        <f>M157</f>
        <v>0</v>
      </c>
      <c r="BH157" s="50">
        <f>G157*AO157</f>
        <v>0</v>
      </c>
      <c r="BI157" s="50">
        <f>G157*AP157</f>
        <v>0</v>
      </c>
      <c r="BJ157" s="50">
        <f>G157*H157</f>
        <v>0</v>
      </c>
      <c r="BK157" s="50" t="s">
        <v>652</v>
      </c>
      <c r="BL157" s="68">
        <v>771</v>
      </c>
    </row>
    <row r="158" spans="1:64" ht="12.75">
      <c r="A158" s="86" t="s">
        <v>166</v>
      </c>
      <c r="B158" s="86"/>
      <c r="C158" s="86" t="s">
        <v>310</v>
      </c>
      <c r="D158" s="183" t="s">
        <v>499</v>
      </c>
      <c r="E158" s="184"/>
      <c r="F158" s="86" t="s">
        <v>585</v>
      </c>
      <c r="G158" s="87">
        <v>3.17</v>
      </c>
      <c r="H158" s="118"/>
      <c r="I158" s="87">
        <f>G158*AO158</f>
        <v>0</v>
      </c>
      <c r="J158" s="87">
        <f>G158*AP158</f>
        <v>0</v>
      </c>
      <c r="K158" s="87">
        <f>G158*H158</f>
        <v>0</v>
      </c>
      <c r="L158" s="87">
        <v>0.00021</v>
      </c>
      <c r="M158" s="87">
        <f>G158*L158</f>
        <v>0.0006657</v>
      </c>
      <c r="N158" s="84" t="s">
        <v>606</v>
      </c>
      <c r="O158" s="77"/>
      <c r="Z158" s="68">
        <f>IF(AQ158="5",BJ158,0)</f>
        <v>0</v>
      </c>
      <c r="AB158" s="68">
        <f>IF(AQ158="1",BH158,0)</f>
        <v>0</v>
      </c>
      <c r="AC158" s="68">
        <f>IF(AQ158="1",BI158,0)</f>
        <v>0</v>
      </c>
      <c r="AD158" s="68">
        <f>IF(AQ158="7",BH158,0)</f>
        <v>0</v>
      </c>
      <c r="AE158" s="68">
        <f>IF(AQ158="7",BI158,0)</f>
        <v>0</v>
      </c>
      <c r="AF158" s="68">
        <f>IF(AQ158="2",BH158,0)</f>
        <v>0</v>
      </c>
      <c r="AG158" s="68">
        <f>IF(AQ158="2",BI158,0)</f>
        <v>0</v>
      </c>
      <c r="AH158" s="68">
        <f>IF(AQ158="0",BJ158,0)</f>
        <v>0</v>
      </c>
      <c r="AI158" s="60"/>
      <c r="AJ158" s="50">
        <f>IF(AN158=0,K158,0)</f>
        <v>0</v>
      </c>
      <c r="AK158" s="50">
        <f>IF(AN158=15,K158,0)</f>
        <v>0</v>
      </c>
      <c r="AL158" s="50">
        <f>IF(AN158=21,K158,0)</f>
        <v>0</v>
      </c>
      <c r="AN158" s="68">
        <v>15</v>
      </c>
      <c r="AO158" s="68">
        <f>H158*0.506660069569389</f>
        <v>0</v>
      </c>
      <c r="AP158" s="68">
        <f>H158*(1-0.506660069569389)</f>
        <v>0</v>
      </c>
      <c r="AQ158" s="69" t="s">
        <v>79</v>
      </c>
      <c r="AV158" s="68">
        <f>AW158+AX158</f>
        <v>0</v>
      </c>
      <c r="AW158" s="68">
        <f>G158*AO158</f>
        <v>0</v>
      </c>
      <c r="AX158" s="68">
        <f>G158*AP158</f>
        <v>0</v>
      </c>
      <c r="AY158" s="71" t="s">
        <v>627</v>
      </c>
      <c r="AZ158" s="71" t="s">
        <v>644</v>
      </c>
      <c r="BA158" s="60" t="s">
        <v>647</v>
      </c>
      <c r="BC158" s="68">
        <f>AW158+AX158</f>
        <v>0</v>
      </c>
      <c r="BD158" s="68">
        <f>H158/(100-BE158)*100</f>
        <v>0</v>
      </c>
      <c r="BE158" s="68">
        <v>0</v>
      </c>
      <c r="BF158" s="68">
        <f>M158</f>
        <v>0.0006657</v>
      </c>
      <c r="BH158" s="50">
        <f>G158*AO158</f>
        <v>0</v>
      </c>
      <c r="BI158" s="50">
        <f>G158*AP158</f>
        <v>0</v>
      </c>
      <c r="BJ158" s="50">
        <f>G158*H158</f>
        <v>0</v>
      </c>
      <c r="BK158" s="50" t="s">
        <v>652</v>
      </c>
      <c r="BL158" s="68">
        <v>771</v>
      </c>
    </row>
    <row r="159" spans="1:64" ht="12.75">
      <c r="A159" s="101" t="s">
        <v>167</v>
      </c>
      <c r="B159" s="101"/>
      <c r="C159" s="101" t="s">
        <v>311</v>
      </c>
      <c r="D159" s="195" t="s">
        <v>500</v>
      </c>
      <c r="E159" s="196"/>
      <c r="F159" s="101" t="s">
        <v>585</v>
      </c>
      <c r="G159" s="102">
        <v>3.487</v>
      </c>
      <c r="H159" s="119"/>
      <c r="I159" s="102">
        <f>G159*AO159</f>
        <v>0</v>
      </c>
      <c r="J159" s="102">
        <f>G159*AP159</f>
        <v>0</v>
      </c>
      <c r="K159" s="102">
        <f>G159*H159</f>
        <v>0</v>
      </c>
      <c r="L159" s="102">
        <v>0.0192</v>
      </c>
      <c r="M159" s="102">
        <f>G159*L159</f>
        <v>0.0669504</v>
      </c>
      <c r="N159" s="100" t="s">
        <v>606</v>
      </c>
      <c r="O159" s="77"/>
      <c r="Z159" s="68">
        <f>IF(AQ159="5",BJ159,0)</f>
        <v>0</v>
      </c>
      <c r="AB159" s="68">
        <f>IF(AQ159="1",BH159,0)</f>
        <v>0</v>
      </c>
      <c r="AC159" s="68">
        <f>IF(AQ159="1",BI159,0)</f>
        <v>0</v>
      </c>
      <c r="AD159" s="68">
        <f>IF(AQ159="7",BH159,0)</f>
        <v>0</v>
      </c>
      <c r="AE159" s="68">
        <f>IF(AQ159="7",BI159,0)</f>
        <v>0</v>
      </c>
      <c r="AF159" s="68">
        <f>IF(AQ159="2",BH159,0)</f>
        <v>0</v>
      </c>
      <c r="AG159" s="68">
        <f>IF(AQ159="2",BI159,0)</f>
        <v>0</v>
      </c>
      <c r="AH159" s="68">
        <f>IF(AQ159="0",BJ159,0)</f>
        <v>0</v>
      </c>
      <c r="AI159" s="60"/>
      <c r="AJ159" s="52">
        <f>IF(AN159=0,K159,0)</f>
        <v>0</v>
      </c>
      <c r="AK159" s="52">
        <f>IF(AN159=15,K159,0)</f>
        <v>0</v>
      </c>
      <c r="AL159" s="52">
        <f>IF(AN159=21,K159,0)</f>
        <v>0</v>
      </c>
      <c r="AN159" s="68">
        <v>15</v>
      </c>
      <c r="AO159" s="68">
        <f>H159*1</f>
        <v>0</v>
      </c>
      <c r="AP159" s="68">
        <f>H159*(1-1)</f>
        <v>0</v>
      </c>
      <c r="AQ159" s="70" t="s">
        <v>79</v>
      </c>
      <c r="AV159" s="68">
        <f>AW159+AX159</f>
        <v>0</v>
      </c>
      <c r="AW159" s="68">
        <f>G159*AO159</f>
        <v>0</v>
      </c>
      <c r="AX159" s="68">
        <f>G159*AP159</f>
        <v>0</v>
      </c>
      <c r="AY159" s="71" t="s">
        <v>627</v>
      </c>
      <c r="AZ159" s="71" t="s">
        <v>644</v>
      </c>
      <c r="BA159" s="60" t="s">
        <v>647</v>
      </c>
      <c r="BC159" s="68">
        <f>AW159+AX159</f>
        <v>0</v>
      </c>
      <c r="BD159" s="68">
        <f>H159/(100-BE159)*100</f>
        <v>0</v>
      </c>
      <c r="BE159" s="68">
        <v>0</v>
      </c>
      <c r="BF159" s="68">
        <f>M159</f>
        <v>0.0669504</v>
      </c>
      <c r="BH159" s="52">
        <f>G159*AO159</f>
        <v>0</v>
      </c>
      <c r="BI159" s="52">
        <f>G159*AP159</f>
        <v>0</v>
      </c>
      <c r="BJ159" s="52">
        <f>G159*H159</f>
        <v>0</v>
      </c>
      <c r="BK159" s="52" t="s">
        <v>653</v>
      </c>
      <c r="BL159" s="68">
        <v>771</v>
      </c>
    </row>
    <row r="160" spans="1:15" ht="12.75">
      <c r="A160" s="95"/>
      <c r="B160" s="96"/>
      <c r="C160" s="96"/>
      <c r="D160" s="97" t="s">
        <v>501</v>
      </c>
      <c r="E160" s="98"/>
      <c r="F160" s="96"/>
      <c r="G160" s="99">
        <v>3.487</v>
      </c>
      <c r="H160" s="96"/>
      <c r="I160" s="96"/>
      <c r="J160" s="96"/>
      <c r="K160" s="96"/>
      <c r="L160" s="96"/>
      <c r="M160" s="96"/>
      <c r="N160" s="88"/>
      <c r="O160" s="77"/>
    </row>
    <row r="161" spans="1:64" ht="12.75">
      <c r="A161" s="86" t="s">
        <v>168</v>
      </c>
      <c r="B161" s="86"/>
      <c r="C161" s="86" t="s">
        <v>312</v>
      </c>
      <c r="D161" s="183" t="s">
        <v>502</v>
      </c>
      <c r="E161" s="184"/>
      <c r="F161" s="86" t="s">
        <v>588</v>
      </c>
      <c r="G161" s="87">
        <v>0.1</v>
      </c>
      <c r="H161" s="118"/>
      <c r="I161" s="87">
        <f>G161*AO161</f>
        <v>0</v>
      </c>
      <c r="J161" s="87">
        <f>G161*AP161</f>
        <v>0</v>
      </c>
      <c r="K161" s="87">
        <f>G161*H161</f>
        <v>0</v>
      </c>
      <c r="L161" s="87">
        <v>0</v>
      </c>
      <c r="M161" s="87">
        <f>G161*L161</f>
        <v>0</v>
      </c>
      <c r="N161" s="84" t="s">
        <v>606</v>
      </c>
      <c r="O161" s="77"/>
      <c r="Z161" s="68">
        <f>IF(AQ161="5",BJ161,0)</f>
        <v>0</v>
      </c>
      <c r="AB161" s="68">
        <f>IF(AQ161="1",BH161,0)</f>
        <v>0</v>
      </c>
      <c r="AC161" s="68">
        <f>IF(AQ161="1",BI161,0)</f>
        <v>0</v>
      </c>
      <c r="AD161" s="68">
        <f>IF(AQ161="7",BH161,0)</f>
        <v>0</v>
      </c>
      <c r="AE161" s="68">
        <f>IF(AQ161="7",BI161,0)</f>
        <v>0</v>
      </c>
      <c r="AF161" s="68">
        <f>IF(AQ161="2",BH161,0)</f>
        <v>0</v>
      </c>
      <c r="AG161" s="68">
        <f>IF(AQ161="2",BI161,0)</f>
        <v>0</v>
      </c>
      <c r="AH161" s="68">
        <f>IF(AQ161="0",BJ161,0)</f>
        <v>0</v>
      </c>
      <c r="AI161" s="60"/>
      <c r="AJ161" s="50">
        <f>IF(AN161=0,K161,0)</f>
        <v>0</v>
      </c>
      <c r="AK161" s="50">
        <f>IF(AN161=15,K161,0)</f>
        <v>0</v>
      </c>
      <c r="AL161" s="50">
        <f>IF(AN161=21,K161,0)</f>
        <v>0</v>
      </c>
      <c r="AN161" s="68">
        <v>15</v>
      </c>
      <c r="AO161" s="68">
        <f>H161*0</f>
        <v>0</v>
      </c>
      <c r="AP161" s="68">
        <f>H161*(1-0)</f>
        <v>0</v>
      </c>
      <c r="AQ161" s="69" t="s">
        <v>77</v>
      </c>
      <c r="AV161" s="68">
        <f>AW161+AX161</f>
        <v>0</v>
      </c>
      <c r="AW161" s="68">
        <f>G161*AO161</f>
        <v>0</v>
      </c>
      <c r="AX161" s="68">
        <f>G161*AP161</f>
        <v>0</v>
      </c>
      <c r="AY161" s="71" t="s">
        <v>627</v>
      </c>
      <c r="AZ161" s="71" t="s">
        <v>644</v>
      </c>
      <c r="BA161" s="60" t="s">
        <v>647</v>
      </c>
      <c r="BC161" s="68">
        <f>AW161+AX161</f>
        <v>0</v>
      </c>
      <c r="BD161" s="68">
        <f>H161/(100-BE161)*100</f>
        <v>0</v>
      </c>
      <c r="BE161" s="68">
        <v>0</v>
      </c>
      <c r="BF161" s="68">
        <f>M161</f>
        <v>0</v>
      </c>
      <c r="BH161" s="50">
        <f>G161*AO161</f>
        <v>0</v>
      </c>
      <c r="BI161" s="50">
        <f>G161*AP161</f>
        <v>0</v>
      </c>
      <c r="BJ161" s="50">
        <f>G161*H161</f>
        <v>0</v>
      </c>
      <c r="BK161" s="50" t="s">
        <v>652</v>
      </c>
      <c r="BL161" s="68">
        <v>771</v>
      </c>
    </row>
    <row r="162" spans="1:47" ht="12.75">
      <c r="A162" s="104"/>
      <c r="B162" s="105"/>
      <c r="C162" s="105" t="s">
        <v>313</v>
      </c>
      <c r="D162" s="199" t="s">
        <v>503</v>
      </c>
      <c r="E162" s="190"/>
      <c r="F162" s="104" t="s">
        <v>72</v>
      </c>
      <c r="G162" s="104" t="s">
        <v>72</v>
      </c>
      <c r="H162" s="104" t="s">
        <v>72</v>
      </c>
      <c r="I162" s="106">
        <f>SUM(I163:I195)</f>
        <v>0</v>
      </c>
      <c r="J162" s="106">
        <f>SUM(J163:J195)</f>
        <v>0</v>
      </c>
      <c r="K162" s="106">
        <f>SUM(K163:K195)</f>
        <v>0</v>
      </c>
      <c r="L162" s="107"/>
      <c r="M162" s="106">
        <f>SUM(M163:M195)</f>
        <v>0.06833058500000001</v>
      </c>
      <c r="N162" s="103"/>
      <c r="O162" s="77"/>
      <c r="AI162" s="60"/>
      <c r="AS162" s="74">
        <f>SUM(AJ163:AJ195)</f>
        <v>0</v>
      </c>
      <c r="AT162" s="74">
        <f>SUM(AK163:AK195)</f>
        <v>0</v>
      </c>
      <c r="AU162" s="74">
        <f>SUM(AL163:AL195)</f>
        <v>0</v>
      </c>
    </row>
    <row r="163" spans="1:64" ht="12.75">
      <c r="A163" s="86" t="s">
        <v>169</v>
      </c>
      <c r="B163" s="86"/>
      <c r="C163" s="86" t="s">
        <v>314</v>
      </c>
      <c r="D163" s="183" t="s">
        <v>504</v>
      </c>
      <c r="E163" s="184"/>
      <c r="F163" s="86" t="s">
        <v>586</v>
      </c>
      <c r="G163" s="87">
        <v>28.82</v>
      </c>
      <c r="H163" s="118"/>
      <c r="I163" s="87">
        <f>G163*AO163</f>
        <v>0</v>
      </c>
      <c r="J163" s="87">
        <f>G163*AP163</f>
        <v>0</v>
      </c>
      <c r="K163" s="87">
        <f>G163*H163</f>
        <v>0</v>
      </c>
      <c r="L163" s="87">
        <v>8E-05</v>
      </c>
      <c r="M163" s="87">
        <f>G163*L163</f>
        <v>0.0023056</v>
      </c>
      <c r="N163" s="84" t="s">
        <v>606</v>
      </c>
      <c r="O163" s="77"/>
      <c r="Z163" s="68">
        <f>IF(AQ163="5",BJ163,0)</f>
        <v>0</v>
      </c>
      <c r="AB163" s="68">
        <f>IF(AQ163="1",BH163,0)</f>
        <v>0</v>
      </c>
      <c r="AC163" s="68">
        <f>IF(AQ163="1",BI163,0)</f>
        <v>0</v>
      </c>
      <c r="AD163" s="68">
        <f>IF(AQ163="7",BH163,0)</f>
        <v>0</v>
      </c>
      <c r="AE163" s="68">
        <f>IF(AQ163="7",BI163,0)</f>
        <v>0</v>
      </c>
      <c r="AF163" s="68">
        <f>IF(AQ163="2",BH163,0)</f>
        <v>0</v>
      </c>
      <c r="AG163" s="68">
        <f>IF(AQ163="2",BI163,0)</f>
        <v>0</v>
      </c>
      <c r="AH163" s="68">
        <f>IF(AQ163="0",BJ163,0)</f>
        <v>0</v>
      </c>
      <c r="AI163" s="60"/>
      <c r="AJ163" s="50">
        <f>IF(AN163=0,K163,0)</f>
        <v>0</v>
      </c>
      <c r="AK163" s="50">
        <f>IF(AN163=15,K163,0)</f>
        <v>0</v>
      </c>
      <c r="AL163" s="50">
        <f>IF(AN163=21,K163,0)</f>
        <v>0</v>
      </c>
      <c r="AN163" s="68">
        <v>15</v>
      </c>
      <c r="AO163" s="68">
        <f>H163*0</f>
        <v>0</v>
      </c>
      <c r="AP163" s="68">
        <f>H163*(1-0)</f>
        <v>0</v>
      </c>
      <c r="AQ163" s="69" t="s">
        <v>79</v>
      </c>
      <c r="AV163" s="68">
        <f>AW163+AX163</f>
        <v>0</v>
      </c>
      <c r="AW163" s="68">
        <f>G163*AO163</f>
        <v>0</v>
      </c>
      <c r="AX163" s="68">
        <f>G163*AP163</f>
        <v>0</v>
      </c>
      <c r="AY163" s="71" t="s">
        <v>628</v>
      </c>
      <c r="AZ163" s="71" t="s">
        <v>644</v>
      </c>
      <c r="BA163" s="60" t="s">
        <v>647</v>
      </c>
      <c r="BC163" s="68">
        <f>AW163+AX163</f>
        <v>0</v>
      </c>
      <c r="BD163" s="68">
        <f>H163/(100-BE163)*100</f>
        <v>0</v>
      </c>
      <c r="BE163" s="68">
        <v>0</v>
      </c>
      <c r="BF163" s="68">
        <f>M163</f>
        <v>0.0023056</v>
      </c>
      <c r="BH163" s="50">
        <f>G163*AO163</f>
        <v>0</v>
      </c>
      <c r="BI163" s="50">
        <f>G163*AP163</f>
        <v>0</v>
      </c>
      <c r="BJ163" s="50">
        <f>G163*H163</f>
        <v>0</v>
      </c>
      <c r="BK163" s="50" t="s">
        <v>652</v>
      </c>
      <c r="BL163" s="68">
        <v>776</v>
      </c>
    </row>
    <row r="164" spans="1:15" ht="12.75">
      <c r="A164" s="95"/>
      <c r="B164" s="96"/>
      <c r="C164" s="96"/>
      <c r="D164" s="97" t="s">
        <v>384</v>
      </c>
      <c r="E164" s="98"/>
      <c r="F164" s="96"/>
      <c r="G164" s="99">
        <v>0</v>
      </c>
      <c r="H164" s="96"/>
      <c r="I164" s="96"/>
      <c r="J164" s="96"/>
      <c r="K164" s="96"/>
      <c r="L164" s="96"/>
      <c r="M164" s="96"/>
      <c r="N164" s="88"/>
      <c r="O164" s="77"/>
    </row>
    <row r="165" spans="1:15" ht="12.75">
      <c r="A165" s="95"/>
      <c r="B165" s="96"/>
      <c r="C165" s="96"/>
      <c r="D165" s="97" t="s">
        <v>505</v>
      </c>
      <c r="E165" s="98"/>
      <c r="F165" s="96"/>
      <c r="G165" s="99">
        <v>4.7</v>
      </c>
      <c r="H165" s="96"/>
      <c r="I165" s="96"/>
      <c r="J165" s="96"/>
      <c r="K165" s="96"/>
      <c r="L165" s="96"/>
      <c r="M165" s="96"/>
      <c r="N165" s="88"/>
      <c r="O165" s="77"/>
    </row>
    <row r="166" spans="1:15" ht="12.75">
      <c r="A166" s="95"/>
      <c r="B166" s="96"/>
      <c r="C166" s="96"/>
      <c r="D166" s="97" t="s">
        <v>390</v>
      </c>
      <c r="E166" s="98"/>
      <c r="F166" s="96"/>
      <c r="G166" s="99">
        <v>0</v>
      </c>
      <c r="H166" s="96"/>
      <c r="I166" s="96"/>
      <c r="J166" s="96"/>
      <c r="K166" s="96"/>
      <c r="L166" s="96"/>
      <c r="M166" s="96"/>
      <c r="N166" s="88"/>
      <c r="O166" s="77"/>
    </row>
    <row r="167" spans="1:15" ht="12.75">
      <c r="A167" s="95"/>
      <c r="B167" s="96"/>
      <c r="C167" s="96"/>
      <c r="D167" s="97" t="s">
        <v>506</v>
      </c>
      <c r="E167" s="98"/>
      <c r="F167" s="96"/>
      <c r="G167" s="99">
        <v>15.02</v>
      </c>
      <c r="H167" s="96"/>
      <c r="I167" s="96"/>
      <c r="J167" s="96"/>
      <c r="K167" s="96"/>
      <c r="L167" s="96"/>
      <c r="M167" s="96"/>
      <c r="N167" s="88"/>
      <c r="O167" s="77"/>
    </row>
    <row r="168" spans="1:15" ht="12.75">
      <c r="A168" s="95"/>
      <c r="B168" s="96"/>
      <c r="C168" s="96"/>
      <c r="D168" s="97" t="s">
        <v>382</v>
      </c>
      <c r="E168" s="98"/>
      <c r="F168" s="96"/>
      <c r="G168" s="99">
        <v>0</v>
      </c>
      <c r="H168" s="96"/>
      <c r="I168" s="96"/>
      <c r="J168" s="96"/>
      <c r="K168" s="96"/>
      <c r="L168" s="96"/>
      <c r="M168" s="96"/>
      <c r="N168" s="88"/>
      <c r="O168" s="77"/>
    </row>
    <row r="169" spans="1:15" ht="12.75">
      <c r="A169" s="95"/>
      <c r="B169" s="96"/>
      <c r="C169" s="96"/>
      <c r="D169" s="97" t="s">
        <v>507</v>
      </c>
      <c r="E169" s="98"/>
      <c r="F169" s="96"/>
      <c r="G169" s="99">
        <v>9.1</v>
      </c>
      <c r="H169" s="96"/>
      <c r="I169" s="96"/>
      <c r="J169" s="96"/>
      <c r="K169" s="96"/>
      <c r="L169" s="96"/>
      <c r="M169" s="96"/>
      <c r="N169" s="88"/>
      <c r="O169" s="77"/>
    </row>
    <row r="170" spans="1:64" ht="12.75">
      <c r="A170" s="86" t="s">
        <v>170</v>
      </c>
      <c r="B170" s="86"/>
      <c r="C170" s="86" t="s">
        <v>315</v>
      </c>
      <c r="D170" s="183" t="s">
        <v>508</v>
      </c>
      <c r="E170" s="184"/>
      <c r="F170" s="86" t="s">
        <v>585</v>
      </c>
      <c r="G170" s="87">
        <v>20.044</v>
      </c>
      <c r="H170" s="118"/>
      <c r="I170" s="87">
        <f>G170*AO170</f>
        <v>0</v>
      </c>
      <c r="J170" s="87">
        <f>G170*AP170</f>
        <v>0</v>
      </c>
      <c r="K170" s="87">
        <f>G170*H170</f>
        <v>0</v>
      </c>
      <c r="L170" s="87">
        <v>0.001</v>
      </c>
      <c r="M170" s="87">
        <f>G170*L170</f>
        <v>0.020044</v>
      </c>
      <c r="N170" s="84" t="s">
        <v>606</v>
      </c>
      <c r="O170" s="77"/>
      <c r="Z170" s="68">
        <f>IF(AQ170="5",BJ170,0)</f>
        <v>0</v>
      </c>
      <c r="AB170" s="68">
        <f>IF(AQ170="1",BH170,0)</f>
        <v>0</v>
      </c>
      <c r="AC170" s="68">
        <f>IF(AQ170="1",BI170,0)</f>
        <v>0</v>
      </c>
      <c r="AD170" s="68">
        <f>IF(AQ170="7",BH170,0)</f>
        <v>0</v>
      </c>
      <c r="AE170" s="68">
        <f>IF(AQ170="7",BI170,0)</f>
        <v>0</v>
      </c>
      <c r="AF170" s="68">
        <f>IF(AQ170="2",BH170,0)</f>
        <v>0</v>
      </c>
      <c r="AG170" s="68">
        <f>IF(AQ170="2",BI170,0)</f>
        <v>0</v>
      </c>
      <c r="AH170" s="68">
        <f>IF(AQ170="0",BJ170,0)</f>
        <v>0</v>
      </c>
      <c r="AI170" s="60"/>
      <c r="AJ170" s="50">
        <f>IF(AN170=0,K170,0)</f>
        <v>0</v>
      </c>
      <c r="AK170" s="50">
        <f>IF(AN170=15,K170,0)</f>
        <v>0</v>
      </c>
      <c r="AL170" s="50">
        <f>IF(AN170=21,K170,0)</f>
        <v>0</v>
      </c>
      <c r="AN170" s="68">
        <v>15</v>
      </c>
      <c r="AO170" s="68">
        <f>H170*0</f>
        <v>0</v>
      </c>
      <c r="AP170" s="68">
        <f>H170*(1-0)</f>
        <v>0</v>
      </c>
      <c r="AQ170" s="69" t="s">
        <v>79</v>
      </c>
      <c r="AV170" s="68">
        <f>AW170+AX170</f>
        <v>0</v>
      </c>
      <c r="AW170" s="68">
        <f>G170*AO170</f>
        <v>0</v>
      </c>
      <c r="AX170" s="68">
        <f>G170*AP170</f>
        <v>0</v>
      </c>
      <c r="AY170" s="71" t="s">
        <v>628</v>
      </c>
      <c r="AZ170" s="71" t="s">
        <v>644</v>
      </c>
      <c r="BA170" s="60" t="s">
        <v>647</v>
      </c>
      <c r="BC170" s="68">
        <f>AW170+AX170</f>
        <v>0</v>
      </c>
      <c r="BD170" s="68">
        <f>H170/(100-BE170)*100</f>
        <v>0</v>
      </c>
      <c r="BE170" s="68">
        <v>0</v>
      </c>
      <c r="BF170" s="68">
        <f>M170</f>
        <v>0.020044</v>
      </c>
      <c r="BH170" s="50">
        <f>G170*AO170</f>
        <v>0</v>
      </c>
      <c r="BI170" s="50">
        <f>G170*AP170</f>
        <v>0</v>
      </c>
      <c r="BJ170" s="50">
        <f>G170*H170</f>
        <v>0</v>
      </c>
      <c r="BK170" s="50" t="s">
        <v>652</v>
      </c>
      <c r="BL170" s="68">
        <v>776</v>
      </c>
    </row>
    <row r="171" spans="1:15" ht="12.75">
      <c r="A171" s="95"/>
      <c r="B171" s="96"/>
      <c r="C171" s="96"/>
      <c r="D171" s="97" t="s">
        <v>384</v>
      </c>
      <c r="E171" s="98"/>
      <c r="F171" s="96"/>
      <c r="G171" s="99">
        <v>0</v>
      </c>
      <c r="H171" s="96"/>
      <c r="I171" s="96"/>
      <c r="J171" s="96"/>
      <c r="K171" s="96"/>
      <c r="L171" s="96"/>
      <c r="M171" s="96"/>
      <c r="N171" s="88"/>
      <c r="O171" s="77"/>
    </row>
    <row r="172" spans="1:15" ht="12.75">
      <c r="A172" s="95"/>
      <c r="B172" s="96"/>
      <c r="C172" s="96"/>
      <c r="D172" s="97" t="s">
        <v>509</v>
      </c>
      <c r="E172" s="98"/>
      <c r="F172" s="96"/>
      <c r="G172" s="99">
        <v>2.73</v>
      </c>
      <c r="H172" s="96"/>
      <c r="I172" s="96"/>
      <c r="J172" s="96"/>
      <c r="K172" s="96"/>
      <c r="L172" s="96"/>
      <c r="M172" s="96"/>
      <c r="N172" s="88"/>
      <c r="O172" s="77"/>
    </row>
    <row r="173" spans="1:15" ht="12.75">
      <c r="A173" s="95"/>
      <c r="B173" s="96"/>
      <c r="C173" s="96"/>
      <c r="D173" s="97" t="s">
        <v>390</v>
      </c>
      <c r="E173" s="98"/>
      <c r="F173" s="96"/>
      <c r="G173" s="99">
        <v>0</v>
      </c>
      <c r="H173" s="96"/>
      <c r="I173" s="96"/>
      <c r="J173" s="96"/>
      <c r="K173" s="96"/>
      <c r="L173" s="96"/>
      <c r="M173" s="96"/>
      <c r="N173" s="88"/>
      <c r="O173" s="77"/>
    </row>
    <row r="174" spans="1:15" ht="12.75">
      <c r="A174" s="95"/>
      <c r="B174" s="96"/>
      <c r="C174" s="96"/>
      <c r="D174" s="97" t="s">
        <v>510</v>
      </c>
      <c r="E174" s="98"/>
      <c r="F174" s="96"/>
      <c r="G174" s="99">
        <v>14.249</v>
      </c>
      <c r="H174" s="96"/>
      <c r="I174" s="96"/>
      <c r="J174" s="96"/>
      <c r="K174" s="96"/>
      <c r="L174" s="96"/>
      <c r="M174" s="96"/>
      <c r="N174" s="88"/>
      <c r="O174" s="77"/>
    </row>
    <row r="175" spans="1:15" ht="12.75">
      <c r="A175" s="95"/>
      <c r="B175" s="96"/>
      <c r="C175" s="96"/>
      <c r="D175" s="97" t="s">
        <v>382</v>
      </c>
      <c r="E175" s="98"/>
      <c r="F175" s="96"/>
      <c r="G175" s="99">
        <v>0</v>
      </c>
      <c r="H175" s="96"/>
      <c r="I175" s="96"/>
      <c r="J175" s="96"/>
      <c r="K175" s="96"/>
      <c r="L175" s="96"/>
      <c r="M175" s="96"/>
      <c r="N175" s="88"/>
      <c r="O175" s="77"/>
    </row>
    <row r="176" spans="1:15" ht="12.75">
      <c r="A176" s="90"/>
      <c r="B176" s="91"/>
      <c r="C176" s="91"/>
      <c r="D176" s="92" t="s">
        <v>511</v>
      </c>
      <c r="E176" s="93"/>
      <c r="F176" s="91"/>
      <c r="G176" s="94">
        <v>3.065</v>
      </c>
      <c r="H176" s="91"/>
      <c r="I176" s="91"/>
      <c r="J176" s="91"/>
      <c r="K176" s="91"/>
      <c r="L176" s="91"/>
      <c r="M176" s="91"/>
      <c r="N176" s="89"/>
      <c r="O176" s="77"/>
    </row>
    <row r="177" spans="1:64" ht="12.75">
      <c r="A177" s="34" t="s">
        <v>171</v>
      </c>
      <c r="B177" s="41"/>
      <c r="C177" s="41" t="s">
        <v>316</v>
      </c>
      <c r="D177" s="187" t="s">
        <v>512</v>
      </c>
      <c r="E177" s="188"/>
      <c r="F177" s="41" t="s">
        <v>585</v>
      </c>
      <c r="G177" s="50">
        <v>17.1645</v>
      </c>
      <c r="H177" s="117"/>
      <c r="I177" s="50">
        <f>G177*AO177</f>
        <v>0</v>
      </c>
      <c r="J177" s="50">
        <f>G177*AP177</f>
        <v>0</v>
      </c>
      <c r="K177" s="50">
        <f>G177*H177</f>
        <v>0</v>
      </c>
      <c r="L177" s="50">
        <v>0</v>
      </c>
      <c r="M177" s="50">
        <f>G177*L177</f>
        <v>0</v>
      </c>
      <c r="N177" s="65" t="s">
        <v>606</v>
      </c>
      <c r="O177" s="17"/>
      <c r="Z177" s="68">
        <f>IF(AQ177="5",BJ177,0)</f>
        <v>0</v>
      </c>
      <c r="AB177" s="68">
        <f>IF(AQ177="1",BH177,0)</f>
        <v>0</v>
      </c>
      <c r="AC177" s="68">
        <f>IF(AQ177="1",BI177,0)</f>
        <v>0</v>
      </c>
      <c r="AD177" s="68">
        <f>IF(AQ177="7",BH177,0)</f>
        <v>0</v>
      </c>
      <c r="AE177" s="68">
        <f>IF(AQ177="7",BI177,0)</f>
        <v>0</v>
      </c>
      <c r="AF177" s="68">
        <f>IF(AQ177="2",BH177,0)</f>
        <v>0</v>
      </c>
      <c r="AG177" s="68">
        <f>IF(AQ177="2",BI177,0)</f>
        <v>0</v>
      </c>
      <c r="AH177" s="68">
        <f>IF(AQ177="0",BJ177,0)</f>
        <v>0</v>
      </c>
      <c r="AI177" s="60"/>
      <c r="AJ177" s="50">
        <f>IF(AN177=0,K177,0)</f>
        <v>0</v>
      </c>
      <c r="AK177" s="50">
        <f>IF(AN177=15,K177,0)</f>
        <v>0</v>
      </c>
      <c r="AL177" s="50">
        <f>IF(AN177=21,K177,0)</f>
        <v>0</v>
      </c>
      <c r="AN177" s="68">
        <v>15</v>
      </c>
      <c r="AO177" s="68">
        <f>H177*0.283626645307366</f>
        <v>0</v>
      </c>
      <c r="AP177" s="68">
        <f>H177*(1-0.283626645307366)</f>
        <v>0</v>
      </c>
      <c r="AQ177" s="69" t="s">
        <v>79</v>
      </c>
      <c r="AV177" s="68">
        <f>AW177+AX177</f>
        <v>0</v>
      </c>
      <c r="AW177" s="68">
        <f>G177*AO177</f>
        <v>0</v>
      </c>
      <c r="AX177" s="68">
        <f>G177*AP177</f>
        <v>0</v>
      </c>
      <c r="AY177" s="71" t="s">
        <v>628</v>
      </c>
      <c r="AZ177" s="71" t="s">
        <v>644</v>
      </c>
      <c r="BA177" s="60" t="s">
        <v>647</v>
      </c>
      <c r="BC177" s="68">
        <f>AW177+AX177</f>
        <v>0</v>
      </c>
      <c r="BD177" s="68">
        <f>H177/(100-BE177)*100</f>
        <v>0</v>
      </c>
      <c r="BE177" s="68">
        <v>0</v>
      </c>
      <c r="BF177" s="68">
        <f>M177</f>
        <v>0</v>
      </c>
      <c r="BH177" s="50">
        <f>G177*AO177</f>
        <v>0</v>
      </c>
      <c r="BI177" s="50">
        <f>G177*AP177</f>
        <v>0</v>
      </c>
      <c r="BJ177" s="50">
        <f>G177*H177</f>
        <v>0</v>
      </c>
      <c r="BK177" s="50" t="s">
        <v>652</v>
      </c>
      <c r="BL177" s="68">
        <v>776</v>
      </c>
    </row>
    <row r="178" spans="1:64" ht="12.75">
      <c r="A178" s="34" t="s">
        <v>172</v>
      </c>
      <c r="B178" s="41"/>
      <c r="C178" s="41" t="s">
        <v>317</v>
      </c>
      <c r="D178" s="187" t="s">
        <v>513</v>
      </c>
      <c r="E178" s="188"/>
      <c r="F178" s="41" t="s">
        <v>585</v>
      </c>
      <c r="G178" s="50">
        <v>17.1645</v>
      </c>
      <c r="H178" s="117"/>
      <c r="I178" s="50">
        <f>G178*AO178</f>
        <v>0</v>
      </c>
      <c r="J178" s="50">
        <f>G178*AP178</f>
        <v>0</v>
      </c>
      <c r="K178" s="50">
        <f>G178*H178</f>
        <v>0</v>
      </c>
      <c r="L178" s="50">
        <v>0</v>
      </c>
      <c r="M178" s="50">
        <f>G178*L178</f>
        <v>0</v>
      </c>
      <c r="N178" s="65" t="s">
        <v>606</v>
      </c>
      <c r="O178" s="17"/>
      <c r="Z178" s="68">
        <f>IF(AQ178="5",BJ178,0)</f>
        <v>0</v>
      </c>
      <c r="AB178" s="68">
        <f>IF(AQ178="1",BH178,0)</f>
        <v>0</v>
      </c>
      <c r="AC178" s="68">
        <f>IF(AQ178="1",BI178,0)</f>
        <v>0</v>
      </c>
      <c r="AD178" s="68">
        <f>IF(AQ178="7",BH178,0)</f>
        <v>0</v>
      </c>
      <c r="AE178" s="68">
        <f>IF(AQ178="7",BI178,0)</f>
        <v>0</v>
      </c>
      <c r="AF178" s="68">
        <f>IF(AQ178="2",BH178,0)</f>
        <v>0</v>
      </c>
      <c r="AG178" s="68">
        <f>IF(AQ178="2",BI178,0)</f>
        <v>0</v>
      </c>
      <c r="AH178" s="68">
        <f>IF(AQ178="0",BJ178,0)</f>
        <v>0</v>
      </c>
      <c r="AI178" s="60"/>
      <c r="AJ178" s="50">
        <f>IF(AN178=0,K178,0)</f>
        <v>0</v>
      </c>
      <c r="AK178" s="50">
        <f>IF(AN178=15,K178,0)</f>
        <v>0</v>
      </c>
      <c r="AL178" s="50">
        <f>IF(AN178=21,K178,0)</f>
        <v>0</v>
      </c>
      <c r="AN178" s="68">
        <v>15</v>
      </c>
      <c r="AO178" s="68">
        <f>H178*0.35479555428273</f>
        <v>0</v>
      </c>
      <c r="AP178" s="68">
        <f>H178*(1-0.35479555428273)</f>
        <v>0</v>
      </c>
      <c r="AQ178" s="69" t="s">
        <v>79</v>
      </c>
      <c r="AV178" s="68">
        <f>AW178+AX178</f>
        <v>0</v>
      </c>
      <c r="AW178" s="68">
        <f>G178*AO178</f>
        <v>0</v>
      </c>
      <c r="AX178" s="68">
        <f>G178*AP178</f>
        <v>0</v>
      </c>
      <c r="AY178" s="71" t="s">
        <v>628</v>
      </c>
      <c r="AZ178" s="71" t="s">
        <v>644</v>
      </c>
      <c r="BA178" s="60" t="s">
        <v>647</v>
      </c>
      <c r="BC178" s="68">
        <f>AW178+AX178</f>
        <v>0</v>
      </c>
      <c r="BD178" s="68">
        <f>H178/(100-BE178)*100</f>
        <v>0</v>
      </c>
      <c r="BE178" s="68">
        <v>0</v>
      </c>
      <c r="BF178" s="68">
        <f>M178</f>
        <v>0</v>
      </c>
      <c r="BH178" s="50">
        <f>G178*AO178</f>
        <v>0</v>
      </c>
      <c r="BI178" s="50">
        <f>G178*AP178</f>
        <v>0</v>
      </c>
      <c r="BJ178" s="50">
        <f>G178*H178</f>
        <v>0</v>
      </c>
      <c r="BK178" s="50" t="s">
        <v>652</v>
      </c>
      <c r="BL178" s="68">
        <v>776</v>
      </c>
    </row>
    <row r="179" spans="1:64" ht="12.75">
      <c r="A179" s="34" t="s">
        <v>173</v>
      </c>
      <c r="B179" s="41"/>
      <c r="C179" s="41" t="s">
        <v>318</v>
      </c>
      <c r="D179" s="187" t="s">
        <v>514</v>
      </c>
      <c r="E179" s="188"/>
      <c r="F179" s="41" t="s">
        <v>585</v>
      </c>
      <c r="G179" s="50">
        <v>17.1645</v>
      </c>
      <c r="H179" s="117"/>
      <c r="I179" s="50">
        <f>G179*AO179</f>
        <v>0</v>
      </c>
      <c r="J179" s="50">
        <f>G179*AP179</f>
        <v>0</v>
      </c>
      <c r="K179" s="50">
        <f>G179*H179</f>
        <v>0</v>
      </c>
      <c r="L179" s="50">
        <v>0.00053</v>
      </c>
      <c r="M179" s="50">
        <f>G179*L179</f>
        <v>0.009097185</v>
      </c>
      <c r="N179" s="65" t="s">
        <v>606</v>
      </c>
      <c r="O179" s="17"/>
      <c r="Z179" s="68">
        <f>IF(AQ179="5",BJ179,0)</f>
        <v>0</v>
      </c>
      <c r="AB179" s="68">
        <f>IF(AQ179="1",BH179,0)</f>
        <v>0</v>
      </c>
      <c r="AC179" s="68">
        <f>IF(AQ179="1",BI179,0)</f>
        <v>0</v>
      </c>
      <c r="AD179" s="68">
        <f>IF(AQ179="7",BH179,0)</f>
        <v>0</v>
      </c>
      <c r="AE179" s="68">
        <f>IF(AQ179="7",BI179,0)</f>
        <v>0</v>
      </c>
      <c r="AF179" s="68">
        <f>IF(AQ179="2",BH179,0)</f>
        <v>0</v>
      </c>
      <c r="AG179" s="68">
        <f>IF(AQ179="2",BI179,0)</f>
        <v>0</v>
      </c>
      <c r="AH179" s="68">
        <f>IF(AQ179="0",BJ179,0)</f>
        <v>0</v>
      </c>
      <c r="AI179" s="60"/>
      <c r="AJ179" s="50">
        <f>IF(AN179=0,K179,0)</f>
        <v>0</v>
      </c>
      <c r="AK179" s="50">
        <f>IF(AN179=15,K179,0)</f>
        <v>0</v>
      </c>
      <c r="AL179" s="50">
        <f>IF(AN179=21,K179,0)</f>
        <v>0</v>
      </c>
      <c r="AN179" s="68">
        <v>15</v>
      </c>
      <c r="AO179" s="68">
        <f>H179*0.41099088313406</f>
        <v>0</v>
      </c>
      <c r="AP179" s="68">
        <f>H179*(1-0.41099088313406)</f>
        <v>0</v>
      </c>
      <c r="AQ179" s="69" t="s">
        <v>79</v>
      </c>
      <c r="AV179" s="68">
        <f>AW179+AX179</f>
        <v>0</v>
      </c>
      <c r="AW179" s="68">
        <f>G179*AO179</f>
        <v>0</v>
      </c>
      <c r="AX179" s="68">
        <f>G179*AP179</f>
        <v>0</v>
      </c>
      <c r="AY179" s="71" t="s">
        <v>628</v>
      </c>
      <c r="AZ179" s="71" t="s">
        <v>644</v>
      </c>
      <c r="BA179" s="60" t="s">
        <v>647</v>
      </c>
      <c r="BC179" s="68">
        <f>AW179+AX179</f>
        <v>0</v>
      </c>
      <c r="BD179" s="68">
        <f>H179/(100-BE179)*100</f>
        <v>0</v>
      </c>
      <c r="BE179" s="68">
        <v>0</v>
      </c>
      <c r="BF179" s="68">
        <f>M179</f>
        <v>0.009097185</v>
      </c>
      <c r="BH179" s="50">
        <f>G179*AO179</f>
        <v>0</v>
      </c>
      <c r="BI179" s="50">
        <f>G179*AP179</f>
        <v>0</v>
      </c>
      <c r="BJ179" s="50">
        <f>G179*H179</f>
        <v>0</v>
      </c>
      <c r="BK179" s="50" t="s">
        <v>652</v>
      </c>
      <c r="BL179" s="68">
        <v>776</v>
      </c>
    </row>
    <row r="180" spans="1:15" ht="12.75">
      <c r="A180" s="17"/>
      <c r="D180" s="43" t="s">
        <v>384</v>
      </c>
      <c r="E180" s="45"/>
      <c r="G180" s="51">
        <v>0</v>
      </c>
      <c r="N180" s="16"/>
      <c r="O180" s="17"/>
    </row>
    <row r="181" spans="1:15" ht="12.75">
      <c r="A181" s="17"/>
      <c r="D181" s="43" t="s">
        <v>515</v>
      </c>
      <c r="E181" s="45"/>
      <c r="G181" s="51">
        <v>2.1845</v>
      </c>
      <c r="N181" s="16"/>
      <c r="O181" s="17"/>
    </row>
    <row r="182" spans="1:15" ht="12.75">
      <c r="A182" s="17"/>
      <c r="D182" s="43" t="s">
        <v>390</v>
      </c>
      <c r="E182" s="45"/>
      <c r="G182" s="51">
        <v>0</v>
      </c>
      <c r="N182" s="16"/>
      <c r="O182" s="17"/>
    </row>
    <row r="183" spans="1:15" ht="12.75">
      <c r="A183" s="17"/>
      <c r="D183" s="43" t="s">
        <v>516</v>
      </c>
      <c r="E183" s="45"/>
      <c r="G183" s="51">
        <v>14.98</v>
      </c>
      <c r="N183" s="16"/>
      <c r="O183" s="17"/>
    </row>
    <row r="184" spans="1:64" ht="12.75">
      <c r="A184" s="34" t="s">
        <v>174</v>
      </c>
      <c r="B184" s="41"/>
      <c r="C184" s="41" t="s">
        <v>319</v>
      </c>
      <c r="D184" s="187" t="s">
        <v>517</v>
      </c>
      <c r="E184" s="188"/>
      <c r="F184" s="41" t="s">
        <v>586</v>
      </c>
      <c r="G184" s="50">
        <v>20.515</v>
      </c>
      <c r="H184" s="117"/>
      <c r="I184" s="50">
        <f>G184*AO184</f>
        <v>0</v>
      </c>
      <c r="J184" s="50">
        <f>G184*AP184</f>
        <v>0</v>
      </c>
      <c r="K184" s="50">
        <f>G184*H184</f>
        <v>0</v>
      </c>
      <c r="L184" s="50">
        <v>8E-05</v>
      </c>
      <c r="M184" s="50">
        <f>G184*L184</f>
        <v>0.0016412000000000002</v>
      </c>
      <c r="N184" s="65" t="s">
        <v>606</v>
      </c>
      <c r="O184" s="17"/>
      <c r="Z184" s="68">
        <f>IF(AQ184="5",BJ184,0)</f>
        <v>0</v>
      </c>
      <c r="AB184" s="68">
        <f>IF(AQ184="1",BH184,0)</f>
        <v>0</v>
      </c>
      <c r="AC184" s="68">
        <f>IF(AQ184="1",BI184,0)</f>
        <v>0</v>
      </c>
      <c r="AD184" s="68">
        <f>IF(AQ184="7",BH184,0)</f>
        <v>0</v>
      </c>
      <c r="AE184" s="68">
        <f>IF(AQ184="7",BI184,0)</f>
        <v>0</v>
      </c>
      <c r="AF184" s="68">
        <f>IF(AQ184="2",BH184,0)</f>
        <v>0</v>
      </c>
      <c r="AG184" s="68">
        <f>IF(AQ184="2",BI184,0)</f>
        <v>0</v>
      </c>
      <c r="AH184" s="68">
        <f>IF(AQ184="0",BJ184,0)</f>
        <v>0</v>
      </c>
      <c r="AI184" s="60"/>
      <c r="AJ184" s="50">
        <f>IF(AN184=0,K184,0)</f>
        <v>0</v>
      </c>
      <c r="AK184" s="50">
        <f>IF(AN184=15,K184,0)</f>
        <v>0</v>
      </c>
      <c r="AL184" s="50">
        <f>IF(AN184=21,K184,0)</f>
        <v>0</v>
      </c>
      <c r="AN184" s="68">
        <v>15</v>
      </c>
      <c r="AO184" s="68">
        <f>H184*0.321999252581148</f>
        <v>0</v>
      </c>
      <c r="AP184" s="68">
        <f>H184*(1-0.321999252581148)</f>
        <v>0</v>
      </c>
      <c r="AQ184" s="69" t="s">
        <v>79</v>
      </c>
      <c r="AV184" s="68">
        <f>AW184+AX184</f>
        <v>0</v>
      </c>
      <c r="AW184" s="68">
        <f>G184*AO184</f>
        <v>0</v>
      </c>
      <c r="AX184" s="68">
        <f>G184*AP184</f>
        <v>0</v>
      </c>
      <c r="AY184" s="71" t="s">
        <v>628</v>
      </c>
      <c r="AZ184" s="71" t="s">
        <v>644</v>
      </c>
      <c r="BA184" s="60" t="s">
        <v>647</v>
      </c>
      <c r="BC184" s="68">
        <f>AW184+AX184</f>
        <v>0</v>
      </c>
      <c r="BD184" s="68">
        <f>H184/(100-BE184)*100</f>
        <v>0</v>
      </c>
      <c r="BE184" s="68">
        <v>0</v>
      </c>
      <c r="BF184" s="68">
        <f>M184</f>
        <v>0.0016412000000000002</v>
      </c>
      <c r="BH184" s="50">
        <f>G184*AO184</f>
        <v>0</v>
      </c>
      <c r="BI184" s="50">
        <f>G184*AP184</f>
        <v>0</v>
      </c>
      <c r="BJ184" s="50">
        <f>G184*H184</f>
        <v>0</v>
      </c>
      <c r="BK184" s="50" t="s">
        <v>652</v>
      </c>
      <c r="BL184" s="68">
        <v>776</v>
      </c>
    </row>
    <row r="185" spans="1:15" ht="12.75">
      <c r="A185" s="17"/>
      <c r="D185" s="43" t="s">
        <v>384</v>
      </c>
      <c r="E185" s="45"/>
      <c r="G185" s="51">
        <v>0</v>
      </c>
      <c r="N185" s="16"/>
      <c r="O185" s="17"/>
    </row>
    <row r="186" spans="1:15" ht="12.75">
      <c r="A186" s="17"/>
      <c r="D186" s="43" t="s">
        <v>518</v>
      </c>
      <c r="E186" s="45"/>
      <c r="G186" s="51">
        <v>4.37</v>
      </c>
      <c r="N186" s="16"/>
      <c r="O186" s="17"/>
    </row>
    <row r="187" spans="1:15" ht="12.75">
      <c r="A187" s="17"/>
      <c r="D187" s="43" t="s">
        <v>390</v>
      </c>
      <c r="E187" s="45"/>
      <c r="G187" s="51">
        <v>0</v>
      </c>
      <c r="N187" s="16"/>
      <c r="O187" s="17"/>
    </row>
    <row r="188" spans="1:15" ht="12.75">
      <c r="A188" s="17"/>
      <c r="D188" s="43" t="s">
        <v>519</v>
      </c>
      <c r="E188" s="45"/>
      <c r="G188" s="51">
        <v>16.145</v>
      </c>
      <c r="N188" s="16"/>
      <c r="O188" s="17"/>
    </row>
    <row r="189" spans="1:64" ht="12.75">
      <c r="A189" s="101" t="s">
        <v>175</v>
      </c>
      <c r="B189" s="101"/>
      <c r="C189" s="101" t="s">
        <v>320</v>
      </c>
      <c r="D189" s="195" t="s">
        <v>520</v>
      </c>
      <c r="E189" s="196"/>
      <c r="F189" s="101" t="s">
        <v>585</v>
      </c>
      <c r="G189" s="102">
        <v>18.876</v>
      </c>
      <c r="H189" s="119"/>
      <c r="I189" s="102">
        <f>G189*AO189</f>
        <v>0</v>
      </c>
      <c r="J189" s="102">
        <f>G189*AP189</f>
        <v>0</v>
      </c>
      <c r="K189" s="102">
        <f>G189*H189</f>
        <v>0</v>
      </c>
      <c r="L189" s="102">
        <v>0.00185</v>
      </c>
      <c r="M189" s="102">
        <f>G189*L189</f>
        <v>0.0349206</v>
      </c>
      <c r="N189" s="100" t="s">
        <v>606</v>
      </c>
      <c r="O189" s="77"/>
      <c r="Z189" s="68">
        <f>IF(AQ189="5",BJ189,0)</f>
        <v>0</v>
      </c>
      <c r="AB189" s="68">
        <f>IF(AQ189="1",BH189,0)</f>
        <v>0</v>
      </c>
      <c r="AC189" s="68">
        <f>IF(AQ189="1",BI189,0)</f>
        <v>0</v>
      </c>
      <c r="AD189" s="68">
        <f>IF(AQ189="7",BH189,0)</f>
        <v>0</v>
      </c>
      <c r="AE189" s="68">
        <f>IF(AQ189="7",BI189,0)</f>
        <v>0</v>
      </c>
      <c r="AF189" s="68">
        <f>IF(AQ189="2",BH189,0)</f>
        <v>0</v>
      </c>
      <c r="AG189" s="68">
        <f>IF(AQ189="2",BI189,0)</f>
        <v>0</v>
      </c>
      <c r="AH189" s="68">
        <f>IF(AQ189="0",BJ189,0)</f>
        <v>0</v>
      </c>
      <c r="AI189" s="60"/>
      <c r="AJ189" s="52">
        <f>IF(AN189=0,K189,0)</f>
        <v>0</v>
      </c>
      <c r="AK189" s="52">
        <f>IF(AN189=15,K189,0)</f>
        <v>0</v>
      </c>
      <c r="AL189" s="52">
        <f>IF(AN189=21,K189,0)</f>
        <v>0</v>
      </c>
      <c r="AN189" s="68">
        <v>15</v>
      </c>
      <c r="AO189" s="68">
        <f>H189*1</f>
        <v>0</v>
      </c>
      <c r="AP189" s="68">
        <f>H189*(1-1)</f>
        <v>0</v>
      </c>
      <c r="AQ189" s="70" t="s">
        <v>79</v>
      </c>
      <c r="AV189" s="68">
        <f>AW189+AX189</f>
        <v>0</v>
      </c>
      <c r="AW189" s="68">
        <f>G189*AO189</f>
        <v>0</v>
      </c>
      <c r="AX189" s="68">
        <f>G189*AP189</f>
        <v>0</v>
      </c>
      <c r="AY189" s="71" t="s">
        <v>628</v>
      </c>
      <c r="AZ189" s="71" t="s">
        <v>644</v>
      </c>
      <c r="BA189" s="60" t="s">
        <v>647</v>
      </c>
      <c r="BC189" s="68">
        <f>AW189+AX189</f>
        <v>0</v>
      </c>
      <c r="BD189" s="68">
        <f>H189/(100-BE189)*100</f>
        <v>0</v>
      </c>
      <c r="BE189" s="68">
        <v>0</v>
      </c>
      <c r="BF189" s="68">
        <f>M189</f>
        <v>0.0349206</v>
      </c>
      <c r="BH189" s="52">
        <f>G189*AO189</f>
        <v>0</v>
      </c>
      <c r="BI189" s="52">
        <f>G189*AP189</f>
        <v>0</v>
      </c>
      <c r="BJ189" s="52">
        <f>G189*H189</f>
        <v>0</v>
      </c>
      <c r="BK189" s="52" t="s">
        <v>653</v>
      </c>
      <c r="BL189" s="68">
        <v>776</v>
      </c>
    </row>
    <row r="190" spans="1:15" ht="12.75">
      <c r="A190" s="95"/>
      <c r="B190" s="96"/>
      <c r="C190" s="96"/>
      <c r="D190" s="97" t="s">
        <v>521</v>
      </c>
      <c r="E190" s="98"/>
      <c r="F190" s="96"/>
      <c r="G190" s="99">
        <v>18.876</v>
      </c>
      <c r="H190" s="96"/>
      <c r="I190" s="96"/>
      <c r="J190" s="96"/>
      <c r="K190" s="96"/>
      <c r="L190" s="96"/>
      <c r="M190" s="96"/>
      <c r="N190" s="88"/>
      <c r="O190" s="77"/>
    </row>
    <row r="191" spans="1:64" ht="12.75">
      <c r="A191" s="86" t="s">
        <v>176</v>
      </c>
      <c r="B191" s="86"/>
      <c r="C191" s="86" t="s">
        <v>321</v>
      </c>
      <c r="D191" s="183" t="s">
        <v>522</v>
      </c>
      <c r="E191" s="184"/>
      <c r="F191" s="86" t="s">
        <v>586</v>
      </c>
      <c r="G191" s="87">
        <v>1.4</v>
      </c>
      <c r="H191" s="118"/>
      <c r="I191" s="87">
        <f>G191*AO191</f>
        <v>0</v>
      </c>
      <c r="J191" s="87">
        <f>G191*AP191</f>
        <v>0</v>
      </c>
      <c r="K191" s="87">
        <f>G191*H191</f>
        <v>0</v>
      </c>
      <c r="L191" s="87">
        <v>0</v>
      </c>
      <c r="M191" s="87">
        <f>G191*L191</f>
        <v>0</v>
      </c>
      <c r="N191" s="84" t="s">
        <v>606</v>
      </c>
      <c r="O191" s="77"/>
      <c r="Z191" s="68">
        <f>IF(AQ191="5",BJ191,0)</f>
        <v>0</v>
      </c>
      <c r="AB191" s="68">
        <f>IF(AQ191="1",BH191,0)</f>
        <v>0</v>
      </c>
      <c r="AC191" s="68">
        <f>IF(AQ191="1",BI191,0)</f>
        <v>0</v>
      </c>
      <c r="AD191" s="68">
        <f>IF(AQ191="7",BH191,0)</f>
        <v>0</v>
      </c>
      <c r="AE191" s="68">
        <f>IF(AQ191="7",BI191,0)</f>
        <v>0</v>
      </c>
      <c r="AF191" s="68">
        <f>IF(AQ191="2",BH191,0)</f>
        <v>0</v>
      </c>
      <c r="AG191" s="68">
        <f>IF(AQ191="2",BI191,0)</f>
        <v>0</v>
      </c>
      <c r="AH191" s="68">
        <f>IF(AQ191="0",BJ191,0)</f>
        <v>0</v>
      </c>
      <c r="AI191" s="60"/>
      <c r="AJ191" s="50">
        <f>IF(AN191=0,K191,0)</f>
        <v>0</v>
      </c>
      <c r="AK191" s="50">
        <f>IF(AN191=15,K191,0)</f>
        <v>0</v>
      </c>
      <c r="AL191" s="50">
        <f>IF(AN191=21,K191,0)</f>
        <v>0</v>
      </c>
      <c r="AN191" s="68">
        <v>15</v>
      </c>
      <c r="AO191" s="68">
        <f>H191*0</f>
        <v>0</v>
      </c>
      <c r="AP191" s="68">
        <f>H191*(1-0)</f>
        <v>0</v>
      </c>
      <c r="AQ191" s="69" t="s">
        <v>79</v>
      </c>
      <c r="AV191" s="68">
        <f>AW191+AX191</f>
        <v>0</v>
      </c>
      <c r="AW191" s="68">
        <f>G191*AO191</f>
        <v>0</v>
      </c>
      <c r="AX191" s="68">
        <f>G191*AP191</f>
        <v>0</v>
      </c>
      <c r="AY191" s="71" t="s">
        <v>628</v>
      </c>
      <c r="AZ191" s="71" t="s">
        <v>644</v>
      </c>
      <c r="BA191" s="60" t="s">
        <v>647</v>
      </c>
      <c r="BC191" s="68">
        <f>AW191+AX191</f>
        <v>0</v>
      </c>
      <c r="BD191" s="68">
        <f>H191/(100-BE191)*100</f>
        <v>0</v>
      </c>
      <c r="BE191" s="68">
        <v>0</v>
      </c>
      <c r="BF191" s="68">
        <f>M191</f>
        <v>0</v>
      </c>
      <c r="BH191" s="50">
        <f>G191*AO191</f>
        <v>0</v>
      </c>
      <c r="BI191" s="50">
        <f>G191*AP191</f>
        <v>0</v>
      </c>
      <c r="BJ191" s="50">
        <f>G191*H191</f>
        <v>0</v>
      </c>
      <c r="BK191" s="50" t="s">
        <v>652</v>
      </c>
      <c r="BL191" s="68">
        <v>776</v>
      </c>
    </row>
    <row r="192" spans="1:15" ht="12.75">
      <c r="A192" s="95"/>
      <c r="B192" s="96"/>
      <c r="C192" s="96"/>
      <c r="D192" s="97" t="s">
        <v>523</v>
      </c>
      <c r="E192" s="98"/>
      <c r="F192" s="96"/>
      <c r="G192" s="99">
        <v>1.4</v>
      </c>
      <c r="H192" s="96"/>
      <c r="I192" s="96"/>
      <c r="J192" s="96"/>
      <c r="K192" s="96"/>
      <c r="L192" s="96"/>
      <c r="M192" s="96"/>
      <c r="N192" s="88"/>
      <c r="O192" s="77"/>
    </row>
    <row r="193" spans="1:64" ht="12.75">
      <c r="A193" s="86" t="s">
        <v>177</v>
      </c>
      <c r="B193" s="86"/>
      <c r="C193" s="86" t="s">
        <v>322</v>
      </c>
      <c r="D193" s="183" t="s">
        <v>524</v>
      </c>
      <c r="E193" s="184"/>
      <c r="F193" s="86" t="s">
        <v>586</v>
      </c>
      <c r="G193" s="87">
        <v>1.4</v>
      </c>
      <c r="H193" s="118"/>
      <c r="I193" s="87">
        <f>G193*AO193</f>
        <v>0</v>
      </c>
      <c r="J193" s="87">
        <f>G193*AP193</f>
        <v>0</v>
      </c>
      <c r="K193" s="87">
        <f>G193*H193</f>
        <v>0</v>
      </c>
      <c r="L193" s="87">
        <v>0.00023</v>
      </c>
      <c r="M193" s="87">
        <f>G193*L193</f>
        <v>0.00032199999999999997</v>
      </c>
      <c r="N193" s="84" t="s">
        <v>606</v>
      </c>
      <c r="O193" s="77"/>
      <c r="Z193" s="68">
        <f>IF(AQ193="5",BJ193,0)</f>
        <v>0</v>
      </c>
      <c r="AB193" s="68">
        <f>IF(AQ193="1",BH193,0)</f>
        <v>0</v>
      </c>
      <c r="AC193" s="68">
        <f>IF(AQ193="1",BI193,0)</f>
        <v>0</v>
      </c>
      <c r="AD193" s="68">
        <f>IF(AQ193="7",BH193,0)</f>
        <v>0</v>
      </c>
      <c r="AE193" s="68">
        <f>IF(AQ193="7",BI193,0)</f>
        <v>0</v>
      </c>
      <c r="AF193" s="68">
        <f>IF(AQ193="2",BH193,0)</f>
        <v>0</v>
      </c>
      <c r="AG193" s="68">
        <f>IF(AQ193="2",BI193,0)</f>
        <v>0</v>
      </c>
      <c r="AH193" s="68">
        <f>IF(AQ193="0",BJ193,0)</f>
        <v>0</v>
      </c>
      <c r="AI193" s="60"/>
      <c r="AJ193" s="50">
        <f>IF(AN193=0,K193,0)</f>
        <v>0</v>
      </c>
      <c r="AK193" s="50">
        <f>IF(AN193=15,K193,0)</f>
        <v>0</v>
      </c>
      <c r="AL193" s="50">
        <f>IF(AN193=21,K193,0)</f>
        <v>0</v>
      </c>
      <c r="AN193" s="68">
        <v>15</v>
      </c>
      <c r="AO193" s="68">
        <f>H193*0.597506925207756</f>
        <v>0</v>
      </c>
      <c r="AP193" s="68">
        <f>H193*(1-0.597506925207756)</f>
        <v>0</v>
      </c>
      <c r="AQ193" s="69" t="s">
        <v>79</v>
      </c>
      <c r="AV193" s="68">
        <f>AW193+AX193</f>
        <v>0</v>
      </c>
      <c r="AW193" s="68">
        <f>G193*AO193</f>
        <v>0</v>
      </c>
      <c r="AX193" s="68">
        <f>G193*AP193</f>
        <v>0</v>
      </c>
      <c r="AY193" s="71" t="s">
        <v>628</v>
      </c>
      <c r="AZ193" s="71" t="s">
        <v>644</v>
      </c>
      <c r="BA193" s="60" t="s">
        <v>647</v>
      </c>
      <c r="BC193" s="68">
        <f>AW193+AX193</f>
        <v>0</v>
      </c>
      <c r="BD193" s="68">
        <f>H193/(100-BE193)*100</f>
        <v>0</v>
      </c>
      <c r="BE193" s="68">
        <v>0</v>
      </c>
      <c r="BF193" s="68">
        <f>M193</f>
        <v>0.00032199999999999997</v>
      </c>
      <c r="BH193" s="50">
        <f>G193*AO193</f>
        <v>0</v>
      </c>
      <c r="BI193" s="50">
        <f>G193*AP193</f>
        <v>0</v>
      </c>
      <c r="BJ193" s="50">
        <f>G193*H193</f>
        <v>0</v>
      </c>
      <c r="BK193" s="50" t="s">
        <v>652</v>
      </c>
      <c r="BL193" s="68">
        <v>776</v>
      </c>
    </row>
    <row r="194" spans="1:15" ht="12.75">
      <c r="A194" s="95"/>
      <c r="B194" s="96"/>
      <c r="C194" s="96"/>
      <c r="D194" s="97" t="s">
        <v>525</v>
      </c>
      <c r="E194" s="98"/>
      <c r="F194" s="96"/>
      <c r="G194" s="99">
        <v>1.4</v>
      </c>
      <c r="H194" s="96"/>
      <c r="I194" s="96"/>
      <c r="J194" s="96"/>
      <c r="K194" s="96"/>
      <c r="L194" s="96"/>
      <c r="M194" s="96"/>
      <c r="N194" s="88"/>
      <c r="O194" s="77"/>
    </row>
    <row r="195" spans="1:64" ht="12.75">
      <c r="A195" s="80" t="s">
        <v>178</v>
      </c>
      <c r="B195" s="80"/>
      <c r="C195" s="80" t="s">
        <v>323</v>
      </c>
      <c r="D195" s="185" t="s">
        <v>526</v>
      </c>
      <c r="E195" s="186"/>
      <c r="F195" s="80" t="s">
        <v>588</v>
      </c>
      <c r="G195" s="81">
        <v>0.1</v>
      </c>
      <c r="H195" s="120"/>
      <c r="I195" s="81">
        <f>G195*AO195</f>
        <v>0</v>
      </c>
      <c r="J195" s="81">
        <f>G195*AP195</f>
        <v>0</v>
      </c>
      <c r="K195" s="81">
        <f>G195*H195</f>
        <v>0</v>
      </c>
      <c r="L195" s="81">
        <v>0</v>
      </c>
      <c r="M195" s="81">
        <f>G195*L195</f>
        <v>0</v>
      </c>
      <c r="N195" s="85" t="s">
        <v>606</v>
      </c>
      <c r="O195" s="77"/>
      <c r="Z195" s="68">
        <f>IF(AQ195="5",BJ195,0)</f>
        <v>0</v>
      </c>
      <c r="AB195" s="68">
        <f>IF(AQ195="1",BH195,0)</f>
        <v>0</v>
      </c>
      <c r="AC195" s="68">
        <f>IF(AQ195="1",BI195,0)</f>
        <v>0</v>
      </c>
      <c r="AD195" s="68">
        <f>IF(AQ195="7",BH195,0)</f>
        <v>0</v>
      </c>
      <c r="AE195" s="68">
        <f>IF(AQ195="7",BI195,0)</f>
        <v>0</v>
      </c>
      <c r="AF195" s="68">
        <f>IF(AQ195="2",BH195,0)</f>
        <v>0</v>
      </c>
      <c r="AG195" s="68">
        <f>IF(AQ195="2",BI195,0)</f>
        <v>0</v>
      </c>
      <c r="AH195" s="68">
        <f>IF(AQ195="0",BJ195,0)</f>
        <v>0</v>
      </c>
      <c r="AI195" s="60"/>
      <c r="AJ195" s="50">
        <f>IF(AN195=0,K195,0)</f>
        <v>0</v>
      </c>
      <c r="AK195" s="50">
        <f>IF(AN195=15,K195,0)</f>
        <v>0</v>
      </c>
      <c r="AL195" s="50">
        <f>IF(AN195=21,K195,0)</f>
        <v>0</v>
      </c>
      <c r="AN195" s="68">
        <v>15</v>
      </c>
      <c r="AO195" s="68">
        <f>H195*0</f>
        <v>0</v>
      </c>
      <c r="AP195" s="68">
        <f>H195*(1-0)</f>
        <v>0</v>
      </c>
      <c r="AQ195" s="69" t="s">
        <v>77</v>
      </c>
      <c r="AV195" s="68">
        <f>AW195+AX195</f>
        <v>0</v>
      </c>
      <c r="AW195" s="68">
        <f>G195*AO195</f>
        <v>0</v>
      </c>
      <c r="AX195" s="68">
        <f>G195*AP195</f>
        <v>0</v>
      </c>
      <c r="AY195" s="71" t="s">
        <v>628</v>
      </c>
      <c r="AZ195" s="71" t="s">
        <v>644</v>
      </c>
      <c r="BA195" s="60" t="s">
        <v>647</v>
      </c>
      <c r="BC195" s="68">
        <f>AW195+AX195</f>
        <v>0</v>
      </c>
      <c r="BD195" s="68">
        <f>H195/(100-BE195)*100</f>
        <v>0</v>
      </c>
      <c r="BE195" s="68">
        <v>0</v>
      </c>
      <c r="BF195" s="68">
        <f>M195</f>
        <v>0</v>
      </c>
      <c r="BH195" s="50">
        <f>G195*AO195</f>
        <v>0</v>
      </c>
      <c r="BI195" s="50">
        <f>G195*AP195</f>
        <v>0</v>
      </c>
      <c r="BJ195" s="50">
        <f>G195*H195</f>
        <v>0</v>
      </c>
      <c r="BK195" s="50" t="s">
        <v>652</v>
      </c>
      <c r="BL195" s="68">
        <v>776</v>
      </c>
    </row>
    <row r="196" spans="1:47" ht="12.75">
      <c r="A196" s="33"/>
      <c r="B196" s="40"/>
      <c r="C196" s="40" t="s">
        <v>324</v>
      </c>
      <c r="D196" s="193" t="s">
        <v>527</v>
      </c>
      <c r="E196" s="194"/>
      <c r="F196" s="48" t="s">
        <v>72</v>
      </c>
      <c r="G196" s="48" t="s">
        <v>72</v>
      </c>
      <c r="H196" s="48" t="s">
        <v>72</v>
      </c>
      <c r="I196" s="74">
        <f>SUM(I197:I215)</f>
        <v>0</v>
      </c>
      <c r="J196" s="74">
        <f>SUM(J197:J215)</f>
        <v>0</v>
      </c>
      <c r="K196" s="74">
        <f>SUM(K197:K215)</f>
        <v>0</v>
      </c>
      <c r="L196" s="60"/>
      <c r="M196" s="74">
        <f>SUM(M197:M215)</f>
        <v>0.28196960000000004</v>
      </c>
      <c r="N196" s="64"/>
      <c r="O196" s="17"/>
      <c r="AI196" s="60"/>
      <c r="AS196" s="74">
        <f>SUM(AJ197:AJ215)</f>
        <v>0</v>
      </c>
      <c r="AT196" s="74">
        <f>SUM(AK197:AK215)</f>
        <v>0</v>
      </c>
      <c r="AU196" s="74">
        <f>SUM(AL197:AL215)</f>
        <v>0</v>
      </c>
    </row>
    <row r="197" spans="1:64" ht="12.75">
      <c r="A197" s="34" t="s">
        <v>179</v>
      </c>
      <c r="B197" s="41"/>
      <c r="C197" s="41" t="s">
        <v>325</v>
      </c>
      <c r="D197" s="187" t="s">
        <v>528</v>
      </c>
      <c r="E197" s="188"/>
      <c r="F197" s="41" t="s">
        <v>585</v>
      </c>
      <c r="G197" s="50">
        <v>20.478</v>
      </c>
      <c r="H197" s="117"/>
      <c r="I197" s="50">
        <f>G197*AO197</f>
        <v>0</v>
      </c>
      <c r="J197" s="50">
        <f>G197*AP197</f>
        <v>0</v>
      </c>
      <c r="K197" s="50">
        <f>G197*H197</f>
        <v>0</v>
      </c>
      <c r="L197" s="50">
        <v>0</v>
      </c>
      <c r="M197" s="50">
        <f>G197*L197</f>
        <v>0</v>
      </c>
      <c r="N197" s="65" t="s">
        <v>606</v>
      </c>
      <c r="O197" s="17"/>
      <c r="Z197" s="68">
        <f>IF(AQ197="5",BJ197,0)</f>
        <v>0</v>
      </c>
      <c r="AB197" s="68">
        <f>IF(AQ197="1",BH197,0)</f>
        <v>0</v>
      </c>
      <c r="AC197" s="68">
        <f>IF(AQ197="1",BI197,0)</f>
        <v>0</v>
      </c>
      <c r="AD197" s="68">
        <f>IF(AQ197="7",BH197,0)</f>
        <v>0</v>
      </c>
      <c r="AE197" s="68">
        <f>IF(AQ197="7",BI197,0)</f>
        <v>0</v>
      </c>
      <c r="AF197" s="68">
        <f>IF(AQ197="2",BH197,0)</f>
        <v>0</v>
      </c>
      <c r="AG197" s="68">
        <f>IF(AQ197="2",BI197,0)</f>
        <v>0</v>
      </c>
      <c r="AH197" s="68">
        <f>IF(AQ197="0",BJ197,0)</f>
        <v>0</v>
      </c>
      <c r="AI197" s="60"/>
      <c r="AJ197" s="50">
        <f>IF(AN197=0,K197,0)</f>
        <v>0</v>
      </c>
      <c r="AK197" s="50">
        <f>IF(AN197=15,K197,0)</f>
        <v>0</v>
      </c>
      <c r="AL197" s="50">
        <f>IF(AN197=21,K197,0)</f>
        <v>0</v>
      </c>
      <c r="AN197" s="68">
        <v>15</v>
      </c>
      <c r="AO197" s="68">
        <f>H197*0.130669479310719</f>
        <v>0</v>
      </c>
      <c r="AP197" s="68">
        <f>H197*(1-0.130669479310719)</f>
        <v>0</v>
      </c>
      <c r="AQ197" s="69" t="s">
        <v>79</v>
      </c>
      <c r="AV197" s="68">
        <f>AW197+AX197</f>
        <v>0</v>
      </c>
      <c r="AW197" s="68">
        <f>G197*AO197</f>
        <v>0</v>
      </c>
      <c r="AX197" s="68">
        <f>G197*AP197</f>
        <v>0</v>
      </c>
      <c r="AY197" s="71" t="s">
        <v>629</v>
      </c>
      <c r="AZ197" s="71" t="s">
        <v>645</v>
      </c>
      <c r="BA197" s="60" t="s">
        <v>647</v>
      </c>
      <c r="BC197" s="68">
        <f>AW197+AX197</f>
        <v>0</v>
      </c>
      <c r="BD197" s="68">
        <f>H197/(100-BE197)*100</f>
        <v>0</v>
      </c>
      <c r="BE197" s="68">
        <v>0</v>
      </c>
      <c r="BF197" s="68">
        <f>M197</f>
        <v>0</v>
      </c>
      <c r="BH197" s="50">
        <f>G197*AO197</f>
        <v>0</v>
      </c>
      <c r="BI197" s="50">
        <f>G197*AP197</f>
        <v>0</v>
      </c>
      <c r="BJ197" s="50">
        <f>G197*H197</f>
        <v>0</v>
      </c>
      <c r="BK197" s="50" t="s">
        <v>652</v>
      </c>
      <c r="BL197" s="68">
        <v>781</v>
      </c>
    </row>
    <row r="198" spans="1:15" ht="12.75">
      <c r="A198" s="17"/>
      <c r="D198" s="43" t="s">
        <v>376</v>
      </c>
      <c r="E198" s="45"/>
      <c r="G198" s="51">
        <v>0</v>
      </c>
      <c r="N198" s="16"/>
      <c r="O198" s="17"/>
    </row>
    <row r="199" spans="1:15" ht="12.75">
      <c r="A199" s="17"/>
      <c r="D199" s="43" t="s">
        <v>377</v>
      </c>
      <c r="E199" s="45"/>
      <c r="G199" s="51">
        <v>14.778</v>
      </c>
      <c r="N199" s="16"/>
      <c r="O199" s="17"/>
    </row>
    <row r="200" spans="1:15" ht="12.75">
      <c r="A200" s="17"/>
      <c r="D200" s="43" t="s">
        <v>378</v>
      </c>
      <c r="E200" s="45"/>
      <c r="G200" s="51">
        <v>0</v>
      </c>
      <c r="N200" s="16"/>
      <c r="O200" s="17"/>
    </row>
    <row r="201" spans="1:15" ht="12.75">
      <c r="A201" s="17"/>
      <c r="D201" s="43" t="s">
        <v>529</v>
      </c>
      <c r="E201" s="45"/>
      <c r="G201" s="51">
        <v>5.7</v>
      </c>
      <c r="N201" s="16"/>
      <c r="O201" s="17"/>
    </row>
    <row r="202" spans="1:64" ht="12.75">
      <c r="A202" s="34" t="s">
        <v>180</v>
      </c>
      <c r="B202" s="41"/>
      <c r="C202" s="41" t="s">
        <v>326</v>
      </c>
      <c r="D202" s="187" t="s">
        <v>530</v>
      </c>
      <c r="E202" s="188"/>
      <c r="F202" s="41" t="s">
        <v>585</v>
      </c>
      <c r="G202" s="50">
        <v>20.49</v>
      </c>
      <c r="H202" s="117"/>
      <c r="I202" s="50">
        <f>G202*AO202</f>
        <v>0</v>
      </c>
      <c r="J202" s="50">
        <f>G202*AP202</f>
        <v>0</v>
      </c>
      <c r="K202" s="50">
        <f>G202*H202</f>
        <v>0</v>
      </c>
      <c r="L202" s="50">
        <v>0</v>
      </c>
      <c r="M202" s="50">
        <f>G202*L202</f>
        <v>0</v>
      </c>
      <c r="N202" s="65" t="s">
        <v>606</v>
      </c>
      <c r="O202" s="17"/>
      <c r="Z202" s="68">
        <f>IF(AQ202="5",BJ202,0)</f>
        <v>0</v>
      </c>
      <c r="AB202" s="68">
        <f>IF(AQ202="1",BH202,0)</f>
        <v>0</v>
      </c>
      <c r="AC202" s="68">
        <f>IF(AQ202="1",BI202,0)</f>
        <v>0</v>
      </c>
      <c r="AD202" s="68">
        <f>IF(AQ202="7",BH202,0)</f>
        <v>0</v>
      </c>
      <c r="AE202" s="68">
        <f>IF(AQ202="7",BI202,0)</f>
        <v>0</v>
      </c>
      <c r="AF202" s="68">
        <f>IF(AQ202="2",BH202,0)</f>
        <v>0</v>
      </c>
      <c r="AG202" s="68">
        <f>IF(AQ202="2",BI202,0)</f>
        <v>0</v>
      </c>
      <c r="AH202" s="68">
        <f>IF(AQ202="0",BJ202,0)</f>
        <v>0</v>
      </c>
      <c r="AI202" s="60"/>
      <c r="AJ202" s="50">
        <f>IF(AN202=0,K202,0)</f>
        <v>0</v>
      </c>
      <c r="AK202" s="50">
        <f>IF(AN202=15,K202,0)</f>
        <v>0</v>
      </c>
      <c r="AL202" s="50">
        <f>IF(AN202=21,K202,0)</f>
        <v>0</v>
      </c>
      <c r="AN202" s="68">
        <v>15</v>
      </c>
      <c r="AO202" s="68">
        <f>H202*0</f>
        <v>0</v>
      </c>
      <c r="AP202" s="68">
        <f>H202*(1-0)</f>
        <v>0</v>
      </c>
      <c r="AQ202" s="69" t="s">
        <v>79</v>
      </c>
      <c r="AV202" s="68">
        <f>AW202+AX202</f>
        <v>0</v>
      </c>
      <c r="AW202" s="68">
        <f>G202*AO202</f>
        <v>0</v>
      </c>
      <c r="AX202" s="68">
        <f>G202*AP202</f>
        <v>0</v>
      </c>
      <c r="AY202" s="71" t="s">
        <v>629</v>
      </c>
      <c r="AZ202" s="71" t="s">
        <v>645</v>
      </c>
      <c r="BA202" s="60" t="s">
        <v>647</v>
      </c>
      <c r="BC202" s="68">
        <f>AW202+AX202</f>
        <v>0</v>
      </c>
      <c r="BD202" s="68">
        <f>H202/(100-BE202)*100</f>
        <v>0</v>
      </c>
      <c r="BE202" s="68">
        <v>0</v>
      </c>
      <c r="BF202" s="68">
        <f>M202</f>
        <v>0</v>
      </c>
      <c r="BH202" s="50">
        <f>G202*AO202</f>
        <v>0</v>
      </c>
      <c r="BI202" s="50">
        <f>G202*AP202</f>
        <v>0</v>
      </c>
      <c r="BJ202" s="50">
        <f>G202*H202</f>
        <v>0</v>
      </c>
      <c r="BK202" s="50" t="s">
        <v>652</v>
      </c>
      <c r="BL202" s="68">
        <v>781</v>
      </c>
    </row>
    <row r="203" spans="1:64" ht="12.75">
      <c r="A203" s="34" t="s">
        <v>181</v>
      </c>
      <c r="B203" s="41"/>
      <c r="C203" s="41" t="s">
        <v>327</v>
      </c>
      <c r="D203" s="187" t="s">
        <v>531</v>
      </c>
      <c r="E203" s="188"/>
      <c r="F203" s="41" t="s">
        <v>585</v>
      </c>
      <c r="G203" s="50">
        <v>20.49</v>
      </c>
      <c r="H203" s="117"/>
      <c r="I203" s="50">
        <f>G203*AO203</f>
        <v>0</v>
      </c>
      <c r="J203" s="50">
        <f>G203*AP203</f>
        <v>0</v>
      </c>
      <c r="K203" s="50">
        <f>G203*H203</f>
        <v>0</v>
      </c>
      <c r="L203" s="50">
        <v>0</v>
      </c>
      <c r="M203" s="50">
        <f>G203*L203</f>
        <v>0</v>
      </c>
      <c r="N203" s="65" t="s">
        <v>606</v>
      </c>
      <c r="O203" s="17"/>
      <c r="Z203" s="68">
        <f>IF(AQ203="5",BJ203,0)</f>
        <v>0</v>
      </c>
      <c r="AB203" s="68">
        <f>IF(AQ203="1",BH203,0)</f>
        <v>0</v>
      </c>
      <c r="AC203" s="68">
        <f>IF(AQ203="1",BI203,0)</f>
        <v>0</v>
      </c>
      <c r="AD203" s="68">
        <f>IF(AQ203="7",BH203,0)</f>
        <v>0</v>
      </c>
      <c r="AE203" s="68">
        <f>IF(AQ203="7",BI203,0)</f>
        <v>0</v>
      </c>
      <c r="AF203" s="68">
        <f>IF(AQ203="2",BH203,0)</f>
        <v>0</v>
      </c>
      <c r="AG203" s="68">
        <f>IF(AQ203="2",BI203,0)</f>
        <v>0</v>
      </c>
      <c r="AH203" s="68">
        <f>IF(AQ203="0",BJ203,0)</f>
        <v>0</v>
      </c>
      <c r="AI203" s="60"/>
      <c r="AJ203" s="50">
        <f>IF(AN203=0,K203,0)</f>
        <v>0</v>
      </c>
      <c r="AK203" s="50">
        <f>IF(AN203=15,K203,0)</f>
        <v>0</v>
      </c>
      <c r="AL203" s="50">
        <f>IF(AN203=21,K203,0)</f>
        <v>0</v>
      </c>
      <c r="AN203" s="68">
        <v>15</v>
      </c>
      <c r="AO203" s="68">
        <f>H203*0</f>
        <v>0</v>
      </c>
      <c r="AP203" s="68">
        <f>H203*(1-0)</f>
        <v>0</v>
      </c>
      <c r="AQ203" s="69" t="s">
        <v>79</v>
      </c>
      <c r="AV203" s="68">
        <f>AW203+AX203</f>
        <v>0</v>
      </c>
      <c r="AW203" s="68">
        <f>G203*AO203</f>
        <v>0</v>
      </c>
      <c r="AX203" s="68">
        <f>G203*AP203</f>
        <v>0</v>
      </c>
      <c r="AY203" s="71" t="s">
        <v>629</v>
      </c>
      <c r="AZ203" s="71" t="s">
        <v>645</v>
      </c>
      <c r="BA203" s="60" t="s">
        <v>647</v>
      </c>
      <c r="BC203" s="68">
        <f>AW203+AX203</f>
        <v>0</v>
      </c>
      <c r="BD203" s="68">
        <f>H203/(100-BE203)*100</f>
        <v>0</v>
      </c>
      <c r="BE203" s="68">
        <v>0</v>
      </c>
      <c r="BF203" s="68">
        <f>M203</f>
        <v>0</v>
      </c>
      <c r="BH203" s="50">
        <f>G203*AO203</f>
        <v>0</v>
      </c>
      <c r="BI203" s="50">
        <f>G203*AP203</f>
        <v>0</v>
      </c>
      <c r="BJ203" s="50">
        <f>G203*H203</f>
        <v>0</v>
      </c>
      <c r="BK203" s="50" t="s">
        <v>652</v>
      </c>
      <c r="BL203" s="68">
        <v>781</v>
      </c>
    </row>
    <row r="204" spans="1:64" ht="12.75">
      <c r="A204" s="34" t="s">
        <v>182</v>
      </c>
      <c r="B204" s="41"/>
      <c r="C204" s="41" t="s">
        <v>327</v>
      </c>
      <c r="D204" s="187" t="s">
        <v>532</v>
      </c>
      <c r="E204" s="188"/>
      <c r="F204" s="41" t="s">
        <v>586</v>
      </c>
      <c r="G204" s="50">
        <v>7.6</v>
      </c>
      <c r="H204" s="117"/>
      <c r="I204" s="50">
        <f>G204*AO204</f>
        <v>0</v>
      </c>
      <c r="J204" s="50">
        <f>G204*AP204</f>
        <v>0</v>
      </c>
      <c r="K204" s="50">
        <f>G204*H204</f>
        <v>0</v>
      </c>
      <c r="L204" s="50">
        <v>0</v>
      </c>
      <c r="M204" s="50">
        <f>G204*L204</f>
        <v>0</v>
      </c>
      <c r="N204" s="65" t="s">
        <v>606</v>
      </c>
      <c r="O204" s="17"/>
      <c r="Z204" s="68">
        <f>IF(AQ204="5",BJ204,0)</f>
        <v>0</v>
      </c>
      <c r="AB204" s="68">
        <f>IF(AQ204="1",BH204,0)</f>
        <v>0</v>
      </c>
      <c r="AC204" s="68">
        <f>IF(AQ204="1",BI204,0)</f>
        <v>0</v>
      </c>
      <c r="AD204" s="68">
        <f>IF(AQ204="7",BH204,0)</f>
        <v>0</v>
      </c>
      <c r="AE204" s="68">
        <f>IF(AQ204="7",BI204,0)</f>
        <v>0</v>
      </c>
      <c r="AF204" s="68">
        <f>IF(AQ204="2",BH204,0)</f>
        <v>0</v>
      </c>
      <c r="AG204" s="68">
        <f>IF(AQ204="2",BI204,0)</f>
        <v>0</v>
      </c>
      <c r="AH204" s="68">
        <f>IF(AQ204="0",BJ204,0)</f>
        <v>0</v>
      </c>
      <c r="AI204" s="60"/>
      <c r="AJ204" s="50">
        <f>IF(AN204=0,K204,0)</f>
        <v>0</v>
      </c>
      <c r="AK204" s="50">
        <f>IF(AN204=15,K204,0)</f>
        <v>0</v>
      </c>
      <c r="AL204" s="50">
        <f>IF(AN204=21,K204,0)</f>
        <v>0</v>
      </c>
      <c r="AN204" s="68">
        <v>15</v>
      </c>
      <c r="AO204" s="68">
        <f>H204*0</f>
        <v>0</v>
      </c>
      <c r="AP204" s="68">
        <f>H204*(1-0)</f>
        <v>0</v>
      </c>
      <c r="AQ204" s="69" t="s">
        <v>79</v>
      </c>
      <c r="AV204" s="68">
        <f>AW204+AX204</f>
        <v>0</v>
      </c>
      <c r="AW204" s="68">
        <f>G204*AO204</f>
        <v>0</v>
      </c>
      <c r="AX204" s="68">
        <f>G204*AP204</f>
        <v>0</v>
      </c>
      <c r="AY204" s="71" t="s">
        <v>629</v>
      </c>
      <c r="AZ204" s="71" t="s">
        <v>645</v>
      </c>
      <c r="BA204" s="60" t="s">
        <v>647</v>
      </c>
      <c r="BC204" s="68">
        <f>AW204+AX204</f>
        <v>0</v>
      </c>
      <c r="BD204" s="68">
        <f>H204/(100-BE204)*100</f>
        <v>0</v>
      </c>
      <c r="BE204" s="68">
        <v>0</v>
      </c>
      <c r="BF204" s="68">
        <f>M204</f>
        <v>0</v>
      </c>
      <c r="BH204" s="50">
        <f>G204*AO204</f>
        <v>0</v>
      </c>
      <c r="BI204" s="50">
        <f>G204*AP204</f>
        <v>0</v>
      </c>
      <c r="BJ204" s="50">
        <f>G204*H204</f>
        <v>0</v>
      </c>
      <c r="BK204" s="50" t="s">
        <v>652</v>
      </c>
      <c r="BL204" s="68">
        <v>781</v>
      </c>
    </row>
    <row r="205" spans="1:15" ht="12.75">
      <c r="A205" s="17"/>
      <c r="D205" s="43" t="s">
        <v>417</v>
      </c>
      <c r="E205" s="45"/>
      <c r="G205" s="51">
        <v>7.6</v>
      </c>
      <c r="N205" s="16"/>
      <c r="O205" s="17"/>
    </row>
    <row r="206" spans="1:64" ht="12.75">
      <c r="A206" s="34" t="s">
        <v>183</v>
      </c>
      <c r="B206" s="41"/>
      <c r="C206" s="41" t="s">
        <v>328</v>
      </c>
      <c r="D206" s="187" t="s">
        <v>533</v>
      </c>
      <c r="E206" s="188"/>
      <c r="F206" s="41" t="s">
        <v>586</v>
      </c>
      <c r="G206" s="50">
        <v>6</v>
      </c>
      <c r="H206" s="117"/>
      <c r="I206" s="50">
        <f>G206*AO206</f>
        <v>0</v>
      </c>
      <c r="J206" s="50">
        <f>G206*AP206</f>
        <v>0</v>
      </c>
      <c r="K206" s="50">
        <f>G206*H206</f>
        <v>0</v>
      </c>
      <c r="L206" s="50">
        <v>0</v>
      </c>
      <c r="M206" s="50">
        <f>G206*L206</f>
        <v>0</v>
      </c>
      <c r="N206" s="65" t="s">
        <v>606</v>
      </c>
      <c r="O206" s="17"/>
      <c r="Z206" s="68">
        <f>IF(AQ206="5",BJ206,0)</f>
        <v>0</v>
      </c>
      <c r="AB206" s="68">
        <f>IF(AQ206="1",BH206,0)</f>
        <v>0</v>
      </c>
      <c r="AC206" s="68">
        <f>IF(AQ206="1",BI206,0)</f>
        <v>0</v>
      </c>
      <c r="AD206" s="68">
        <f>IF(AQ206="7",BH206,0)</f>
        <v>0</v>
      </c>
      <c r="AE206" s="68">
        <f>IF(AQ206="7",BI206,0)</f>
        <v>0</v>
      </c>
      <c r="AF206" s="68">
        <f>IF(AQ206="2",BH206,0)</f>
        <v>0</v>
      </c>
      <c r="AG206" s="68">
        <f>IF(AQ206="2",BI206,0)</f>
        <v>0</v>
      </c>
      <c r="AH206" s="68">
        <f>IF(AQ206="0",BJ206,0)</f>
        <v>0</v>
      </c>
      <c r="AI206" s="60"/>
      <c r="AJ206" s="50">
        <f>IF(AN206=0,K206,0)</f>
        <v>0</v>
      </c>
      <c r="AK206" s="50">
        <f>IF(AN206=15,K206,0)</f>
        <v>0</v>
      </c>
      <c r="AL206" s="50">
        <f>IF(AN206=21,K206,0)</f>
        <v>0</v>
      </c>
      <c r="AN206" s="68">
        <v>15</v>
      </c>
      <c r="AO206" s="68">
        <f>H206*0.0560496380558428</f>
        <v>0</v>
      </c>
      <c r="AP206" s="68">
        <f>H206*(1-0.0560496380558428)</f>
        <v>0</v>
      </c>
      <c r="AQ206" s="69" t="s">
        <v>79</v>
      </c>
      <c r="AV206" s="68">
        <f>AW206+AX206</f>
        <v>0</v>
      </c>
      <c r="AW206" s="68">
        <f>G206*AO206</f>
        <v>0</v>
      </c>
      <c r="AX206" s="68">
        <f>G206*AP206</f>
        <v>0</v>
      </c>
      <c r="AY206" s="71" t="s">
        <v>629</v>
      </c>
      <c r="AZ206" s="71" t="s">
        <v>645</v>
      </c>
      <c r="BA206" s="60" t="s">
        <v>647</v>
      </c>
      <c r="BC206" s="68">
        <f>AW206+AX206</f>
        <v>0</v>
      </c>
      <c r="BD206" s="68">
        <f>H206/(100-BE206)*100</f>
        <v>0</v>
      </c>
      <c r="BE206" s="68">
        <v>0</v>
      </c>
      <c r="BF206" s="68">
        <f>M206</f>
        <v>0</v>
      </c>
      <c r="BH206" s="50">
        <f>G206*AO206</f>
        <v>0</v>
      </c>
      <c r="BI206" s="50">
        <f>G206*AP206</f>
        <v>0</v>
      </c>
      <c r="BJ206" s="50">
        <f>G206*H206</f>
        <v>0</v>
      </c>
      <c r="BK206" s="50" t="s">
        <v>652</v>
      </c>
      <c r="BL206" s="68">
        <v>781</v>
      </c>
    </row>
    <row r="207" spans="1:64" ht="12.75">
      <c r="A207" s="34" t="s">
        <v>184</v>
      </c>
      <c r="B207" s="41"/>
      <c r="C207" s="41" t="s">
        <v>329</v>
      </c>
      <c r="D207" s="187" t="s">
        <v>534</v>
      </c>
      <c r="E207" s="188"/>
      <c r="F207" s="41" t="s">
        <v>587</v>
      </c>
      <c r="G207" s="50">
        <v>7</v>
      </c>
      <c r="H207" s="117"/>
      <c r="I207" s="50">
        <f>G207*AO207</f>
        <v>0</v>
      </c>
      <c r="J207" s="50">
        <f>G207*AP207</f>
        <v>0</v>
      </c>
      <c r="K207" s="50">
        <f>G207*H207</f>
        <v>0</v>
      </c>
      <c r="L207" s="50">
        <v>0</v>
      </c>
      <c r="M207" s="50">
        <f>G207*L207</f>
        <v>0</v>
      </c>
      <c r="N207" s="65" t="s">
        <v>606</v>
      </c>
      <c r="O207" s="17"/>
      <c r="Z207" s="68">
        <f>IF(AQ207="5",BJ207,0)</f>
        <v>0</v>
      </c>
      <c r="AB207" s="68">
        <f>IF(AQ207="1",BH207,0)</f>
        <v>0</v>
      </c>
      <c r="AC207" s="68">
        <f>IF(AQ207="1",BI207,0)</f>
        <v>0</v>
      </c>
      <c r="AD207" s="68">
        <f>IF(AQ207="7",BH207,0)</f>
        <v>0</v>
      </c>
      <c r="AE207" s="68">
        <f>IF(AQ207="7",BI207,0)</f>
        <v>0</v>
      </c>
      <c r="AF207" s="68">
        <f>IF(AQ207="2",BH207,0)</f>
        <v>0</v>
      </c>
      <c r="AG207" s="68">
        <f>IF(AQ207="2",BI207,0)</f>
        <v>0</v>
      </c>
      <c r="AH207" s="68">
        <f>IF(AQ207="0",BJ207,0)</f>
        <v>0</v>
      </c>
      <c r="AI207" s="60"/>
      <c r="AJ207" s="50">
        <f>IF(AN207=0,K207,0)</f>
        <v>0</v>
      </c>
      <c r="AK207" s="50">
        <f>IF(AN207=15,K207,0)</f>
        <v>0</v>
      </c>
      <c r="AL207" s="50">
        <f>IF(AN207=21,K207,0)</f>
        <v>0</v>
      </c>
      <c r="AN207" s="68">
        <v>15</v>
      </c>
      <c r="AO207" s="68">
        <f>H207*0.0627257799671593</f>
        <v>0</v>
      </c>
      <c r="AP207" s="68">
        <f>H207*(1-0.0627257799671593)</f>
        <v>0</v>
      </c>
      <c r="AQ207" s="69" t="s">
        <v>79</v>
      </c>
      <c r="AV207" s="68">
        <f>AW207+AX207</f>
        <v>0</v>
      </c>
      <c r="AW207" s="68">
        <f>G207*AO207</f>
        <v>0</v>
      </c>
      <c r="AX207" s="68">
        <f>G207*AP207</f>
        <v>0</v>
      </c>
      <c r="AY207" s="71" t="s">
        <v>629</v>
      </c>
      <c r="AZ207" s="71" t="s">
        <v>645</v>
      </c>
      <c r="BA207" s="60" t="s">
        <v>647</v>
      </c>
      <c r="BC207" s="68">
        <f>AW207+AX207</f>
        <v>0</v>
      </c>
      <c r="BD207" s="68">
        <f>H207/(100-BE207)*100</f>
        <v>0</v>
      </c>
      <c r="BE207" s="68">
        <v>0</v>
      </c>
      <c r="BF207" s="68">
        <f>M207</f>
        <v>0</v>
      </c>
      <c r="BH207" s="50">
        <f>G207*AO207</f>
        <v>0</v>
      </c>
      <c r="BI207" s="50">
        <f>G207*AP207</f>
        <v>0</v>
      </c>
      <c r="BJ207" s="50">
        <f>G207*H207</f>
        <v>0</v>
      </c>
      <c r="BK207" s="50" t="s">
        <v>652</v>
      </c>
      <c r="BL207" s="68">
        <v>781</v>
      </c>
    </row>
    <row r="208" spans="1:64" ht="12.75">
      <c r="A208" s="35" t="s">
        <v>185</v>
      </c>
      <c r="B208" s="42"/>
      <c r="C208" s="42" t="s">
        <v>330</v>
      </c>
      <c r="D208" s="197" t="s">
        <v>535</v>
      </c>
      <c r="E208" s="198"/>
      <c r="F208" s="42" t="s">
        <v>585</v>
      </c>
      <c r="G208" s="52">
        <v>22.539</v>
      </c>
      <c r="H208" s="121"/>
      <c r="I208" s="52">
        <f>G208*AO208</f>
        <v>0</v>
      </c>
      <c r="J208" s="52">
        <f>G208*AP208</f>
        <v>0</v>
      </c>
      <c r="K208" s="52">
        <f>G208*H208</f>
        <v>0</v>
      </c>
      <c r="L208" s="52">
        <v>0.0122</v>
      </c>
      <c r="M208" s="52">
        <f>G208*L208</f>
        <v>0.27497580000000005</v>
      </c>
      <c r="N208" s="66" t="s">
        <v>606</v>
      </c>
      <c r="O208" s="17"/>
      <c r="Z208" s="68">
        <f>IF(AQ208="5",BJ208,0)</f>
        <v>0</v>
      </c>
      <c r="AB208" s="68">
        <f>IF(AQ208="1",BH208,0)</f>
        <v>0</v>
      </c>
      <c r="AC208" s="68">
        <f>IF(AQ208="1",BI208,0)</f>
        <v>0</v>
      </c>
      <c r="AD208" s="68">
        <f>IF(AQ208="7",BH208,0)</f>
        <v>0</v>
      </c>
      <c r="AE208" s="68">
        <f>IF(AQ208="7",BI208,0)</f>
        <v>0</v>
      </c>
      <c r="AF208" s="68">
        <f>IF(AQ208="2",BH208,0)</f>
        <v>0</v>
      </c>
      <c r="AG208" s="68">
        <f>IF(AQ208="2",BI208,0)</f>
        <v>0</v>
      </c>
      <c r="AH208" s="68">
        <f>IF(AQ208="0",BJ208,0)</f>
        <v>0</v>
      </c>
      <c r="AI208" s="60"/>
      <c r="AJ208" s="52">
        <f>IF(AN208=0,K208,0)</f>
        <v>0</v>
      </c>
      <c r="AK208" s="52">
        <f>IF(AN208=15,K208,0)</f>
        <v>0</v>
      </c>
      <c r="AL208" s="52">
        <f>IF(AN208=21,K208,0)</f>
        <v>0</v>
      </c>
      <c r="AN208" s="68">
        <v>15</v>
      </c>
      <c r="AO208" s="68">
        <f>H208*1</f>
        <v>0</v>
      </c>
      <c r="AP208" s="68">
        <f>H208*(1-1)</f>
        <v>0</v>
      </c>
      <c r="AQ208" s="70" t="s">
        <v>79</v>
      </c>
      <c r="AV208" s="68">
        <f>AW208+AX208</f>
        <v>0</v>
      </c>
      <c r="AW208" s="68">
        <f>G208*AO208</f>
        <v>0</v>
      </c>
      <c r="AX208" s="68">
        <f>G208*AP208</f>
        <v>0</v>
      </c>
      <c r="AY208" s="71" t="s">
        <v>629</v>
      </c>
      <c r="AZ208" s="71" t="s">
        <v>645</v>
      </c>
      <c r="BA208" s="60" t="s">
        <v>647</v>
      </c>
      <c r="BC208" s="68">
        <f>AW208+AX208</f>
        <v>0</v>
      </c>
      <c r="BD208" s="68">
        <f>H208/(100-BE208)*100</f>
        <v>0</v>
      </c>
      <c r="BE208" s="68">
        <v>0</v>
      </c>
      <c r="BF208" s="68">
        <f>M208</f>
        <v>0.27497580000000005</v>
      </c>
      <c r="BH208" s="52">
        <f>G208*AO208</f>
        <v>0</v>
      </c>
      <c r="BI208" s="52">
        <f>G208*AP208</f>
        <v>0</v>
      </c>
      <c r="BJ208" s="52">
        <f>G208*H208</f>
        <v>0</v>
      </c>
      <c r="BK208" s="52" t="s">
        <v>653</v>
      </c>
      <c r="BL208" s="68">
        <v>781</v>
      </c>
    </row>
    <row r="209" spans="1:15" ht="12.75">
      <c r="A209" s="17"/>
      <c r="D209" s="43" t="s">
        <v>536</v>
      </c>
      <c r="E209" s="45"/>
      <c r="G209" s="51">
        <v>22.539</v>
      </c>
      <c r="N209" s="16"/>
      <c r="O209" s="17"/>
    </row>
    <row r="210" spans="1:64" ht="12.75">
      <c r="A210" s="86" t="s">
        <v>186</v>
      </c>
      <c r="B210" s="86"/>
      <c r="C210" s="86" t="s">
        <v>331</v>
      </c>
      <c r="D210" s="183" t="s">
        <v>537</v>
      </c>
      <c r="E210" s="184"/>
      <c r="F210" s="86" t="s">
        <v>586</v>
      </c>
      <c r="G210" s="87">
        <v>28.9</v>
      </c>
      <c r="H210" s="118"/>
      <c r="I210" s="87">
        <f>G210*AO210</f>
        <v>0</v>
      </c>
      <c r="J210" s="87">
        <f>G210*AP210</f>
        <v>0</v>
      </c>
      <c r="K210" s="87">
        <f>G210*H210</f>
        <v>0</v>
      </c>
      <c r="L210" s="87">
        <v>0</v>
      </c>
      <c r="M210" s="87">
        <f>G210*L210</f>
        <v>0</v>
      </c>
      <c r="N210" s="84" t="s">
        <v>606</v>
      </c>
      <c r="O210" s="77"/>
      <c r="Z210" s="68">
        <f>IF(AQ210="5",BJ210,0)</f>
        <v>0</v>
      </c>
      <c r="AB210" s="68">
        <f>IF(AQ210="1",BH210,0)</f>
        <v>0</v>
      </c>
      <c r="AC210" s="68">
        <f>IF(AQ210="1",BI210,0)</f>
        <v>0</v>
      </c>
      <c r="AD210" s="68">
        <f>IF(AQ210="7",BH210,0)</f>
        <v>0</v>
      </c>
      <c r="AE210" s="68">
        <f>IF(AQ210="7",BI210,0)</f>
        <v>0</v>
      </c>
      <c r="AF210" s="68">
        <f>IF(AQ210="2",BH210,0)</f>
        <v>0</v>
      </c>
      <c r="AG210" s="68">
        <f>IF(AQ210="2",BI210,0)</f>
        <v>0</v>
      </c>
      <c r="AH210" s="68">
        <f>IF(AQ210="0",BJ210,0)</f>
        <v>0</v>
      </c>
      <c r="AI210" s="60"/>
      <c r="AJ210" s="50">
        <f>IF(AN210=0,K210,0)</f>
        <v>0</v>
      </c>
      <c r="AK210" s="50">
        <f>IF(AN210=15,K210,0)</f>
        <v>0</v>
      </c>
      <c r="AL210" s="50">
        <f>IF(AN210=21,K210,0)</f>
        <v>0</v>
      </c>
      <c r="AN210" s="68">
        <v>15</v>
      </c>
      <c r="AO210" s="68">
        <f>H210*0</f>
        <v>0</v>
      </c>
      <c r="AP210" s="68">
        <f>H210*(1-0)</f>
        <v>0</v>
      </c>
      <c r="AQ210" s="69" t="s">
        <v>79</v>
      </c>
      <c r="AV210" s="68">
        <f>AW210+AX210</f>
        <v>0</v>
      </c>
      <c r="AW210" s="68">
        <f>G210*AO210</f>
        <v>0</v>
      </c>
      <c r="AX210" s="68">
        <f>G210*AP210</f>
        <v>0</v>
      </c>
      <c r="AY210" s="71" t="s">
        <v>629</v>
      </c>
      <c r="AZ210" s="71" t="s">
        <v>645</v>
      </c>
      <c r="BA210" s="60" t="s">
        <v>647</v>
      </c>
      <c r="BC210" s="68">
        <f>AW210+AX210</f>
        <v>0</v>
      </c>
      <c r="BD210" s="68">
        <f>H210/(100-BE210)*100</f>
        <v>0</v>
      </c>
      <c r="BE210" s="68">
        <v>0</v>
      </c>
      <c r="BF210" s="68">
        <f>M210</f>
        <v>0</v>
      </c>
      <c r="BH210" s="50">
        <f>G210*AO210</f>
        <v>0</v>
      </c>
      <c r="BI210" s="50">
        <f>G210*AP210</f>
        <v>0</v>
      </c>
      <c r="BJ210" s="50">
        <f>G210*H210</f>
        <v>0</v>
      </c>
      <c r="BK210" s="50" t="s">
        <v>652</v>
      </c>
      <c r="BL210" s="68">
        <v>781</v>
      </c>
    </row>
    <row r="211" spans="1:15" ht="12.75">
      <c r="A211" s="95"/>
      <c r="B211" s="96"/>
      <c r="C211" s="96"/>
      <c r="D211" s="97" t="s">
        <v>538</v>
      </c>
      <c r="E211" s="98"/>
      <c r="F211" s="96"/>
      <c r="G211" s="99">
        <v>7</v>
      </c>
      <c r="H211" s="96"/>
      <c r="I211" s="96"/>
      <c r="J211" s="96"/>
      <c r="K211" s="96"/>
      <c r="L211" s="96"/>
      <c r="M211" s="96"/>
      <c r="N211" s="88"/>
      <c r="O211" s="77"/>
    </row>
    <row r="212" spans="1:15" ht="12.75">
      <c r="A212" s="95"/>
      <c r="B212" s="96"/>
      <c r="C212" s="96"/>
      <c r="D212" s="97" t="s">
        <v>539</v>
      </c>
      <c r="E212" s="98"/>
      <c r="F212" s="96"/>
      <c r="G212" s="99">
        <v>21.9</v>
      </c>
      <c r="H212" s="96"/>
      <c r="I212" s="96"/>
      <c r="J212" s="96"/>
      <c r="K212" s="96"/>
      <c r="L212" s="96"/>
      <c r="M212" s="96"/>
      <c r="N212" s="88"/>
      <c r="O212" s="77"/>
    </row>
    <row r="213" spans="1:64" ht="12.75">
      <c r="A213" s="101" t="s">
        <v>187</v>
      </c>
      <c r="B213" s="101"/>
      <c r="C213" s="101" t="s">
        <v>332</v>
      </c>
      <c r="D213" s="195" t="s">
        <v>540</v>
      </c>
      <c r="E213" s="196"/>
      <c r="F213" s="101" t="s">
        <v>586</v>
      </c>
      <c r="G213" s="102">
        <v>31.79</v>
      </c>
      <c r="H213" s="119"/>
      <c r="I213" s="102">
        <f>G213*AO213</f>
        <v>0</v>
      </c>
      <c r="J213" s="102">
        <f>G213*AP213</f>
        <v>0</v>
      </c>
      <c r="K213" s="102">
        <f>G213*H213</f>
        <v>0</v>
      </c>
      <c r="L213" s="102">
        <v>0.00022</v>
      </c>
      <c r="M213" s="102">
        <f>G213*L213</f>
        <v>0.0069938</v>
      </c>
      <c r="N213" s="100" t="s">
        <v>606</v>
      </c>
      <c r="O213" s="77"/>
      <c r="Z213" s="68">
        <f>IF(AQ213="5",BJ213,0)</f>
        <v>0</v>
      </c>
      <c r="AB213" s="68">
        <f>IF(AQ213="1",BH213,0)</f>
        <v>0</v>
      </c>
      <c r="AC213" s="68">
        <f>IF(AQ213="1",BI213,0)</f>
        <v>0</v>
      </c>
      <c r="AD213" s="68">
        <f>IF(AQ213="7",BH213,0)</f>
        <v>0</v>
      </c>
      <c r="AE213" s="68">
        <f>IF(AQ213="7",BI213,0)</f>
        <v>0</v>
      </c>
      <c r="AF213" s="68">
        <f>IF(AQ213="2",BH213,0)</f>
        <v>0</v>
      </c>
      <c r="AG213" s="68">
        <f>IF(AQ213="2",BI213,0)</f>
        <v>0</v>
      </c>
      <c r="AH213" s="68">
        <f>IF(AQ213="0",BJ213,0)</f>
        <v>0</v>
      </c>
      <c r="AI213" s="60"/>
      <c r="AJ213" s="52">
        <f>IF(AN213=0,K213,0)</f>
        <v>0</v>
      </c>
      <c r="AK213" s="52">
        <f>IF(AN213=15,K213,0)</f>
        <v>0</v>
      </c>
      <c r="AL213" s="52">
        <f>IF(AN213=21,K213,0)</f>
        <v>0</v>
      </c>
      <c r="AN213" s="68">
        <v>15</v>
      </c>
      <c r="AO213" s="68">
        <f>H213*1</f>
        <v>0</v>
      </c>
      <c r="AP213" s="68">
        <f>H213*(1-1)</f>
        <v>0</v>
      </c>
      <c r="AQ213" s="70" t="s">
        <v>79</v>
      </c>
      <c r="AV213" s="68">
        <f>AW213+AX213</f>
        <v>0</v>
      </c>
      <c r="AW213" s="68">
        <f>G213*AO213</f>
        <v>0</v>
      </c>
      <c r="AX213" s="68">
        <f>G213*AP213</f>
        <v>0</v>
      </c>
      <c r="AY213" s="71" t="s">
        <v>629</v>
      </c>
      <c r="AZ213" s="71" t="s">
        <v>645</v>
      </c>
      <c r="BA213" s="60" t="s">
        <v>647</v>
      </c>
      <c r="BC213" s="68">
        <f>AW213+AX213</f>
        <v>0</v>
      </c>
      <c r="BD213" s="68">
        <f>H213/(100-BE213)*100</f>
        <v>0</v>
      </c>
      <c r="BE213" s="68">
        <v>0</v>
      </c>
      <c r="BF213" s="68">
        <f>M213</f>
        <v>0.0069938</v>
      </c>
      <c r="BH213" s="52">
        <f>G213*AO213</f>
        <v>0</v>
      </c>
      <c r="BI213" s="52">
        <f>G213*AP213</f>
        <v>0</v>
      </c>
      <c r="BJ213" s="52">
        <f>G213*H213</f>
        <v>0</v>
      </c>
      <c r="BK213" s="52" t="s">
        <v>653</v>
      </c>
      <c r="BL213" s="68">
        <v>781</v>
      </c>
    </row>
    <row r="214" spans="1:15" ht="12.75">
      <c r="A214" s="95"/>
      <c r="B214" s="96"/>
      <c r="C214" s="96"/>
      <c r="D214" s="97" t="s">
        <v>541</v>
      </c>
      <c r="E214" s="98"/>
      <c r="F214" s="96"/>
      <c r="G214" s="99">
        <v>31.79</v>
      </c>
      <c r="H214" s="96"/>
      <c r="I214" s="96"/>
      <c r="J214" s="96"/>
      <c r="K214" s="96"/>
      <c r="L214" s="96"/>
      <c r="M214" s="96"/>
      <c r="N214" s="88"/>
      <c r="O214" s="77"/>
    </row>
    <row r="215" spans="1:64" ht="12.75">
      <c r="A215" s="86" t="s">
        <v>188</v>
      </c>
      <c r="B215" s="86"/>
      <c r="C215" s="86" t="s">
        <v>333</v>
      </c>
      <c r="D215" s="183" t="s">
        <v>542</v>
      </c>
      <c r="E215" s="184"/>
      <c r="F215" s="86" t="s">
        <v>588</v>
      </c>
      <c r="G215" s="87">
        <v>0.3</v>
      </c>
      <c r="H215" s="118"/>
      <c r="I215" s="87">
        <f>G215*AO215</f>
        <v>0</v>
      </c>
      <c r="J215" s="87">
        <f>G215*AP215</f>
        <v>0</v>
      </c>
      <c r="K215" s="87">
        <f>G215*H215</f>
        <v>0</v>
      </c>
      <c r="L215" s="87">
        <v>0</v>
      </c>
      <c r="M215" s="87">
        <f>G215*L215</f>
        <v>0</v>
      </c>
      <c r="N215" s="84" t="s">
        <v>606</v>
      </c>
      <c r="O215" s="77"/>
      <c r="Z215" s="68">
        <f>IF(AQ215="5",BJ215,0)</f>
        <v>0</v>
      </c>
      <c r="AB215" s="68">
        <f>IF(AQ215="1",BH215,0)</f>
        <v>0</v>
      </c>
      <c r="AC215" s="68">
        <f>IF(AQ215="1",BI215,0)</f>
        <v>0</v>
      </c>
      <c r="AD215" s="68">
        <f>IF(AQ215="7",BH215,0)</f>
        <v>0</v>
      </c>
      <c r="AE215" s="68">
        <f>IF(AQ215="7",BI215,0)</f>
        <v>0</v>
      </c>
      <c r="AF215" s="68">
        <f>IF(AQ215="2",BH215,0)</f>
        <v>0</v>
      </c>
      <c r="AG215" s="68">
        <f>IF(AQ215="2",BI215,0)</f>
        <v>0</v>
      </c>
      <c r="AH215" s="68">
        <f>IF(AQ215="0",BJ215,0)</f>
        <v>0</v>
      </c>
      <c r="AI215" s="60"/>
      <c r="AJ215" s="50">
        <f>IF(AN215=0,K215,0)</f>
        <v>0</v>
      </c>
      <c r="AK215" s="50">
        <f>IF(AN215=15,K215,0)</f>
        <v>0</v>
      </c>
      <c r="AL215" s="50">
        <f>IF(AN215=21,K215,0)</f>
        <v>0</v>
      </c>
      <c r="AN215" s="68">
        <v>15</v>
      </c>
      <c r="AO215" s="68">
        <f>H215*0</f>
        <v>0</v>
      </c>
      <c r="AP215" s="68">
        <f>H215*(1-0)</f>
        <v>0</v>
      </c>
      <c r="AQ215" s="69" t="s">
        <v>77</v>
      </c>
      <c r="AV215" s="68">
        <f>AW215+AX215</f>
        <v>0</v>
      </c>
      <c r="AW215" s="68">
        <f>G215*AO215</f>
        <v>0</v>
      </c>
      <c r="AX215" s="68">
        <f>G215*AP215</f>
        <v>0</v>
      </c>
      <c r="AY215" s="71" t="s">
        <v>629</v>
      </c>
      <c r="AZ215" s="71" t="s">
        <v>645</v>
      </c>
      <c r="BA215" s="60" t="s">
        <v>647</v>
      </c>
      <c r="BC215" s="68">
        <f>AW215+AX215</f>
        <v>0</v>
      </c>
      <c r="BD215" s="68">
        <f>H215/(100-BE215)*100</f>
        <v>0</v>
      </c>
      <c r="BE215" s="68">
        <v>0</v>
      </c>
      <c r="BF215" s="68">
        <f>M215</f>
        <v>0</v>
      </c>
      <c r="BH215" s="50">
        <f>G215*AO215</f>
        <v>0</v>
      </c>
      <c r="BI215" s="50">
        <f>G215*AP215</f>
        <v>0</v>
      </c>
      <c r="BJ215" s="50">
        <f>G215*H215</f>
        <v>0</v>
      </c>
      <c r="BK215" s="50" t="s">
        <v>652</v>
      </c>
      <c r="BL215" s="68">
        <v>781</v>
      </c>
    </row>
    <row r="216" spans="1:47" ht="12.75">
      <c r="A216" s="78"/>
      <c r="B216" s="79"/>
      <c r="C216" s="79" t="s">
        <v>334</v>
      </c>
      <c r="D216" s="192" t="s">
        <v>543</v>
      </c>
      <c r="E216" s="190"/>
      <c r="F216" s="78" t="s">
        <v>72</v>
      </c>
      <c r="G216" s="78" t="s">
        <v>72</v>
      </c>
      <c r="H216" s="78" t="s">
        <v>72</v>
      </c>
      <c r="I216" s="82">
        <f>SUM(I217:I221)</f>
        <v>0</v>
      </c>
      <c r="J216" s="82">
        <f>SUM(J217:J221)</f>
        <v>0</v>
      </c>
      <c r="K216" s="82">
        <f>SUM(K217:K221)</f>
        <v>0</v>
      </c>
      <c r="L216" s="83"/>
      <c r="M216" s="82">
        <f>SUM(M217:M221)</f>
        <v>0.003208</v>
      </c>
      <c r="N216" s="76"/>
      <c r="O216" s="77"/>
      <c r="AI216" s="60"/>
      <c r="AS216" s="74">
        <f>SUM(AJ217:AJ221)</f>
        <v>0</v>
      </c>
      <c r="AT216" s="74">
        <f>SUM(AK217:AK221)</f>
        <v>0</v>
      </c>
      <c r="AU216" s="74">
        <f>SUM(AL217:AL221)</f>
        <v>0</v>
      </c>
    </row>
    <row r="217" spans="1:64" ht="12.75">
      <c r="A217" s="86" t="s">
        <v>189</v>
      </c>
      <c r="B217" s="86"/>
      <c r="C217" s="86" t="s">
        <v>335</v>
      </c>
      <c r="D217" s="183" t="s">
        <v>544</v>
      </c>
      <c r="E217" s="184"/>
      <c r="F217" s="86" t="s">
        <v>585</v>
      </c>
      <c r="G217" s="87">
        <v>4.4</v>
      </c>
      <c r="H217" s="118"/>
      <c r="I217" s="87">
        <f>G217*AO217</f>
        <v>0</v>
      </c>
      <c r="J217" s="87">
        <f>G217*AP217</f>
        <v>0</v>
      </c>
      <c r="K217" s="87">
        <f>G217*H217</f>
        <v>0</v>
      </c>
      <c r="L217" s="87">
        <v>0.00031</v>
      </c>
      <c r="M217" s="87">
        <f>G217*L217</f>
        <v>0.0013640000000000002</v>
      </c>
      <c r="N217" s="84" t="s">
        <v>606</v>
      </c>
      <c r="O217" s="77"/>
      <c r="Z217" s="68">
        <f>IF(AQ217="5",BJ217,0)</f>
        <v>0</v>
      </c>
      <c r="AB217" s="68">
        <f>IF(AQ217="1",BH217,0)</f>
        <v>0</v>
      </c>
      <c r="AC217" s="68">
        <f>IF(AQ217="1",BI217,0)</f>
        <v>0</v>
      </c>
      <c r="AD217" s="68">
        <f>IF(AQ217="7",BH217,0)</f>
        <v>0</v>
      </c>
      <c r="AE217" s="68">
        <f>IF(AQ217="7",BI217,0)</f>
        <v>0</v>
      </c>
      <c r="AF217" s="68">
        <f>IF(AQ217="2",BH217,0)</f>
        <v>0</v>
      </c>
      <c r="AG217" s="68">
        <f>IF(AQ217="2",BI217,0)</f>
        <v>0</v>
      </c>
      <c r="AH217" s="68">
        <f>IF(AQ217="0",BJ217,0)</f>
        <v>0</v>
      </c>
      <c r="AI217" s="60"/>
      <c r="AJ217" s="50">
        <f>IF(AN217=0,K217,0)</f>
        <v>0</v>
      </c>
      <c r="AK217" s="50">
        <f>IF(AN217=15,K217,0)</f>
        <v>0</v>
      </c>
      <c r="AL217" s="50">
        <f>IF(AN217=21,K217,0)</f>
        <v>0</v>
      </c>
      <c r="AN217" s="68">
        <v>15</v>
      </c>
      <c r="AO217" s="68">
        <f>H217*0.176714579055441</f>
        <v>0</v>
      </c>
      <c r="AP217" s="68">
        <f>H217*(1-0.176714579055441)</f>
        <v>0</v>
      </c>
      <c r="AQ217" s="69" t="s">
        <v>79</v>
      </c>
      <c r="AV217" s="68">
        <f>AW217+AX217</f>
        <v>0</v>
      </c>
      <c r="AW217" s="68">
        <f>G217*AO217</f>
        <v>0</v>
      </c>
      <c r="AX217" s="68">
        <f>G217*AP217</f>
        <v>0</v>
      </c>
      <c r="AY217" s="71" t="s">
        <v>630</v>
      </c>
      <c r="AZ217" s="71" t="s">
        <v>645</v>
      </c>
      <c r="BA217" s="60" t="s">
        <v>647</v>
      </c>
      <c r="BC217" s="68">
        <f>AW217+AX217</f>
        <v>0</v>
      </c>
      <c r="BD217" s="68">
        <f>H217/(100-BE217)*100</f>
        <v>0</v>
      </c>
      <c r="BE217" s="68">
        <v>0</v>
      </c>
      <c r="BF217" s="68">
        <f>M217</f>
        <v>0.0013640000000000002</v>
      </c>
      <c r="BH217" s="50">
        <f>G217*AO217</f>
        <v>0</v>
      </c>
      <c r="BI217" s="50">
        <f>G217*AP217</f>
        <v>0</v>
      </c>
      <c r="BJ217" s="50">
        <f>G217*H217</f>
        <v>0</v>
      </c>
      <c r="BK217" s="50" t="s">
        <v>652</v>
      </c>
      <c r="BL217" s="68">
        <v>783</v>
      </c>
    </row>
    <row r="218" spans="1:15" ht="12.75">
      <c r="A218" s="95"/>
      <c r="B218" s="96"/>
      <c r="C218" s="96"/>
      <c r="D218" s="97" t="s">
        <v>545</v>
      </c>
      <c r="E218" s="98"/>
      <c r="F218" s="96"/>
      <c r="G218" s="99">
        <v>4.4</v>
      </c>
      <c r="H218" s="96"/>
      <c r="I218" s="96"/>
      <c r="J218" s="96"/>
      <c r="K218" s="96"/>
      <c r="L218" s="96"/>
      <c r="M218" s="96"/>
      <c r="N218" s="88"/>
      <c r="O218" s="77"/>
    </row>
    <row r="219" spans="1:64" ht="12.75">
      <c r="A219" s="86" t="s">
        <v>190</v>
      </c>
      <c r="B219" s="86"/>
      <c r="C219" s="86" t="s">
        <v>336</v>
      </c>
      <c r="D219" s="183" t="s">
        <v>546</v>
      </c>
      <c r="E219" s="184"/>
      <c r="F219" s="86" t="s">
        <v>585</v>
      </c>
      <c r="G219" s="87">
        <v>4.4</v>
      </c>
      <c r="H219" s="118"/>
      <c r="I219" s="87">
        <f>G219*AO219</f>
        <v>0</v>
      </c>
      <c r="J219" s="87">
        <f>G219*AP219</f>
        <v>0</v>
      </c>
      <c r="K219" s="87">
        <f>G219*H219</f>
        <v>0</v>
      </c>
      <c r="L219" s="87">
        <v>1E-05</v>
      </c>
      <c r="M219" s="87">
        <f>G219*L219</f>
        <v>4.4000000000000006E-05</v>
      </c>
      <c r="N219" s="84" t="s">
        <v>606</v>
      </c>
      <c r="O219" s="77"/>
      <c r="Z219" s="68">
        <f>IF(AQ219="5",BJ219,0)</f>
        <v>0</v>
      </c>
      <c r="AB219" s="68">
        <f>IF(AQ219="1",BH219,0)</f>
        <v>0</v>
      </c>
      <c r="AC219" s="68">
        <f>IF(AQ219="1",BI219,0)</f>
        <v>0</v>
      </c>
      <c r="AD219" s="68">
        <f>IF(AQ219="7",BH219,0)</f>
        <v>0</v>
      </c>
      <c r="AE219" s="68">
        <f>IF(AQ219="7",BI219,0)</f>
        <v>0</v>
      </c>
      <c r="AF219" s="68">
        <f>IF(AQ219="2",BH219,0)</f>
        <v>0</v>
      </c>
      <c r="AG219" s="68">
        <f>IF(AQ219="2",BI219,0)</f>
        <v>0</v>
      </c>
      <c r="AH219" s="68">
        <f>IF(AQ219="0",BJ219,0)</f>
        <v>0</v>
      </c>
      <c r="AI219" s="60"/>
      <c r="AJ219" s="50">
        <f>IF(AN219=0,K219,0)</f>
        <v>0</v>
      </c>
      <c r="AK219" s="50">
        <f>IF(AN219=15,K219,0)</f>
        <v>0</v>
      </c>
      <c r="AL219" s="50">
        <f>IF(AN219=21,K219,0)</f>
        <v>0</v>
      </c>
      <c r="AN219" s="68">
        <v>15</v>
      </c>
      <c r="AO219" s="68">
        <f>H219*0.0262806236080178</f>
        <v>0</v>
      </c>
      <c r="AP219" s="68">
        <f>H219*(1-0.0262806236080178)</f>
        <v>0</v>
      </c>
      <c r="AQ219" s="69" t="s">
        <v>79</v>
      </c>
      <c r="AV219" s="68">
        <f>AW219+AX219</f>
        <v>0</v>
      </c>
      <c r="AW219" s="68">
        <f>G219*AO219</f>
        <v>0</v>
      </c>
      <c r="AX219" s="68">
        <f>G219*AP219</f>
        <v>0</v>
      </c>
      <c r="AY219" s="71" t="s">
        <v>630</v>
      </c>
      <c r="AZ219" s="71" t="s">
        <v>645</v>
      </c>
      <c r="BA219" s="60" t="s">
        <v>647</v>
      </c>
      <c r="BC219" s="68">
        <f>AW219+AX219</f>
        <v>0</v>
      </c>
      <c r="BD219" s="68">
        <f>H219/(100-BE219)*100</f>
        <v>0</v>
      </c>
      <c r="BE219" s="68">
        <v>0</v>
      </c>
      <c r="BF219" s="68">
        <f>M219</f>
        <v>4.4000000000000006E-05</v>
      </c>
      <c r="BH219" s="50">
        <f>G219*AO219</f>
        <v>0</v>
      </c>
      <c r="BI219" s="50">
        <f>G219*AP219</f>
        <v>0</v>
      </c>
      <c r="BJ219" s="50">
        <f>G219*H219</f>
        <v>0</v>
      </c>
      <c r="BK219" s="50" t="s">
        <v>652</v>
      </c>
      <c r="BL219" s="68">
        <v>783</v>
      </c>
    </row>
    <row r="220" spans="1:64" ht="12.75">
      <c r="A220" s="86" t="s">
        <v>191</v>
      </c>
      <c r="B220" s="86"/>
      <c r="C220" s="86" t="s">
        <v>337</v>
      </c>
      <c r="D220" s="183" t="s">
        <v>547</v>
      </c>
      <c r="E220" s="184"/>
      <c r="F220" s="86" t="s">
        <v>585</v>
      </c>
      <c r="G220" s="87">
        <v>4</v>
      </c>
      <c r="H220" s="118"/>
      <c r="I220" s="87">
        <f>G220*AO220</f>
        <v>0</v>
      </c>
      <c r="J220" s="87">
        <f>G220*AP220</f>
        <v>0</v>
      </c>
      <c r="K220" s="87">
        <f>G220*H220</f>
        <v>0</v>
      </c>
      <c r="L220" s="87">
        <v>0.00045</v>
      </c>
      <c r="M220" s="87">
        <f>G220*L220</f>
        <v>0.0018</v>
      </c>
      <c r="N220" s="84" t="s">
        <v>606</v>
      </c>
      <c r="O220" s="77"/>
      <c r="Z220" s="68">
        <f>IF(AQ220="5",BJ220,0)</f>
        <v>0</v>
      </c>
      <c r="AB220" s="68">
        <f>IF(AQ220="1",BH220,0)</f>
        <v>0</v>
      </c>
      <c r="AC220" s="68">
        <f>IF(AQ220="1",BI220,0)</f>
        <v>0</v>
      </c>
      <c r="AD220" s="68">
        <f>IF(AQ220="7",BH220,0)</f>
        <v>0</v>
      </c>
      <c r="AE220" s="68">
        <f>IF(AQ220="7",BI220,0)</f>
        <v>0</v>
      </c>
      <c r="AF220" s="68">
        <f>IF(AQ220="2",BH220,0)</f>
        <v>0</v>
      </c>
      <c r="AG220" s="68">
        <f>IF(AQ220="2",BI220,0)</f>
        <v>0</v>
      </c>
      <c r="AH220" s="68">
        <f>IF(AQ220="0",BJ220,0)</f>
        <v>0</v>
      </c>
      <c r="AI220" s="60"/>
      <c r="AJ220" s="50">
        <f>IF(AN220=0,K220,0)</f>
        <v>0</v>
      </c>
      <c r="AK220" s="50">
        <f>IF(AN220=15,K220,0)</f>
        <v>0</v>
      </c>
      <c r="AL220" s="50">
        <f>IF(AN220=21,K220,0)</f>
        <v>0</v>
      </c>
      <c r="AN220" s="68">
        <v>15</v>
      </c>
      <c r="AO220" s="68">
        <f>H220*0.505542191406066</f>
        <v>0</v>
      </c>
      <c r="AP220" s="68">
        <f>H220*(1-0.505542191406066)</f>
        <v>0</v>
      </c>
      <c r="AQ220" s="69" t="s">
        <v>79</v>
      </c>
      <c r="AV220" s="68">
        <f>AW220+AX220</f>
        <v>0</v>
      </c>
      <c r="AW220" s="68">
        <f>G220*AO220</f>
        <v>0</v>
      </c>
      <c r="AX220" s="68">
        <f>G220*AP220</f>
        <v>0</v>
      </c>
      <c r="AY220" s="71" t="s">
        <v>630</v>
      </c>
      <c r="AZ220" s="71" t="s">
        <v>645</v>
      </c>
      <c r="BA220" s="60" t="s">
        <v>647</v>
      </c>
      <c r="BC220" s="68">
        <f>AW220+AX220</f>
        <v>0</v>
      </c>
      <c r="BD220" s="68">
        <f>H220/(100-BE220)*100</f>
        <v>0</v>
      </c>
      <c r="BE220" s="68">
        <v>0</v>
      </c>
      <c r="BF220" s="68">
        <f>M220</f>
        <v>0.0018</v>
      </c>
      <c r="BH220" s="50">
        <f>G220*AO220</f>
        <v>0</v>
      </c>
      <c r="BI220" s="50">
        <f>G220*AP220</f>
        <v>0</v>
      </c>
      <c r="BJ220" s="50">
        <f>G220*H220</f>
        <v>0</v>
      </c>
      <c r="BK220" s="50" t="s">
        <v>652</v>
      </c>
      <c r="BL220" s="68">
        <v>783</v>
      </c>
    </row>
    <row r="221" spans="1:64" ht="12.75">
      <c r="A221" s="86" t="s">
        <v>192</v>
      </c>
      <c r="B221" s="86"/>
      <c r="C221" s="86" t="s">
        <v>336</v>
      </c>
      <c r="D221" s="183" t="s">
        <v>548</v>
      </c>
      <c r="E221" s="184"/>
      <c r="F221" s="86" t="s">
        <v>585</v>
      </c>
      <c r="G221" s="87">
        <v>4</v>
      </c>
      <c r="H221" s="118"/>
      <c r="I221" s="87">
        <f>G221*AO221</f>
        <v>0</v>
      </c>
      <c r="J221" s="87">
        <f>G221*AP221</f>
        <v>0</v>
      </c>
      <c r="K221" s="87">
        <f>G221*H221</f>
        <v>0</v>
      </c>
      <c r="L221" s="87">
        <v>0</v>
      </c>
      <c r="M221" s="87">
        <f>G221*L221</f>
        <v>0</v>
      </c>
      <c r="N221" s="84" t="s">
        <v>606</v>
      </c>
      <c r="O221" s="77"/>
      <c r="Z221" s="68">
        <f>IF(AQ221="5",BJ221,0)</f>
        <v>0</v>
      </c>
      <c r="AB221" s="68">
        <f>IF(AQ221="1",BH221,0)</f>
        <v>0</v>
      </c>
      <c r="AC221" s="68">
        <f>IF(AQ221="1",BI221,0)</f>
        <v>0</v>
      </c>
      <c r="AD221" s="68">
        <f>IF(AQ221="7",BH221,0)</f>
        <v>0</v>
      </c>
      <c r="AE221" s="68">
        <f>IF(AQ221="7",BI221,0)</f>
        <v>0</v>
      </c>
      <c r="AF221" s="68">
        <f>IF(AQ221="2",BH221,0)</f>
        <v>0</v>
      </c>
      <c r="AG221" s="68">
        <f>IF(AQ221="2",BI221,0)</f>
        <v>0</v>
      </c>
      <c r="AH221" s="68">
        <f>IF(AQ221="0",BJ221,0)</f>
        <v>0</v>
      </c>
      <c r="AI221" s="60"/>
      <c r="AJ221" s="50">
        <f>IF(AN221=0,K221,0)</f>
        <v>0</v>
      </c>
      <c r="AK221" s="50">
        <f>IF(AN221=15,K221,0)</f>
        <v>0</v>
      </c>
      <c r="AL221" s="50">
        <f>IF(AN221=21,K221,0)</f>
        <v>0</v>
      </c>
      <c r="AN221" s="68">
        <v>15</v>
      </c>
      <c r="AO221" s="68">
        <f>H221*0.0262806236080178</f>
        <v>0</v>
      </c>
      <c r="AP221" s="68">
        <f>H221*(1-0.0262806236080178)</f>
        <v>0</v>
      </c>
      <c r="AQ221" s="69" t="s">
        <v>79</v>
      </c>
      <c r="AV221" s="68">
        <f>AW221+AX221</f>
        <v>0</v>
      </c>
      <c r="AW221" s="68">
        <f>G221*AO221</f>
        <v>0</v>
      </c>
      <c r="AX221" s="68">
        <f>G221*AP221</f>
        <v>0</v>
      </c>
      <c r="AY221" s="71" t="s">
        <v>630</v>
      </c>
      <c r="AZ221" s="71" t="s">
        <v>645</v>
      </c>
      <c r="BA221" s="60" t="s">
        <v>647</v>
      </c>
      <c r="BC221" s="68">
        <f>AW221+AX221</f>
        <v>0</v>
      </c>
      <c r="BD221" s="68">
        <f>H221/(100-BE221)*100</f>
        <v>0</v>
      </c>
      <c r="BE221" s="68">
        <v>0</v>
      </c>
      <c r="BF221" s="68">
        <f>M221</f>
        <v>0</v>
      </c>
      <c r="BH221" s="50">
        <f>G221*AO221</f>
        <v>0</v>
      </c>
      <c r="BI221" s="50">
        <f>G221*AP221</f>
        <v>0</v>
      </c>
      <c r="BJ221" s="50">
        <f>G221*H221</f>
        <v>0</v>
      </c>
      <c r="BK221" s="50" t="s">
        <v>652</v>
      </c>
      <c r="BL221" s="68">
        <v>783</v>
      </c>
    </row>
    <row r="222" spans="1:47" ht="12.75">
      <c r="A222" s="78"/>
      <c r="B222" s="79"/>
      <c r="C222" s="79" t="s">
        <v>338</v>
      </c>
      <c r="D222" s="192" t="s">
        <v>549</v>
      </c>
      <c r="E222" s="190"/>
      <c r="F222" s="78" t="s">
        <v>72</v>
      </c>
      <c r="G222" s="78" t="s">
        <v>72</v>
      </c>
      <c r="H222" s="78" t="s">
        <v>72</v>
      </c>
      <c r="I222" s="82">
        <f>SUM(I223:I226)</f>
        <v>0</v>
      </c>
      <c r="J222" s="82">
        <f>SUM(J223:J226)</f>
        <v>0</v>
      </c>
      <c r="K222" s="82">
        <f>SUM(K223:K226)</f>
        <v>0</v>
      </c>
      <c r="L222" s="83"/>
      <c r="M222" s="82">
        <f>SUM(M223:M226)</f>
        <v>0.014664199999999999</v>
      </c>
      <c r="N222" s="76"/>
      <c r="O222" s="77"/>
      <c r="AI222" s="60"/>
      <c r="AS222" s="74">
        <f>SUM(AJ223:AJ226)</f>
        <v>0</v>
      </c>
      <c r="AT222" s="74">
        <f>SUM(AK223:AK226)</f>
        <v>0</v>
      </c>
      <c r="AU222" s="74">
        <f>SUM(AL223:AL226)</f>
        <v>0</v>
      </c>
    </row>
    <row r="223" spans="1:64" ht="12.75">
      <c r="A223" s="86" t="s">
        <v>193</v>
      </c>
      <c r="B223" s="86"/>
      <c r="C223" s="86" t="s">
        <v>339</v>
      </c>
      <c r="D223" s="183" t="s">
        <v>550</v>
      </c>
      <c r="E223" s="184"/>
      <c r="F223" s="86" t="s">
        <v>585</v>
      </c>
      <c r="G223" s="87">
        <v>86.26</v>
      </c>
      <c r="H223" s="118"/>
      <c r="I223" s="87">
        <f>G223*AO223</f>
        <v>0</v>
      </c>
      <c r="J223" s="87">
        <f>G223*AP223</f>
        <v>0</v>
      </c>
      <c r="K223" s="87">
        <f>G223*H223</f>
        <v>0</v>
      </c>
      <c r="L223" s="87">
        <v>0</v>
      </c>
      <c r="M223" s="87">
        <f>G223*L223</f>
        <v>0</v>
      </c>
      <c r="N223" s="84" t="s">
        <v>606</v>
      </c>
      <c r="O223" s="77"/>
      <c r="Z223" s="68">
        <f>IF(AQ223="5",BJ223,0)</f>
        <v>0</v>
      </c>
      <c r="AB223" s="68">
        <f>IF(AQ223="1",BH223,0)</f>
        <v>0</v>
      </c>
      <c r="AC223" s="68">
        <f>IF(AQ223="1",BI223,0)</f>
        <v>0</v>
      </c>
      <c r="AD223" s="68">
        <f>IF(AQ223="7",BH223,0)</f>
        <v>0</v>
      </c>
      <c r="AE223" s="68">
        <f>IF(AQ223="7",BI223,0)</f>
        <v>0</v>
      </c>
      <c r="AF223" s="68">
        <f>IF(AQ223="2",BH223,0)</f>
        <v>0</v>
      </c>
      <c r="AG223" s="68">
        <f>IF(AQ223="2",BI223,0)</f>
        <v>0</v>
      </c>
      <c r="AH223" s="68">
        <f>IF(AQ223="0",BJ223,0)</f>
        <v>0</v>
      </c>
      <c r="AI223" s="60"/>
      <c r="AJ223" s="50">
        <f>IF(AN223=0,K223,0)</f>
        <v>0</v>
      </c>
      <c r="AK223" s="50">
        <f>IF(AN223=15,K223,0)</f>
        <v>0</v>
      </c>
      <c r="AL223" s="50">
        <f>IF(AN223=21,K223,0)</f>
        <v>0</v>
      </c>
      <c r="AN223" s="68">
        <v>15</v>
      </c>
      <c r="AO223" s="68">
        <f>H223*0.00257731804750081</f>
        <v>0</v>
      </c>
      <c r="AP223" s="68">
        <f>H223*(1-0.00257731804750081)</f>
        <v>0</v>
      </c>
      <c r="AQ223" s="69" t="s">
        <v>79</v>
      </c>
      <c r="AV223" s="68">
        <f>AW223+AX223</f>
        <v>0</v>
      </c>
      <c r="AW223" s="68">
        <f>G223*AO223</f>
        <v>0</v>
      </c>
      <c r="AX223" s="68">
        <f>G223*AP223</f>
        <v>0</v>
      </c>
      <c r="AY223" s="71" t="s">
        <v>631</v>
      </c>
      <c r="AZ223" s="71" t="s">
        <v>645</v>
      </c>
      <c r="BA223" s="60" t="s">
        <v>647</v>
      </c>
      <c r="BC223" s="68">
        <f>AW223+AX223</f>
        <v>0</v>
      </c>
      <c r="BD223" s="68">
        <f>H223/(100-BE223)*100</f>
        <v>0</v>
      </c>
      <c r="BE223" s="68">
        <v>0</v>
      </c>
      <c r="BF223" s="68">
        <f>M223</f>
        <v>0</v>
      </c>
      <c r="BH223" s="50">
        <f>G223*AO223</f>
        <v>0</v>
      </c>
      <c r="BI223" s="50">
        <f>G223*AP223</f>
        <v>0</v>
      </c>
      <c r="BJ223" s="50">
        <f>G223*H223</f>
        <v>0</v>
      </c>
      <c r="BK223" s="50" t="s">
        <v>652</v>
      </c>
      <c r="BL223" s="68">
        <v>784</v>
      </c>
    </row>
    <row r="224" spans="1:15" ht="12.75">
      <c r="A224" s="95"/>
      <c r="B224" s="96"/>
      <c r="C224" s="96"/>
      <c r="D224" s="97" t="s">
        <v>551</v>
      </c>
      <c r="E224" s="98"/>
      <c r="F224" s="96"/>
      <c r="G224" s="99">
        <v>86.26</v>
      </c>
      <c r="H224" s="96"/>
      <c r="I224" s="96"/>
      <c r="J224" s="96"/>
      <c r="K224" s="96"/>
      <c r="L224" s="96"/>
      <c r="M224" s="96"/>
      <c r="N224" s="88"/>
      <c r="O224" s="77"/>
    </row>
    <row r="225" spans="1:64" ht="12.75">
      <c r="A225" s="86" t="s">
        <v>194</v>
      </c>
      <c r="B225" s="86"/>
      <c r="C225" s="86" t="s">
        <v>340</v>
      </c>
      <c r="D225" s="183" t="s">
        <v>552</v>
      </c>
      <c r="E225" s="184"/>
      <c r="F225" s="86" t="s">
        <v>585</v>
      </c>
      <c r="G225" s="87">
        <v>86.26</v>
      </c>
      <c r="H225" s="118"/>
      <c r="I225" s="87">
        <f>G225*AO225</f>
        <v>0</v>
      </c>
      <c r="J225" s="87">
        <f>G225*AP225</f>
        <v>0</v>
      </c>
      <c r="K225" s="87">
        <f>G225*H225</f>
        <v>0</v>
      </c>
      <c r="L225" s="87">
        <v>3E-05</v>
      </c>
      <c r="M225" s="87">
        <f>G225*L225</f>
        <v>0.0025878000000000003</v>
      </c>
      <c r="N225" s="84" t="s">
        <v>606</v>
      </c>
      <c r="O225" s="77"/>
      <c r="Z225" s="68">
        <f>IF(AQ225="5",BJ225,0)</f>
        <v>0</v>
      </c>
      <c r="AB225" s="68">
        <f>IF(AQ225="1",BH225,0)</f>
        <v>0</v>
      </c>
      <c r="AC225" s="68">
        <f>IF(AQ225="1",BI225,0)</f>
        <v>0</v>
      </c>
      <c r="AD225" s="68">
        <f>IF(AQ225="7",BH225,0)</f>
        <v>0</v>
      </c>
      <c r="AE225" s="68">
        <f>IF(AQ225="7",BI225,0)</f>
        <v>0</v>
      </c>
      <c r="AF225" s="68">
        <f>IF(AQ225="2",BH225,0)</f>
        <v>0</v>
      </c>
      <c r="AG225" s="68">
        <f>IF(AQ225="2",BI225,0)</f>
        <v>0</v>
      </c>
      <c r="AH225" s="68">
        <f>IF(AQ225="0",BJ225,0)</f>
        <v>0</v>
      </c>
      <c r="AI225" s="60"/>
      <c r="AJ225" s="50">
        <f>IF(AN225=0,K225,0)</f>
        <v>0</v>
      </c>
      <c r="AK225" s="50">
        <f>IF(AN225=15,K225,0)</f>
        <v>0</v>
      </c>
      <c r="AL225" s="50">
        <f>IF(AN225=21,K225,0)</f>
        <v>0</v>
      </c>
      <c r="AN225" s="68">
        <v>15</v>
      </c>
      <c r="AO225" s="68">
        <f>H225*0.0902702702702703</f>
        <v>0</v>
      </c>
      <c r="AP225" s="68">
        <f>H225*(1-0.0902702702702703)</f>
        <v>0</v>
      </c>
      <c r="AQ225" s="69" t="s">
        <v>79</v>
      </c>
      <c r="AV225" s="68">
        <f>AW225+AX225</f>
        <v>0</v>
      </c>
      <c r="AW225" s="68">
        <f>G225*AO225</f>
        <v>0</v>
      </c>
      <c r="AX225" s="68">
        <f>G225*AP225</f>
        <v>0</v>
      </c>
      <c r="AY225" s="71" t="s">
        <v>631</v>
      </c>
      <c r="AZ225" s="71" t="s">
        <v>645</v>
      </c>
      <c r="BA225" s="60" t="s">
        <v>647</v>
      </c>
      <c r="BC225" s="68">
        <f>AW225+AX225</f>
        <v>0</v>
      </c>
      <c r="BD225" s="68">
        <f>H225/(100-BE225)*100</f>
        <v>0</v>
      </c>
      <c r="BE225" s="68">
        <v>0</v>
      </c>
      <c r="BF225" s="68">
        <f>M225</f>
        <v>0.0025878000000000003</v>
      </c>
      <c r="BH225" s="50">
        <f>G225*AO225</f>
        <v>0</v>
      </c>
      <c r="BI225" s="50">
        <f>G225*AP225</f>
        <v>0</v>
      </c>
      <c r="BJ225" s="50">
        <f>G225*H225</f>
        <v>0</v>
      </c>
      <c r="BK225" s="50" t="s">
        <v>652</v>
      </c>
      <c r="BL225" s="68">
        <v>784</v>
      </c>
    </row>
    <row r="226" spans="1:64" ht="12.75">
      <c r="A226" s="86" t="s">
        <v>195</v>
      </c>
      <c r="B226" s="86"/>
      <c r="C226" s="86" t="s">
        <v>341</v>
      </c>
      <c r="D226" s="183" t="s">
        <v>553</v>
      </c>
      <c r="E226" s="184"/>
      <c r="F226" s="86" t="s">
        <v>585</v>
      </c>
      <c r="G226" s="87">
        <v>86.26</v>
      </c>
      <c r="H226" s="118"/>
      <c r="I226" s="87">
        <f>G226*AO226</f>
        <v>0</v>
      </c>
      <c r="J226" s="87">
        <f>G226*AP226</f>
        <v>0</v>
      </c>
      <c r="K226" s="87">
        <f>G226*H226</f>
        <v>0</v>
      </c>
      <c r="L226" s="87">
        <v>0.00014</v>
      </c>
      <c r="M226" s="87">
        <f>G226*L226</f>
        <v>0.0120764</v>
      </c>
      <c r="N226" s="84" t="s">
        <v>606</v>
      </c>
      <c r="O226" s="77"/>
      <c r="Z226" s="68">
        <f>IF(AQ226="5",BJ226,0)</f>
        <v>0</v>
      </c>
      <c r="AB226" s="68">
        <f>IF(AQ226="1",BH226,0)</f>
        <v>0</v>
      </c>
      <c r="AC226" s="68">
        <f>IF(AQ226="1",BI226,0)</f>
        <v>0</v>
      </c>
      <c r="AD226" s="68">
        <f>IF(AQ226="7",BH226,0)</f>
        <v>0</v>
      </c>
      <c r="AE226" s="68">
        <f>IF(AQ226="7",BI226,0)</f>
        <v>0</v>
      </c>
      <c r="AF226" s="68">
        <f>IF(AQ226="2",BH226,0)</f>
        <v>0</v>
      </c>
      <c r="AG226" s="68">
        <f>IF(AQ226="2",BI226,0)</f>
        <v>0</v>
      </c>
      <c r="AH226" s="68">
        <f>IF(AQ226="0",BJ226,0)</f>
        <v>0</v>
      </c>
      <c r="AI226" s="60"/>
      <c r="AJ226" s="50">
        <f>IF(AN226=0,K226,0)</f>
        <v>0</v>
      </c>
      <c r="AK226" s="50">
        <f>IF(AN226=15,K226,0)</f>
        <v>0</v>
      </c>
      <c r="AL226" s="50">
        <f>IF(AN226=21,K226,0)</f>
        <v>0</v>
      </c>
      <c r="AN226" s="68">
        <v>15</v>
      </c>
      <c r="AO226" s="68">
        <f>H226*0.0737302378462882</f>
        <v>0</v>
      </c>
      <c r="AP226" s="68">
        <f>H226*(1-0.0737302378462882)</f>
        <v>0</v>
      </c>
      <c r="AQ226" s="69" t="s">
        <v>79</v>
      </c>
      <c r="AV226" s="68">
        <f>AW226+AX226</f>
        <v>0</v>
      </c>
      <c r="AW226" s="68">
        <f>G226*AO226</f>
        <v>0</v>
      </c>
      <c r="AX226" s="68">
        <f>G226*AP226</f>
        <v>0</v>
      </c>
      <c r="AY226" s="71" t="s">
        <v>631</v>
      </c>
      <c r="AZ226" s="71" t="s">
        <v>645</v>
      </c>
      <c r="BA226" s="60" t="s">
        <v>647</v>
      </c>
      <c r="BC226" s="68">
        <f>AW226+AX226</f>
        <v>0</v>
      </c>
      <c r="BD226" s="68">
        <f>H226/(100-BE226)*100</f>
        <v>0</v>
      </c>
      <c r="BE226" s="68">
        <v>0</v>
      </c>
      <c r="BF226" s="68">
        <f>M226</f>
        <v>0.0120764</v>
      </c>
      <c r="BH226" s="50">
        <f>G226*AO226</f>
        <v>0</v>
      </c>
      <c r="BI226" s="50">
        <f>G226*AP226</f>
        <v>0</v>
      </c>
      <c r="BJ226" s="50">
        <f>G226*H226</f>
        <v>0</v>
      </c>
      <c r="BK226" s="50" t="s">
        <v>652</v>
      </c>
      <c r="BL226" s="68">
        <v>784</v>
      </c>
    </row>
    <row r="227" spans="1:15" ht="12.75">
      <c r="A227" s="95"/>
      <c r="B227" s="96"/>
      <c r="C227" s="96"/>
      <c r="D227" s="97" t="s">
        <v>554</v>
      </c>
      <c r="E227" s="98"/>
      <c r="F227" s="96"/>
      <c r="G227" s="99">
        <v>0</v>
      </c>
      <c r="H227" s="96"/>
      <c r="I227" s="96"/>
      <c r="J227" s="96"/>
      <c r="K227" s="96"/>
      <c r="L227" s="96"/>
      <c r="M227" s="96"/>
      <c r="N227" s="88"/>
      <c r="O227" s="77"/>
    </row>
    <row r="228" spans="1:15" ht="12.75">
      <c r="A228" s="95"/>
      <c r="B228" s="96"/>
      <c r="C228" s="96"/>
      <c r="D228" s="97" t="s">
        <v>555</v>
      </c>
      <c r="E228" s="98"/>
      <c r="F228" s="96"/>
      <c r="G228" s="99">
        <v>20.6325</v>
      </c>
      <c r="H228" s="96"/>
      <c r="I228" s="96"/>
      <c r="J228" s="96"/>
      <c r="K228" s="96"/>
      <c r="L228" s="96"/>
      <c r="M228" s="96"/>
      <c r="N228" s="88"/>
      <c r="O228" s="77"/>
    </row>
    <row r="229" spans="1:15" ht="12.75">
      <c r="A229" s="95"/>
      <c r="B229" s="96"/>
      <c r="C229" s="96"/>
      <c r="D229" s="97" t="s">
        <v>414</v>
      </c>
      <c r="E229" s="98"/>
      <c r="F229" s="96"/>
      <c r="G229" s="99">
        <v>0</v>
      </c>
      <c r="H229" s="96"/>
      <c r="I229" s="96"/>
      <c r="J229" s="96"/>
      <c r="K229" s="96"/>
      <c r="L229" s="96"/>
      <c r="M229" s="96"/>
      <c r="N229" s="88"/>
      <c r="O229" s="77"/>
    </row>
    <row r="230" spans="1:15" ht="12.75">
      <c r="A230" s="90"/>
      <c r="B230" s="91"/>
      <c r="C230" s="91"/>
      <c r="D230" s="92" t="s">
        <v>556</v>
      </c>
      <c r="E230" s="93"/>
      <c r="F230" s="91"/>
      <c r="G230" s="94">
        <v>65.6275</v>
      </c>
      <c r="H230" s="91"/>
      <c r="I230" s="91"/>
      <c r="J230" s="91"/>
      <c r="K230" s="91"/>
      <c r="L230" s="91"/>
      <c r="M230" s="91"/>
      <c r="N230" s="89"/>
      <c r="O230" s="77"/>
    </row>
    <row r="231" spans="1:47" ht="12.75">
      <c r="A231" s="33"/>
      <c r="B231" s="40"/>
      <c r="C231" s="40" t="s">
        <v>162</v>
      </c>
      <c r="D231" s="193" t="s">
        <v>557</v>
      </c>
      <c r="E231" s="194"/>
      <c r="F231" s="48" t="s">
        <v>72</v>
      </c>
      <c r="G231" s="48" t="s">
        <v>72</v>
      </c>
      <c r="H231" s="48" t="s">
        <v>72</v>
      </c>
      <c r="I231" s="74">
        <f>SUM(I232:I232)</f>
        <v>0</v>
      </c>
      <c r="J231" s="74">
        <f>SUM(J232:J232)</f>
        <v>0</v>
      </c>
      <c r="K231" s="74">
        <f>SUM(K232:K232)</f>
        <v>0</v>
      </c>
      <c r="L231" s="60"/>
      <c r="M231" s="74">
        <f>SUM(M232:M232)</f>
        <v>0</v>
      </c>
      <c r="N231" s="64"/>
      <c r="O231" s="17"/>
      <c r="AI231" s="60"/>
      <c r="AS231" s="74">
        <f>SUM(AJ232:AJ232)</f>
        <v>0</v>
      </c>
      <c r="AT231" s="74">
        <f>SUM(AK232:AK232)</f>
        <v>0</v>
      </c>
      <c r="AU231" s="74">
        <f>SUM(AL232:AL232)</f>
        <v>0</v>
      </c>
    </row>
    <row r="232" spans="1:64" ht="12.75">
      <c r="A232" s="34" t="s">
        <v>196</v>
      </c>
      <c r="B232" s="41"/>
      <c r="C232" s="41" t="s">
        <v>342</v>
      </c>
      <c r="D232" s="187" t="s">
        <v>558</v>
      </c>
      <c r="E232" s="188"/>
      <c r="F232" s="41" t="s">
        <v>592</v>
      </c>
      <c r="G232" s="50">
        <v>2.5</v>
      </c>
      <c r="H232" s="117"/>
      <c r="I232" s="50">
        <f>G232*AO232</f>
        <v>0</v>
      </c>
      <c r="J232" s="50">
        <f>G232*AP232</f>
        <v>0</v>
      </c>
      <c r="K232" s="50">
        <f>G232*H232</f>
        <v>0</v>
      </c>
      <c r="L232" s="50">
        <v>0</v>
      </c>
      <c r="M232" s="50">
        <f>G232*L232</f>
        <v>0</v>
      </c>
      <c r="N232" s="65" t="s">
        <v>606</v>
      </c>
      <c r="O232" s="17"/>
      <c r="Z232" s="68">
        <f>IF(AQ232="5",BJ232,0)</f>
        <v>0</v>
      </c>
      <c r="AB232" s="68">
        <f>IF(AQ232="1",BH232,0)</f>
        <v>0</v>
      </c>
      <c r="AC232" s="68">
        <f>IF(AQ232="1",BI232,0)</f>
        <v>0</v>
      </c>
      <c r="AD232" s="68">
        <f>IF(AQ232="7",BH232,0)</f>
        <v>0</v>
      </c>
      <c r="AE232" s="68">
        <f>IF(AQ232="7",BI232,0)</f>
        <v>0</v>
      </c>
      <c r="AF232" s="68">
        <f>IF(AQ232="2",BH232,0)</f>
        <v>0</v>
      </c>
      <c r="AG232" s="68">
        <f>IF(AQ232="2",BI232,0)</f>
        <v>0</v>
      </c>
      <c r="AH232" s="68">
        <f>IF(AQ232="0",BJ232,0)</f>
        <v>0</v>
      </c>
      <c r="AI232" s="60"/>
      <c r="AJ232" s="50">
        <f>IF(AN232=0,K232,0)</f>
        <v>0</v>
      </c>
      <c r="AK232" s="50">
        <f>IF(AN232=15,K232,0)</f>
        <v>0</v>
      </c>
      <c r="AL232" s="50">
        <f>IF(AN232=21,K232,0)</f>
        <v>0</v>
      </c>
      <c r="AN232" s="68">
        <v>15</v>
      </c>
      <c r="AO232" s="68">
        <f>H232*0</f>
        <v>0</v>
      </c>
      <c r="AP232" s="68">
        <f>H232*(1-0)</f>
        <v>0</v>
      </c>
      <c r="AQ232" s="69" t="s">
        <v>73</v>
      </c>
      <c r="AV232" s="68">
        <f>AW232+AX232</f>
        <v>0</v>
      </c>
      <c r="AW232" s="68">
        <f>G232*AO232</f>
        <v>0</v>
      </c>
      <c r="AX232" s="68">
        <f>G232*AP232</f>
        <v>0</v>
      </c>
      <c r="AY232" s="71" t="s">
        <v>632</v>
      </c>
      <c r="AZ232" s="71" t="s">
        <v>646</v>
      </c>
      <c r="BA232" s="60" t="s">
        <v>647</v>
      </c>
      <c r="BC232" s="68">
        <f>AW232+AX232</f>
        <v>0</v>
      </c>
      <c r="BD232" s="68">
        <f>H232/(100-BE232)*100</f>
        <v>0</v>
      </c>
      <c r="BE232" s="68">
        <v>0</v>
      </c>
      <c r="BF232" s="68">
        <f>M232</f>
        <v>0</v>
      </c>
      <c r="BH232" s="50">
        <f>G232*AO232</f>
        <v>0</v>
      </c>
      <c r="BI232" s="50">
        <f>G232*AP232</f>
        <v>0</v>
      </c>
      <c r="BJ232" s="50">
        <f>G232*H232</f>
        <v>0</v>
      </c>
      <c r="BK232" s="50" t="s">
        <v>652</v>
      </c>
      <c r="BL232" s="68">
        <v>90</v>
      </c>
    </row>
    <row r="233" spans="1:47" ht="12.75">
      <c r="A233" s="78"/>
      <c r="B233" s="79"/>
      <c r="C233" s="79" t="s">
        <v>166</v>
      </c>
      <c r="D233" s="192" t="s">
        <v>559</v>
      </c>
      <c r="E233" s="190"/>
      <c r="F233" s="78" t="s">
        <v>72</v>
      </c>
      <c r="G233" s="78" t="s">
        <v>72</v>
      </c>
      <c r="H233" s="78" t="s">
        <v>72</v>
      </c>
      <c r="I233" s="82">
        <f>SUM(I234:I234)</f>
        <v>0</v>
      </c>
      <c r="J233" s="82">
        <f>SUM(J234:J234)</f>
        <v>0</v>
      </c>
      <c r="K233" s="82">
        <f>SUM(K234:K234)</f>
        <v>0</v>
      </c>
      <c r="L233" s="83"/>
      <c r="M233" s="82">
        <f>SUM(M234:M234)</f>
        <v>0.0325954</v>
      </c>
      <c r="N233" s="76"/>
      <c r="O233" s="77"/>
      <c r="AI233" s="60"/>
      <c r="AS233" s="74">
        <f>SUM(AJ234:AJ234)</f>
        <v>0</v>
      </c>
      <c r="AT233" s="74">
        <f>SUM(AK234:AK234)</f>
        <v>0</v>
      </c>
      <c r="AU233" s="74">
        <f>SUM(AL234:AL234)</f>
        <v>0</v>
      </c>
    </row>
    <row r="234" spans="1:64" ht="12.75">
      <c r="A234" s="86" t="s">
        <v>197</v>
      </c>
      <c r="B234" s="86"/>
      <c r="C234" s="86" t="s">
        <v>343</v>
      </c>
      <c r="D234" s="183" t="s">
        <v>560</v>
      </c>
      <c r="E234" s="184"/>
      <c r="F234" s="86" t="s">
        <v>585</v>
      </c>
      <c r="G234" s="87">
        <v>20.63</v>
      </c>
      <c r="H234" s="118"/>
      <c r="I234" s="87">
        <f>G234*AO234</f>
        <v>0</v>
      </c>
      <c r="J234" s="87">
        <f>G234*AP234</f>
        <v>0</v>
      </c>
      <c r="K234" s="87">
        <f>G234*H234</f>
        <v>0</v>
      </c>
      <c r="L234" s="87">
        <v>0.00158</v>
      </c>
      <c r="M234" s="87">
        <f>G234*L234</f>
        <v>0.0325954</v>
      </c>
      <c r="N234" s="84" t="s">
        <v>606</v>
      </c>
      <c r="O234" s="77"/>
      <c r="Z234" s="68">
        <f>IF(AQ234="5",BJ234,0)</f>
        <v>0</v>
      </c>
      <c r="AB234" s="68">
        <f>IF(AQ234="1",BH234,0)</f>
        <v>0</v>
      </c>
      <c r="AC234" s="68">
        <f>IF(AQ234="1",BI234,0)</f>
        <v>0</v>
      </c>
      <c r="AD234" s="68">
        <f>IF(AQ234="7",BH234,0)</f>
        <v>0</v>
      </c>
      <c r="AE234" s="68">
        <f>IF(AQ234="7",BI234,0)</f>
        <v>0</v>
      </c>
      <c r="AF234" s="68">
        <f>IF(AQ234="2",BH234,0)</f>
        <v>0</v>
      </c>
      <c r="AG234" s="68">
        <f>IF(AQ234="2",BI234,0)</f>
        <v>0</v>
      </c>
      <c r="AH234" s="68">
        <f>IF(AQ234="0",BJ234,0)</f>
        <v>0</v>
      </c>
      <c r="AI234" s="60"/>
      <c r="AJ234" s="50">
        <f>IF(AN234=0,K234,0)</f>
        <v>0</v>
      </c>
      <c r="AK234" s="50">
        <f>IF(AN234=15,K234,0)</f>
        <v>0</v>
      </c>
      <c r="AL234" s="50">
        <f>IF(AN234=21,K234,0)</f>
        <v>0</v>
      </c>
      <c r="AN234" s="68">
        <v>15</v>
      </c>
      <c r="AO234" s="68">
        <f>H234*0.348243458165796</f>
        <v>0</v>
      </c>
      <c r="AP234" s="68">
        <f>H234*(1-0.348243458165796)</f>
        <v>0</v>
      </c>
      <c r="AQ234" s="69" t="s">
        <v>73</v>
      </c>
      <c r="AV234" s="68">
        <f>AW234+AX234</f>
        <v>0</v>
      </c>
      <c r="AW234" s="68">
        <f>G234*AO234</f>
        <v>0</v>
      </c>
      <c r="AX234" s="68">
        <f>G234*AP234</f>
        <v>0</v>
      </c>
      <c r="AY234" s="71" t="s">
        <v>633</v>
      </c>
      <c r="AZ234" s="71" t="s">
        <v>646</v>
      </c>
      <c r="BA234" s="60" t="s">
        <v>647</v>
      </c>
      <c r="BC234" s="68">
        <f>AW234+AX234</f>
        <v>0</v>
      </c>
      <c r="BD234" s="68">
        <f>H234/(100-BE234)*100</f>
        <v>0</v>
      </c>
      <c r="BE234" s="68">
        <v>0</v>
      </c>
      <c r="BF234" s="68">
        <f>M234</f>
        <v>0.0325954</v>
      </c>
      <c r="BH234" s="50">
        <f>G234*AO234</f>
        <v>0</v>
      </c>
      <c r="BI234" s="50">
        <f>G234*AP234</f>
        <v>0</v>
      </c>
      <c r="BJ234" s="50">
        <f>G234*H234</f>
        <v>0</v>
      </c>
      <c r="BK234" s="50" t="s">
        <v>652</v>
      </c>
      <c r="BL234" s="68">
        <v>94</v>
      </c>
    </row>
    <row r="235" spans="1:47" ht="12.75">
      <c r="A235" s="78"/>
      <c r="B235" s="79"/>
      <c r="C235" s="79" t="s">
        <v>167</v>
      </c>
      <c r="D235" s="192" t="s">
        <v>561</v>
      </c>
      <c r="E235" s="190"/>
      <c r="F235" s="78" t="s">
        <v>72</v>
      </c>
      <c r="G235" s="78" t="s">
        <v>72</v>
      </c>
      <c r="H235" s="78" t="s">
        <v>72</v>
      </c>
      <c r="I235" s="82">
        <f>SUM(I236:I236)</f>
        <v>0</v>
      </c>
      <c r="J235" s="82">
        <f>SUM(J236:J236)</f>
        <v>0</v>
      </c>
      <c r="K235" s="82">
        <f>SUM(K236:K236)</f>
        <v>0</v>
      </c>
      <c r="L235" s="83"/>
      <c r="M235" s="82">
        <f>SUM(M236:M236)</f>
        <v>0.0008252</v>
      </c>
      <c r="N235" s="76"/>
      <c r="O235" s="77"/>
      <c r="AI235" s="60"/>
      <c r="AS235" s="74">
        <f>SUM(AJ236:AJ236)</f>
        <v>0</v>
      </c>
      <c r="AT235" s="74">
        <f>SUM(AK236:AK236)</f>
        <v>0</v>
      </c>
      <c r="AU235" s="74">
        <f>SUM(AL236:AL236)</f>
        <v>0</v>
      </c>
    </row>
    <row r="236" spans="1:64" ht="12.75">
      <c r="A236" s="86" t="s">
        <v>198</v>
      </c>
      <c r="B236" s="86"/>
      <c r="C236" s="86" t="s">
        <v>344</v>
      </c>
      <c r="D236" s="183" t="s">
        <v>562</v>
      </c>
      <c r="E236" s="184"/>
      <c r="F236" s="86" t="s">
        <v>585</v>
      </c>
      <c r="G236" s="87">
        <v>20.63</v>
      </c>
      <c r="H236" s="118"/>
      <c r="I236" s="87">
        <f>G236*AO236</f>
        <v>0</v>
      </c>
      <c r="J236" s="87">
        <f>G236*AP236</f>
        <v>0</v>
      </c>
      <c r="K236" s="87">
        <f>G236*H236</f>
        <v>0</v>
      </c>
      <c r="L236" s="87">
        <v>4E-05</v>
      </c>
      <c r="M236" s="87">
        <f>G236*L236</f>
        <v>0.0008252</v>
      </c>
      <c r="N236" s="84" t="s">
        <v>606</v>
      </c>
      <c r="O236" s="77"/>
      <c r="Z236" s="68">
        <f>IF(AQ236="5",BJ236,0)</f>
        <v>0</v>
      </c>
      <c r="AB236" s="68">
        <f>IF(AQ236="1",BH236,0)</f>
        <v>0</v>
      </c>
      <c r="AC236" s="68">
        <f>IF(AQ236="1",BI236,0)</f>
        <v>0</v>
      </c>
      <c r="AD236" s="68">
        <f>IF(AQ236="7",BH236,0)</f>
        <v>0</v>
      </c>
      <c r="AE236" s="68">
        <f>IF(AQ236="7",BI236,0)</f>
        <v>0</v>
      </c>
      <c r="AF236" s="68">
        <f>IF(AQ236="2",BH236,0)</f>
        <v>0</v>
      </c>
      <c r="AG236" s="68">
        <f>IF(AQ236="2",BI236,0)</f>
        <v>0</v>
      </c>
      <c r="AH236" s="68">
        <f>IF(AQ236="0",BJ236,0)</f>
        <v>0</v>
      </c>
      <c r="AI236" s="60"/>
      <c r="AJ236" s="50">
        <f>IF(AN236=0,K236,0)</f>
        <v>0</v>
      </c>
      <c r="AK236" s="50">
        <f>IF(AN236=15,K236,0)</f>
        <v>0</v>
      </c>
      <c r="AL236" s="50">
        <f>IF(AN236=21,K236,0)</f>
        <v>0</v>
      </c>
      <c r="AN236" s="68">
        <v>15</v>
      </c>
      <c r="AO236" s="68">
        <f>H236*0.0120784084126326</f>
        <v>0</v>
      </c>
      <c r="AP236" s="68">
        <f>H236*(1-0.0120784084126326)</f>
        <v>0</v>
      </c>
      <c r="AQ236" s="69" t="s">
        <v>73</v>
      </c>
      <c r="AV236" s="68">
        <f>AW236+AX236</f>
        <v>0</v>
      </c>
      <c r="AW236" s="68">
        <f>G236*AO236</f>
        <v>0</v>
      </c>
      <c r="AX236" s="68">
        <f>G236*AP236</f>
        <v>0</v>
      </c>
      <c r="AY236" s="71" t="s">
        <v>634</v>
      </c>
      <c r="AZ236" s="71" t="s">
        <v>646</v>
      </c>
      <c r="BA236" s="60" t="s">
        <v>647</v>
      </c>
      <c r="BC236" s="68">
        <f>AW236+AX236</f>
        <v>0</v>
      </c>
      <c r="BD236" s="68">
        <f>H236/(100-BE236)*100</f>
        <v>0</v>
      </c>
      <c r="BE236" s="68">
        <v>0</v>
      </c>
      <c r="BF236" s="68">
        <f>M236</f>
        <v>0.0008252</v>
      </c>
      <c r="BH236" s="50">
        <f>G236*AO236</f>
        <v>0</v>
      </c>
      <c r="BI236" s="50">
        <f>G236*AP236</f>
        <v>0</v>
      </c>
      <c r="BJ236" s="50">
        <f>G236*H236</f>
        <v>0</v>
      </c>
      <c r="BK236" s="50" t="s">
        <v>652</v>
      </c>
      <c r="BL236" s="68">
        <v>95</v>
      </c>
    </row>
    <row r="237" spans="1:47" ht="12.75">
      <c r="A237" s="78"/>
      <c r="B237" s="79"/>
      <c r="C237" s="79" t="s">
        <v>168</v>
      </c>
      <c r="D237" s="192" t="s">
        <v>563</v>
      </c>
      <c r="E237" s="190"/>
      <c r="F237" s="78" t="s">
        <v>72</v>
      </c>
      <c r="G237" s="78" t="s">
        <v>72</v>
      </c>
      <c r="H237" s="78" t="s">
        <v>72</v>
      </c>
      <c r="I237" s="82">
        <f>SUM(I238:I241)</f>
        <v>0</v>
      </c>
      <c r="J237" s="82">
        <f>SUM(J238:J241)</f>
        <v>0</v>
      </c>
      <c r="K237" s="82">
        <f>SUM(K238:K241)</f>
        <v>0</v>
      </c>
      <c r="L237" s="83"/>
      <c r="M237" s="82">
        <f>SUM(M238:M241)</f>
        <v>2.8471102999999998</v>
      </c>
      <c r="N237" s="76"/>
      <c r="O237" s="77"/>
      <c r="AI237" s="60"/>
      <c r="AS237" s="74">
        <f>SUM(AJ238:AJ241)</f>
        <v>0</v>
      </c>
      <c r="AT237" s="74">
        <f>SUM(AK238:AK241)</f>
        <v>0</v>
      </c>
      <c r="AU237" s="74">
        <f>SUM(AL238:AL241)</f>
        <v>0</v>
      </c>
    </row>
    <row r="238" spans="1:64" ht="12.75">
      <c r="A238" s="86" t="s">
        <v>199</v>
      </c>
      <c r="B238" s="86"/>
      <c r="C238" s="86" t="s">
        <v>345</v>
      </c>
      <c r="D238" s="183" t="s">
        <v>564</v>
      </c>
      <c r="E238" s="184"/>
      <c r="F238" s="86" t="s">
        <v>587</v>
      </c>
      <c r="G238" s="87">
        <v>3</v>
      </c>
      <c r="H238" s="118"/>
      <c r="I238" s="87">
        <f>G238*AO238</f>
        <v>0</v>
      </c>
      <c r="J238" s="87">
        <f>G238*AP238</f>
        <v>0</v>
      </c>
      <c r="K238" s="87">
        <f>G238*H238</f>
        <v>0</v>
      </c>
      <c r="L238" s="87">
        <v>0</v>
      </c>
      <c r="M238" s="87">
        <f>G238*L238</f>
        <v>0</v>
      </c>
      <c r="N238" s="84" t="s">
        <v>606</v>
      </c>
      <c r="O238" s="77"/>
      <c r="Z238" s="68">
        <f>IF(AQ238="5",BJ238,0)</f>
        <v>0</v>
      </c>
      <c r="AB238" s="68">
        <f>IF(AQ238="1",BH238,0)</f>
        <v>0</v>
      </c>
      <c r="AC238" s="68">
        <f>IF(AQ238="1",BI238,0)</f>
        <v>0</v>
      </c>
      <c r="AD238" s="68">
        <f>IF(AQ238="7",BH238,0)</f>
        <v>0</v>
      </c>
      <c r="AE238" s="68">
        <f>IF(AQ238="7",BI238,0)</f>
        <v>0</v>
      </c>
      <c r="AF238" s="68">
        <f>IF(AQ238="2",BH238,0)</f>
        <v>0</v>
      </c>
      <c r="AG238" s="68">
        <f>IF(AQ238="2",BI238,0)</f>
        <v>0</v>
      </c>
      <c r="AH238" s="68">
        <f>IF(AQ238="0",BJ238,0)</f>
        <v>0</v>
      </c>
      <c r="AI238" s="60"/>
      <c r="AJ238" s="50">
        <f>IF(AN238=0,K238,0)</f>
        <v>0</v>
      </c>
      <c r="AK238" s="50">
        <f>IF(AN238=15,K238,0)</f>
        <v>0</v>
      </c>
      <c r="AL238" s="50">
        <f>IF(AN238=21,K238,0)</f>
        <v>0</v>
      </c>
      <c r="AN238" s="68">
        <v>15</v>
      </c>
      <c r="AO238" s="68">
        <f>H238*0</f>
        <v>0</v>
      </c>
      <c r="AP238" s="68">
        <f>H238*(1-0)</f>
        <v>0</v>
      </c>
      <c r="AQ238" s="69" t="s">
        <v>73</v>
      </c>
      <c r="AV238" s="68">
        <f>AW238+AX238</f>
        <v>0</v>
      </c>
      <c r="AW238" s="68">
        <f>G238*AO238</f>
        <v>0</v>
      </c>
      <c r="AX238" s="68">
        <f>G238*AP238</f>
        <v>0</v>
      </c>
      <c r="AY238" s="71" t="s">
        <v>635</v>
      </c>
      <c r="AZ238" s="71" t="s">
        <v>646</v>
      </c>
      <c r="BA238" s="60" t="s">
        <v>647</v>
      </c>
      <c r="BC238" s="68">
        <f>AW238+AX238</f>
        <v>0</v>
      </c>
      <c r="BD238" s="68">
        <f>H238/(100-BE238)*100</f>
        <v>0</v>
      </c>
      <c r="BE238" s="68">
        <v>0</v>
      </c>
      <c r="BF238" s="68">
        <f>M238</f>
        <v>0</v>
      </c>
      <c r="BH238" s="50">
        <f>G238*AO238</f>
        <v>0</v>
      </c>
      <c r="BI238" s="50">
        <f>G238*AP238</f>
        <v>0</v>
      </c>
      <c r="BJ238" s="50">
        <f>G238*H238</f>
        <v>0</v>
      </c>
      <c r="BK238" s="50" t="s">
        <v>652</v>
      </c>
      <c r="BL238" s="68">
        <v>96</v>
      </c>
    </row>
    <row r="239" spans="1:64" ht="12.75">
      <c r="A239" s="86" t="s">
        <v>200</v>
      </c>
      <c r="B239" s="86"/>
      <c r="C239" s="86" t="s">
        <v>346</v>
      </c>
      <c r="D239" s="183" t="s">
        <v>565</v>
      </c>
      <c r="E239" s="184"/>
      <c r="F239" s="86" t="s">
        <v>585</v>
      </c>
      <c r="G239" s="87">
        <v>3.57</v>
      </c>
      <c r="H239" s="118"/>
      <c r="I239" s="87">
        <f>G239*AO239</f>
        <v>0</v>
      </c>
      <c r="J239" s="87">
        <f>G239*AP239</f>
        <v>0</v>
      </c>
      <c r="K239" s="87">
        <f>G239*H239</f>
        <v>0</v>
      </c>
      <c r="L239" s="87">
        <v>0.09</v>
      </c>
      <c r="M239" s="87">
        <f>G239*L239</f>
        <v>0.3213</v>
      </c>
      <c r="N239" s="84" t="s">
        <v>606</v>
      </c>
      <c r="O239" s="77"/>
      <c r="Z239" s="68">
        <f>IF(AQ239="5",BJ239,0)</f>
        <v>0</v>
      </c>
      <c r="AB239" s="68">
        <f>IF(AQ239="1",BH239,0)</f>
        <v>0</v>
      </c>
      <c r="AC239" s="68">
        <f>IF(AQ239="1",BI239,0)</f>
        <v>0</v>
      </c>
      <c r="AD239" s="68">
        <f>IF(AQ239="7",BH239,0)</f>
        <v>0</v>
      </c>
      <c r="AE239" s="68">
        <f>IF(AQ239="7",BI239,0)</f>
        <v>0</v>
      </c>
      <c r="AF239" s="68">
        <f>IF(AQ239="2",BH239,0)</f>
        <v>0</v>
      </c>
      <c r="AG239" s="68">
        <f>IF(AQ239="2",BI239,0)</f>
        <v>0</v>
      </c>
      <c r="AH239" s="68">
        <f>IF(AQ239="0",BJ239,0)</f>
        <v>0</v>
      </c>
      <c r="AI239" s="60"/>
      <c r="AJ239" s="50">
        <f>IF(AN239=0,K239,0)</f>
        <v>0</v>
      </c>
      <c r="AK239" s="50">
        <f>IF(AN239=15,K239,0)</f>
        <v>0</v>
      </c>
      <c r="AL239" s="50">
        <f>IF(AN239=21,K239,0)</f>
        <v>0</v>
      </c>
      <c r="AN239" s="68">
        <v>15</v>
      </c>
      <c r="AO239" s="68">
        <f>H239*0</f>
        <v>0</v>
      </c>
      <c r="AP239" s="68">
        <f>H239*(1-0)</f>
        <v>0</v>
      </c>
      <c r="AQ239" s="69" t="s">
        <v>73</v>
      </c>
      <c r="AV239" s="68">
        <f>AW239+AX239</f>
        <v>0</v>
      </c>
      <c r="AW239" s="68">
        <f>G239*AO239</f>
        <v>0</v>
      </c>
      <c r="AX239" s="68">
        <f>G239*AP239</f>
        <v>0</v>
      </c>
      <c r="AY239" s="71" t="s">
        <v>635</v>
      </c>
      <c r="AZ239" s="71" t="s">
        <v>646</v>
      </c>
      <c r="BA239" s="60" t="s">
        <v>647</v>
      </c>
      <c r="BC239" s="68">
        <f>AW239+AX239</f>
        <v>0</v>
      </c>
      <c r="BD239" s="68">
        <f>H239/(100-BE239)*100</f>
        <v>0</v>
      </c>
      <c r="BE239" s="68">
        <v>0</v>
      </c>
      <c r="BF239" s="68">
        <f>M239</f>
        <v>0.3213</v>
      </c>
      <c r="BH239" s="50">
        <f>G239*AO239</f>
        <v>0</v>
      </c>
      <c r="BI239" s="50">
        <f>G239*AP239</f>
        <v>0</v>
      </c>
      <c r="BJ239" s="50">
        <f>G239*H239</f>
        <v>0</v>
      </c>
      <c r="BK239" s="50" t="s">
        <v>652</v>
      </c>
      <c r="BL239" s="68">
        <v>96</v>
      </c>
    </row>
    <row r="240" spans="1:15" ht="12.75">
      <c r="A240" s="95"/>
      <c r="B240" s="96"/>
      <c r="C240" s="96"/>
      <c r="D240" s="97" t="s">
        <v>403</v>
      </c>
      <c r="E240" s="98"/>
      <c r="F240" s="96"/>
      <c r="G240" s="99">
        <v>3.57</v>
      </c>
      <c r="H240" s="96"/>
      <c r="I240" s="96"/>
      <c r="J240" s="96"/>
      <c r="K240" s="96"/>
      <c r="L240" s="96"/>
      <c r="M240" s="96"/>
      <c r="N240" s="88"/>
      <c r="O240" s="77"/>
    </row>
    <row r="241" spans="1:64" ht="12.75">
      <c r="A241" s="86" t="s">
        <v>201</v>
      </c>
      <c r="B241" s="86"/>
      <c r="C241" s="86" t="s">
        <v>347</v>
      </c>
      <c r="D241" s="183" t="s">
        <v>566</v>
      </c>
      <c r="E241" s="184"/>
      <c r="F241" s="86" t="s">
        <v>585</v>
      </c>
      <c r="G241" s="87">
        <v>25.09</v>
      </c>
      <c r="H241" s="118"/>
      <c r="I241" s="87">
        <f>G241*AO241</f>
        <v>0</v>
      </c>
      <c r="J241" s="87">
        <f>G241*AP241</f>
        <v>0</v>
      </c>
      <c r="K241" s="87">
        <f>G241*H241</f>
        <v>0</v>
      </c>
      <c r="L241" s="87">
        <v>0.10067</v>
      </c>
      <c r="M241" s="87">
        <f>G241*L241</f>
        <v>2.5258103</v>
      </c>
      <c r="N241" s="84" t="s">
        <v>606</v>
      </c>
      <c r="O241" s="77"/>
      <c r="Z241" s="68">
        <f>IF(AQ241="5",BJ241,0)</f>
        <v>0</v>
      </c>
      <c r="AB241" s="68">
        <f>IF(AQ241="1",BH241,0)</f>
        <v>0</v>
      </c>
      <c r="AC241" s="68">
        <f>IF(AQ241="1",BI241,0)</f>
        <v>0</v>
      </c>
      <c r="AD241" s="68">
        <f>IF(AQ241="7",BH241,0)</f>
        <v>0</v>
      </c>
      <c r="AE241" s="68">
        <f>IF(AQ241="7",BI241,0)</f>
        <v>0</v>
      </c>
      <c r="AF241" s="68">
        <f>IF(AQ241="2",BH241,0)</f>
        <v>0</v>
      </c>
      <c r="AG241" s="68">
        <f>IF(AQ241="2",BI241,0)</f>
        <v>0</v>
      </c>
      <c r="AH241" s="68">
        <f>IF(AQ241="0",BJ241,0)</f>
        <v>0</v>
      </c>
      <c r="AI241" s="60"/>
      <c r="AJ241" s="50">
        <f>IF(AN241=0,K241,0)</f>
        <v>0</v>
      </c>
      <c r="AK241" s="50">
        <f>IF(AN241=15,K241,0)</f>
        <v>0</v>
      </c>
      <c r="AL241" s="50">
        <f>IF(AN241=21,K241,0)</f>
        <v>0</v>
      </c>
      <c r="AN241" s="68">
        <v>15</v>
      </c>
      <c r="AO241" s="68">
        <f>H241*0.151746418357713</f>
        <v>0</v>
      </c>
      <c r="AP241" s="68">
        <f>H241*(1-0.151746418357713)</f>
        <v>0</v>
      </c>
      <c r="AQ241" s="69" t="s">
        <v>73</v>
      </c>
      <c r="AV241" s="68">
        <f>AW241+AX241</f>
        <v>0</v>
      </c>
      <c r="AW241" s="68">
        <f>G241*AO241</f>
        <v>0</v>
      </c>
      <c r="AX241" s="68">
        <f>G241*AP241</f>
        <v>0</v>
      </c>
      <c r="AY241" s="71" t="s">
        <v>635</v>
      </c>
      <c r="AZ241" s="71" t="s">
        <v>646</v>
      </c>
      <c r="BA241" s="60" t="s">
        <v>647</v>
      </c>
      <c r="BC241" s="68">
        <f>AW241+AX241</f>
        <v>0</v>
      </c>
      <c r="BD241" s="68">
        <f>H241/(100-BE241)*100</f>
        <v>0</v>
      </c>
      <c r="BE241" s="68">
        <v>0</v>
      </c>
      <c r="BF241" s="68">
        <f>M241</f>
        <v>2.5258103</v>
      </c>
      <c r="BH241" s="50">
        <f>G241*AO241</f>
        <v>0</v>
      </c>
      <c r="BI241" s="50">
        <f>G241*AP241</f>
        <v>0</v>
      </c>
      <c r="BJ241" s="50">
        <f>G241*H241</f>
        <v>0</v>
      </c>
      <c r="BK241" s="50" t="s">
        <v>652</v>
      </c>
      <c r="BL241" s="68">
        <v>96</v>
      </c>
    </row>
    <row r="242" spans="1:47" ht="12.75">
      <c r="A242" s="78"/>
      <c r="B242" s="79"/>
      <c r="C242" s="79" t="s">
        <v>348</v>
      </c>
      <c r="D242" s="192" t="s">
        <v>567</v>
      </c>
      <c r="E242" s="190"/>
      <c r="F242" s="78" t="s">
        <v>72</v>
      </c>
      <c r="G242" s="78" t="s">
        <v>72</v>
      </c>
      <c r="H242" s="78" t="s">
        <v>72</v>
      </c>
      <c r="I242" s="82">
        <f>SUM(I243:I243)</f>
        <v>0</v>
      </c>
      <c r="J242" s="82">
        <f>SUM(J243:J243)</f>
        <v>0</v>
      </c>
      <c r="K242" s="82">
        <f>SUM(K243:K243)</f>
        <v>0</v>
      </c>
      <c r="L242" s="83"/>
      <c r="M242" s="82">
        <f>SUM(M243:M243)</f>
        <v>0</v>
      </c>
      <c r="N242" s="76"/>
      <c r="O242" s="77"/>
      <c r="AI242" s="60"/>
      <c r="AS242" s="74">
        <f>SUM(AJ243:AJ243)</f>
        <v>0</v>
      </c>
      <c r="AT242" s="74">
        <f>SUM(AK243:AK243)</f>
        <v>0</v>
      </c>
      <c r="AU242" s="74">
        <f>SUM(AL243:AL243)</f>
        <v>0</v>
      </c>
    </row>
    <row r="243" spans="1:64" ht="12.75">
      <c r="A243" s="86" t="s">
        <v>202</v>
      </c>
      <c r="B243" s="86"/>
      <c r="C243" s="86" t="s">
        <v>349</v>
      </c>
      <c r="D243" s="183" t="s">
        <v>568</v>
      </c>
      <c r="E243" s="184"/>
      <c r="F243" s="86" t="s">
        <v>588</v>
      </c>
      <c r="G243" s="87">
        <v>3.97458</v>
      </c>
      <c r="H243" s="118"/>
      <c r="I243" s="87">
        <f>G243*AO243</f>
        <v>0</v>
      </c>
      <c r="J243" s="87">
        <f>G243*AP243</f>
        <v>0</v>
      </c>
      <c r="K243" s="87">
        <f>G243*H243</f>
        <v>0</v>
      </c>
      <c r="L243" s="87">
        <v>0</v>
      </c>
      <c r="M243" s="87">
        <f>G243*L243</f>
        <v>0</v>
      </c>
      <c r="N243" s="84" t="s">
        <v>606</v>
      </c>
      <c r="O243" s="77"/>
      <c r="Z243" s="68">
        <f>IF(AQ243="5",BJ243,0)</f>
        <v>0</v>
      </c>
      <c r="AB243" s="68">
        <f>IF(AQ243="1",BH243,0)</f>
        <v>0</v>
      </c>
      <c r="AC243" s="68">
        <f>IF(AQ243="1",BI243,0)</f>
        <v>0</v>
      </c>
      <c r="AD243" s="68">
        <f>IF(AQ243="7",BH243,0)</f>
        <v>0</v>
      </c>
      <c r="AE243" s="68">
        <f>IF(AQ243="7",BI243,0)</f>
        <v>0</v>
      </c>
      <c r="AF243" s="68">
        <f>IF(AQ243="2",BH243,0)</f>
        <v>0</v>
      </c>
      <c r="AG243" s="68">
        <f>IF(AQ243="2",BI243,0)</f>
        <v>0</v>
      </c>
      <c r="AH243" s="68">
        <f>IF(AQ243="0",BJ243,0)</f>
        <v>0</v>
      </c>
      <c r="AI243" s="60"/>
      <c r="AJ243" s="50">
        <f>IF(AN243=0,K243,0)</f>
        <v>0</v>
      </c>
      <c r="AK243" s="50">
        <f>IF(AN243=15,K243,0)</f>
        <v>0</v>
      </c>
      <c r="AL243" s="50">
        <f>IF(AN243=21,K243,0)</f>
        <v>0</v>
      </c>
      <c r="AN243" s="68">
        <v>15</v>
      </c>
      <c r="AO243" s="68">
        <f>H243*0</f>
        <v>0</v>
      </c>
      <c r="AP243" s="68">
        <f>H243*(1-0)</f>
        <v>0</v>
      </c>
      <c r="AQ243" s="69" t="s">
        <v>77</v>
      </c>
      <c r="AV243" s="68">
        <f>AW243+AX243</f>
        <v>0</v>
      </c>
      <c r="AW243" s="68">
        <f>G243*AO243</f>
        <v>0</v>
      </c>
      <c r="AX243" s="68">
        <f>G243*AP243</f>
        <v>0</v>
      </c>
      <c r="AY243" s="71" t="s">
        <v>636</v>
      </c>
      <c r="AZ243" s="71" t="s">
        <v>646</v>
      </c>
      <c r="BA243" s="60" t="s">
        <v>647</v>
      </c>
      <c r="BC243" s="68">
        <f>AW243+AX243</f>
        <v>0</v>
      </c>
      <c r="BD243" s="68">
        <f>H243/(100-BE243)*100</f>
        <v>0</v>
      </c>
      <c r="BE243" s="68">
        <v>0</v>
      </c>
      <c r="BF243" s="68">
        <f>M243</f>
        <v>0</v>
      </c>
      <c r="BH243" s="50">
        <f>G243*AO243</f>
        <v>0</v>
      </c>
      <c r="BI243" s="50">
        <f>G243*AP243</f>
        <v>0</v>
      </c>
      <c r="BJ243" s="50">
        <f>G243*H243</f>
        <v>0</v>
      </c>
      <c r="BK243" s="50" t="s">
        <v>652</v>
      </c>
      <c r="BL243" s="68" t="s">
        <v>348</v>
      </c>
    </row>
    <row r="244" spans="1:47" ht="12.75">
      <c r="A244" s="109"/>
      <c r="B244" s="110"/>
      <c r="C244" s="110" t="s">
        <v>350</v>
      </c>
      <c r="D244" s="189" t="s">
        <v>569</v>
      </c>
      <c r="E244" s="190"/>
      <c r="F244" s="109" t="s">
        <v>72</v>
      </c>
      <c r="G244" s="109" t="s">
        <v>72</v>
      </c>
      <c r="H244" s="109" t="s">
        <v>72</v>
      </c>
      <c r="I244" s="111">
        <f>SUM(I245:I247)</f>
        <v>0</v>
      </c>
      <c r="J244" s="111">
        <f>SUM(J245:J247)</f>
        <v>0</v>
      </c>
      <c r="K244" s="111">
        <f>SUM(K245:K247)</f>
        <v>0</v>
      </c>
      <c r="L244" s="112"/>
      <c r="M244" s="111">
        <f>SUM(M245:M247)</f>
        <v>0</v>
      </c>
      <c r="N244" s="108"/>
      <c r="O244" s="77"/>
      <c r="AI244" s="60"/>
      <c r="AS244" s="74">
        <f>SUM(AJ245:AJ247)</f>
        <v>0</v>
      </c>
      <c r="AT244" s="74">
        <f>SUM(AK245:AK247)</f>
        <v>0</v>
      </c>
      <c r="AU244" s="74">
        <f>SUM(AL245:AL247)</f>
        <v>0</v>
      </c>
    </row>
    <row r="245" spans="1:64" ht="12.75">
      <c r="A245" s="86" t="s">
        <v>203</v>
      </c>
      <c r="B245" s="86"/>
      <c r="C245" s="86" t="s">
        <v>228</v>
      </c>
      <c r="D245" s="183" t="s">
        <v>570</v>
      </c>
      <c r="E245" s="184"/>
      <c r="F245" s="86" t="s">
        <v>588</v>
      </c>
      <c r="G245" s="87">
        <v>1</v>
      </c>
      <c r="H245" s="118"/>
      <c r="I245" s="87">
        <f>G245*AO245</f>
        <v>0</v>
      </c>
      <c r="J245" s="87">
        <f>G245*AP245</f>
        <v>0</v>
      </c>
      <c r="K245" s="87">
        <f>G245*H245</f>
        <v>0</v>
      </c>
      <c r="L245" s="87">
        <v>0</v>
      </c>
      <c r="M245" s="87">
        <f>G245*L245</f>
        <v>0</v>
      </c>
      <c r="N245" s="84" t="s">
        <v>228</v>
      </c>
      <c r="O245" s="77"/>
      <c r="Z245" s="68">
        <f>IF(AQ245="5",BJ245,0)</f>
        <v>0</v>
      </c>
      <c r="AB245" s="68">
        <f>IF(AQ245="1",BH245,0)</f>
        <v>0</v>
      </c>
      <c r="AC245" s="68">
        <f>IF(AQ245="1",BI245,0)</f>
        <v>0</v>
      </c>
      <c r="AD245" s="68">
        <f>IF(AQ245="7",BH245,0)</f>
        <v>0</v>
      </c>
      <c r="AE245" s="68">
        <f>IF(AQ245="7",BI245,0)</f>
        <v>0</v>
      </c>
      <c r="AF245" s="68">
        <f>IF(AQ245="2",BH245,0)</f>
        <v>0</v>
      </c>
      <c r="AG245" s="68">
        <f>IF(AQ245="2",BI245,0)</f>
        <v>0</v>
      </c>
      <c r="AH245" s="68">
        <f>IF(AQ245="0",BJ245,0)</f>
        <v>0</v>
      </c>
      <c r="AI245" s="60"/>
      <c r="AJ245" s="50">
        <f>IF(AN245=0,K245,0)</f>
        <v>0</v>
      </c>
      <c r="AK245" s="50">
        <f>IF(AN245=15,K245,0)</f>
        <v>0</v>
      </c>
      <c r="AL245" s="50">
        <f>IF(AN245=21,K245,0)</f>
        <v>0</v>
      </c>
      <c r="AN245" s="68">
        <v>15</v>
      </c>
      <c r="AO245" s="68">
        <f>H245*0</f>
        <v>0</v>
      </c>
      <c r="AP245" s="68">
        <f>H245*(1-0)</f>
        <v>0</v>
      </c>
      <c r="AQ245" s="69" t="s">
        <v>77</v>
      </c>
      <c r="AV245" s="68">
        <f>AW245+AX245</f>
        <v>0</v>
      </c>
      <c r="AW245" s="68">
        <f>G245*AO245</f>
        <v>0</v>
      </c>
      <c r="AX245" s="68">
        <f>G245*AP245</f>
        <v>0</v>
      </c>
      <c r="AY245" s="71" t="s">
        <v>637</v>
      </c>
      <c r="AZ245" s="71" t="s">
        <v>646</v>
      </c>
      <c r="BA245" s="60" t="s">
        <v>647</v>
      </c>
      <c r="BC245" s="68">
        <f>AW245+AX245</f>
        <v>0</v>
      </c>
      <c r="BD245" s="68">
        <f>H245/(100-BE245)*100</f>
        <v>0</v>
      </c>
      <c r="BE245" s="68">
        <v>0</v>
      </c>
      <c r="BF245" s="68">
        <f>M245</f>
        <v>0</v>
      </c>
      <c r="BH245" s="50">
        <f>G245*AO245</f>
        <v>0</v>
      </c>
      <c r="BI245" s="50">
        <f>G245*AP245</f>
        <v>0</v>
      </c>
      <c r="BJ245" s="50">
        <f>G245*H245</f>
        <v>0</v>
      </c>
      <c r="BK245" s="50" t="s">
        <v>652</v>
      </c>
      <c r="BL245" s="68" t="s">
        <v>350</v>
      </c>
    </row>
    <row r="246" spans="1:64" ht="12.75">
      <c r="A246" s="114" t="s">
        <v>204</v>
      </c>
      <c r="B246" s="114"/>
      <c r="C246" s="114" t="s">
        <v>228</v>
      </c>
      <c r="D246" s="191" t="s">
        <v>571</v>
      </c>
      <c r="E246" s="184"/>
      <c r="F246" s="114" t="s">
        <v>588</v>
      </c>
      <c r="G246" s="115">
        <v>1</v>
      </c>
      <c r="H246" s="122"/>
      <c r="I246" s="115">
        <f>G246*AO246</f>
        <v>0</v>
      </c>
      <c r="J246" s="115">
        <f>G246*AP246</f>
        <v>0</v>
      </c>
      <c r="K246" s="115">
        <f>G246*H246</f>
        <v>0</v>
      </c>
      <c r="L246" s="115">
        <v>0</v>
      </c>
      <c r="M246" s="115">
        <f>G246*L246</f>
        <v>0</v>
      </c>
      <c r="N246" s="113" t="s">
        <v>228</v>
      </c>
      <c r="O246" s="77"/>
      <c r="Z246" s="68">
        <f>IF(AQ246="5",BJ246,0)</f>
        <v>0</v>
      </c>
      <c r="AB246" s="68">
        <f>IF(AQ246="1",BH246,0)</f>
        <v>0</v>
      </c>
      <c r="AC246" s="68">
        <f>IF(AQ246="1",BI246,0)</f>
        <v>0</v>
      </c>
      <c r="AD246" s="68">
        <f>IF(AQ246="7",BH246,0)</f>
        <v>0</v>
      </c>
      <c r="AE246" s="68">
        <f>IF(AQ246="7",BI246,0)</f>
        <v>0</v>
      </c>
      <c r="AF246" s="68">
        <f>IF(AQ246="2",BH246,0)</f>
        <v>0</v>
      </c>
      <c r="AG246" s="68">
        <f>IF(AQ246="2",BI246,0)</f>
        <v>0</v>
      </c>
      <c r="AH246" s="68">
        <f>IF(AQ246="0",BJ246,0)</f>
        <v>0</v>
      </c>
      <c r="AI246" s="60"/>
      <c r="AJ246" s="50">
        <f>IF(AN246=0,K246,0)</f>
        <v>0</v>
      </c>
      <c r="AK246" s="50">
        <f>IF(AN246=15,K246,0)</f>
        <v>0</v>
      </c>
      <c r="AL246" s="50">
        <f>IF(AN246=21,K246,0)</f>
        <v>0</v>
      </c>
      <c r="AN246" s="68">
        <v>15</v>
      </c>
      <c r="AO246" s="68">
        <f>H246*0</f>
        <v>0</v>
      </c>
      <c r="AP246" s="68">
        <f>H246*(1-0)</f>
        <v>0</v>
      </c>
      <c r="AQ246" s="69" t="s">
        <v>77</v>
      </c>
      <c r="AV246" s="68">
        <f>AW246+AX246</f>
        <v>0</v>
      </c>
      <c r="AW246" s="68">
        <f>G246*AO246</f>
        <v>0</v>
      </c>
      <c r="AX246" s="68">
        <f>G246*AP246</f>
        <v>0</v>
      </c>
      <c r="AY246" s="71" t="s">
        <v>637</v>
      </c>
      <c r="AZ246" s="71" t="s">
        <v>646</v>
      </c>
      <c r="BA246" s="60" t="s">
        <v>647</v>
      </c>
      <c r="BC246" s="68">
        <f>AW246+AX246</f>
        <v>0</v>
      </c>
      <c r="BD246" s="68">
        <f>H246/(100-BE246)*100</f>
        <v>0</v>
      </c>
      <c r="BE246" s="68">
        <v>0</v>
      </c>
      <c r="BF246" s="68">
        <f>M246</f>
        <v>0</v>
      </c>
      <c r="BH246" s="50">
        <f>G246*AO246</f>
        <v>0</v>
      </c>
      <c r="BI246" s="50">
        <f>G246*AP246</f>
        <v>0</v>
      </c>
      <c r="BJ246" s="50">
        <f>G246*H246</f>
        <v>0</v>
      </c>
      <c r="BK246" s="50" t="s">
        <v>652</v>
      </c>
      <c r="BL246" s="68" t="s">
        <v>350</v>
      </c>
    </row>
    <row r="247" spans="1:64" ht="12.75">
      <c r="A247" s="86" t="s">
        <v>205</v>
      </c>
      <c r="B247" s="86"/>
      <c r="C247" s="86" t="s">
        <v>228</v>
      </c>
      <c r="D247" s="183" t="s">
        <v>572</v>
      </c>
      <c r="E247" s="184"/>
      <c r="F247" s="86" t="s">
        <v>588</v>
      </c>
      <c r="G247" s="87">
        <v>1</v>
      </c>
      <c r="H247" s="118"/>
      <c r="I247" s="87">
        <f>G247*AO247</f>
        <v>0</v>
      </c>
      <c r="J247" s="87">
        <f>G247*AP247</f>
        <v>0</v>
      </c>
      <c r="K247" s="87">
        <f>G247*H247</f>
        <v>0</v>
      </c>
      <c r="L247" s="87">
        <v>0</v>
      </c>
      <c r="M247" s="87">
        <f>G247*L247</f>
        <v>0</v>
      </c>
      <c r="N247" s="84" t="s">
        <v>228</v>
      </c>
      <c r="O247" s="77"/>
      <c r="Z247" s="68">
        <f>IF(AQ247="5",BJ247,0)</f>
        <v>0</v>
      </c>
      <c r="AB247" s="68">
        <f>IF(AQ247="1",BH247,0)</f>
        <v>0</v>
      </c>
      <c r="AC247" s="68">
        <f>IF(AQ247="1",BI247,0)</f>
        <v>0</v>
      </c>
      <c r="AD247" s="68">
        <f>IF(AQ247="7",BH247,0)</f>
        <v>0</v>
      </c>
      <c r="AE247" s="68">
        <f>IF(AQ247="7",BI247,0)</f>
        <v>0</v>
      </c>
      <c r="AF247" s="68">
        <f>IF(AQ247="2",BH247,0)</f>
        <v>0</v>
      </c>
      <c r="AG247" s="68">
        <f>IF(AQ247="2",BI247,0)</f>
        <v>0</v>
      </c>
      <c r="AH247" s="68">
        <f>IF(AQ247="0",BJ247,0)</f>
        <v>0</v>
      </c>
      <c r="AI247" s="60"/>
      <c r="AJ247" s="50">
        <f>IF(AN247=0,K247,0)</f>
        <v>0</v>
      </c>
      <c r="AK247" s="50">
        <f>IF(AN247=15,K247,0)</f>
        <v>0</v>
      </c>
      <c r="AL247" s="50">
        <f>IF(AN247=21,K247,0)</f>
        <v>0</v>
      </c>
      <c r="AN247" s="68">
        <v>15</v>
      </c>
      <c r="AO247" s="68">
        <f>H247*0</f>
        <v>0</v>
      </c>
      <c r="AP247" s="68">
        <f>H247*(1-0)</f>
        <v>0</v>
      </c>
      <c r="AQ247" s="69" t="s">
        <v>77</v>
      </c>
      <c r="AV247" s="68">
        <f>AW247+AX247</f>
        <v>0</v>
      </c>
      <c r="AW247" s="68">
        <f>G247*AO247</f>
        <v>0</v>
      </c>
      <c r="AX247" s="68">
        <f>G247*AP247</f>
        <v>0</v>
      </c>
      <c r="AY247" s="71" t="s">
        <v>637</v>
      </c>
      <c r="AZ247" s="71" t="s">
        <v>646</v>
      </c>
      <c r="BA247" s="60" t="s">
        <v>647</v>
      </c>
      <c r="BC247" s="68">
        <f>AW247+AX247</f>
        <v>0</v>
      </c>
      <c r="BD247" s="68">
        <f>H247/(100-BE247)*100</f>
        <v>0</v>
      </c>
      <c r="BE247" s="68">
        <v>0</v>
      </c>
      <c r="BF247" s="68">
        <f>M247</f>
        <v>0</v>
      </c>
      <c r="BH247" s="50">
        <f>G247*AO247</f>
        <v>0</v>
      </c>
      <c r="BI247" s="50">
        <f>G247*AP247</f>
        <v>0</v>
      </c>
      <c r="BJ247" s="50">
        <f>G247*H247</f>
        <v>0</v>
      </c>
      <c r="BK247" s="50" t="s">
        <v>652</v>
      </c>
      <c r="BL247" s="68" t="s">
        <v>350</v>
      </c>
    </row>
    <row r="248" spans="1:47" ht="12.75">
      <c r="A248" s="78"/>
      <c r="B248" s="79"/>
      <c r="C248" s="79" t="s">
        <v>351</v>
      </c>
      <c r="D248" s="192" t="s">
        <v>573</v>
      </c>
      <c r="E248" s="190"/>
      <c r="F248" s="78" t="s">
        <v>72</v>
      </c>
      <c r="G248" s="78" t="s">
        <v>72</v>
      </c>
      <c r="H248" s="78" t="s">
        <v>72</v>
      </c>
      <c r="I248" s="82">
        <f>SUM(I249:I256)</f>
        <v>0</v>
      </c>
      <c r="J248" s="82">
        <f>SUM(J249:J256)</f>
        <v>0</v>
      </c>
      <c r="K248" s="82">
        <f>SUM(K249:K256)</f>
        <v>0</v>
      </c>
      <c r="L248" s="83"/>
      <c r="M248" s="82">
        <f>SUM(M249:M256)</f>
        <v>0</v>
      </c>
      <c r="N248" s="76"/>
      <c r="O248" s="77"/>
      <c r="AI248" s="60"/>
      <c r="AS248" s="74">
        <f>SUM(AJ249:AJ256)</f>
        <v>0</v>
      </c>
      <c r="AT248" s="74">
        <f>SUM(AK249:AK256)</f>
        <v>0</v>
      </c>
      <c r="AU248" s="74">
        <f>SUM(AL249:AL256)</f>
        <v>0</v>
      </c>
    </row>
    <row r="249" spans="1:64" ht="12.75">
      <c r="A249" s="86" t="s">
        <v>206</v>
      </c>
      <c r="B249" s="86"/>
      <c r="C249" s="86" t="s">
        <v>352</v>
      </c>
      <c r="D249" s="183" t="s">
        <v>574</v>
      </c>
      <c r="E249" s="184"/>
      <c r="F249" s="86" t="s">
        <v>588</v>
      </c>
      <c r="G249" s="87">
        <v>3.24555</v>
      </c>
      <c r="H249" s="118"/>
      <c r="I249" s="87">
        <f>G249*AO249</f>
        <v>0</v>
      </c>
      <c r="J249" s="87">
        <f>G249*AP249</f>
        <v>0</v>
      </c>
      <c r="K249" s="87">
        <f>G249*H249</f>
        <v>0</v>
      </c>
      <c r="L249" s="87">
        <v>0</v>
      </c>
      <c r="M249" s="87">
        <f>G249*L249</f>
        <v>0</v>
      </c>
      <c r="N249" s="84" t="s">
        <v>606</v>
      </c>
      <c r="O249" s="77"/>
      <c r="Z249" s="68">
        <f>IF(AQ249="5",BJ249,0)</f>
        <v>0</v>
      </c>
      <c r="AB249" s="68">
        <f>IF(AQ249="1",BH249,0)</f>
        <v>0</v>
      </c>
      <c r="AC249" s="68">
        <f>IF(AQ249="1",BI249,0)</f>
        <v>0</v>
      </c>
      <c r="AD249" s="68">
        <f>IF(AQ249="7",BH249,0)</f>
        <v>0</v>
      </c>
      <c r="AE249" s="68">
        <f>IF(AQ249="7",BI249,0)</f>
        <v>0</v>
      </c>
      <c r="AF249" s="68">
        <f>IF(AQ249="2",BH249,0)</f>
        <v>0</v>
      </c>
      <c r="AG249" s="68">
        <f>IF(AQ249="2",BI249,0)</f>
        <v>0</v>
      </c>
      <c r="AH249" s="68">
        <f>IF(AQ249="0",BJ249,0)</f>
        <v>0</v>
      </c>
      <c r="AI249" s="60"/>
      <c r="AJ249" s="50">
        <f>IF(AN249=0,K249,0)</f>
        <v>0</v>
      </c>
      <c r="AK249" s="50">
        <f>IF(AN249=15,K249,0)</f>
        <v>0</v>
      </c>
      <c r="AL249" s="50">
        <f>IF(AN249=21,K249,0)</f>
        <v>0</v>
      </c>
      <c r="AN249" s="68">
        <v>15</v>
      </c>
      <c r="AO249" s="68">
        <f>H249*0</f>
        <v>0</v>
      </c>
      <c r="AP249" s="68">
        <f>H249*(1-0)</f>
        <v>0</v>
      </c>
      <c r="AQ249" s="69" t="s">
        <v>77</v>
      </c>
      <c r="AV249" s="68">
        <f>AW249+AX249</f>
        <v>0</v>
      </c>
      <c r="AW249" s="68">
        <f>G249*AO249</f>
        <v>0</v>
      </c>
      <c r="AX249" s="68">
        <f>G249*AP249</f>
        <v>0</v>
      </c>
      <c r="AY249" s="71" t="s">
        <v>638</v>
      </c>
      <c r="AZ249" s="71" t="s">
        <v>646</v>
      </c>
      <c r="BA249" s="60" t="s">
        <v>647</v>
      </c>
      <c r="BC249" s="68">
        <f>AW249+AX249</f>
        <v>0</v>
      </c>
      <c r="BD249" s="68">
        <f>H249/(100-BE249)*100</f>
        <v>0</v>
      </c>
      <c r="BE249" s="68">
        <v>0</v>
      </c>
      <c r="BF249" s="68">
        <f>M249</f>
        <v>0</v>
      </c>
      <c r="BH249" s="50">
        <f>G249*AO249</f>
        <v>0</v>
      </c>
      <c r="BI249" s="50">
        <f>G249*AP249</f>
        <v>0</v>
      </c>
      <c r="BJ249" s="50">
        <f>G249*H249</f>
        <v>0</v>
      </c>
      <c r="BK249" s="50" t="s">
        <v>652</v>
      </c>
      <c r="BL249" s="68" t="s">
        <v>351</v>
      </c>
    </row>
    <row r="250" spans="1:64" ht="12.75">
      <c r="A250" s="86" t="s">
        <v>207</v>
      </c>
      <c r="B250" s="86"/>
      <c r="C250" s="86" t="s">
        <v>353</v>
      </c>
      <c r="D250" s="183" t="s">
        <v>575</v>
      </c>
      <c r="E250" s="184"/>
      <c r="F250" s="86" t="s">
        <v>588</v>
      </c>
      <c r="G250" s="87">
        <v>32.5</v>
      </c>
      <c r="H250" s="118"/>
      <c r="I250" s="87">
        <f>G250*AO250</f>
        <v>0</v>
      </c>
      <c r="J250" s="87">
        <f>G250*AP250</f>
        <v>0</v>
      </c>
      <c r="K250" s="87">
        <f>G250*H250</f>
        <v>0</v>
      </c>
      <c r="L250" s="87">
        <v>0</v>
      </c>
      <c r="M250" s="87">
        <f>G250*L250</f>
        <v>0</v>
      </c>
      <c r="N250" s="84" t="s">
        <v>606</v>
      </c>
      <c r="O250" s="77"/>
      <c r="Z250" s="68">
        <f>IF(AQ250="5",BJ250,0)</f>
        <v>0</v>
      </c>
      <c r="AB250" s="68">
        <f>IF(AQ250="1",BH250,0)</f>
        <v>0</v>
      </c>
      <c r="AC250" s="68">
        <f>IF(AQ250="1",BI250,0)</f>
        <v>0</v>
      </c>
      <c r="AD250" s="68">
        <f>IF(AQ250="7",BH250,0)</f>
        <v>0</v>
      </c>
      <c r="AE250" s="68">
        <f>IF(AQ250="7",BI250,0)</f>
        <v>0</v>
      </c>
      <c r="AF250" s="68">
        <f>IF(AQ250="2",BH250,0)</f>
        <v>0</v>
      </c>
      <c r="AG250" s="68">
        <f>IF(AQ250="2",BI250,0)</f>
        <v>0</v>
      </c>
      <c r="AH250" s="68">
        <f>IF(AQ250="0",BJ250,0)</f>
        <v>0</v>
      </c>
      <c r="AI250" s="60"/>
      <c r="AJ250" s="50">
        <f>IF(AN250=0,K250,0)</f>
        <v>0</v>
      </c>
      <c r="AK250" s="50">
        <f>IF(AN250=15,K250,0)</f>
        <v>0</v>
      </c>
      <c r="AL250" s="50">
        <f>IF(AN250=21,K250,0)</f>
        <v>0</v>
      </c>
      <c r="AN250" s="68">
        <v>15</v>
      </c>
      <c r="AO250" s="68">
        <f>H250*0</f>
        <v>0</v>
      </c>
      <c r="AP250" s="68">
        <f>H250*(1-0)</f>
        <v>0</v>
      </c>
      <c r="AQ250" s="69" t="s">
        <v>77</v>
      </c>
      <c r="AV250" s="68">
        <f>AW250+AX250</f>
        <v>0</v>
      </c>
      <c r="AW250" s="68">
        <f>G250*AO250</f>
        <v>0</v>
      </c>
      <c r="AX250" s="68">
        <f>G250*AP250</f>
        <v>0</v>
      </c>
      <c r="AY250" s="71" t="s">
        <v>638</v>
      </c>
      <c r="AZ250" s="71" t="s">
        <v>646</v>
      </c>
      <c r="BA250" s="60" t="s">
        <v>647</v>
      </c>
      <c r="BC250" s="68">
        <f>AW250+AX250</f>
        <v>0</v>
      </c>
      <c r="BD250" s="68">
        <f>H250/(100-BE250)*100</f>
        <v>0</v>
      </c>
      <c r="BE250" s="68">
        <v>0</v>
      </c>
      <c r="BF250" s="68">
        <f>M250</f>
        <v>0</v>
      </c>
      <c r="BH250" s="50">
        <f>G250*AO250</f>
        <v>0</v>
      </c>
      <c r="BI250" s="50">
        <f>G250*AP250</f>
        <v>0</v>
      </c>
      <c r="BJ250" s="50">
        <f>G250*H250</f>
        <v>0</v>
      </c>
      <c r="BK250" s="50" t="s">
        <v>652</v>
      </c>
      <c r="BL250" s="68" t="s">
        <v>351</v>
      </c>
    </row>
    <row r="251" spans="1:15" ht="12.75">
      <c r="A251" s="95"/>
      <c r="B251" s="96"/>
      <c r="C251" s="96"/>
      <c r="D251" s="97" t="s">
        <v>576</v>
      </c>
      <c r="E251" s="98"/>
      <c r="F251" s="96"/>
      <c r="G251" s="99">
        <v>32.5</v>
      </c>
      <c r="H251" s="96"/>
      <c r="I251" s="96"/>
      <c r="J251" s="96"/>
      <c r="K251" s="96"/>
      <c r="L251" s="96"/>
      <c r="M251" s="96"/>
      <c r="N251" s="88"/>
      <c r="O251" s="77"/>
    </row>
    <row r="252" spans="1:64" ht="12.75">
      <c r="A252" s="86" t="s">
        <v>208</v>
      </c>
      <c r="B252" s="86"/>
      <c r="C252" s="86" t="s">
        <v>354</v>
      </c>
      <c r="D252" s="183" t="s">
        <v>577</v>
      </c>
      <c r="E252" s="184"/>
      <c r="F252" s="86" t="s">
        <v>588</v>
      </c>
      <c r="G252" s="87">
        <v>3.25</v>
      </c>
      <c r="H252" s="118"/>
      <c r="I252" s="87">
        <f>G252*AO252</f>
        <v>0</v>
      </c>
      <c r="J252" s="87">
        <f>G252*AP252</f>
        <v>0</v>
      </c>
      <c r="K252" s="87">
        <f>G252*H252</f>
        <v>0</v>
      </c>
      <c r="L252" s="87">
        <v>0</v>
      </c>
      <c r="M252" s="87">
        <f>G252*L252</f>
        <v>0</v>
      </c>
      <c r="N252" s="84" t="s">
        <v>606</v>
      </c>
      <c r="O252" s="77"/>
      <c r="Z252" s="68">
        <f>IF(AQ252="5",BJ252,0)</f>
        <v>0</v>
      </c>
      <c r="AB252" s="68">
        <f>IF(AQ252="1",BH252,0)</f>
        <v>0</v>
      </c>
      <c r="AC252" s="68">
        <f>IF(AQ252="1",BI252,0)</f>
        <v>0</v>
      </c>
      <c r="AD252" s="68">
        <f>IF(AQ252="7",BH252,0)</f>
        <v>0</v>
      </c>
      <c r="AE252" s="68">
        <f>IF(AQ252="7",BI252,0)</f>
        <v>0</v>
      </c>
      <c r="AF252" s="68">
        <f>IF(AQ252="2",BH252,0)</f>
        <v>0</v>
      </c>
      <c r="AG252" s="68">
        <f>IF(AQ252="2",BI252,0)</f>
        <v>0</v>
      </c>
      <c r="AH252" s="68">
        <f>IF(AQ252="0",BJ252,0)</f>
        <v>0</v>
      </c>
      <c r="AI252" s="60"/>
      <c r="AJ252" s="50">
        <f>IF(AN252=0,K252,0)</f>
        <v>0</v>
      </c>
      <c r="AK252" s="50">
        <f>IF(AN252=15,K252,0)</f>
        <v>0</v>
      </c>
      <c r="AL252" s="50">
        <f>IF(AN252=21,K252,0)</f>
        <v>0</v>
      </c>
      <c r="AN252" s="68">
        <v>15</v>
      </c>
      <c r="AO252" s="68">
        <f>H252*0</f>
        <v>0</v>
      </c>
      <c r="AP252" s="68">
        <f>H252*(1-0)</f>
        <v>0</v>
      </c>
      <c r="AQ252" s="69" t="s">
        <v>77</v>
      </c>
      <c r="AV252" s="68">
        <f>AW252+AX252</f>
        <v>0</v>
      </c>
      <c r="AW252" s="68">
        <f>G252*AO252</f>
        <v>0</v>
      </c>
      <c r="AX252" s="68">
        <f>G252*AP252</f>
        <v>0</v>
      </c>
      <c r="AY252" s="71" t="s">
        <v>638</v>
      </c>
      <c r="AZ252" s="71" t="s">
        <v>646</v>
      </c>
      <c r="BA252" s="60" t="s">
        <v>647</v>
      </c>
      <c r="BC252" s="68">
        <f>AW252+AX252</f>
        <v>0</v>
      </c>
      <c r="BD252" s="68">
        <f>H252/(100-BE252)*100</f>
        <v>0</v>
      </c>
      <c r="BE252" s="68">
        <v>0</v>
      </c>
      <c r="BF252" s="68">
        <f>M252</f>
        <v>0</v>
      </c>
      <c r="BH252" s="50">
        <f>G252*AO252</f>
        <v>0</v>
      </c>
      <c r="BI252" s="50">
        <f>G252*AP252</f>
        <v>0</v>
      </c>
      <c r="BJ252" s="50">
        <f>G252*H252</f>
        <v>0</v>
      </c>
      <c r="BK252" s="50" t="s">
        <v>652</v>
      </c>
      <c r="BL252" s="68" t="s">
        <v>351</v>
      </c>
    </row>
    <row r="253" spans="1:64" ht="12.75">
      <c r="A253" s="86" t="s">
        <v>209</v>
      </c>
      <c r="B253" s="86"/>
      <c r="C253" s="86" t="s">
        <v>355</v>
      </c>
      <c r="D253" s="183" t="s">
        <v>578</v>
      </c>
      <c r="E253" s="184"/>
      <c r="F253" s="86" t="s">
        <v>588</v>
      </c>
      <c r="G253" s="87">
        <v>3.25</v>
      </c>
      <c r="H253" s="118"/>
      <c r="I253" s="87">
        <f>G253*AO253</f>
        <v>0</v>
      </c>
      <c r="J253" s="87">
        <f>G253*AP253</f>
        <v>0</v>
      </c>
      <c r="K253" s="87">
        <f>G253*H253</f>
        <v>0</v>
      </c>
      <c r="L253" s="87">
        <v>0</v>
      </c>
      <c r="M253" s="87">
        <f>G253*L253</f>
        <v>0</v>
      </c>
      <c r="N253" s="84" t="s">
        <v>606</v>
      </c>
      <c r="O253" s="77"/>
      <c r="Z253" s="68">
        <f>IF(AQ253="5",BJ253,0)</f>
        <v>0</v>
      </c>
      <c r="AB253" s="68">
        <f>IF(AQ253="1",BH253,0)</f>
        <v>0</v>
      </c>
      <c r="AC253" s="68">
        <f>IF(AQ253="1",BI253,0)</f>
        <v>0</v>
      </c>
      <c r="AD253" s="68">
        <f>IF(AQ253="7",BH253,0)</f>
        <v>0</v>
      </c>
      <c r="AE253" s="68">
        <f>IF(AQ253="7",BI253,0)</f>
        <v>0</v>
      </c>
      <c r="AF253" s="68">
        <f>IF(AQ253="2",BH253,0)</f>
        <v>0</v>
      </c>
      <c r="AG253" s="68">
        <f>IF(AQ253="2",BI253,0)</f>
        <v>0</v>
      </c>
      <c r="AH253" s="68">
        <f>IF(AQ253="0",BJ253,0)</f>
        <v>0</v>
      </c>
      <c r="AI253" s="60"/>
      <c r="AJ253" s="50">
        <f>IF(AN253=0,K253,0)</f>
        <v>0</v>
      </c>
      <c r="AK253" s="50">
        <f>IF(AN253=15,K253,0)</f>
        <v>0</v>
      </c>
      <c r="AL253" s="50">
        <f>IF(AN253=21,K253,0)</f>
        <v>0</v>
      </c>
      <c r="AN253" s="68">
        <v>15</v>
      </c>
      <c r="AO253" s="68">
        <f>H253*0</f>
        <v>0</v>
      </c>
      <c r="AP253" s="68">
        <f>H253*(1-0)</f>
        <v>0</v>
      </c>
      <c r="AQ253" s="69" t="s">
        <v>77</v>
      </c>
      <c r="AV253" s="68">
        <f>AW253+AX253</f>
        <v>0</v>
      </c>
      <c r="AW253" s="68">
        <f>G253*AO253</f>
        <v>0</v>
      </c>
      <c r="AX253" s="68">
        <f>G253*AP253</f>
        <v>0</v>
      </c>
      <c r="AY253" s="71" t="s">
        <v>638</v>
      </c>
      <c r="AZ253" s="71" t="s">
        <v>646</v>
      </c>
      <c r="BA253" s="60" t="s">
        <v>647</v>
      </c>
      <c r="BC253" s="68">
        <f>AW253+AX253</f>
        <v>0</v>
      </c>
      <c r="BD253" s="68">
        <f>H253/(100-BE253)*100</f>
        <v>0</v>
      </c>
      <c r="BE253" s="68">
        <v>0</v>
      </c>
      <c r="BF253" s="68">
        <f>M253</f>
        <v>0</v>
      </c>
      <c r="BH253" s="50">
        <f>G253*AO253</f>
        <v>0</v>
      </c>
      <c r="BI253" s="50">
        <f>G253*AP253</f>
        <v>0</v>
      </c>
      <c r="BJ253" s="50">
        <f>G253*H253</f>
        <v>0</v>
      </c>
      <c r="BK253" s="50" t="s">
        <v>652</v>
      </c>
      <c r="BL253" s="68" t="s">
        <v>351</v>
      </c>
    </row>
    <row r="254" spans="1:64" ht="12.75">
      <c r="A254" s="86" t="s">
        <v>210</v>
      </c>
      <c r="B254" s="86"/>
      <c r="C254" s="86" t="s">
        <v>354</v>
      </c>
      <c r="D254" s="183" t="s">
        <v>577</v>
      </c>
      <c r="E254" s="184"/>
      <c r="F254" s="86" t="s">
        <v>588</v>
      </c>
      <c r="G254" s="87">
        <v>3.25</v>
      </c>
      <c r="H254" s="118"/>
      <c r="I254" s="87">
        <f>G254*AO254</f>
        <v>0</v>
      </c>
      <c r="J254" s="87">
        <f>G254*AP254</f>
        <v>0</v>
      </c>
      <c r="K254" s="87">
        <f>G254*H254</f>
        <v>0</v>
      </c>
      <c r="L254" s="87">
        <v>0</v>
      </c>
      <c r="M254" s="87">
        <f>G254*L254</f>
        <v>0</v>
      </c>
      <c r="N254" s="84" t="s">
        <v>606</v>
      </c>
      <c r="O254" s="77"/>
      <c r="Z254" s="68">
        <f>IF(AQ254="5",BJ254,0)</f>
        <v>0</v>
      </c>
      <c r="AB254" s="68">
        <f>IF(AQ254="1",BH254,0)</f>
        <v>0</v>
      </c>
      <c r="AC254" s="68">
        <f>IF(AQ254="1",BI254,0)</f>
        <v>0</v>
      </c>
      <c r="AD254" s="68">
        <f>IF(AQ254="7",BH254,0)</f>
        <v>0</v>
      </c>
      <c r="AE254" s="68">
        <f>IF(AQ254="7",BI254,0)</f>
        <v>0</v>
      </c>
      <c r="AF254" s="68">
        <f>IF(AQ254="2",BH254,0)</f>
        <v>0</v>
      </c>
      <c r="AG254" s="68">
        <f>IF(AQ254="2",BI254,0)</f>
        <v>0</v>
      </c>
      <c r="AH254" s="68">
        <f>IF(AQ254="0",BJ254,0)</f>
        <v>0</v>
      </c>
      <c r="AI254" s="60"/>
      <c r="AJ254" s="50">
        <f>IF(AN254=0,K254,0)</f>
        <v>0</v>
      </c>
      <c r="AK254" s="50">
        <f>IF(AN254=15,K254,0)</f>
        <v>0</v>
      </c>
      <c r="AL254" s="50">
        <f>IF(AN254=21,K254,0)</f>
        <v>0</v>
      </c>
      <c r="AN254" s="68">
        <v>15</v>
      </c>
      <c r="AO254" s="68">
        <f>H254*0</f>
        <v>0</v>
      </c>
      <c r="AP254" s="68">
        <f>H254*(1-0)</f>
        <v>0</v>
      </c>
      <c r="AQ254" s="69" t="s">
        <v>77</v>
      </c>
      <c r="AV254" s="68">
        <f>AW254+AX254</f>
        <v>0</v>
      </c>
      <c r="AW254" s="68">
        <f>G254*AO254</f>
        <v>0</v>
      </c>
      <c r="AX254" s="68">
        <f>G254*AP254</f>
        <v>0</v>
      </c>
      <c r="AY254" s="71" t="s">
        <v>638</v>
      </c>
      <c r="AZ254" s="71" t="s">
        <v>646</v>
      </c>
      <c r="BA254" s="60" t="s">
        <v>647</v>
      </c>
      <c r="BC254" s="68">
        <f>AW254+AX254</f>
        <v>0</v>
      </c>
      <c r="BD254" s="68">
        <f>H254/(100-BE254)*100</f>
        <v>0</v>
      </c>
      <c r="BE254" s="68">
        <v>0</v>
      </c>
      <c r="BF254" s="68">
        <f>M254</f>
        <v>0</v>
      </c>
      <c r="BH254" s="50">
        <f>G254*AO254</f>
        <v>0</v>
      </c>
      <c r="BI254" s="50">
        <f>G254*AP254</f>
        <v>0</v>
      </c>
      <c r="BJ254" s="50">
        <f>G254*H254</f>
        <v>0</v>
      </c>
      <c r="BK254" s="50" t="s">
        <v>652</v>
      </c>
      <c r="BL254" s="68" t="s">
        <v>351</v>
      </c>
    </row>
    <row r="255" spans="1:64" ht="12.75">
      <c r="A255" s="80" t="s">
        <v>211</v>
      </c>
      <c r="B255" s="80"/>
      <c r="C255" s="80" t="s">
        <v>356</v>
      </c>
      <c r="D255" s="185" t="s">
        <v>579</v>
      </c>
      <c r="E255" s="186"/>
      <c r="F255" s="80" t="s">
        <v>588</v>
      </c>
      <c r="G255" s="81">
        <v>0.01885</v>
      </c>
      <c r="H255" s="120"/>
      <c r="I255" s="81">
        <f>G255*AO255</f>
        <v>0</v>
      </c>
      <c r="J255" s="81">
        <f>G255*AP255</f>
        <v>0</v>
      </c>
      <c r="K255" s="81">
        <f>G255*H255</f>
        <v>0</v>
      </c>
      <c r="L255" s="81">
        <v>0</v>
      </c>
      <c r="M255" s="81">
        <f>G255*L255</f>
        <v>0</v>
      </c>
      <c r="N255" s="85" t="s">
        <v>606</v>
      </c>
      <c r="O255" s="77"/>
      <c r="Z255" s="68">
        <f>IF(AQ255="5",BJ255,0)</f>
        <v>0</v>
      </c>
      <c r="AB255" s="68">
        <f>IF(AQ255="1",BH255,0)</f>
        <v>0</v>
      </c>
      <c r="AC255" s="68">
        <f>IF(AQ255="1",BI255,0)</f>
        <v>0</v>
      </c>
      <c r="AD255" s="68">
        <f>IF(AQ255="7",BH255,0)</f>
        <v>0</v>
      </c>
      <c r="AE255" s="68">
        <f>IF(AQ255="7",BI255,0)</f>
        <v>0</v>
      </c>
      <c r="AF255" s="68">
        <f>IF(AQ255="2",BH255,0)</f>
        <v>0</v>
      </c>
      <c r="AG255" s="68">
        <f>IF(AQ255="2",BI255,0)</f>
        <v>0</v>
      </c>
      <c r="AH255" s="68">
        <f>IF(AQ255="0",BJ255,0)</f>
        <v>0</v>
      </c>
      <c r="AI255" s="60"/>
      <c r="AJ255" s="50">
        <f>IF(AN255=0,K255,0)</f>
        <v>0</v>
      </c>
      <c r="AK255" s="50">
        <f>IF(AN255=15,K255,0)</f>
        <v>0</v>
      </c>
      <c r="AL255" s="50">
        <f>IF(AN255=21,K255,0)</f>
        <v>0</v>
      </c>
      <c r="AN255" s="68">
        <v>15</v>
      </c>
      <c r="AO255" s="68">
        <f>H255*0</f>
        <v>0</v>
      </c>
      <c r="AP255" s="68">
        <f>H255*(1-0)</f>
        <v>0</v>
      </c>
      <c r="AQ255" s="69" t="s">
        <v>77</v>
      </c>
      <c r="AV255" s="68">
        <f>AW255+AX255</f>
        <v>0</v>
      </c>
      <c r="AW255" s="68">
        <f>G255*AO255</f>
        <v>0</v>
      </c>
      <c r="AX255" s="68">
        <f>G255*AP255</f>
        <v>0</v>
      </c>
      <c r="AY255" s="71" t="s">
        <v>638</v>
      </c>
      <c r="AZ255" s="71" t="s">
        <v>646</v>
      </c>
      <c r="BA255" s="60" t="s">
        <v>647</v>
      </c>
      <c r="BC255" s="68">
        <f>AW255+AX255</f>
        <v>0</v>
      </c>
      <c r="BD255" s="68">
        <f>H255/(100-BE255)*100</f>
        <v>0</v>
      </c>
      <c r="BE255" s="68">
        <v>0</v>
      </c>
      <c r="BF255" s="68">
        <f>M255</f>
        <v>0</v>
      </c>
      <c r="BH255" s="50">
        <f>G255*AO255</f>
        <v>0</v>
      </c>
      <c r="BI255" s="50">
        <f>G255*AP255</f>
        <v>0</v>
      </c>
      <c r="BJ255" s="50">
        <f>G255*H255</f>
        <v>0</v>
      </c>
      <c r="BK255" s="50" t="s">
        <v>652</v>
      </c>
      <c r="BL255" s="68" t="s">
        <v>351</v>
      </c>
    </row>
    <row r="256" spans="1:64" ht="12.75">
      <c r="A256" s="34" t="s">
        <v>57</v>
      </c>
      <c r="B256" s="41"/>
      <c r="C256" s="41" t="s">
        <v>357</v>
      </c>
      <c r="D256" s="187" t="s">
        <v>580</v>
      </c>
      <c r="E256" s="188"/>
      <c r="F256" s="41" t="s">
        <v>588</v>
      </c>
      <c r="G256" s="50">
        <v>3.23115</v>
      </c>
      <c r="H256" s="117"/>
      <c r="I256" s="50">
        <f>G256*AO256</f>
        <v>0</v>
      </c>
      <c r="J256" s="50">
        <f>G256*AP256</f>
        <v>0</v>
      </c>
      <c r="K256" s="50">
        <f>G256*H256</f>
        <v>0</v>
      </c>
      <c r="L256" s="50">
        <v>0</v>
      </c>
      <c r="M256" s="50">
        <f>G256*L256</f>
        <v>0</v>
      </c>
      <c r="N256" s="65" t="s">
        <v>606</v>
      </c>
      <c r="O256" s="17"/>
      <c r="Z256" s="68">
        <f>IF(AQ256="5",BJ256,0)</f>
        <v>0</v>
      </c>
      <c r="AB256" s="68">
        <f>IF(AQ256="1",BH256,0)</f>
        <v>0</v>
      </c>
      <c r="AC256" s="68">
        <f>IF(AQ256="1",BI256,0)</f>
        <v>0</v>
      </c>
      <c r="AD256" s="68">
        <f>IF(AQ256="7",BH256,0)</f>
        <v>0</v>
      </c>
      <c r="AE256" s="68">
        <f>IF(AQ256="7",BI256,0)</f>
        <v>0</v>
      </c>
      <c r="AF256" s="68">
        <f>IF(AQ256="2",BH256,0)</f>
        <v>0</v>
      </c>
      <c r="AG256" s="68">
        <f>IF(AQ256="2",BI256,0)</f>
        <v>0</v>
      </c>
      <c r="AH256" s="68">
        <f>IF(AQ256="0",BJ256,0)</f>
        <v>0</v>
      </c>
      <c r="AI256" s="60"/>
      <c r="AJ256" s="50">
        <f>IF(AN256=0,K256,0)</f>
        <v>0</v>
      </c>
      <c r="AK256" s="50">
        <f>IF(AN256=15,K256,0)</f>
        <v>0</v>
      </c>
      <c r="AL256" s="50">
        <f>IF(AN256=21,K256,0)</f>
        <v>0</v>
      </c>
      <c r="AN256" s="68">
        <v>15</v>
      </c>
      <c r="AO256" s="68">
        <f>H256*0</f>
        <v>0</v>
      </c>
      <c r="AP256" s="68">
        <f>H256*(1-0)</f>
        <v>0</v>
      </c>
      <c r="AQ256" s="69" t="s">
        <v>77</v>
      </c>
      <c r="AV256" s="68">
        <f>AW256+AX256</f>
        <v>0</v>
      </c>
      <c r="AW256" s="68">
        <f>G256*AO256</f>
        <v>0</v>
      </c>
      <c r="AX256" s="68">
        <f>G256*AP256</f>
        <v>0</v>
      </c>
      <c r="AY256" s="71" t="s">
        <v>638</v>
      </c>
      <c r="AZ256" s="71" t="s">
        <v>646</v>
      </c>
      <c r="BA256" s="60" t="s">
        <v>647</v>
      </c>
      <c r="BC256" s="68">
        <f>AW256+AX256</f>
        <v>0</v>
      </c>
      <c r="BD256" s="68">
        <f>H256/(100-BE256)*100</f>
        <v>0</v>
      </c>
      <c r="BE256" s="68">
        <v>0</v>
      </c>
      <c r="BF256" s="68">
        <f>M256</f>
        <v>0</v>
      </c>
      <c r="BH256" s="50">
        <f>G256*AO256</f>
        <v>0</v>
      </c>
      <c r="BI256" s="50">
        <f>G256*AP256</f>
        <v>0</v>
      </c>
      <c r="BJ256" s="50">
        <f>G256*H256</f>
        <v>0</v>
      </c>
      <c r="BK256" s="50" t="s">
        <v>652</v>
      </c>
      <c r="BL256" s="68" t="s">
        <v>351</v>
      </c>
    </row>
    <row r="257" spans="1:15" ht="12.75">
      <c r="A257" s="11"/>
      <c r="B257" s="1"/>
      <c r="C257" s="1"/>
      <c r="D257" s="44" t="s">
        <v>581</v>
      </c>
      <c r="E257" s="46"/>
      <c r="F257" s="1"/>
      <c r="G257" s="53">
        <v>3.23115</v>
      </c>
      <c r="H257" s="1"/>
      <c r="I257" s="1"/>
      <c r="J257" s="1"/>
      <c r="K257" s="1"/>
      <c r="L257" s="1"/>
      <c r="M257" s="1"/>
      <c r="N257" s="67"/>
      <c r="O257" s="17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182" t="s">
        <v>600</v>
      </c>
      <c r="J258" s="158"/>
      <c r="K258" s="75">
        <f>K13+K21+K51+K53+K58+K63+K76+K88+K100+K132+K137+K151+K162+K196+K216+K222+K231+K233+K235+K237+K242+K244+K248</f>
        <v>0</v>
      </c>
      <c r="L258" s="5"/>
      <c r="M258" s="5"/>
      <c r="N258" s="5"/>
    </row>
    <row r="259" ht="11.25" customHeight="1">
      <c r="A259" s="36" t="s">
        <v>18</v>
      </c>
    </row>
    <row r="260" spans="1:14" ht="12.75">
      <c r="A260" s="123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</row>
  </sheetData>
  <sheetProtection/>
  <mergeCells count="194">
    <mergeCell ref="A1:N1"/>
    <mergeCell ref="A2:C3"/>
    <mergeCell ref="D2:D3"/>
    <mergeCell ref="E2:E3"/>
    <mergeCell ref="F2:G3"/>
    <mergeCell ref="H2:H3"/>
    <mergeCell ref="I2:N3"/>
    <mergeCell ref="A4:C5"/>
    <mergeCell ref="F4:G5"/>
    <mergeCell ref="H4:H5"/>
    <mergeCell ref="I4:N5"/>
    <mergeCell ref="D4:E5"/>
    <mergeCell ref="A6:C7"/>
    <mergeCell ref="D6:D7"/>
    <mergeCell ref="E6:E7"/>
    <mergeCell ref="F6:G7"/>
    <mergeCell ref="H6:H7"/>
    <mergeCell ref="I6:N7"/>
    <mergeCell ref="A8:C9"/>
    <mergeCell ref="D8:D9"/>
    <mergeCell ref="E8:E9"/>
    <mergeCell ref="F8:G9"/>
    <mergeCell ref="H8:H9"/>
    <mergeCell ref="I8:N9"/>
    <mergeCell ref="D10:E10"/>
    <mergeCell ref="I10:K10"/>
    <mergeCell ref="L10:M10"/>
    <mergeCell ref="D11:E11"/>
    <mergeCell ref="D12:E12"/>
    <mergeCell ref="D13:E13"/>
    <mergeCell ref="D14:E14"/>
    <mergeCell ref="D17:E17"/>
    <mergeCell ref="D19:E19"/>
    <mergeCell ref="D21:E21"/>
    <mergeCell ref="D22:E22"/>
    <mergeCell ref="D23:E23"/>
    <mergeCell ref="D24:E24"/>
    <mergeCell ref="D26:E26"/>
    <mergeCell ref="D31:E31"/>
    <mergeCell ref="D39:E39"/>
    <mergeCell ref="D48:E48"/>
    <mergeCell ref="D49:E49"/>
    <mergeCell ref="D51:E51"/>
    <mergeCell ref="D52:E52"/>
    <mergeCell ref="D53:E53"/>
    <mergeCell ref="D54:E54"/>
    <mergeCell ref="D57:E57"/>
    <mergeCell ref="D58:E58"/>
    <mergeCell ref="D59:E59"/>
    <mergeCell ref="D60:E60"/>
    <mergeCell ref="D61:E61"/>
    <mergeCell ref="D62:E62"/>
    <mergeCell ref="D63:E63"/>
    <mergeCell ref="D64:E64"/>
    <mergeCell ref="D70:E70"/>
    <mergeCell ref="D73:E73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5:E155"/>
    <mergeCell ref="D156:E156"/>
    <mergeCell ref="D157:E157"/>
    <mergeCell ref="D158:E158"/>
    <mergeCell ref="D159:E159"/>
    <mergeCell ref="D161:E161"/>
    <mergeCell ref="D162:E162"/>
    <mergeCell ref="D163:E163"/>
    <mergeCell ref="D170:E170"/>
    <mergeCell ref="D177:E177"/>
    <mergeCell ref="D178:E178"/>
    <mergeCell ref="D179:E179"/>
    <mergeCell ref="D184:E184"/>
    <mergeCell ref="D189:E189"/>
    <mergeCell ref="D191:E191"/>
    <mergeCell ref="D193:E193"/>
    <mergeCell ref="D195:E195"/>
    <mergeCell ref="D196:E196"/>
    <mergeCell ref="D197:E197"/>
    <mergeCell ref="D202:E202"/>
    <mergeCell ref="D203:E203"/>
    <mergeCell ref="D204:E204"/>
    <mergeCell ref="D206:E206"/>
    <mergeCell ref="D207:E207"/>
    <mergeCell ref="D208:E208"/>
    <mergeCell ref="D210:E210"/>
    <mergeCell ref="D213:E213"/>
    <mergeCell ref="D215:E215"/>
    <mergeCell ref="D216:E216"/>
    <mergeCell ref="D217:E217"/>
    <mergeCell ref="D219:E219"/>
    <mergeCell ref="D220:E220"/>
    <mergeCell ref="D221:E221"/>
    <mergeCell ref="D222:E222"/>
    <mergeCell ref="D223:E223"/>
    <mergeCell ref="D225:E225"/>
    <mergeCell ref="D226:E226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I258:J258"/>
    <mergeCell ref="A260:N260"/>
    <mergeCell ref="D250:E250"/>
    <mergeCell ref="D252:E252"/>
    <mergeCell ref="D253:E253"/>
    <mergeCell ref="D254:E254"/>
    <mergeCell ref="D255:E255"/>
    <mergeCell ref="D256:E256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Popelková Marcela</dc:creator>
  <cp:keywords/>
  <dc:description/>
  <cp:lastModifiedBy>Popelková Marcela</cp:lastModifiedBy>
  <dcterms:created xsi:type="dcterms:W3CDTF">2023-09-14T14:33:35Z</dcterms:created>
  <dcterms:modified xsi:type="dcterms:W3CDTF">2023-09-26T10:54:27Z</dcterms:modified>
  <cp:category/>
  <cp:version/>
  <cp:contentType/>
  <cp:contentStatus/>
</cp:coreProperties>
</file>