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0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'VORN'!$I$35</definedName>
  </definedNames>
  <calcPr fullCalcOnLoad="1"/>
</workbook>
</file>

<file path=xl/sharedStrings.xml><?xml version="1.0" encoding="utf-8"?>
<sst xmlns="http://schemas.openxmlformats.org/spreadsheetml/2006/main" count="2064" uniqueCount="683">
  <si>
    <t>766661112R00</t>
  </si>
  <si>
    <t>92</t>
  </si>
  <si>
    <t>Nástěnka K 247, pro výtokový ventil G 1/2</t>
  </si>
  <si>
    <t>Doba výstavby:</t>
  </si>
  <si>
    <t>podlahy pokoj a kuchyně</t>
  </si>
  <si>
    <t>Montáž baterie umyv.a dřezové stojánkové</t>
  </si>
  <si>
    <t>725219401R00</t>
  </si>
  <si>
    <t>Projektant</t>
  </si>
  <si>
    <t>722220111R00</t>
  </si>
  <si>
    <t>_9_</t>
  </si>
  <si>
    <t>722280106R00</t>
  </si>
  <si>
    <t>67</t>
  </si>
  <si>
    <t>771101116R00</t>
  </si>
  <si>
    <t>VLASTNÍ</t>
  </si>
  <si>
    <t>Seříznutí dveřních křídel  kompletizovaných</t>
  </si>
  <si>
    <t>Sprchová zástěna čtvrtkruhová 80x80x185 cm</t>
  </si>
  <si>
    <t>Základ 15%</t>
  </si>
  <si>
    <t>Malby</t>
  </si>
  <si>
    <t>2,6*1,1</t>
  </si>
  <si>
    <t>103</t>
  </si>
  <si>
    <t>(0,9+0,9)*2,1</t>
  </si>
  <si>
    <t>998721101R00</t>
  </si>
  <si>
    <t>koupelna</t>
  </si>
  <si>
    <t>771101210R00</t>
  </si>
  <si>
    <t>(1,6+1,65)*2-0,7+2,1+0,3*2+1,8*5</t>
  </si>
  <si>
    <t>781419711R00</t>
  </si>
  <si>
    <t>pár</t>
  </si>
  <si>
    <t>Penetrace podkladu pod dlažby</t>
  </si>
  <si>
    <t>725820801R00</t>
  </si>
  <si>
    <t>4,2*3,525+1,5*0,15</t>
  </si>
  <si>
    <t>Demontáž baterie nástěnné do G 3/4</t>
  </si>
  <si>
    <t>91</t>
  </si>
  <si>
    <t>725240812R00</t>
  </si>
  <si>
    <t>965042131R00</t>
  </si>
  <si>
    <t>Lepení podlah z izolačních plastů-pouze položení - PVC ve specifikaci</t>
  </si>
  <si>
    <t>87</t>
  </si>
  <si>
    <t>Základ 21%</t>
  </si>
  <si>
    <t>20</t>
  </si>
  <si>
    <t>998781101R00</t>
  </si>
  <si>
    <t>965048515R00</t>
  </si>
  <si>
    <t>Přesun hmot pro obklady keramické, výšky do 6 m</t>
  </si>
  <si>
    <t>ing. Zbyněk Semerád</t>
  </si>
  <si>
    <t>Dodávka</t>
  </si>
  <si>
    <t>NUS celkem z obj.</t>
  </si>
  <si>
    <t>Vyvedení odpadních výpustek D 110 x 2,3</t>
  </si>
  <si>
    <t>Potrubí KG odpadní svislé D 110 x 3,2 mm</t>
  </si>
  <si>
    <t>Potrubí HT odpadní svislé D 110 x 2,7 mm</t>
  </si>
  <si>
    <t>Prah bukový délka 80 cm šířka 10 cm 2 cm</t>
  </si>
  <si>
    <t>711</t>
  </si>
  <si>
    <t>0,6*1,97+3*(0,8*1,97)</t>
  </si>
  <si>
    <t>147</t>
  </si>
  <si>
    <t>Název stavby:</t>
  </si>
  <si>
    <t>Ostatní materiál</t>
  </si>
  <si>
    <t>48</t>
  </si>
  <si>
    <t>29</t>
  </si>
  <si>
    <t>Č</t>
  </si>
  <si>
    <t>Demontáž baterie stojánkové do 1otvoru</t>
  </si>
  <si>
    <t>735110912R00</t>
  </si>
  <si>
    <t>Poznámka:</t>
  </si>
  <si>
    <t>Lokalita:</t>
  </si>
  <si>
    <t>79</t>
  </si>
  <si>
    <t>775511800R00</t>
  </si>
  <si>
    <t>71</t>
  </si>
  <si>
    <t>16</t>
  </si>
  <si>
    <t>PSV</t>
  </si>
  <si>
    <t>24</t>
  </si>
  <si>
    <t>Bez pevné podl.</t>
  </si>
  <si>
    <t>Celkem</t>
  </si>
  <si>
    <t>Zařízení staveniště</t>
  </si>
  <si>
    <t>Přesun hmot pro podlahy povlakové, výšky do 6 m</t>
  </si>
  <si>
    <t>Demontáž lišt dřevěných, přibíjených</t>
  </si>
  <si>
    <t>Přesun hmot pro vnitřní kanalizaci, výšky do 6 m</t>
  </si>
  <si>
    <t>766_</t>
  </si>
  <si>
    <t>Montáž klozetových mís kombinovaných</t>
  </si>
  <si>
    <t>4</t>
  </si>
  <si>
    <t>97</t>
  </si>
  <si>
    <t>121</t>
  </si>
  <si>
    <t>94</t>
  </si>
  <si>
    <t>M74</t>
  </si>
  <si>
    <t>145</t>
  </si>
  <si>
    <t>60</t>
  </si>
  <si>
    <t>Základní rozpočtové náklady</t>
  </si>
  <si>
    <t>(1+1)*2,1</t>
  </si>
  <si>
    <t>26</t>
  </si>
  <si>
    <t>105</t>
  </si>
  <si>
    <t>135</t>
  </si>
  <si>
    <t>S0</t>
  </si>
  <si>
    <t>721176102R00</t>
  </si>
  <si>
    <t>Celkem bez DPH</t>
  </si>
  <si>
    <t>122</t>
  </si>
  <si>
    <t>998776101R00</t>
  </si>
  <si>
    <t>Vedlejší a ostatní rozpočtové náklady</t>
  </si>
  <si>
    <t>138</t>
  </si>
  <si>
    <t>2,6*0,05</t>
  </si>
  <si>
    <t>721_</t>
  </si>
  <si>
    <t>Řezání obkladaček diamantovým kotoučem</t>
  </si>
  <si>
    <t>Kontaktní nátěr pod omítky bílý</t>
  </si>
  <si>
    <t>Různé dokončovací konstrukce a práce pozemních staveb</t>
  </si>
  <si>
    <t>722290234R00</t>
  </si>
  <si>
    <t>15,054+8,9425</t>
  </si>
  <si>
    <t>6</t>
  </si>
  <si>
    <t>Rozpočtové náklady v Kč</t>
  </si>
  <si>
    <t>Štuk na stropech ručně</t>
  </si>
  <si>
    <t>632411150RT1</t>
  </si>
  <si>
    <t>68</t>
  </si>
  <si>
    <t>Poplatek za skládku suti - PVC podlahová krytina</t>
  </si>
  <si>
    <t>81</t>
  </si>
  <si>
    <t>-(1.5*1.35)-0,8*1,97</t>
  </si>
  <si>
    <t>B</t>
  </si>
  <si>
    <t>119</t>
  </si>
  <si>
    <t>Náklady na umístění stavby (NUS)</t>
  </si>
  <si>
    <t>Osazení rámů slepých, ocel, dřevo, plocha do 1 m2</t>
  </si>
  <si>
    <t>42</t>
  </si>
  <si>
    <t>82</t>
  </si>
  <si>
    <t>Montáž</t>
  </si>
  <si>
    <t>Demontáž uzávěrek zápachových jednoduchých</t>
  </si>
  <si>
    <t>Datum, razítko a podpis</t>
  </si>
  <si>
    <t>776_</t>
  </si>
  <si>
    <t>ZRN celkem</t>
  </si>
  <si>
    <t>Demontáž umyvadel bez výtokových armatur</t>
  </si>
  <si>
    <t>stropy</t>
  </si>
  <si>
    <t>721171803R00</t>
  </si>
  <si>
    <t>725829301R00</t>
  </si>
  <si>
    <t>979082121R00</t>
  </si>
  <si>
    <t>Nezařazeno</t>
  </si>
  <si>
    <t>61160706</t>
  </si>
  <si>
    <t>Těsnicí pás do spoje podlaha - stěna</t>
  </si>
  <si>
    <t>Montáž armatur závitových,s 1závitem, G 1/2</t>
  </si>
  <si>
    <t>69</t>
  </si>
  <si>
    <t>141</t>
  </si>
  <si>
    <t>Příplatek k odvozu za každý další 1 km, 3x</t>
  </si>
  <si>
    <t>965081713RT1</t>
  </si>
  <si>
    <t>33</t>
  </si>
  <si>
    <t>DPH 15%</t>
  </si>
  <si>
    <t>obklad parapetů</t>
  </si>
  <si>
    <t>78</t>
  </si>
  <si>
    <t>Oprava - přechod z plastových trub na litinu DN100</t>
  </si>
  <si>
    <t>722260921R00</t>
  </si>
  <si>
    <t>Krycí list slepého rozpočtu</t>
  </si>
  <si>
    <t>Potěr ze SMS ,ruční zpracování, tl. 50 mm</t>
  </si>
  <si>
    <t>120</t>
  </si>
  <si>
    <t>63</t>
  </si>
  <si>
    <t>Sifon umyvadlový HL132, D 32, 40 mm</t>
  </si>
  <si>
    <t>_78_</t>
  </si>
  <si>
    <t>783_</t>
  </si>
  <si>
    <t>Demontáž klozetů splachovacích</t>
  </si>
  <si>
    <t>Broušení betonových povrchů do tl. 5 mm</t>
  </si>
  <si>
    <t>(2,475-0,6)*0,8+0,6*0,8+1,5*1,5</t>
  </si>
  <si>
    <t>1,65*1,575</t>
  </si>
  <si>
    <t>137</t>
  </si>
  <si>
    <t>Prah bukový délka 60 cm šířka 10 cm tl. 2 cm</t>
  </si>
  <si>
    <t>Základna</t>
  </si>
  <si>
    <t>721194109R00</t>
  </si>
  <si>
    <t>25</t>
  </si>
  <si>
    <t>kus</t>
  </si>
  <si>
    <t>766825811R00</t>
  </si>
  <si>
    <t>783225100R00</t>
  </si>
  <si>
    <t>Dodávky</t>
  </si>
  <si>
    <t>soustava</t>
  </si>
  <si>
    <t>Otvor v obkladačce diamant.korunkou prům.do 90 mm</t>
  </si>
  <si>
    <t>11,34</t>
  </si>
  <si>
    <t>svislé stěny</t>
  </si>
  <si>
    <t>Samonivelační stěrka , ruč.zpracování tl.5 mm</t>
  </si>
  <si>
    <t>Ostatní mat.</t>
  </si>
  <si>
    <t>86,204</t>
  </si>
  <si>
    <t>Kliky se štítem dveř.  804  klíč/90 Cr</t>
  </si>
  <si>
    <t>130</t>
  </si>
  <si>
    <t>969021111R00</t>
  </si>
  <si>
    <t>Ventil rohový bez přípoj. trubičky TE 66 G 1/2</t>
  </si>
  <si>
    <t>Cenová</t>
  </si>
  <si>
    <t>(3,52+4,2)*2+0,2*2-0,8</t>
  </si>
  <si>
    <t>781111115R00</t>
  </si>
  <si>
    <t>133</t>
  </si>
  <si>
    <t>předsíń</t>
  </si>
  <si>
    <t>612421615R00</t>
  </si>
  <si>
    <t>Zpětná montáž vodoměrů závitových G 1/2</t>
  </si>
  <si>
    <t>HSV prac</t>
  </si>
  <si>
    <t>90_</t>
  </si>
  <si>
    <t>725017162R00</t>
  </si>
  <si>
    <t>Ventil pračkový IVAR.70370 DN 20</t>
  </si>
  <si>
    <t>139</t>
  </si>
  <si>
    <t>632411105RT3</t>
  </si>
  <si>
    <t>129</t>
  </si>
  <si>
    <t>725849201R00</t>
  </si>
  <si>
    <t>kuchyně</t>
  </si>
  <si>
    <t>783601813R00</t>
  </si>
  <si>
    <t>13</t>
  </si>
  <si>
    <t>Montáž podlah keram.,režné hladké, tmel, 20x20 cm</t>
  </si>
  <si>
    <t>Dveře vnitřní hladké 1kříd. 2/3sklo 80x197 lak A -OZN 2</t>
  </si>
  <si>
    <t>771579791R00</t>
  </si>
  <si>
    <t>725013161R00</t>
  </si>
  <si>
    <t>766662811R00</t>
  </si>
  <si>
    <t>pokoj</t>
  </si>
  <si>
    <t>"M"</t>
  </si>
  <si>
    <t>998771101R00</t>
  </si>
  <si>
    <t>725820802R00</t>
  </si>
  <si>
    <t>140</t>
  </si>
  <si>
    <t>97_</t>
  </si>
  <si>
    <t>1,575*1,65</t>
  </si>
  <si>
    <t>771575107R00</t>
  </si>
  <si>
    <t>Vyčištění budov o výšce podlaží do 4 m</t>
  </si>
  <si>
    <t>Cena/MJ</t>
  </si>
  <si>
    <t>Konec výstavby:</t>
  </si>
  <si>
    <t>Hodinové zúčtovací sazby (HZS)</t>
  </si>
  <si>
    <t>61160126</t>
  </si>
  <si>
    <t>127</t>
  </si>
  <si>
    <t>721176115R00</t>
  </si>
  <si>
    <t>Kód</t>
  </si>
  <si>
    <t>43</t>
  </si>
  <si>
    <t>784195112R00</t>
  </si>
  <si>
    <t>725249102R00</t>
  </si>
  <si>
    <t>(4.2+3.525)*2*2.65+0.2*(1.5+1.35*2)</t>
  </si>
  <si>
    <t>Elektromontážní práce (silnoproud)</t>
  </si>
  <si>
    <t>725860213R00</t>
  </si>
  <si>
    <t>Ostatní přesuny hmot</t>
  </si>
  <si>
    <t>Začištění omítek kolem oken,dveří apod.</t>
  </si>
  <si>
    <t>soubor</t>
  </si>
  <si>
    <t>MJ</t>
  </si>
  <si>
    <t>Dlažba keramická</t>
  </si>
  <si>
    <t>45</t>
  </si>
  <si>
    <t>40</t>
  </si>
  <si>
    <t>Celkem ORN</t>
  </si>
  <si>
    <t>725825111RT0</t>
  </si>
  <si>
    <t>Vybourání kanalizačního potrubí DN do 100 mm</t>
  </si>
  <si>
    <t>Doplňkové náklady</t>
  </si>
  <si>
    <t>Demontáž vestavěných skříní 1křídlových</t>
  </si>
  <si>
    <t>978059521R00</t>
  </si>
  <si>
    <t>132</t>
  </si>
  <si>
    <t>PSV prac</t>
  </si>
  <si>
    <t>HSV</t>
  </si>
  <si>
    <t>Vedlejší rozpočtové náklady VRN</t>
  </si>
  <si>
    <t>Hrubá výplň rýh ve stěnách maltou</t>
  </si>
  <si>
    <t>Příplatek za spárovací vodotěsnou hmotu - podélně</t>
  </si>
  <si>
    <t>RTS I / 2021</t>
  </si>
  <si>
    <t>9</t>
  </si>
  <si>
    <t>143</t>
  </si>
  <si>
    <t>104</t>
  </si>
  <si>
    <t>15</t>
  </si>
  <si>
    <t>95</t>
  </si>
  <si>
    <t>Otvor v obkladačce diamant.korunkou prům.do 30 mm</t>
  </si>
  <si>
    <t>ISWORK</t>
  </si>
  <si>
    <t>Lišta  plast</t>
  </si>
  <si>
    <t>Celkem včetně DPH</t>
  </si>
  <si>
    <t>Celkem NUS</t>
  </si>
  <si>
    <t>_72_</t>
  </si>
  <si>
    <t>999281108R00</t>
  </si>
  <si>
    <t>142</t>
  </si>
  <si>
    <t>776421100RU1</t>
  </si>
  <si>
    <t>Základ 0%</t>
  </si>
  <si>
    <t>612423531R00</t>
  </si>
  <si>
    <t>Úprava podkladu nášlapných ploch</t>
  </si>
  <si>
    <t>721176103R00</t>
  </si>
  <si>
    <t>766</t>
  </si>
  <si>
    <t>(4,2+3,525)*2+0,2*2-0,8</t>
  </si>
  <si>
    <t>Montáž lišt k obkladům</t>
  </si>
  <si>
    <t>52</t>
  </si>
  <si>
    <t>722181214RT8</t>
  </si>
  <si>
    <t>118</t>
  </si>
  <si>
    <t>721194104R00</t>
  </si>
  <si>
    <t>51</t>
  </si>
  <si>
    <t>Obkládačka 20x20 šedá mat</t>
  </si>
  <si>
    <t>Přesuny sutí</t>
  </si>
  <si>
    <t>3,5*2+2,475*2-0,8+0,2*2</t>
  </si>
  <si>
    <t>Mont prac</t>
  </si>
  <si>
    <t>Nátěr syntetický ocel. radiát. článků 1x +1x email</t>
  </si>
  <si>
    <t>Obklady (keramické)</t>
  </si>
  <si>
    <t>44</t>
  </si>
  <si>
    <t>3,5*2,475+0,2*1,35</t>
  </si>
  <si>
    <t>Bourání dlaždic keramických tl. 1 cm, nad 1 m2</t>
  </si>
  <si>
    <t>721176105R00</t>
  </si>
  <si>
    <t>M74_</t>
  </si>
  <si>
    <t>h</t>
  </si>
  <si>
    <t>23</t>
  </si>
  <si>
    <t>725860181RT1</t>
  </si>
  <si>
    <t>632411125RT1</t>
  </si>
  <si>
    <t>725_</t>
  </si>
  <si>
    <t>781_</t>
  </si>
  <si>
    <t>128</t>
  </si>
  <si>
    <t>17,5*1,1</t>
  </si>
  <si>
    <t>-(0.6*1.97+0.8*1.97*3)</t>
  </si>
  <si>
    <t>59</t>
  </si>
  <si>
    <t>734209103R00</t>
  </si>
  <si>
    <t>781419701R00</t>
  </si>
  <si>
    <t>109</t>
  </si>
  <si>
    <t>t</t>
  </si>
  <si>
    <t>117</t>
  </si>
  <si>
    <t>612409991RT2</t>
  </si>
  <si>
    <t> </t>
  </si>
  <si>
    <t>53</t>
  </si>
  <si>
    <t>(1,6+0,85+1,65-0,7+0,8)*1,8</t>
  </si>
  <si>
    <t>Konstrukce truhlářské</t>
  </si>
  <si>
    <t>99</t>
  </si>
  <si>
    <t>koupelna pod obklady</t>
  </si>
  <si>
    <t>107</t>
  </si>
  <si>
    <t>(1,575+1,65)*1,8-0,6*1,8</t>
  </si>
  <si>
    <t>602011141RT1</t>
  </si>
  <si>
    <t>Nástěnka K 247, pro baterii G 1/2</t>
  </si>
  <si>
    <t>Čištění potrubí profukováním nebo proplach. DN 100</t>
  </si>
  <si>
    <t>125</t>
  </si>
  <si>
    <t>722220121R00</t>
  </si>
  <si>
    <t>JKSO:</t>
  </si>
  <si>
    <t>85</t>
  </si>
  <si>
    <t>64</t>
  </si>
  <si>
    <t>Sprchová vanička půlkruhová RAVAK</t>
  </si>
  <si>
    <t>Demontáž armatur s 1závitem do G 1/2</t>
  </si>
  <si>
    <t>Příplatek k vnitrost. dopravě suti za dalších 5 m</t>
  </si>
  <si>
    <t>stěny</t>
  </si>
  <si>
    <t>Zakrývání podlah fólií</t>
  </si>
  <si>
    <t>Demontáž sprchových mís bez výtokových armatur</t>
  </si>
  <si>
    <t>77</t>
  </si>
  <si>
    <t>DN celkem</t>
  </si>
  <si>
    <t>H99_</t>
  </si>
  <si>
    <t>Oprava elektroinstalace dle  samostatné PD</t>
  </si>
  <si>
    <t>766812840R00IM</t>
  </si>
  <si>
    <t>_73_</t>
  </si>
  <si>
    <t>116</t>
  </si>
  <si>
    <t>GROUPCODE</t>
  </si>
  <si>
    <t>146</t>
  </si>
  <si>
    <t>969011121R00</t>
  </si>
  <si>
    <t>781419707RT1</t>
  </si>
  <si>
    <t>Dvířka  vodoměry</t>
  </si>
  <si>
    <t>Provozní vlivy</t>
  </si>
  <si>
    <t>5</t>
  </si>
  <si>
    <t>Omítka vnitřní zdiva, MVC, hrubá zatřená</t>
  </si>
  <si>
    <t>Přesun hmot pro vnitřní vodovod, výšky do 6 m</t>
  </si>
  <si>
    <t>722190401R00</t>
  </si>
  <si>
    <t>4,2*3,525+3,5*2,475+1,65*1,575+1,795*1,65</t>
  </si>
  <si>
    <t>783322120R00</t>
  </si>
  <si>
    <t>Štuk na stěnách vnitřní , ručně</t>
  </si>
  <si>
    <t>Příplatek za práci v omezeném prostoru</t>
  </si>
  <si>
    <t>725210821R00</t>
  </si>
  <si>
    <t>Klozet kombi LYRA Plus, nádrž s armat. odpad šikmý</t>
  </si>
  <si>
    <t>144</t>
  </si>
  <si>
    <t>Druh stavby:</t>
  </si>
  <si>
    <t>(1+1)*2,1+((1,575-1)+(1,65-1))*1,8</t>
  </si>
  <si>
    <t>776541100RT1</t>
  </si>
  <si>
    <t>766664915R00</t>
  </si>
  <si>
    <t>(1,575+1,65)*2*0,2-0,6</t>
  </si>
  <si>
    <t>Demontáž konzol jednoduchých</t>
  </si>
  <si>
    <t>784</t>
  </si>
  <si>
    <t>96</t>
  </si>
  <si>
    <t>1,795*1,65+0,35*1,1</t>
  </si>
  <si>
    <t>601011141RT3</t>
  </si>
  <si>
    <t>Zpracováno dne:</t>
  </si>
  <si>
    <t>735_</t>
  </si>
  <si>
    <t>RTS II / 2020</t>
  </si>
  <si>
    <t>783</t>
  </si>
  <si>
    <t>1,78*1,65+0,35*1,1</t>
  </si>
  <si>
    <t>10</t>
  </si>
  <si>
    <t>58</t>
  </si>
  <si>
    <t>900      R01</t>
  </si>
  <si>
    <t>36</t>
  </si>
  <si>
    <t>14</t>
  </si>
  <si>
    <t>31</t>
  </si>
  <si>
    <t>Zařizovací předměty</t>
  </si>
  <si>
    <t>84</t>
  </si>
  <si>
    <t>_77_</t>
  </si>
  <si>
    <t>(4,2*3,525+0,2*1,35)</t>
  </si>
  <si>
    <t>Množství</t>
  </si>
  <si>
    <t>Montáž těles otopných litinových článkových</t>
  </si>
  <si>
    <t>38</t>
  </si>
  <si>
    <t>Demontáž baterie sprch.diferenciální G 3/4x1</t>
  </si>
  <si>
    <t>95_</t>
  </si>
  <si>
    <t>kuchyně+jídelna</t>
  </si>
  <si>
    <t>Sifon sprchový PP HL514SN, D 40/50 mm</t>
  </si>
  <si>
    <t>979990107R00</t>
  </si>
  <si>
    <t>Vnitřní vodovod</t>
  </si>
  <si>
    <t>Typ skupiny</t>
  </si>
  <si>
    <t>73</t>
  </si>
  <si>
    <t>734200811R00</t>
  </si>
  <si>
    <t>(1,78+1,65)*2+0,35*2-0,6-0,8*2</t>
  </si>
  <si>
    <t>předsíň</t>
  </si>
  <si>
    <t>Penetrace podkladu   1 x</t>
  </si>
  <si>
    <t>711212601RW1</t>
  </si>
  <si>
    <t>784161901R00</t>
  </si>
  <si>
    <t>602011193R00</t>
  </si>
  <si>
    <t>Město Žďár nad Sázavou</t>
  </si>
  <si>
    <t>611401311R00</t>
  </si>
  <si>
    <t>61_</t>
  </si>
  <si>
    <t>Odstranění malby oškrábáním v místnosti H do 3,8 m</t>
  </si>
  <si>
    <t>56</t>
  </si>
  <si>
    <t>766695212R00</t>
  </si>
  <si>
    <t>722_</t>
  </si>
  <si>
    <t>19</t>
  </si>
  <si>
    <t>C</t>
  </si>
  <si>
    <t>Nátěr syntetický kovových konstrukcí 2x + 1x email zárubní</t>
  </si>
  <si>
    <t>Očištění radiátoru před nátěrem</t>
  </si>
  <si>
    <t>Náklady (Kč)</t>
  </si>
  <si>
    <t>Demontáž soklíků nebo lišt, pryžových nebo z PVC</t>
  </si>
  <si>
    <t>721</t>
  </si>
  <si>
    <t>110</t>
  </si>
  <si>
    <t>39</t>
  </si>
  <si>
    <t>30</t>
  </si>
  <si>
    <t>Montáž dveří do zárubně,otevíravých 1kř.do 0,8 m</t>
  </si>
  <si>
    <t>IČO/DIČ:</t>
  </si>
  <si>
    <t>776511810R00</t>
  </si>
  <si>
    <t>776401800R00</t>
  </si>
  <si>
    <t>Ostatní</t>
  </si>
  <si>
    <t>86</t>
  </si>
  <si>
    <t>979081121R00</t>
  </si>
  <si>
    <t>Potrubí HT připojovací D 40 x 1,8 mm</t>
  </si>
  <si>
    <t>Oprava omítky na stropech o ploše do 1 m2</t>
  </si>
  <si>
    <t>55</t>
  </si>
  <si>
    <t>Podlahy povlakové</t>
  </si>
  <si>
    <t>Zpracoval:</t>
  </si>
  <si>
    <t>76</t>
  </si>
  <si>
    <t>Příplatek za plochu podlah keram. do 5 m2 jednotl.</t>
  </si>
  <si>
    <t>64_</t>
  </si>
  <si>
    <t>998722101R00</t>
  </si>
  <si>
    <t>Zhotovitel</t>
  </si>
  <si>
    <t>Demontáž potrubí z PVC do D 75 mm</t>
  </si>
  <si>
    <t>2</t>
  </si>
  <si>
    <t>Projektant:</t>
  </si>
  <si>
    <t>ORN celkem</t>
  </si>
  <si>
    <t/>
  </si>
  <si>
    <t>17</t>
  </si>
  <si>
    <t>ks</t>
  </si>
  <si>
    <t>Penetrace podkladu pod hydroizolační nátěr,vč.dod.</t>
  </si>
  <si>
    <t>98</t>
  </si>
  <si>
    <t>112</t>
  </si>
  <si>
    <t>Lešení a stavební výtahy</t>
  </si>
  <si>
    <t>21</t>
  </si>
  <si>
    <t>3,52*4,2+0,2*1,35</t>
  </si>
  <si>
    <t>Montáž prahů dveří jednokřídlových š. do 10 cm</t>
  </si>
  <si>
    <t>725860107R00</t>
  </si>
  <si>
    <t>979081111R00</t>
  </si>
  <si>
    <t>Úprava povrchů vnitřní</t>
  </si>
  <si>
    <t>Práce přesčas</t>
  </si>
  <si>
    <t>735119140R00</t>
  </si>
  <si>
    <t>61</t>
  </si>
  <si>
    <t>126</t>
  </si>
  <si>
    <t>124</t>
  </si>
  <si>
    <t>725991811R00</t>
  </si>
  <si>
    <t>781111111R00</t>
  </si>
  <si>
    <t>12</t>
  </si>
  <si>
    <t>295 841/CZ-00295841</t>
  </si>
  <si>
    <t>61187356</t>
  </si>
  <si>
    <t>Kulturní památka</t>
  </si>
  <si>
    <t>Odvoz suti a vybour. hmot na skládku do 1 km</t>
  </si>
  <si>
    <t>Bourání konstrukcí</t>
  </si>
  <si>
    <t>725840850R00</t>
  </si>
  <si>
    <t>((1.795+1.65)*2)*2.65+(0.35*2.1*2+0.35*1.1)</t>
  </si>
  <si>
    <t>Otopná tělesa</t>
  </si>
  <si>
    <t>725845111R00</t>
  </si>
  <si>
    <t>DPH 21%</t>
  </si>
  <si>
    <t>968061125R00</t>
  </si>
  <si>
    <t>134</t>
  </si>
  <si>
    <t>16,07*1,1</t>
  </si>
  <si>
    <t>721140935R00</t>
  </si>
  <si>
    <t>Vysávání podlah prům.vysavačem pod povlak.podlahy</t>
  </si>
  <si>
    <t>979990181R00</t>
  </si>
  <si>
    <t>725860811R00</t>
  </si>
  <si>
    <t>_</t>
  </si>
  <si>
    <t>ORN celkem z obj.</t>
  </si>
  <si>
    <t>Přesun hmot pro podlahy z dlaždic, výšky do 6 m</t>
  </si>
  <si>
    <t>49</t>
  </si>
  <si>
    <t>72</t>
  </si>
  <si>
    <t>Přesuny</t>
  </si>
  <si>
    <t>MAT</t>
  </si>
  <si>
    <t>725119305R00</t>
  </si>
  <si>
    <t>Přesun hmot pro izolace proti vodě, výšky do 6 m</t>
  </si>
  <si>
    <t>620991111R00</t>
  </si>
  <si>
    <t>70</t>
  </si>
  <si>
    <t>776</t>
  </si>
  <si>
    <t>597813620</t>
  </si>
  <si>
    <t>8</t>
  </si>
  <si>
    <t>Celkem:</t>
  </si>
  <si>
    <t>1,65*2+1,575*2+2,475*2+2*2*6+0,8*2*2+0,6*2</t>
  </si>
  <si>
    <t>722172631R00</t>
  </si>
  <si>
    <t>711212000RW2</t>
  </si>
  <si>
    <t>Mimostav. doprava</t>
  </si>
  <si>
    <t>Vyvedení a upevnění výpustek DN 15</t>
  </si>
  <si>
    <t>Nátěry</t>
  </si>
  <si>
    <t>18</t>
  </si>
  <si>
    <t>DN celkem z obj.</t>
  </si>
  <si>
    <t>Přesun hmot pro truhlářské konstr., výšky do 6 m</t>
  </si>
  <si>
    <t>Lešení lehké pomocné, výška podlahy do 1,9 m</t>
  </si>
  <si>
    <t>46</t>
  </si>
  <si>
    <t>781</t>
  </si>
  <si>
    <t>_76_</t>
  </si>
  <si>
    <t>Potrubí HT připojovací D 50 x 1,8 mm</t>
  </si>
  <si>
    <t>776101101R00</t>
  </si>
  <si>
    <t>Sifon pračkový HL404.1, D 40/50 mm nerezový</t>
  </si>
  <si>
    <t>725860222R00</t>
  </si>
  <si>
    <t>Baterie sprchová nástěnná ruční</t>
  </si>
  <si>
    <t>Podlahovina PVC  tl. 1,7 mm</t>
  </si>
  <si>
    <t>Proplach a dezinfekce vodovod.potrubí DN 80</t>
  </si>
  <si>
    <t>100</t>
  </si>
  <si>
    <t>108</t>
  </si>
  <si>
    <t>50</t>
  </si>
  <si>
    <t>Zkouška těsnosti kanalizace vodou DN 125</t>
  </si>
  <si>
    <t>Dveře vnitřní hladké plné 1 kříd. 60x197 lak A -OZN 1</t>
  </si>
  <si>
    <t>1,9+3,2+1</t>
  </si>
  <si>
    <t>725814125R00</t>
  </si>
  <si>
    <t>m</t>
  </si>
  <si>
    <t>11</t>
  </si>
  <si>
    <t>RTS II / 2022</t>
  </si>
  <si>
    <t>998725101R00</t>
  </si>
  <si>
    <t>32</t>
  </si>
  <si>
    <t>721290111R00</t>
  </si>
  <si>
    <t>Objednatel:</t>
  </si>
  <si>
    <t>998766101R00</t>
  </si>
  <si>
    <t>721176212R00</t>
  </si>
  <si>
    <t>721140802R00</t>
  </si>
  <si>
    <t>Uzávěrka zápachová umyvadlová T 1015,D 40</t>
  </si>
  <si>
    <t>641951111R00</t>
  </si>
  <si>
    <t>Odsekání vnitřních obkladů stěn</t>
  </si>
  <si>
    <t>Omítka rýh stěn MV o šířce do 15 cm, štuková</t>
  </si>
  <si>
    <t>PSV mat</t>
  </si>
  <si>
    <t>771579792R00</t>
  </si>
  <si>
    <t>59764231</t>
  </si>
  <si>
    <t>775411810R00</t>
  </si>
  <si>
    <t>Tlaková zkouška vodovodního potrubí DN 32</t>
  </si>
  <si>
    <t>Oprava-přeřezání ocelové trubky DN 25</t>
  </si>
  <si>
    <t>3</t>
  </si>
  <si>
    <t>711_</t>
  </si>
  <si>
    <t>102</t>
  </si>
  <si>
    <t>55428091.A</t>
  </si>
  <si>
    <t>Zhotovitel:</t>
  </si>
  <si>
    <t>Svislá doprava suti a vybour. hmot za 2.NP nošením</t>
  </si>
  <si>
    <t>%</t>
  </si>
  <si>
    <t>Oprava-stažení otopného tělesa</t>
  </si>
  <si>
    <t>Podlahy z dlaždic</t>
  </si>
  <si>
    <t>96_</t>
  </si>
  <si>
    <t>952901111R00</t>
  </si>
  <si>
    <t>784_</t>
  </si>
  <si>
    <t>Kontaktní nátěr pod omítky  bílý</t>
  </si>
  <si>
    <t>35</t>
  </si>
  <si>
    <t>Začátek výstavby:</t>
  </si>
  <si>
    <t>781111116R00</t>
  </si>
  <si>
    <t>koupelna a kuchyně</t>
  </si>
  <si>
    <t>Zakování dveří 1křídlých kompletizovaných</t>
  </si>
  <si>
    <t>A</t>
  </si>
  <si>
    <t>Izolace návleková MIRELON PRO tl. stěny 20 mm</t>
  </si>
  <si>
    <t>Mont mat</t>
  </si>
  <si>
    <t>722</t>
  </si>
  <si>
    <t>Slepý stavební rozpočet</t>
  </si>
  <si>
    <t>93</t>
  </si>
  <si>
    <t>Demontáž potrubí litinového DN 100</t>
  </si>
  <si>
    <t>Těsnicí pás do svislých koutů</t>
  </si>
  <si>
    <t>Potěr ze SMS Cemix, ruční zpracování, tl. 25 mm</t>
  </si>
  <si>
    <t>63_</t>
  </si>
  <si>
    <t>101</t>
  </si>
  <si>
    <t>612403399R00</t>
  </si>
  <si>
    <t>75</t>
  </si>
  <si>
    <t>54</t>
  </si>
  <si>
    <t xml:space="preserve"> </t>
  </si>
  <si>
    <t>2,47693-0,0294</t>
  </si>
  <si>
    <t>136</t>
  </si>
  <si>
    <t>2,47*5</t>
  </si>
  <si>
    <t>Montáž sprchových mís a vaniček</t>
  </si>
  <si>
    <t>Vnitrostaveništní doprava suti do 10 m, vč. sutě elektro a ZTI</t>
  </si>
  <si>
    <t>711212611RU1</t>
  </si>
  <si>
    <t>123</t>
  </si>
  <si>
    <t>Příplatek k obkladu stěn za plochu do 10 m2 jedntl</t>
  </si>
  <si>
    <t>781491001RT1</t>
  </si>
  <si>
    <t>3,5*2,475+1,5*0,15</t>
  </si>
  <si>
    <t>S0_</t>
  </si>
  <si>
    <t>Objednatel</t>
  </si>
  <si>
    <t>D+M kuchyňské linky vč. spižní skříně - OZN 3</t>
  </si>
  <si>
    <t>57</t>
  </si>
  <si>
    <t>Montáž baterií sprchových, pevná výška</t>
  </si>
  <si>
    <t>998711101R00</t>
  </si>
  <si>
    <t>(Kč)</t>
  </si>
  <si>
    <t>28412231</t>
  </si>
  <si>
    <t>22</t>
  </si>
  <si>
    <t>Umyvadlo na šrouby LYRA Plus , 55 x 45 cm, bílé</t>
  </si>
  <si>
    <t>115</t>
  </si>
  <si>
    <t>Odstranění PVC a koberců lepených bez podložky</t>
  </si>
  <si>
    <t>Územní vlivy</t>
  </si>
  <si>
    <t>Vyvěšení dřevěných dveřních křídel pl. do 2 m2</t>
  </si>
  <si>
    <t>Spára podlaha - stěna, silikonem</t>
  </si>
  <si>
    <t>Oprava-rozpojení otopného tělesa teplovodního</t>
  </si>
  <si>
    <t>m3</t>
  </si>
  <si>
    <t>725</t>
  </si>
  <si>
    <t>Demontáž podlah vlysových lepených</t>
  </si>
  <si>
    <t>_6_</t>
  </si>
  <si>
    <t>Podlahy, podlahové konstrukce</t>
  </si>
  <si>
    <t>781415016RT5</t>
  </si>
  <si>
    <t>Baterie dřezová stojánková ruční, bez otvír.odpadu</t>
  </si>
  <si>
    <t>766665921R00</t>
  </si>
  <si>
    <t>711212012R00</t>
  </si>
  <si>
    <t>Datum:</t>
  </si>
  <si>
    <t>3,525*4,2+1,5*0,15</t>
  </si>
  <si>
    <t>27</t>
  </si>
  <si>
    <t>37</t>
  </si>
  <si>
    <t>80</t>
  </si>
  <si>
    <t>m2</t>
  </si>
  <si>
    <t>41</t>
  </si>
  <si>
    <t>3,525*4,2+3,5*2,475+1,795*1,65</t>
  </si>
  <si>
    <t>722130913R00</t>
  </si>
  <si>
    <t>Montáž umyvadel na šrouby do zdiva</t>
  </si>
  <si>
    <t>Přesun hmot a sutí</t>
  </si>
  <si>
    <t>NUS z rozpočtu</t>
  </si>
  <si>
    <t>(3.5+2.475)*2*2.65+0.2*(1.5+1.35*2)</t>
  </si>
  <si>
    <t>1</t>
  </si>
  <si>
    <t>45646597/</t>
  </si>
  <si>
    <t>784402801R00</t>
  </si>
  <si>
    <t>7</t>
  </si>
  <si>
    <t>Rozměry</t>
  </si>
  <si>
    <t>722130801R00IM</t>
  </si>
  <si>
    <t>Potrubí HT připojovací D 110 x 2,7 mm</t>
  </si>
  <si>
    <t>74</t>
  </si>
  <si>
    <t>Položek:</t>
  </si>
  <si>
    <t>Baterie umyvadlová nástěnná ruční</t>
  </si>
  <si>
    <t>NUS celkem</t>
  </si>
  <si>
    <t>WORK</t>
  </si>
  <si>
    <t>Příplatek za podlahy keram.v omezeném prostoru</t>
  </si>
  <si>
    <t>131</t>
  </si>
  <si>
    <t>Montáž obkladů stěn, porovin.,tmel, nad 20x25 cm</t>
  </si>
  <si>
    <t>979082111R00</t>
  </si>
  <si>
    <t>83</t>
  </si>
  <si>
    <t>Vyrovnání podkladů samonivel. hmotou pod dlažbu</t>
  </si>
  <si>
    <t>5,36</t>
  </si>
  <si>
    <t>771_</t>
  </si>
  <si>
    <t>Výplně otvorů</t>
  </si>
  <si>
    <t>54914591</t>
  </si>
  <si>
    <t>114</t>
  </si>
  <si>
    <t>Ostatní rozpočtové náklady ORN</t>
  </si>
  <si>
    <t>Demontáž prahů dveří 1křídlových</t>
  </si>
  <si>
    <t>941955002R00</t>
  </si>
  <si>
    <t>47</t>
  </si>
  <si>
    <t>735</t>
  </si>
  <si>
    <t>Demontáž kuchyňských linek do 2,1 m</t>
  </si>
  <si>
    <t>601011193R00</t>
  </si>
  <si>
    <t>HSV mat</t>
  </si>
  <si>
    <t>Kč</t>
  </si>
  <si>
    <t>27,3*1,1</t>
  </si>
  <si>
    <t>Poplatek za skládku suti - směs betonu,cihel,obkladaček a ker.  dlaždic ceník AVE 170904</t>
  </si>
  <si>
    <t>66</t>
  </si>
  <si>
    <t>725110811R00</t>
  </si>
  <si>
    <t>Celkem VRN</t>
  </si>
  <si>
    <t>Hydroizolační povlak vyztužený tkaninou</t>
  </si>
  <si>
    <t>Vybourání vodovod., plynového vedení DN do 52 mm</t>
  </si>
  <si>
    <t>H99</t>
  </si>
  <si>
    <t>90</t>
  </si>
  <si>
    <t>89</t>
  </si>
  <si>
    <t>725823114RT1</t>
  </si>
  <si>
    <t>Přesun hmot pro opravy a údržbu do výšky 12 m</t>
  </si>
  <si>
    <t>Očištění zárubní před nátěrem</t>
  </si>
  <si>
    <t>979011211R00</t>
  </si>
  <si>
    <t>Ostatní rozpočtové náklady (ORN)</t>
  </si>
  <si>
    <t>725810402R00</t>
  </si>
  <si>
    <t>Malba  bílá, bez penetrace, 2 x</t>
  </si>
  <si>
    <t>koupelna podlaha</t>
  </si>
  <si>
    <t>-(1.5*1.3)-0,8*1,97</t>
  </si>
  <si>
    <t>Celkem DN</t>
  </si>
  <si>
    <t>88</t>
  </si>
  <si>
    <t>230120046R00</t>
  </si>
  <si>
    <t>Vyvedení odpadních výpustek D 40 x 1,8</t>
  </si>
  <si>
    <t>(1,575+1,65)*2-0,7+0,9*2</t>
  </si>
  <si>
    <t>Zkrácený popis</t>
  </si>
  <si>
    <t>28</t>
  </si>
  <si>
    <t>111</t>
  </si>
  <si>
    <t>Bourání mazanin betonových  tl. 10 cm, pl. 4 m2</t>
  </si>
  <si>
    <t>771</t>
  </si>
  <si>
    <t>(1,575+1,65)*2*(2,65-1,9)</t>
  </si>
  <si>
    <t>CELK</t>
  </si>
  <si>
    <t>59760150.A</t>
  </si>
  <si>
    <t>113</t>
  </si>
  <si>
    <t>Přesun hmot pro zařizovací předměty, výšky do 6 m</t>
  </si>
  <si>
    <t>106</t>
  </si>
  <si>
    <t>94_</t>
  </si>
  <si>
    <t>konzola na závěs do sprchy</t>
  </si>
  <si>
    <t>735110914R00</t>
  </si>
  <si>
    <t>65</t>
  </si>
  <si>
    <t>Prorážení otvorů a ostatní bourací práce</t>
  </si>
  <si>
    <t>34</t>
  </si>
  <si>
    <t>Potrubí z PPR Instaplast, teplá, D 20x3,4 mm</t>
  </si>
  <si>
    <t>62</t>
  </si>
  <si>
    <t>0,5</t>
  </si>
  <si>
    <t>_71_</t>
  </si>
  <si>
    <t>Doplňkové náklady DN</t>
  </si>
  <si>
    <t>55423032.A</t>
  </si>
  <si>
    <t>Izolace proti vodě</t>
  </si>
  <si>
    <t>HZS</t>
  </si>
  <si>
    <t>771578011RT1</t>
  </si>
  <si>
    <t>Lepení podlahových soklíků z MDF KP 40*18mm včetně dodávky</t>
  </si>
  <si>
    <t>61187396</t>
  </si>
  <si>
    <t>Demontáž potrubí ocelových závitových DN 25</t>
  </si>
  <si>
    <t>Vnitřní kanalizace</t>
  </si>
  <si>
    <t>Oprava bytu Brodská 1876/27, 1936/35, 1932/43 a Revoluční 1871/30 - velikost 1+1</t>
  </si>
  <si>
    <t>Brodská 27/2, 27/13, 27/29, 35/24, 35/34, 43/16, Revoluční 30/1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</si>
</sst>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61">
    <font>
      <sz val="7"/>
      <name val="Arial"/>
      <family val="0"/>
    </font>
    <font>
      <sz val="11"/>
      <name val="Arial"/>
      <family val="0"/>
    </font>
    <font>
      <sz val="11"/>
      <name val="Calibri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8"/>
      <name val="Arial"/>
      <family val="0"/>
    </font>
    <font>
      <i/>
      <sz val="10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"/>
      <family val="0"/>
    </font>
    <font>
      <i/>
      <sz val="8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000000"/>
      <name val="Arial"/>
      <family val="0"/>
    </font>
    <font>
      <b/>
      <sz val="10"/>
      <color rgb="FF000000"/>
      <name val="Arial"/>
      <family val="0"/>
    </font>
    <font>
      <sz val="10"/>
      <color rgb="FF000080"/>
      <name val="Arial"/>
      <family val="0"/>
    </font>
    <font>
      <i/>
      <sz val="10"/>
      <color rgb="FF000000"/>
      <name val="Arial"/>
      <family val="0"/>
    </font>
    <font>
      <b/>
      <sz val="20"/>
      <color rgb="FF000000"/>
      <name val="Arial"/>
      <family val="0"/>
    </font>
    <font>
      <b/>
      <sz val="12"/>
      <color rgb="FF000000"/>
      <name val="Arial"/>
      <family val="0"/>
    </font>
    <font>
      <sz val="12"/>
      <color rgb="FF000000"/>
      <name val="Arial"/>
      <family val="0"/>
    </font>
    <font>
      <sz val="10"/>
      <color rgb="FFFF0000"/>
      <name val="Arial"/>
      <family val="0"/>
    </font>
    <font>
      <i/>
      <sz val="8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/>
      <top/>
      <bottom>
        <color rgb="FFC0C0C0"/>
      </bottom>
    </border>
    <border>
      <left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C0C0C0"/>
      </left>
      <right style="thin">
        <color rgb="FFC0C0C0"/>
      </right>
      <top>
        <color rgb="FFC0C0C0"/>
      </top>
      <bottom>
        <color rgb="FFC0C0C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8">
    <xf numFmtId="0" fontId="2" fillId="0" borderId="0" xfId="0" applyNumberFormat="1" applyFont="1" applyFill="1" applyBorder="1" applyAlignment="1" applyProtection="1">
      <alignment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34" borderId="12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center" vertical="center"/>
      <protection/>
    </xf>
    <xf numFmtId="0" fontId="51" fillId="33" borderId="14" xfId="0" applyNumberFormat="1" applyFont="1" applyFill="1" applyBorder="1" applyAlignment="1" applyProtection="1">
      <alignment horizontal="left" vertical="center"/>
      <protection/>
    </xf>
    <xf numFmtId="4" fontId="50" fillId="0" borderId="15" xfId="0" applyNumberFormat="1" applyFont="1" applyFill="1" applyBorder="1" applyAlignment="1" applyProtection="1">
      <alignment horizontal="right" vertical="center"/>
      <protection/>
    </xf>
    <xf numFmtId="0" fontId="52" fillId="0" borderId="0" xfId="0" applyNumberFormat="1" applyFont="1" applyFill="1" applyBorder="1" applyAlignment="1" applyProtection="1">
      <alignment horizontal="left" vertical="center"/>
      <protection/>
    </xf>
    <xf numFmtId="0" fontId="53" fillId="34" borderId="16" xfId="0" applyNumberFormat="1" applyFont="1" applyFill="1" applyBorder="1" applyAlignment="1" applyProtection="1">
      <alignment horizontal="center" vertical="center"/>
      <protection/>
    </xf>
    <xf numFmtId="0" fontId="50" fillId="0" borderId="17" xfId="0" applyNumberFormat="1" applyFont="1" applyFill="1" applyBorder="1" applyAlignment="1" applyProtection="1">
      <alignment horizontal="center" vertical="center"/>
      <protection/>
    </xf>
    <xf numFmtId="0" fontId="49" fillId="0" borderId="18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right" vertical="center"/>
      <protection/>
    </xf>
    <xf numFmtId="4" fontId="49" fillId="0" borderId="11" xfId="0" applyNumberFormat="1" applyFont="1" applyFill="1" applyBorder="1" applyAlignment="1" applyProtection="1">
      <alignment horizontal="right" vertical="center"/>
      <protection/>
    </xf>
    <xf numFmtId="0" fontId="50" fillId="34" borderId="11" xfId="0" applyNumberFormat="1" applyFont="1" applyFill="1" applyBorder="1" applyAlignment="1" applyProtection="1">
      <alignment horizontal="right" vertical="center"/>
      <protection/>
    </xf>
    <xf numFmtId="0" fontId="50" fillId="0" borderId="17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2" fillId="0" borderId="12" xfId="0" applyNumberFormat="1" applyFont="1" applyFill="1" applyBorder="1" applyAlignment="1" applyProtection="1">
      <alignment/>
      <protection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4" fontId="51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1" fillId="33" borderId="21" xfId="0" applyNumberFormat="1" applyFont="1" applyFill="1" applyBorder="1" applyAlignment="1" applyProtection="1">
      <alignment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4" fontId="54" fillId="34" borderId="16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21" xfId="0" applyNumberFormat="1" applyFont="1" applyFill="1" applyBorder="1" applyAlignment="1" applyProtection="1">
      <alignment horizontal="right" vertical="center"/>
      <protection/>
    </xf>
    <xf numFmtId="0" fontId="50" fillId="35" borderId="0" xfId="0" applyNumberFormat="1" applyFont="1" applyFill="1" applyBorder="1" applyAlignment="1" applyProtection="1">
      <alignment horizontal="left" vertical="center"/>
      <protection/>
    </xf>
    <xf numFmtId="0" fontId="49" fillId="33" borderId="21" xfId="0" applyNumberFormat="1" applyFont="1" applyFill="1" applyBorder="1" applyAlignment="1" applyProtection="1">
      <alignment horizontal="righ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right" vertical="center"/>
      <protection/>
    </xf>
    <xf numFmtId="0" fontId="1" fillId="33" borderId="14" xfId="0" applyNumberFormat="1" applyFont="1" applyFill="1" applyBorder="1" applyAlignment="1" applyProtection="1">
      <alignment/>
      <protection/>
    </xf>
    <xf numFmtId="4" fontId="49" fillId="0" borderId="20" xfId="0" applyNumberFormat="1" applyFont="1" applyFill="1" applyBorder="1" applyAlignment="1" applyProtection="1">
      <alignment horizontal="right" vertical="center"/>
      <protection/>
    </xf>
    <xf numFmtId="0" fontId="49" fillId="34" borderId="12" xfId="0" applyNumberFormat="1" applyFont="1" applyFill="1" applyBorder="1" applyAlignment="1" applyProtection="1">
      <alignment horizontal="left" vertical="center"/>
      <protection/>
    </xf>
    <xf numFmtId="0" fontId="54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50" fillId="0" borderId="15" xfId="0" applyNumberFormat="1" applyFont="1" applyFill="1" applyBorder="1" applyAlignment="1" applyProtection="1">
      <alignment horizontal="right" vertical="center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50" fillId="0" borderId="24" xfId="0" applyNumberFormat="1" applyFont="1" applyFill="1" applyBorder="1" applyAlignment="1" applyProtection="1">
      <alignment horizontal="left" vertical="center"/>
      <protection/>
    </xf>
    <xf numFmtId="4" fontId="52" fillId="33" borderId="0" xfId="0" applyNumberFormat="1" applyFont="1" applyFill="1" applyBorder="1" applyAlignment="1" applyProtection="1">
      <alignment horizontal="right" vertical="center"/>
      <protection/>
    </xf>
    <xf numFmtId="0" fontId="51" fillId="0" borderId="11" xfId="0" applyNumberFormat="1" applyFont="1" applyFill="1" applyBorder="1" applyAlignment="1" applyProtection="1">
      <alignment horizontal="right" vertical="center"/>
      <protection/>
    </xf>
    <xf numFmtId="0" fontId="55" fillId="0" borderId="11" xfId="0" applyNumberFormat="1" applyFont="1" applyFill="1" applyBorder="1" applyAlignment="1" applyProtection="1">
      <alignment horizontal="right" vertical="center"/>
      <protection/>
    </xf>
    <xf numFmtId="4" fontId="56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4" fillId="0" borderId="25" xfId="0" applyNumberFormat="1" applyFont="1" applyFill="1" applyBorder="1" applyAlignment="1" applyProtection="1">
      <alignment horizontal="left" vertical="center"/>
      <protection/>
    </xf>
    <xf numFmtId="0" fontId="49" fillId="33" borderId="14" xfId="0" applyNumberFormat="1" applyFont="1" applyFill="1" applyBorder="1" applyAlignment="1" applyProtection="1">
      <alignment horizontal="left" vertical="center"/>
      <protection/>
    </xf>
    <xf numFmtId="4" fontId="55" fillId="0" borderId="23" xfId="0" applyNumberFormat="1" applyFont="1" applyFill="1" applyBorder="1" applyAlignment="1" applyProtection="1">
      <alignment horizontal="righ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0" fontId="51" fillId="33" borderId="21" xfId="0" applyNumberFormat="1" applyFont="1" applyFill="1" applyBorder="1" applyAlignment="1" applyProtection="1">
      <alignment horizontal="right" vertical="center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0" fontId="49" fillId="34" borderId="12" xfId="0" applyNumberFormat="1" applyFont="1" applyFill="1" applyBorder="1" applyAlignment="1" applyProtection="1">
      <alignment horizontal="left" vertical="center"/>
      <protection/>
    </xf>
    <xf numFmtId="0" fontId="57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18" xfId="0" applyNumberFormat="1" applyFont="1" applyFill="1" applyBorder="1" applyAlignment="1" applyProtection="1">
      <alignment horizontal="center" vertical="center"/>
      <protection/>
    </xf>
    <xf numFmtId="0" fontId="1" fillId="33" borderId="0" xfId="0" applyNumberFormat="1" applyFont="1" applyFill="1" applyBorder="1" applyAlignment="1" applyProtection="1">
      <alignment/>
      <protection/>
    </xf>
    <xf numFmtId="0" fontId="50" fillId="34" borderId="11" xfId="0" applyNumberFormat="1" applyFont="1" applyFill="1" applyBorder="1" applyAlignment="1" applyProtection="1">
      <alignment horizontal="right" vertical="center"/>
      <protection/>
    </xf>
    <xf numFmtId="4" fontId="50" fillId="35" borderId="0" xfId="0" applyNumberFormat="1" applyFont="1" applyFill="1" applyBorder="1" applyAlignment="1" applyProtection="1">
      <alignment horizontal="righ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4" fontId="52" fillId="0" borderId="0" xfId="0" applyNumberFormat="1" applyFont="1" applyFill="1" applyBorder="1" applyAlignment="1" applyProtection="1">
      <alignment horizontal="right" vertical="center"/>
      <protection/>
    </xf>
    <xf numFmtId="4" fontId="55" fillId="0" borderId="11" xfId="0" applyNumberFormat="1" applyFont="1" applyFill="1" applyBorder="1" applyAlignment="1" applyProtection="1">
      <alignment horizontal="right" vertical="center"/>
      <protection/>
    </xf>
    <xf numFmtId="0" fontId="49" fillId="34" borderId="0" xfId="0" applyNumberFormat="1" applyFont="1" applyFill="1" applyBorder="1" applyAlignment="1" applyProtection="1">
      <alignment horizontal="left" vertical="center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0" fontId="55" fillId="0" borderId="23" xfId="0" applyNumberFormat="1" applyFont="1" applyFill="1" applyBorder="1" applyAlignment="1" applyProtection="1">
      <alignment horizontal="left" vertical="center"/>
      <protection/>
    </xf>
    <xf numFmtId="4" fontId="50" fillId="34" borderId="0" xfId="0" applyNumberFormat="1" applyFont="1" applyFill="1" applyBorder="1" applyAlignment="1" applyProtection="1">
      <alignment horizontal="right" vertical="center"/>
      <protection/>
    </xf>
    <xf numFmtId="0" fontId="50" fillId="34" borderId="0" xfId="0" applyNumberFormat="1" applyFont="1" applyFill="1" applyBorder="1" applyAlignment="1" applyProtection="1">
      <alignment horizontal="right" vertical="center"/>
      <protection/>
    </xf>
    <xf numFmtId="4" fontId="50" fillId="34" borderId="0" xfId="0" applyNumberFormat="1" applyFont="1" applyFill="1" applyBorder="1" applyAlignment="1" applyProtection="1">
      <alignment horizontal="right" vertical="center"/>
      <protection/>
    </xf>
    <xf numFmtId="0" fontId="49" fillId="35" borderId="0" xfId="0" applyNumberFormat="1" applyFont="1" applyFill="1" applyBorder="1" applyAlignment="1" applyProtection="1">
      <alignment horizontal="left" vertical="center"/>
      <protection/>
    </xf>
    <xf numFmtId="0" fontId="50" fillId="0" borderId="26" xfId="0" applyNumberFormat="1" applyFont="1" applyFill="1" applyBorder="1" applyAlignment="1" applyProtection="1">
      <alignment horizontal="center" vertical="center"/>
      <protection/>
    </xf>
    <xf numFmtId="4" fontId="50" fillId="0" borderId="0" xfId="0" applyNumberFormat="1" applyFont="1" applyFill="1" applyBorder="1" applyAlignment="1" applyProtection="1">
      <alignment horizontal="righ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49" fillId="35" borderId="14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4" fontId="50" fillId="34" borderId="0" xfId="0" applyNumberFormat="1" applyFont="1" applyFill="1" applyBorder="1" applyAlignment="1" applyProtection="1">
      <alignment horizontal="right" vertical="center"/>
      <protection/>
    </xf>
    <xf numFmtId="0" fontId="56" fillId="0" borderId="11" xfId="0" applyNumberFormat="1" applyFont="1" applyFill="1" applyBorder="1" applyAlignment="1" applyProtection="1">
      <alignment horizontal="right" vertical="center"/>
      <protection/>
    </xf>
    <xf numFmtId="0" fontId="49" fillId="34" borderId="12" xfId="0" applyNumberFormat="1" applyFont="1" applyFill="1" applyBorder="1" applyAlignment="1" applyProtection="1">
      <alignment horizontal="left" vertical="center"/>
      <protection/>
    </xf>
    <xf numFmtId="0" fontId="50" fillId="0" borderId="27" xfId="0" applyNumberFormat="1" applyFont="1" applyFill="1" applyBorder="1" applyAlignment="1" applyProtection="1">
      <alignment horizontal="center" vertical="center"/>
      <protection/>
    </xf>
    <xf numFmtId="4" fontId="50" fillId="34" borderId="0" xfId="0" applyNumberFormat="1" applyFont="1" applyFill="1" applyBorder="1" applyAlignment="1" applyProtection="1">
      <alignment horizontal="right" vertical="center"/>
      <protection/>
    </xf>
    <xf numFmtId="0" fontId="56" fillId="0" borderId="12" xfId="0" applyNumberFormat="1" applyFont="1" applyFill="1" applyBorder="1" applyAlignment="1" applyProtection="1">
      <alignment horizontal="left" vertical="center"/>
      <protection/>
    </xf>
    <xf numFmtId="4" fontId="55" fillId="0" borderId="13" xfId="0" applyNumberFormat="1" applyFont="1" applyFill="1" applyBorder="1" applyAlignment="1" applyProtection="1">
      <alignment horizontal="right" vertical="center"/>
      <protection/>
    </xf>
    <xf numFmtId="0" fontId="50" fillId="0" borderId="28" xfId="0" applyNumberFormat="1" applyFont="1" applyFill="1" applyBorder="1" applyAlignment="1" applyProtection="1">
      <alignment horizontal="center" vertical="center"/>
      <protection/>
    </xf>
    <xf numFmtId="4" fontId="51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12" xfId="0" applyNumberFormat="1" applyFont="1" applyFill="1" applyBorder="1" applyAlignment="1" applyProtection="1">
      <alignment horizontal="left" vertical="center"/>
      <protection/>
    </xf>
    <xf numFmtId="4" fontId="49" fillId="0" borderId="23" xfId="0" applyNumberFormat="1" applyFont="1" applyFill="1" applyBorder="1" applyAlignment="1" applyProtection="1">
      <alignment horizontal="right" vertical="center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0" fontId="50" fillId="34" borderId="11" xfId="0" applyNumberFormat="1" applyFont="1" applyFill="1" applyBorder="1" applyAlignment="1" applyProtection="1">
      <alignment horizontal="right" vertical="center"/>
      <protection/>
    </xf>
    <xf numFmtId="0" fontId="49" fillId="35" borderId="0" xfId="0" applyNumberFormat="1" applyFont="1" applyFill="1" applyBorder="1" applyAlignment="1" applyProtection="1">
      <alignment horizontal="left" vertical="center"/>
      <protection/>
    </xf>
    <xf numFmtId="0" fontId="49" fillId="33" borderId="14" xfId="0" applyNumberFormat="1" applyFont="1" applyFill="1" applyBorder="1" applyAlignment="1" applyProtection="1">
      <alignment horizontal="left" vertical="center"/>
      <protection/>
    </xf>
    <xf numFmtId="0" fontId="50" fillId="34" borderId="11" xfId="0" applyNumberFormat="1" applyFont="1" applyFill="1" applyBorder="1" applyAlignment="1" applyProtection="1">
      <alignment horizontal="right" vertical="center"/>
      <protection/>
    </xf>
    <xf numFmtId="0" fontId="51" fillId="33" borderId="0" xfId="0" applyNumberFormat="1" applyFont="1" applyFill="1" applyBorder="1" applyAlignment="1" applyProtection="1">
      <alignment horizontal="left" vertical="center"/>
      <protection/>
    </xf>
    <xf numFmtId="4" fontId="50" fillId="35" borderId="0" xfId="0" applyNumberFormat="1" applyFont="1" applyFill="1" applyBorder="1" applyAlignment="1" applyProtection="1">
      <alignment horizontal="right" vertical="center"/>
      <protection/>
    </xf>
    <xf numFmtId="0" fontId="50" fillId="35" borderId="0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49" fillId="0" borderId="13" xfId="0" applyNumberFormat="1" applyFont="1" applyFill="1" applyBorder="1" applyAlignment="1" applyProtection="1">
      <alignment horizontal="left" vertical="center"/>
      <protection/>
    </xf>
    <xf numFmtId="0" fontId="53" fillId="34" borderId="29" xfId="0" applyNumberFormat="1" applyFont="1" applyFill="1" applyBorder="1" applyAlignment="1" applyProtection="1">
      <alignment horizontal="center" vertical="center"/>
      <protection/>
    </xf>
    <xf numFmtId="0" fontId="50" fillId="0" borderId="30" xfId="0" applyNumberFormat="1" applyFont="1" applyFill="1" applyBorder="1" applyAlignment="1" applyProtection="1">
      <alignment horizontal="center" vertical="center"/>
      <protection/>
    </xf>
    <xf numFmtId="0" fontId="52" fillId="33" borderId="0" xfId="0" applyNumberFormat="1" applyFont="1" applyFill="1" applyBorder="1" applyAlignment="1" applyProtection="1">
      <alignment horizontal="left" vertical="center"/>
      <protection/>
    </xf>
    <xf numFmtId="0" fontId="49" fillId="35" borderId="14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right" vertical="center"/>
      <protection/>
    </xf>
    <xf numFmtId="0" fontId="50" fillId="35" borderId="21" xfId="0" applyNumberFormat="1" applyFont="1" applyFill="1" applyBorder="1" applyAlignment="1" applyProtection="1">
      <alignment horizontal="right" vertical="center"/>
      <protection/>
    </xf>
    <xf numFmtId="0" fontId="55" fillId="0" borderId="23" xfId="0" applyNumberFormat="1" applyFont="1" applyFill="1" applyBorder="1" applyAlignment="1" applyProtection="1">
      <alignment horizontal="righ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/>
    </xf>
    <xf numFmtId="0" fontId="49" fillId="0" borderId="23" xfId="0" applyNumberFormat="1" applyFont="1" applyFill="1" applyBorder="1" applyAlignment="1" applyProtection="1">
      <alignment horizontal="right" vertical="center"/>
      <protection/>
    </xf>
    <xf numFmtId="0" fontId="50" fillId="35" borderId="21" xfId="0" applyNumberFormat="1" applyFont="1" applyFill="1" applyBorder="1" applyAlignment="1" applyProtection="1">
      <alignment horizontal="right" vertical="center"/>
      <protection/>
    </xf>
    <xf numFmtId="4" fontId="55" fillId="0" borderId="16" xfId="0" applyNumberFormat="1" applyFont="1" applyFill="1" applyBorder="1" applyAlignment="1" applyProtection="1">
      <alignment horizontal="right" vertical="center"/>
      <protection/>
    </xf>
    <xf numFmtId="4" fontId="54" fillId="34" borderId="23" xfId="0" applyNumberFormat="1" applyFont="1" applyFill="1" applyBorder="1" applyAlignment="1" applyProtection="1">
      <alignment horizontal="right" vertical="center"/>
      <protection/>
    </xf>
    <xf numFmtId="0" fontId="52" fillId="33" borderId="0" xfId="0" applyNumberFormat="1" applyFont="1" applyFill="1" applyBorder="1" applyAlignment="1" applyProtection="1">
      <alignment horizontal="left" vertical="center"/>
      <protection/>
    </xf>
    <xf numFmtId="0" fontId="55" fillId="0" borderId="27" xfId="0" applyNumberFormat="1" applyFont="1" applyFill="1" applyBorder="1" applyAlignment="1" applyProtection="1">
      <alignment horizontal="left" vertical="center"/>
      <protection/>
    </xf>
    <xf numFmtId="0" fontId="55" fillId="0" borderId="28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31" xfId="0" applyNumberFormat="1" applyFont="1" applyFill="1" applyBorder="1" applyAlignment="1" applyProtection="1">
      <alignment horizontal="left" vertical="center"/>
      <protection/>
    </xf>
    <xf numFmtId="0" fontId="55" fillId="0" borderId="30" xfId="0" applyNumberFormat="1" applyFont="1" applyFill="1" applyBorder="1" applyAlignment="1" applyProtection="1">
      <alignment horizontal="left" vertical="center"/>
      <protection/>
    </xf>
    <xf numFmtId="0" fontId="55" fillId="0" borderId="26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32" xfId="0" applyNumberFormat="1" applyFont="1" applyFill="1" applyBorder="1" applyAlignment="1" applyProtection="1">
      <alignment horizontal="left" vertical="center"/>
      <protection/>
    </xf>
    <xf numFmtId="0" fontId="55" fillId="0" borderId="33" xfId="0" applyNumberFormat="1" applyFont="1" applyFill="1" applyBorder="1" applyAlignment="1" applyProtection="1">
      <alignment horizontal="left" vertical="center"/>
      <protection/>
    </xf>
    <xf numFmtId="0" fontId="55" fillId="0" borderId="34" xfId="0" applyNumberFormat="1" applyFont="1" applyFill="1" applyBorder="1" applyAlignment="1" applyProtection="1">
      <alignment horizontal="left" vertical="center"/>
      <protection/>
    </xf>
    <xf numFmtId="0" fontId="54" fillId="34" borderId="35" xfId="0" applyNumberFormat="1" applyFont="1" applyFill="1" applyBorder="1" applyAlignment="1" applyProtection="1">
      <alignment horizontal="left" vertical="center"/>
      <protection/>
    </xf>
    <xf numFmtId="0" fontId="54" fillId="34" borderId="36" xfId="0" applyNumberFormat="1" applyFont="1" applyFill="1" applyBorder="1" applyAlignment="1" applyProtection="1">
      <alignment horizontal="left" vertical="center"/>
      <protection/>
    </xf>
    <xf numFmtId="0" fontId="54" fillId="34" borderId="10" xfId="0" applyNumberFormat="1" applyFont="1" applyFill="1" applyBorder="1" applyAlignment="1" applyProtection="1">
      <alignment horizontal="left" vertical="center"/>
      <protection/>
    </xf>
    <xf numFmtId="0" fontId="54" fillId="34" borderId="20" xfId="0" applyNumberFormat="1" applyFont="1" applyFill="1" applyBorder="1" applyAlignment="1" applyProtection="1">
      <alignment horizontal="left" vertical="center"/>
      <protection/>
    </xf>
    <xf numFmtId="0" fontId="55" fillId="0" borderId="20" xfId="0" applyNumberFormat="1" applyFont="1" applyFill="1" applyBorder="1" applyAlignment="1" applyProtection="1">
      <alignment horizontal="left" vertical="center"/>
      <protection/>
    </xf>
    <xf numFmtId="0" fontId="55" fillId="0" borderId="23" xfId="0" applyNumberFormat="1" applyFont="1" applyFill="1" applyBorder="1" applyAlignment="1" applyProtection="1">
      <alignment horizontal="left" vertical="center"/>
      <protection/>
    </xf>
    <xf numFmtId="0" fontId="55" fillId="0" borderId="11" xfId="0" applyNumberFormat="1" applyFont="1" applyFill="1" applyBorder="1" applyAlignment="1" applyProtection="1">
      <alignment horizontal="left" vertical="center"/>
      <protection/>
    </xf>
    <xf numFmtId="0" fontId="54" fillId="0" borderId="36" xfId="0" applyNumberFormat="1" applyFont="1" applyFill="1" applyBorder="1" applyAlignment="1" applyProtection="1">
      <alignment horizontal="left" vertical="center"/>
      <protection/>
    </xf>
    <xf numFmtId="0" fontId="54" fillId="0" borderId="16" xfId="0" applyNumberFormat="1" applyFont="1" applyFill="1" applyBorder="1" applyAlignment="1" applyProtection="1">
      <alignment horizontal="left" vertical="center"/>
      <protection/>
    </xf>
    <xf numFmtId="0" fontId="54" fillId="0" borderId="20" xfId="0" applyNumberFormat="1" applyFont="1" applyFill="1" applyBorder="1" applyAlignment="1" applyProtection="1">
      <alignment horizontal="left" vertical="center"/>
      <protection/>
    </xf>
    <xf numFmtId="0" fontId="54" fillId="0" borderId="23" xfId="0" applyNumberFormat="1" applyFont="1" applyFill="1" applyBorder="1" applyAlignment="1" applyProtection="1">
      <alignment horizontal="left" vertical="center"/>
      <protection/>
    </xf>
    <xf numFmtId="0" fontId="54" fillId="0" borderId="10" xfId="0" applyNumberFormat="1" applyFont="1" applyFill="1" applyBorder="1" applyAlignment="1" applyProtection="1">
      <alignment horizontal="left" vertical="center"/>
      <protection/>
    </xf>
    <xf numFmtId="0" fontId="58" fillId="0" borderId="36" xfId="0" applyNumberFormat="1" applyFont="1" applyFill="1" applyBorder="1" applyAlignment="1" applyProtection="1">
      <alignment horizontal="left" vertical="center"/>
      <protection/>
    </xf>
    <xf numFmtId="0" fontId="58" fillId="0" borderId="16" xfId="0" applyNumberFormat="1" applyFont="1" applyFill="1" applyBorder="1" applyAlignment="1" applyProtection="1">
      <alignment horizontal="left" vertical="center"/>
      <protection/>
    </xf>
    <xf numFmtId="0" fontId="54" fillId="0" borderId="12" xfId="0" applyNumberFormat="1" applyFont="1" applyFill="1" applyBorder="1" applyAlignment="1" applyProtection="1">
      <alignment horizontal="left" vertical="center"/>
      <protection/>
    </xf>
    <xf numFmtId="0" fontId="54" fillId="0" borderId="11" xfId="0" applyNumberFormat="1" applyFont="1" applyFill="1" applyBorder="1" applyAlignment="1" applyProtection="1">
      <alignment horizontal="left" vertical="center"/>
      <protection/>
    </xf>
    <xf numFmtId="0" fontId="54" fillId="0" borderId="35" xfId="0" applyNumberFormat="1" applyFont="1" applyFill="1" applyBorder="1" applyAlignment="1" applyProtection="1">
      <alignment horizontal="left" vertical="center"/>
      <protection/>
    </xf>
    <xf numFmtId="0" fontId="49" fillId="0" borderId="37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1" fontId="49" fillId="0" borderId="11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 wrapText="1"/>
      <protection/>
    </xf>
    <xf numFmtId="0" fontId="49" fillId="0" borderId="23" xfId="0" applyNumberFormat="1" applyFont="1" applyFill="1" applyBorder="1" applyAlignment="1" applyProtection="1">
      <alignment horizontal="left" vertical="center"/>
      <protection/>
    </xf>
    <xf numFmtId="0" fontId="59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8" xfId="0" applyNumberFormat="1" applyFont="1" applyFill="1" applyBorder="1" applyAlignment="1" applyProtection="1">
      <alignment horizontal="left" vertical="center" wrapText="1"/>
      <protection/>
    </xf>
    <xf numFmtId="0" fontId="49" fillId="0" borderId="38" xfId="0" applyNumberFormat="1" applyFont="1" applyFill="1" applyBorder="1" applyAlignment="1" applyProtection="1">
      <alignment horizontal="left" vertical="center"/>
      <protection/>
    </xf>
    <xf numFmtId="0" fontId="49" fillId="0" borderId="20" xfId="0" applyNumberFormat="1" applyFont="1" applyFill="1" applyBorder="1" applyAlignment="1" applyProtection="1">
      <alignment horizontal="left" vertical="center"/>
      <protection/>
    </xf>
    <xf numFmtId="0" fontId="50" fillId="0" borderId="38" xfId="0" applyNumberFormat="1" applyFont="1" applyFill="1" applyBorder="1" applyAlignment="1" applyProtection="1">
      <alignment horizontal="left" vertical="center" wrapText="1"/>
      <protection/>
    </xf>
    <xf numFmtId="0" fontId="50" fillId="0" borderId="38" xfId="0" applyNumberFormat="1" applyFont="1" applyFill="1" applyBorder="1" applyAlignment="1" applyProtection="1">
      <alignment horizontal="lef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60" fillId="0" borderId="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0" applyNumberFormat="1" applyFont="1" applyFill="1" applyBorder="1" applyAlignment="1" applyProtection="1">
      <alignment horizontal="center" vertical="center"/>
      <protection/>
    </xf>
    <xf numFmtId="0" fontId="49" fillId="0" borderId="39" xfId="0" applyNumberFormat="1" applyFont="1" applyFill="1" applyBorder="1" applyAlignment="1" applyProtection="1">
      <alignment horizontal="left" vertical="center" wrapText="1"/>
      <protection/>
    </xf>
    <xf numFmtId="0" fontId="49" fillId="0" borderId="12" xfId="0" applyNumberFormat="1" applyFont="1" applyFill="1" applyBorder="1" applyAlignment="1" applyProtection="1">
      <alignment horizontal="left" vertical="center"/>
      <protection/>
    </xf>
    <xf numFmtId="0" fontId="49" fillId="0" borderId="12" xfId="0" applyNumberFormat="1" applyFont="1" applyFill="1" applyBorder="1" applyAlignment="1" applyProtection="1">
      <alignment horizontal="left" vertical="center" wrapText="1"/>
      <protection/>
    </xf>
    <xf numFmtId="0" fontId="49" fillId="0" borderId="10" xfId="0" applyNumberFormat="1" applyFont="1" applyFill="1" applyBorder="1" applyAlignment="1" applyProtection="1">
      <alignment horizontal="left" vertical="center"/>
      <protection/>
    </xf>
    <xf numFmtId="0" fontId="50" fillId="0" borderId="40" xfId="0" applyNumberFormat="1" applyFont="1" applyFill="1" applyBorder="1" applyAlignment="1" applyProtection="1">
      <alignment horizontal="left" vertical="center"/>
      <protection/>
    </xf>
    <xf numFmtId="0" fontId="50" fillId="0" borderId="41" xfId="0" applyNumberFormat="1" applyFont="1" applyFill="1" applyBorder="1" applyAlignment="1" applyProtection="1">
      <alignment horizontal="left" vertical="center"/>
      <protection/>
    </xf>
    <xf numFmtId="0" fontId="50" fillId="0" borderId="15" xfId="0" applyNumberFormat="1" applyFont="1" applyFill="1" applyBorder="1" applyAlignment="1" applyProtection="1">
      <alignment horizontal="left" vertical="center"/>
      <protection/>
    </xf>
    <xf numFmtId="0" fontId="54" fillId="0" borderId="40" xfId="0" applyNumberFormat="1" applyFont="1" applyFill="1" applyBorder="1" applyAlignment="1" applyProtection="1">
      <alignment horizontal="left" vertical="center"/>
      <protection/>
    </xf>
    <xf numFmtId="0" fontId="54" fillId="0" borderId="41" xfId="0" applyNumberFormat="1" applyFont="1" applyFill="1" applyBorder="1" applyAlignment="1" applyProtection="1">
      <alignment horizontal="left" vertical="center"/>
      <protection/>
    </xf>
    <xf numFmtId="0" fontId="54" fillId="0" borderId="15" xfId="0" applyNumberFormat="1" applyFont="1" applyFill="1" applyBorder="1" applyAlignment="1" applyProtection="1">
      <alignment horizontal="left" vertical="center"/>
      <protection/>
    </xf>
    <xf numFmtId="4" fontId="54" fillId="0" borderId="41" xfId="0" applyNumberFormat="1" applyFont="1" applyFill="1" applyBorder="1" applyAlignment="1" applyProtection="1">
      <alignment horizontal="right" vertical="center"/>
      <protection/>
    </xf>
    <xf numFmtId="0" fontId="54" fillId="0" borderId="41" xfId="0" applyNumberFormat="1" applyFont="1" applyFill="1" applyBorder="1" applyAlignment="1" applyProtection="1">
      <alignment horizontal="right" vertical="center"/>
      <protection/>
    </xf>
    <xf numFmtId="0" fontId="54" fillId="0" borderId="15" xfId="0" applyNumberFormat="1" applyFont="1" applyFill="1" applyBorder="1" applyAlignment="1" applyProtection="1">
      <alignment horizontal="right" vertical="center"/>
      <protection/>
    </xf>
    <xf numFmtId="0" fontId="54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left" vertical="center"/>
      <protection/>
    </xf>
    <xf numFmtId="0" fontId="50" fillId="0" borderId="43" xfId="0" applyNumberFormat="1" applyFont="1" applyFill="1" applyBorder="1" applyAlignment="1" applyProtection="1">
      <alignment horizontal="left" vertical="center"/>
      <protection/>
    </xf>
    <xf numFmtId="0" fontId="50" fillId="0" borderId="19" xfId="0" applyNumberFormat="1" applyFont="1" applyFill="1" applyBorder="1" applyAlignment="1" applyProtection="1">
      <alignment horizontal="left" vertical="center"/>
      <protection/>
    </xf>
    <xf numFmtId="0" fontId="49" fillId="33" borderId="0" xfId="0" applyNumberFormat="1" applyFont="1" applyFill="1" applyBorder="1" applyAlignment="1" applyProtection="1">
      <alignment horizontal="left" vertical="center"/>
      <protection/>
    </xf>
    <xf numFmtId="0" fontId="50" fillId="34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0" fillId="35" borderId="0" xfId="0" applyNumberFormat="1" applyFont="1" applyFill="1" applyBorder="1" applyAlignment="1" applyProtection="1">
      <alignment horizontal="left" vertical="center"/>
      <protection/>
    </xf>
    <xf numFmtId="0" fontId="51" fillId="33" borderId="0" xfId="0" applyNumberFormat="1" applyFont="1" applyFill="1" applyBorder="1" applyAlignment="1" applyProtection="1">
      <alignment horizontal="left" vertical="center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50" fillId="0" borderId="30" xfId="0" applyNumberFormat="1" applyFont="1" applyFill="1" applyBorder="1" applyAlignment="1" applyProtection="1">
      <alignment horizontal="left" vertical="center"/>
      <protection/>
    </xf>
    <xf numFmtId="0" fontId="50" fillId="0" borderId="13" xfId="0" applyNumberFormat="1" applyFont="1" applyFill="1" applyBorder="1" applyAlignment="1" applyProtection="1">
      <alignment horizontal="left" vertical="center"/>
      <protection/>
    </xf>
    <xf numFmtId="0" fontId="50" fillId="0" borderId="42" xfId="0" applyNumberFormat="1" applyFont="1" applyFill="1" applyBorder="1" applyAlignment="1" applyProtection="1">
      <alignment horizontal="center" vertical="center"/>
      <protection/>
    </xf>
    <xf numFmtId="0" fontId="50" fillId="0" borderId="43" xfId="0" applyNumberFormat="1" applyFont="1" applyFill="1" applyBorder="1" applyAlignment="1" applyProtection="1">
      <alignment horizontal="center" vertical="center"/>
      <protection/>
    </xf>
    <xf numFmtId="0" fontId="50" fillId="0" borderId="19" xfId="0" applyNumberFormat="1" applyFont="1" applyFill="1" applyBorder="1" applyAlignment="1" applyProtection="1">
      <alignment horizontal="center" vertical="center"/>
      <protection/>
    </xf>
    <xf numFmtId="0" fontId="50" fillId="0" borderId="27" xfId="0" applyNumberFormat="1" applyFont="1" applyFill="1" applyBorder="1" applyAlignment="1" applyProtection="1">
      <alignment horizontal="left" vertical="center"/>
      <protection/>
    </xf>
    <xf numFmtId="0" fontId="50" fillId="0" borderId="17" xfId="0" applyNumberFormat="1" applyFont="1" applyFill="1" applyBorder="1" applyAlignment="1" applyProtection="1">
      <alignment horizontal="left" vertical="center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C4" sqref="C4:D5"/>
    </sheetView>
  </sheetViews>
  <sheetFormatPr defaultColWidth="17" defaultRowHeight="15" customHeight="1"/>
  <cols>
    <col min="1" max="1" width="10.19921875" style="0" customWidth="1"/>
    <col min="2" max="2" width="14.3984375" style="0" customWidth="1"/>
    <col min="3" max="3" width="30.3984375" style="0" customWidth="1"/>
    <col min="4" max="4" width="11.19921875" style="0" customWidth="1"/>
    <col min="5" max="5" width="15.59765625" style="0" customWidth="1"/>
    <col min="6" max="6" width="30.3984375" style="0" customWidth="1"/>
    <col min="7" max="7" width="10.19921875" style="0" customWidth="1"/>
    <col min="8" max="8" width="14.3984375" style="0" customWidth="1"/>
    <col min="9" max="9" width="30.3984375" style="0" customWidth="1"/>
  </cols>
  <sheetData>
    <row r="1" spans="1:9" ht="54.75" customHeight="1">
      <c r="A1" s="146" t="s">
        <v>138</v>
      </c>
      <c r="B1" s="147"/>
      <c r="C1" s="147"/>
      <c r="D1" s="147"/>
      <c r="E1" s="147"/>
      <c r="F1" s="147"/>
      <c r="G1" s="147"/>
      <c r="H1" s="147"/>
      <c r="I1" s="147"/>
    </row>
    <row r="2" spans="1:9" ht="15" customHeight="1">
      <c r="A2" s="148" t="s">
        <v>51</v>
      </c>
      <c r="B2" s="141"/>
      <c r="C2" s="143" t="s">
        <v>681</v>
      </c>
      <c r="D2" s="144"/>
      <c r="E2" s="140" t="s">
        <v>500</v>
      </c>
      <c r="F2" s="140" t="str">
        <f>'Stavební rozpočet'!K2</f>
        <v>Město Žďár nad Sázavou</v>
      </c>
      <c r="G2" s="141"/>
      <c r="H2" s="140" t="s">
        <v>394</v>
      </c>
      <c r="I2" s="134" t="s">
        <v>435</v>
      </c>
    </row>
    <row r="3" spans="1:9" ht="24" customHeight="1">
      <c r="A3" s="149"/>
      <c r="B3" s="113"/>
      <c r="C3" s="145"/>
      <c r="D3" s="145"/>
      <c r="E3" s="113"/>
      <c r="F3" s="113"/>
      <c r="G3" s="113"/>
      <c r="H3" s="113"/>
      <c r="I3" s="135"/>
    </row>
    <row r="4" spans="1:9" ht="15" customHeight="1">
      <c r="A4" s="150" t="s">
        <v>333</v>
      </c>
      <c r="B4" s="113"/>
      <c r="C4" s="112" t="s">
        <v>682</v>
      </c>
      <c r="D4" s="113"/>
      <c r="E4" s="112" t="s">
        <v>412</v>
      </c>
      <c r="F4" s="112" t="str">
        <f>'Stavební rozpočet'!K4</f>
        <v>ing. Zbyněk Semerád</v>
      </c>
      <c r="G4" s="113"/>
      <c r="H4" s="112" t="s">
        <v>394</v>
      </c>
      <c r="I4" s="135" t="s">
        <v>596</v>
      </c>
    </row>
    <row r="5" spans="1:9" ht="15" customHeight="1">
      <c r="A5" s="149"/>
      <c r="B5" s="113"/>
      <c r="C5" s="113"/>
      <c r="D5" s="113"/>
      <c r="E5" s="113"/>
      <c r="F5" s="113"/>
      <c r="G5" s="113"/>
      <c r="H5" s="113"/>
      <c r="I5" s="135"/>
    </row>
    <row r="6" spans="1:9" ht="15" customHeight="1">
      <c r="A6" s="150" t="s">
        <v>59</v>
      </c>
      <c r="B6" s="113"/>
      <c r="C6" s="112"/>
      <c r="D6" s="113"/>
      <c r="E6" s="112" t="s">
        <v>518</v>
      </c>
      <c r="F6" s="112" t="str">
        <f>'Stavební rozpočet'!K6</f>
        <v> </v>
      </c>
      <c r="G6" s="113"/>
      <c r="H6" s="112" t="s">
        <v>394</v>
      </c>
      <c r="I6" s="135" t="s">
        <v>414</v>
      </c>
    </row>
    <row r="7" spans="1:9" ht="15" customHeight="1">
      <c r="A7" s="149"/>
      <c r="B7" s="113"/>
      <c r="C7" s="113"/>
      <c r="D7" s="113"/>
      <c r="E7" s="113"/>
      <c r="F7" s="113"/>
      <c r="G7" s="113"/>
      <c r="H7" s="113"/>
      <c r="I7" s="135"/>
    </row>
    <row r="8" spans="1:9" ht="15" customHeight="1">
      <c r="A8" s="150" t="s">
        <v>528</v>
      </c>
      <c r="B8" s="113"/>
      <c r="C8" s="112" t="str">
        <f>'Stavební rozpočet'!G4</f>
        <v> </v>
      </c>
      <c r="D8" s="113"/>
      <c r="E8" s="112" t="s">
        <v>202</v>
      </c>
      <c r="F8" s="112" t="str">
        <f>'Stavební rozpočet'!G6</f>
        <v> </v>
      </c>
      <c r="G8" s="113"/>
      <c r="H8" s="113" t="s">
        <v>603</v>
      </c>
      <c r="I8" s="136">
        <v>147</v>
      </c>
    </row>
    <row r="9" spans="1:9" ht="15" customHeight="1">
      <c r="A9" s="149"/>
      <c r="B9" s="113"/>
      <c r="C9" s="113"/>
      <c r="D9" s="113"/>
      <c r="E9" s="113"/>
      <c r="F9" s="113"/>
      <c r="G9" s="113"/>
      <c r="H9" s="113"/>
      <c r="I9" s="135"/>
    </row>
    <row r="10" spans="1:9" ht="15" customHeight="1">
      <c r="A10" s="150" t="s">
        <v>300</v>
      </c>
      <c r="B10" s="113"/>
      <c r="C10" s="112" t="str">
        <f>'Stavební rozpočet'!C8</f>
        <v> </v>
      </c>
      <c r="D10" s="113"/>
      <c r="E10" s="112" t="s">
        <v>404</v>
      </c>
      <c r="F10" s="112" t="str">
        <f>'Stavební rozpočet'!K8</f>
        <v> </v>
      </c>
      <c r="G10" s="113"/>
      <c r="H10" s="113" t="s">
        <v>582</v>
      </c>
      <c r="I10" s="137"/>
    </row>
    <row r="11" spans="1:9" ht="15" customHeight="1">
      <c r="A11" s="151"/>
      <c r="B11" s="142"/>
      <c r="C11" s="142"/>
      <c r="D11" s="142"/>
      <c r="E11" s="142"/>
      <c r="F11" s="142"/>
      <c r="G11" s="142"/>
      <c r="H11" s="142"/>
      <c r="I11" s="138"/>
    </row>
    <row r="12" spans="1:9" ht="22.5" customHeight="1">
      <c r="A12" s="139" t="s">
        <v>101</v>
      </c>
      <c r="B12" s="139"/>
      <c r="C12" s="139"/>
      <c r="D12" s="139"/>
      <c r="E12" s="139"/>
      <c r="F12" s="139"/>
      <c r="G12" s="139"/>
      <c r="H12" s="139"/>
      <c r="I12" s="139"/>
    </row>
    <row r="13" spans="1:9" ht="26.25" customHeight="1">
      <c r="A13" s="93" t="s">
        <v>532</v>
      </c>
      <c r="B13" s="129" t="s">
        <v>81</v>
      </c>
      <c r="C13" s="130"/>
      <c r="D13" s="10" t="s">
        <v>108</v>
      </c>
      <c r="E13" s="129" t="s">
        <v>224</v>
      </c>
      <c r="F13" s="130"/>
      <c r="G13" s="10" t="s">
        <v>384</v>
      </c>
      <c r="H13" s="129" t="s">
        <v>110</v>
      </c>
      <c r="I13" s="130"/>
    </row>
    <row r="14" spans="1:9" ht="15" customHeight="1">
      <c r="A14" s="45" t="s">
        <v>229</v>
      </c>
      <c r="B14" s="62" t="s">
        <v>157</v>
      </c>
      <c r="C14" s="47">
        <f>SUM('Stavební rozpočet'!AB12:AB268)</f>
        <v>0</v>
      </c>
      <c r="D14" s="121" t="s">
        <v>427</v>
      </c>
      <c r="E14" s="122"/>
      <c r="F14" s="47">
        <f>VORN!I15</f>
        <v>0</v>
      </c>
      <c r="G14" s="121" t="s">
        <v>68</v>
      </c>
      <c r="H14" s="122"/>
      <c r="I14" s="99">
        <f>VORN!I21</f>
        <v>0</v>
      </c>
    </row>
    <row r="15" spans="1:9" ht="15" customHeight="1">
      <c r="A15" s="35" t="s">
        <v>414</v>
      </c>
      <c r="B15" s="62" t="s">
        <v>114</v>
      </c>
      <c r="C15" s="47">
        <f>SUM('Stavební rozpočet'!AC12:AC268)</f>
        <v>0</v>
      </c>
      <c r="D15" s="121" t="s">
        <v>66</v>
      </c>
      <c r="E15" s="122"/>
      <c r="F15" s="47">
        <f>VORN!I16</f>
        <v>0</v>
      </c>
      <c r="G15" s="121" t="s">
        <v>470</v>
      </c>
      <c r="H15" s="122"/>
      <c r="I15" s="99">
        <f>VORN!I22</f>
        <v>0</v>
      </c>
    </row>
    <row r="16" spans="1:9" ht="15" customHeight="1">
      <c r="A16" s="45" t="s">
        <v>64</v>
      </c>
      <c r="B16" s="62" t="s">
        <v>157</v>
      </c>
      <c r="C16" s="47">
        <f>SUM('Stavební rozpočet'!AD12:AD268)</f>
        <v>0</v>
      </c>
      <c r="D16" s="121" t="s">
        <v>437</v>
      </c>
      <c r="E16" s="122"/>
      <c r="F16" s="47">
        <f>VORN!I17</f>
        <v>0</v>
      </c>
      <c r="G16" s="121" t="s">
        <v>569</v>
      </c>
      <c r="H16" s="122"/>
      <c r="I16" s="99">
        <f>VORN!I23</f>
        <v>0</v>
      </c>
    </row>
    <row r="17" spans="1:9" ht="15" customHeight="1">
      <c r="A17" s="35" t="s">
        <v>414</v>
      </c>
      <c r="B17" s="62" t="s">
        <v>114</v>
      </c>
      <c r="C17" s="47">
        <f>SUM('Stavební rozpočet'!AE12:AE268)</f>
        <v>0</v>
      </c>
      <c r="D17" s="121" t="s">
        <v>414</v>
      </c>
      <c r="E17" s="122"/>
      <c r="F17" s="99" t="s">
        <v>414</v>
      </c>
      <c r="G17" s="121" t="s">
        <v>321</v>
      </c>
      <c r="H17" s="122"/>
      <c r="I17" s="99">
        <f>VORN!I24</f>
        <v>0</v>
      </c>
    </row>
    <row r="18" spans="1:9" ht="15" customHeight="1">
      <c r="A18" s="45" t="s">
        <v>193</v>
      </c>
      <c r="B18" s="62" t="s">
        <v>157</v>
      </c>
      <c r="C18" s="47">
        <f>SUM('Stavební rozpočet'!AF12:AF268)</f>
        <v>0</v>
      </c>
      <c r="D18" s="121" t="s">
        <v>414</v>
      </c>
      <c r="E18" s="122"/>
      <c r="F18" s="99" t="s">
        <v>414</v>
      </c>
      <c r="G18" s="121" t="s">
        <v>397</v>
      </c>
      <c r="H18" s="122"/>
      <c r="I18" s="99">
        <f>VORN!I25</f>
        <v>0</v>
      </c>
    </row>
    <row r="19" spans="1:9" ht="15" customHeight="1">
      <c r="A19" s="35" t="s">
        <v>414</v>
      </c>
      <c r="B19" s="62" t="s">
        <v>114</v>
      </c>
      <c r="C19" s="47">
        <f>SUM('Stavební rozpočet'!AG12:AG268)</f>
        <v>0</v>
      </c>
      <c r="D19" s="121" t="s">
        <v>414</v>
      </c>
      <c r="E19" s="122"/>
      <c r="F19" s="99" t="s">
        <v>414</v>
      </c>
      <c r="G19" s="121" t="s">
        <v>593</v>
      </c>
      <c r="H19" s="122"/>
      <c r="I19" s="99">
        <f>VORN!I26</f>
        <v>0</v>
      </c>
    </row>
    <row r="20" spans="1:9" ht="15" customHeight="1">
      <c r="A20" s="128" t="s">
        <v>52</v>
      </c>
      <c r="B20" s="127"/>
      <c r="C20" s="47">
        <f>SUM('Stavební rozpočet'!AH12:AH268)</f>
        <v>0</v>
      </c>
      <c r="D20" s="121" t="s">
        <v>414</v>
      </c>
      <c r="E20" s="122"/>
      <c r="F20" s="99" t="s">
        <v>414</v>
      </c>
      <c r="G20" s="121" t="s">
        <v>414</v>
      </c>
      <c r="H20" s="122"/>
      <c r="I20" s="99" t="s">
        <v>414</v>
      </c>
    </row>
    <row r="21" spans="1:9" ht="15" customHeight="1">
      <c r="A21" s="131" t="s">
        <v>592</v>
      </c>
      <c r="B21" s="132"/>
      <c r="C21" s="59">
        <f>SUM('Stavební rozpočet'!Z12:Z268)</f>
        <v>0</v>
      </c>
      <c r="D21" s="108" t="s">
        <v>414</v>
      </c>
      <c r="E21" s="123"/>
      <c r="F21" s="42" t="s">
        <v>414</v>
      </c>
      <c r="G21" s="108" t="s">
        <v>414</v>
      </c>
      <c r="H21" s="123"/>
      <c r="I21" s="42" t="s">
        <v>414</v>
      </c>
    </row>
    <row r="22" spans="1:9" ht="16.5" customHeight="1">
      <c r="A22" s="133" t="s">
        <v>118</v>
      </c>
      <c r="B22" s="125"/>
      <c r="C22" s="103">
        <f>SUM(C14:C21)</f>
        <v>0</v>
      </c>
      <c r="D22" s="124" t="s">
        <v>310</v>
      </c>
      <c r="E22" s="125"/>
      <c r="F22" s="103">
        <f>SUM(F14:F21)</f>
        <v>0</v>
      </c>
      <c r="G22" s="124" t="s">
        <v>605</v>
      </c>
      <c r="H22" s="125"/>
      <c r="I22" s="103">
        <f>SUM(I14:I21)</f>
        <v>0</v>
      </c>
    </row>
    <row r="23" spans="4:9" ht="15" customHeight="1">
      <c r="D23" s="128" t="s">
        <v>474</v>
      </c>
      <c r="E23" s="127"/>
      <c r="F23" s="78">
        <v>0</v>
      </c>
      <c r="G23" s="126" t="s">
        <v>43</v>
      </c>
      <c r="H23" s="127"/>
      <c r="I23" s="47">
        <v>0</v>
      </c>
    </row>
    <row r="24" spans="7:9" ht="15" customHeight="1">
      <c r="G24" s="128" t="s">
        <v>413</v>
      </c>
      <c r="H24" s="127"/>
      <c r="I24" s="59">
        <f>vorn_sum</f>
        <v>0</v>
      </c>
    </row>
    <row r="25" spans="7:9" ht="15" customHeight="1">
      <c r="G25" s="128" t="s">
        <v>453</v>
      </c>
      <c r="H25" s="127"/>
      <c r="I25" s="103">
        <v>0</v>
      </c>
    </row>
    <row r="27" spans="1:3" ht="15" customHeight="1">
      <c r="A27" s="117" t="s">
        <v>248</v>
      </c>
      <c r="B27" s="118"/>
      <c r="C27" s="25">
        <f>SUM('Stavební rozpočet'!AJ12:AJ268)</f>
        <v>0</v>
      </c>
    </row>
    <row r="28" spans="1:9" ht="15" customHeight="1">
      <c r="A28" s="119" t="s">
        <v>16</v>
      </c>
      <c r="B28" s="120"/>
      <c r="C28" s="104">
        <f>SUM('Stavební rozpočet'!AK12:AK268)+(F22+I22+F23+I23+I24+I25)</f>
        <v>0</v>
      </c>
      <c r="D28" s="118" t="s">
        <v>133</v>
      </c>
      <c r="E28" s="118"/>
      <c r="F28" s="25">
        <f>ROUND(C28*(15/100),2)</f>
        <v>0</v>
      </c>
      <c r="G28" s="118" t="s">
        <v>88</v>
      </c>
      <c r="H28" s="118"/>
      <c r="I28" s="25">
        <f>SUM(C27:C29)</f>
        <v>0</v>
      </c>
    </row>
    <row r="29" spans="1:9" ht="15" customHeight="1">
      <c r="A29" s="119" t="s">
        <v>36</v>
      </c>
      <c r="B29" s="120"/>
      <c r="C29" s="104">
        <f>SUM('Stavební rozpočet'!AL12:AL268)</f>
        <v>0</v>
      </c>
      <c r="D29" s="120" t="s">
        <v>444</v>
      </c>
      <c r="E29" s="120"/>
      <c r="F29" s="104">
        <f>ROUND(C29*(21/100),2)</f>
        <v>0</v>
      </c>
      <c r="G29" s="120" t="s">
        <v>242</v>
      </c>
      <c r="H29" s="120"/>
      <c r="I29" s="104">
        <f>SUM(F28:F29)+I28</f>
        <v>0</v>
      </c>
    </row>
    <row r="31" spans="1:9" ht="15" customHeight="1">
      <c r="A31" s="114" t="s">
        <v>7</v>
      </c>
      <c r="B31" s="106"/>
      <c r="C31" s="107"/>
      <c r="D31" s="106" t="s">
        <v>558</v>
      </c>
      <c r="E31" s="106"/>
      <c r="F31" s="107"/>
      <c r="G31" s="106" t="s">
        <v>409</v>
      </c>
      <c r="H31" s="106"/>
      <c r="I31" s="107"/>
    </row>
    <row r="32" spans="1:9" ht="15" customHeight="1">
      <c r="A32" s="115" t="s">
        <v>414</v>
      </c>
      <c r="B32" s="108"/>
      <c r="C32" s="109"/>
      <c r="D32" s="108" t="s">
        <v>414</v>
      </c>
      <c r="E32" s="108"/>
      <c r="F32" s="109"/>
      <c r="G32" s="108" t="s">
        <v>414</v>
      </c>
      <c r="H32" s="108"/>
      <c r="I32" s="109"/>
    </row>
    <row r="33" spans="1:9" ht="15" customHeight="1">
      <c r="A33" s="115" t="s">
        <v>414</v>
      </c>
      <c r="B33" s="108"/>
      <c r="C33" s="109"/>
      <c r="D33" s="108" t="s">
        <v>414</v>
      </c>
      <c r="E33" s="108"/>
      <c r="F33" s="109"/>
      <c r="G33" s="108" t="s">
        <v>414</v>
      </c>
      <c r="H33" s="108"/>
      <c r="I33" s="109"/>
    </row>
    <row r="34" spans="1:9" ht="15" customHeight="1">
      <c r="A34" s="115" t="s">
        <v>414</v>
      </c>
      <c r="B34" s="108"/>
      <c r="C34" s="109"/>
      <c r="D34" s="108" t="s">
        <v>414</v>
      </c>
      <c r="E34" s="108"/>
      <c r="F34" s="109"/>
      <c r="G34" s="108" t="s">
        <v>414</v>
      </c>
      <c r="H34" s="108"/>
      <c r="I34" s="109"/>
    </row>
    <row r="35" spans="1:9" ht="15" customHeight="1">
      <c r="A35" s="116" t="s">
        <v>116</v>
      </c>
      <c r="B35" s="110"/>
      <c r="C35" s="111"/>
      <c r="D35" s="110" t="s">
        <v>116</v>
      </c>
      <c r="E35" s="110"/>
      <c r="F35" s="111"/>
      <c r="G35" s="110" t="s">
        <v>116</v>
      </c>
      <c r="H35" s="110"/>
      <c r="I35" s="111"/>
    </row>
    <row r="36" ht="15" customHeight="1">
      <c r="A36" s="52" t="s">
        <v>58</v>
      </c>
    </row>
    <row r="37" spans="1:9" ht="12.75" customHeight="1">
      <c r="A37" s="112" t="s">
        <v>414</v>
      </c>
      <c r="B37" s="113"/>
      <c r="C37" s="113"/>
      <c r="D37" s="113"/>
      <c r="E37" s="113"/>
      <c r="F37" s="113"/>
      <c r="G37" s="113"/>
      <c r="H37" s="113"/>
      <c r="I37" s="113"/>
    </row>
  </sheetData>
  <sheetProtection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OutlineSymbols="0" zoomScalePageLayoutView="0" workbookViewId="0" topLeftCell="A16">
      <selection activeCell="C4" sqref="C4:D5"/>
    </sheetView>
  </sheetViews>
  <sheetFormatPr defaultColWidth="17" defaultRowHeight="15" customHeight="1"/>
  <cols>
    <col min="1" max="1" width="10.19921875" style="0" customWidth="1"/>
    <col min="2" max="2" width="14.3984375" style="0" customWidth="1"/>
    <col min="3" max="3" width="25.59765625" style="0" customWidth="1"/>
    <col min="4" max="4" width="11.19921875" style="0" customWidth="1"/>
    <col min="5" max="5" width="15.59765625" style="0" customWidth="1"/>
    <col min="6" max="6" width="25.59765625" style="0" customWidth="1"/>
    <col min="7" max="7" width="10.19921875" style="0" customWidth="1"/>
    <col min="8" max="8" width="19.19921875" style="0" customWidth="1"/>
    <col min="9" max="9" width="25.59765625" style="0" customWidth="1"/>
  </cols>
  <sheetData>
    <row r="1" spans="1:9" ht="54.75" customHeight="1">
      <c r="A1" s="146" t="s">
        <v>91</v>
      </c>
      <c r="B1" s="147"/>
      <c r="C1" s="147"/>
      <c r="D1" s="147"/>
      <c r="E1" s="147"/>
      <c r="F1" s="147"/>
      <c r="G1" s="147"/>
      <c r="H1" s="147"/>
      <c r="I1" s="147"/>
    </row>
    <row r="2" spans="1:9" ht="15" customHeight="1">
      <c r="A2" s="148" t="s">
        <v>51</v>
      </c>
      <c r="B2" s="141"/>
      <c r="C2" s="143" t="s">
        <v>681</v>
      </c>
      <c r="D2" s="144"/>
      <c r="E2" s="140" t="s">
        <v>500</v>
      </c>
      <c r="F2" s="140" t="str">
        <f>'Stavební rozpočet'!K2</f>
        <v>Město Žďár nad Sázavou</v>
      </c>
      <c r="G2" s="141"/>
      <c r="H2" s="140" t="s">
        <v>394</v>
      </c>
      <c r="I2" s="134" t="s">
        <v>435</v>
      </c>
    </row>
    <row r="3" spans="1:9" ht="21.75" customHeight="1">
      <c r="A3" s="149"/>
      <c r="B3" s="113"/>
      <c r="C3" s="145"/>
      <c r="D3" s="145"/>
      <c r="E3" s="113"/>
      <c r="F3" s="113"/>
      <c r="G3" s="113"/>
      <c r="H3" s="113"/>
      <c r="I3" s="135"/>
    </row>
    <row r="4" spans="1:9" ht="15" customHeight="1">
      <c r="A4" s="150" t="s">
        <v>333</v>
      </c>
      <c r="B4" s="113"/>
      <c r="C4" s="112" t="s">
        <v>682</v>
      </c>
      <c r="D4" s="113"/>
      <c r="E4" s="112" t="s">
        <v>412</v>
      </c>
      <c r="F4" s="112" t="str">
        <f>'Stavební rozpočet'!K4</f>
        <v>ing. Zbyněk Semerád</v>
      </c>
      <c r="G4" s="113"/>
      <c r="H4" s="112" t="s">
        <v>394</v>
      </c>
      <c r="I4" s="135" t="s">
        <v>596</v>
      </c>
    </row>
    <row r="5" spans="1:9" ht="21.75" customHeight="1">
      <c r="A5" s="149"/>
      <c r="B5" s="113"/>
      <c r="C5" s="113"/>
      <c r="D5" s="113"/>
      <c r="E5" s="113"/>
      <c r="F5" s="113"/>
      <c r="G5" s="113"/>
      <c r="H5" s="113"/>
      <c r="I5" s="135"/>
    </row>
    <row r="6" spans="1:9" ht="15" customHeight="1">
      <c r="A6" s="150" t="s">
        <v>59</v>
      </c>
      <c r="B6" s="113"/>
      <c r="C6" s="112" t="str">
        <f>'Stavební rozpočet'!C6</f>
        <v> </v>
      </c>
      <c r="D6" s="113"/>
      <c r="E6" s="112" t="s">
        <v>518</v>
      </c>
      <c r="F6" s="112" t="str">
        <f>'Stavební rozpočet'!K6</f>
        <v> </v>
      </c>
      <c r="G6" s="113"/>
      <c r="H6" s="112" t="s">
        <v>394</v>
      </c>
      <c r="I6" s="135" t="s">
        <v>414</v>
      </c>
    </row>
    <row r="7" spans="1:9" ht="15" customHeight="1">
      <c r="A7" s="149"/>
      <c r="B7" s="113"/>
      <c r="C7" s="113"/>
      <c r="D7" s="113"/>
      <c r="E7" s="113"/>
      <c r="F7" s="113"/>
      <c r="G7" s="113"/>
      <c r="H7" s="113"/>
      <c r="I7" s="135"/>
    </row>
    <row r="8" spans="1:9" ht="15" customHeight="1">
      <c r="A8" s="150" t="s">
        <v>528</v>
      </c>
      <c r="B8" s="113"/>
      <c r="C8" s="112" t="str">
        <f>'Stavební rozpočet'!G4</f>
        <v> </v>
      </c>
      <c r="D8" s="113"/>
      <c r="E8" s="112" t="s">
        <v>202</v>
      </c>
      <c r="F8" s="112" t="str">
        <f>'Stavební rozpočet'!G6</f>
        <v> </v>
      </c>
      <c r="G8" s="113"/>
      <c r="H8" s="113" t="s">
        <v>603</v>
      </c>
      <c r="I8" s="136">
        <v>147</v>
      </c>
    </row>
    <row r="9" spans="1:9" ht="15" customHeight="1">
      <c r="A9" s="149"/>
      <c r="B9" s="113"/>
      <c r="C9" s="113"/>
      <c r="D9" s="113"/>
      <c r="E9" s="113"/>
      <c r="F9" s="113"/>
      <c r="G9" s="113"/>
      <c r="H9" s="113"/>
      <c r="I9" s="135"/>
    </row>
    <row r="10" spans="1:9" ht="15" customHeight="1">
      <c r="A10" s="150" t="s">
        <v>300</v>
      </c>
      <c r="B10" s="113"/>
      <c r="C10" s="112" t="str">
        <f>'Stavební rozpočet'!C8</f>
        <v> </v>
      </c>
      <c r="D10" s="113"/>
      <c r="E10" s="112" t="s">
        <v>404</v>
      </c>
      <c r="F10" s="112" t="str">
        <f>'Stavební rozpočet'!K8</f>
        <v> </v>
      </c>
      <c r="G10" s="113"/>
      <c r="H10" s="113" t="s">
        <v>582</v>
      </c>
      <c r="I10" s="137" t="s">
        <v>546</v>
      </c>
    </row>
    <row r="11" spans="1:9" ht="15" customHeight="1">
      <c r="A11" s="151"/>
      <c r="B11" s="142"/>
      <c r="C11" s="142"/>
      <c r="D11" s="142"/>
      <c r="E11" s="142"/>
      <c r="F11" s="142"/>
      <c r="G11" s="142"/>
      <c r="H11" s="142"/>
      <c r="I11" s="138"/>
    </row>
    <row r="13" spans="1:5" ht="15.75" customHeight="1">
      <c r="A13" s="161" t="s">
        <v>230</v>
      </c>
      <c r="B13" s="161"/>
      <c r="C13" s="161"/>
      <c r="D13" s="161"/>
      <c r="E13" s="161"/>
    </row>
    <row r="14" spans="1:9" ht="15" customHeight="1">
      <c r="A14" s="162" t="s">
        <v>672</v>
      </c>
      <c r="B14" s="163"/>
      <c r="C14" s="163"/>
      <c r="D14" s="163"/>
      <c r="E14" s="164"/>
      <c r="F14" s="13" t="s">
        <v>626</v>
      </c>
      <c r="G14" s="13" t="s">
        <v>520</v>
      </c>
      <c r="H14" s="13" t="s">
        <v>151</v>
      </c>
      <c r="I14" s="13" t="s">
        <v>626</v>
      </c>
    </row>
    <row r="15" spans="1:9" ht="15" customHeight="1">
      <c r="A15" s="151" t="s">
        <v>427</v>
      </c>
      <c r="B15" s="142"/>
      <c r="C15" s="142"/>
      <c r="D15" s="142"/>
      <c r="E15" s="138"/>
      <c r="F15" s="82">
        <v>0</v>
      </c>
      <c r="G15" s="38" t="s">
        <v>414</v>
      </c>
      <c r="H15" s="38" t="s">
        <v>414</v>
      </c>
      <c r="I15" s="82">
        <f>F15</f>
        <v>0</v>
      </c>
    </row>
    <row r="16" spans="1:9" ht="15" customHeight="1">
      <c r="A16" s="151" t="s">
        <v>66</v>
      </c>
      <c r="B16" s="142"/>
      <c r="C16" s="142"/>
      <c r="D16" s="142"/>
      <c r="E16" s="138"/>
      <c r="F16" s="82">
        <v>0</v>
      </c>
      <c r="G16" s="38" t="s">
        <v>414</v>
      </c>
      <c r="H16" s="38" t="s">
        <v>414</v>
      </c>
      <c r="I16" s="82">
        <f>F16</f>
        <v>0</v>
      </c>
    </row>
    <row r="17" spans="1:9" ht="15" customHeight="1">
      <c r="A17" s="149" t="s">
        <v>437</v>
      </c>
      <c r="B17" s="113"/>
      <c r="C17" s="113"/>
      <c r="D17" s="113"/>
      <c r="E17" s="135"/>
      <c r="F17" s="14">
        <v>0</v>
      </c>
      <c r="G17" s="3" t="s">
        <v>414</v>
      </c>
      <c r="H17" s="3" t="s">
        <v>414</v>
      </c>
      <c r="I17" s="14">
        <f>F17</f>
        <v>0</v>
      </c>
    </row>
    <row r="18" spans="1:9" ht="15" customHeight="1">
      <c r="A18" s="152" t="s">
        <v>646</v>
      </c>
      <c r="B18" s="153"/>
      <c r="C18" s="153"/>
      <c r="D18" s="153"/>
      <c r="E18" s="154"/>
      <c r="F18" s="91" t="s">
        <v>414</v>
      </c>
      <c r="G18" s="37" t="s">
        <v>414</v>
      </c>
      <c r="H18" s="37" t="s">
        <v>414</v>
      </c>
      <c r="I18" s="8">
        <f>SUM(I15:I17)</f>
        <v>0</v>
      </c>
    </row>
    <row r="20" spans="1:9" ht="15" customHeight="1">
      <c r="A20" s="162" t="s">
        <v>110</v>
      </c>
      <c r="B20" s="163"/>
      <c r="C20" s="163"/>
      <c r="D20" s="163"/>
      <c r="E20" s="164"/>
      <c r="F20" s="13" t="s">
        <v>626</v>
      </c>
      <c r="G20" s="13" t="s">
        <v>520</v>
      </c>
      <c r="H20" s="13" t="s">
        <v>151</v>
      </c>
      <c r="I20" s="13" t="s">
        <v>626</v>
      </c>
    </row>
    <row r="21" spans="1:9" ht="15" customHeight="1">
      <c r="A21" s="151" t="s">
        <v>68</v>
      </c>
      <c r="B21" s="142"/>
      <c r="C21" s="142"/>
      <c r="D21" s="142"/>
      <c r="E21" s="138"/>
      <c r="F21" s="38" t="s">
        <v>414</v>
      </c>
      <c r="G21" s="82">
        <v>2.6</v>
      </c>
      <c r="H21" s="82">
        <f>'Krycí list rozpočtu'!C22</f>
        <v>0</v>
      </c>
      <c r="I21" s="82">
        <f>ROUND((G21/100)*H21,2)</f>
        <v>0</v>
      </c>
    </row>
    <row r="22" spans="1:9" ht="15" customHeight="1">
      <c r="A22" s="151" t="s">
        <v>470</v>
      </c>
      <c r="B22" s="142"/>
      <c r="C22" s="142"/>
      <c r="D22" s="142"/>
      <c r="E22" s="138"/>
      <c r="F22" s="82">
        <v>0</v>
      </c>
      <c r="G22" s="38" t="s">
        <v>414</v>
      </c>
      <c r="H22" s="38" t="s">
        <v>414</v>
      </c>
      <c r="I22" s="82">
        <f>F22</f>
        <v>0</v>
      </c>
    </row>
    <row r="23" spans="1:9" ht="15" customHeight="1">
      <c r="A23" s="151" t="s">
        <v>569</v>
      </c>
      <c r="B23" s="142"/>
      <c r="C23" s="142"/>
      <c r="D23" s="142"/>
      <c r="E23" s="138"/>
      <c r="F23" s="82">
        <v>0</v>
      </c>
      <c r="G23" s="38" t="s">
        <v>414</v>
      </c>
      <c r="H23" s="38" t="s">
        <v>414</v>
      </c>
      <c r="I23" s="82">
        <f>F23</f>
        <v>0</v>
      </c>
    </row>
    <row r="24" spans="1:9" ht="15" customHeight="1">
      <c r="A24" s="151" t="s">
        <v>321</v>
      </c>
      <c r="B24" s="142"/>
      <c r="C24" s="142"/>
      <c r="D24" s="142"/>
      <c r="E24" s="138"/>
      <c r="F24" s="82">
        <v>0</v>
      </c>
      <c r="G24" s="38" t="s">
        <v>414</v>
      </c>
      <c r="H24" s="38" t="s">
        <v>414</v>
      </c>
      <c r="I24" s="82">
        <f>F24</f>
        <v>0</v>
      </c>
    </row>
    <row r="25" spans="1:9" ht="15" customHeight="1">
      <c r="A25" s="151" t="s">
        <v>397</v>
      </c>
      <c r="B25" s="142"/>
      <c r="C25" s="142"/>
      <c r="D25" s="142"/>
      <c r="E25" s="138"/>
      <c r="F25" s="82">
        <v>0</v>
      </c>
      <c r="G25" s="38" t="s">
        <v>414</v>
      </c>
      <c r="H25" s="38" t="s">
        <v>414</v>
      </c>
      <c r="I25" s="82">
        <f>F25</f>
        <v>0</v>
      </c>
    </row>
    <row r="26" spans="1:9" ht="15" customHeight="1">
      <c r="A26" s="149" t="s">
        <v>593</v>
      </c>
      <c r="B26" s="113"/>
      <c r="C26" s="113"/>
      <c r="D26" s="113"/>
      <c r="E26" s="135"/>
      <c r="F26" s="14">
        <v>0</v>
      </c>
      <c r="G26" s="3" t="s">
        <v>414</v>
      </c>
      <c r="H26" s="3" t="s">
        <v>414</v>
      </c>
      <c r="I26" s="14">
        <f>F26</f>
        <v>0</v>
      </c>
    </row>
    <row r="27" spans="1:9" ht="15" customHeight="1">
      <c r="A27" s="152" t="s">
        <v>243</v>
      </c>
      <c r="B27" s="153"/>
      <c r="C27" s="153"/>
      <c r="D27" s="153"/>
      <c r="E27" s="154"/>
      <c r="F27" s="91" t="s">
        <v>414</v>
      </c>
      <c r="G27" s="37" t="s">
        <v>414</v>
      </c>
      <c r="H27" s="37" t="s">
        <v>414</v>
      </c>
      <c r="I27" s="8">
        <f>SUM(I21:I26)</f>
        <v>0</v>
      </c>
    </row>
    <row r="29" spans="1:9" ht="15.75" customHeight="1">
      <c r="A29" s="155" t="s">
        <v>631</v>
      </c>
      <c r="B29" s="156"/>
      <c r="C29" s="156"/>
      <c r="D29" s="156"/>
      <c r="E29" s="157"/>
      <c r="F29" s="158">
        <f>I18+I27</f>
        <v>0</v>
      </c>
      <c r="G29" s="159"/>
      <c r="H29" s="159"/>
      <c r="I29" s="160"/>
    </row>
    <row r="33" spans="1:5" ht="15.75" customHeight="1">
      <c r="A33" s="161" t="s">
        <v>618</v>
      </c>
      <c r="B33" s="161"/>
      <c r="C33" s="161"/>
      <c r="D33" s="161"/>
      <c r="E33" s="161"/>
    </row>
    <row r="34" spans="1:9" ht="15" customHeight="1">
      <c r="A34" s="162" t="s">
        <v>641</v>
      </c>
      <c r="B34" s="163"/>
      <c r="C34" s="163"/>
      <c r="D34" s="163"/>
      <c r="E34" s="164"/>
      <c r="F34" s="13" t="s">
        <v>626</v>
      </c>
      <c r="G34" s="13" t="s">
        <v>520</v>
      </c>
      <c r="H34" s="13" t="s">
        <v>151</v>
      </c>
      <c r="I34" s="13" t="s">
        <v>626</v>
      </c>
    </row>
    <row r="35" spans="1:9" ht="15" customHeight="1">
      <c r="A35" s="149" t="s">
        <v>414</v>
      </c>
      <c r="B35" s="113"/>
      <c r="C35" s="113"/>
      <c r="D35" s="113"/>
      <c r="E35" s="135"/>
      <c r="F35" s="14">
        <v>0</v>
      </c>
      <c r="G35" s="3" t="s">
        <v>414</v>
      </c>
      <c r="H35" s="3" t="s">
        <v>414</v>
      </c>
      <c r="I35" s="14">
        <f>F35</f>
        <v>0</v>
      </c>
    </row>
    <row r="36" spans="1:9" ht="15" customHeight="1">
      <c r="A36" s="152" t="s">
        <v>221</v>
      </c>
      <c r="B36" s="153"/>
      <c r="C36" s="153"/>
      <c r="D36" s="153"/>
      <c r="E36" s="154"/>
      <c r="F36" s="91" t="s">
        <v>414</v>
      </c>
      <c r="G36" s="37" t="s">
        <v>414</v>
      </c>
      <c r="H36" s="37" t="s">
        <v>414</v>
      </c>
      <c r="I36" s="8">
        <f>SUM(I35:I35)</f>
        <v>0</v>
      </c>
    </row>
  </sheetData>
  <sheetProtection/>
  <mergeCells count="51">
    <mergeCell ref="A10:B11"/>
    <mergeCell ref="E2:E3"/>
    <mergeCell ref="E4:E5"/>
    <mergeCell ref="E6:E7"/>
    <mergeCell ref="E8:E9"/>
    <mergeCell ref="H2:H3"/>
    <mergeCell ref="H4:H5"/>
    <mergeCell ref="H6:H7"/>
    <mergeCell ref="H8:H9"/>
    <mergeCell ref="H10:H11"/>
    <mergeCell ref="A1:I1"/>
    <mergeCell ref="A2:B3"/>
    <mergeCell ref="A4:B5"/>
    <mergeCell ref="A6:B7"/>
    <mergeCell ref="A8:B9"/>
    <mergeCell ref="C10:D11"/>
    <mergeCell ref="F2:G3"/>
    <mergeCell ref="F4:G5"/>
    <mergeCell ref="F6:G7"/>
    <mergeCell ref="F8:G9"/>
    <mergeCell ref="F10:G11"/>
    <mergeCell ref="E10:E11"/>
    <mergeCell ref="I2:I3"/>
    <mergeCell ref="I4:I5"/>
    <mergeCell ref="I6:I7"/>
    <mergeCell ref="I8:I9"/>
    <mergeCell ref="I10:I11"/>
    <mergeCell ref="A13:E13"/>
    <mergeCell ref="C2:D3"/>
    <mergeCell ref="C4:D5"/>
    <mergeCell ref="C6:D7"/>
    <mergeCell ref="C8:D9"/>
    <mergeCell ref="A14:E14"/>
    <mergeCell ref="A15:E15"/>
    <mergeCell ref="A16:E16"/>
    <mergeCell ref="A17:E17"/>
    <mergeCell ref="A18:E18"/>
    <mergeCell ref="A20:E20"/>
    <mergeCell ref="A21:E21"/>
    <mergeCell ref="A22:E22"/>
    <mergeCell ref="A23:E23"/>
    <mergeCell ref="A24:E24"/>
    <mergeCell ref="A25:E25"/>
    <mergeCell ref="A26:E26"/>
    <mergeCell ref="A36:E36"/>
    <mergeCell ref="A27:E27"/>
    <mergeCell ref="A29:E29"/>
    <mergeCell ref="F29:I29"/>
    <mergeCell ref="A33:E33"/>
    <mergeCell ref="A34:E34"/>
    <mergeCell ref="A35:E35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71"/>
  <sheetViews>
    <sheetView showOutlineSymbols="0" zoomScalePageLayoutView="0" workbookViewId="0" topLeftCell="A1">
      <pane ySplit="11" topLeftCell="A63" activePane="bottomLeft" state="frozen"/>
      <selection pane="topLeft" activeCell="A271" sqref="A271:M271"/>
      <selection pane="bottomLeft" activeCell="C6" sqref="C6:D7"/>
    </sheetView>
  </sheetViews>
  <sheetFormatPr defaultColWidth="17" defaultRowHeight="15" customHeight="1"/>
  <cols>
    <col min="1" max="1" width="4.3984375" style="0" customWidth="1"/>
    <col min="2" max="2" width="20" style="0" customWidth="1"/>
    <col min="3" max="3" width="57.19921875" style="0" customWidth="1"/>
    <col min="4" max="4" width="48.796875" style="0" customWidth="1"/>
    <col min="5" max="6" width="13.59765625" style="0" customWidth="1"/>
    <col min="7" max="7" width="9" style="0" customWidth="1"/>
    <col min="8" max="8" width="14.3984375" style="0" customWidth="1"/>
    <col min="9" max="9" width="13.3984375" style="0" customWidth="1"/>
    <col min="10" max="12" width="17.59765625" style="0" customWidth="1"/>
    <col min="13" max="13" width="16.3984375" style="0" customWidth="1"/>
    <col min="14" max="24" width="17" style="0" customWidth="1"/>
    <col min="25" max="64" width="17" style="0" hidden="1" customWidth="1"/>
  </cols>
  <sheetData>
    <row r="1" spans="1:13" ht="54.75" customHeight="1">
      <c r="A1" s="147" t="s">
        <v>536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>
      <c r="A2" s="148" t="s">
        <v>51</v>
      </c>
      <c r="B2" s="141"/>
      <c r="C2" s="143" t="s">
        <v>681</v>
      </c>
      <c r="D2" s="144"/>
      <c r="E2" s="141" t="s">
        <v>3</v>
      </c>
      <c r="F2" s="141"/>
      <c r="G2" s="141" t="s">
        <v>546</v>
      </c>
      <c r="H2" s="141"/>
      <c r="I2" s="140" t="s">
        <v>500</v>
      </c>
      <c r="J2" s="141"/>
      <c r="K2" s="140" t="s">
        <v>376</v>
      </c>
      <c r="L2" s="141"/>
      <c r="M2" s="134"/>
    </row>
    <row r="3" spans="1:13" ht="15" customHeight="1">
      <c r="A3" s="149"/>
      <c r="B3" s="113"/>
      <c r="C3" s="145"/>
      <c r="D3" s="145"/>
      <c r="E3" s="113"/>
      <c r="F3" s="113"/>
      <c r="G3" s="113"/>
      <c r="H3" s="113"/>
      <c r="I3" s="113"/>
      <c r="J3" s="113"/>
      <c r="K3" s="113"/>
      <c r="L3" s="113"/>
      <c r="M3" s="135"/>
    </row>
    <row r="4" spans="1:13" ht="15" customHeight="1">
      <c r="A4" s="150" t="s">
        <v>333</v>
      </c>
      <c r="B4" s="113"/>
      <c r="C4" s="112" t="s">
        <v>682</v>
      </c>
      <c r="D4" s="113"/>
      <c r="E4" s="113" t="s">
        <v>528</v>
      </c>
      <c r="F4" s="113"/>
      <c r="G4" s="113" t="s">
        <v>546</v>
      </c>
      <c r="H4" s="113"/>
      <c r="I4" s="112" t="s">
        <v>412</v>
      </c>
      <c r="J4" s="113"/>
      <c r="K4" s="112" t="s">
        <v>41</v>
      </c>
      <c r="L4" s="113"/>
      <c r="M4" s="135"/>
    </row>
    <row r="5" spans="1:13" ht="15" customHeight="1">
      <c r="A5" s="149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35"/>
    </row>
    <row r="6" spans="1:13" ht="15" customHeight="1">
      <c r="A6" s="150" t="s">
        <v>59</v>
      </c>
      <c r="B6" s="113"/>
      <c r="C6" s="112" t="s">
        <v>546</v>
      </c>
      <c r="D6" s="113"/>
      <c r="E6" s="113" t="s">
        <v>202</v>
      </c>
      <c r="F6" s="113"/>
      <c r="G6" s="113" t="s">
        <v>546</v>
      </c>
      <c r="H6" s="113"/>
      <c r="I6" s="112" t="s">
        <v>518</v>
      </c>
      <c r="J6" s="113"/>
      <c r="K6" s="113" t="s">
        <v>287</v>
      </c>
      <c r="L6" s="113"/>
      <c r="M6" s="135"/>
    </row>
    <row r="7" spans="1:13" ht="15" customHeight="1">
      <c r="A7" s="149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35"/>
    </row>
    <row r="8" spans="1:13" ht="15" customHeight="1">
      <c r="A8" s="150" t="s">
        <v>300</v>
      </c>
      <c r="B8" s="113"/>
      <c r="C8" s="112" t="s">
        <v>546</v>
      </c>
      <c r="D8" s="113"/>
      <c r="E8" s="113" t="s">
        <v>343</v>
      </c>
      <c r="F8" s="113"/>
      <c r="G8" s="113" t="s">
        <v>546</v>
      </c>
      <c r="H8" s="113"/>
      <c r="I8" s="112" t="s">
        <v>404</v>
      </c>
      <c r="J8" s="113"/>
      <c r="K8" s="113" t="s">
        <v>287</v>
      </c>
      <c r="L8" s="113"/>
      <c r="M8" s="135"/>
    </row>
    <row r="9" spans="1:13" ht="15" customHeight="1">
      <c r="A9" s="149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35"/>
    </row>
    <row r="10" spans="1:64" ht="15" customHeight="1">
      <c r="A10" s="39" t="s">
        <v>55</v>
      </c>
      <c r="B10" s="16" t="s">
        <v>207</v>
      </c>
      <c r="C10" s="176" t="s">
        <v>651</v>
      </c>
      <c r="D10" s="176"/>
      <c r="E10" s="176"/>
      <c r="F10" s="177"/>
      <c r="G10" s="16" t="s">
        <v>217</v>
      </c>
      <c r="H10" s="11" t="s">
        <v>358</v>
      </c>
      <c r="I10" s="75" t="s">
        <v>201</v>
      </c>
      <c r="J10" s="173" t="s">
        <v>387</v>
      </c>
      <c r="K10" s="174"/>
      <c r="L10" s="175"/>
      <c r="M10" s="79" t="s">
        <v>169</v>
      </c>
      <c r="BK10" s="64" t="s">
        <v>240</v>
      </c>
      <c r="BL10" s="97" t="s">
        <v>316</v>
      </c>
    </row>
    <row r="11" spans="1:62" ht="15" customHeight="1">
      <c r="A11" s="12" t="s">
        <v>546</v>
      </c>
      <c r="B11" s="92" t="s">
        <v>546</v>
      </c>
      <c r="C11" s="171" t="s">
        <v>599</v>
      </c>
      <c r="D11" s="171"/>
      <c r="E11" s="171"/>
      <c r="F11" s="172"/>
      <c r="G11" s="92" t="s">
        <v>546</v>
      </c>
      <c r="H11" s="92" t="s">
        <v>546</v>
      </c>
      <c r="I11" s="94" t="s">
        <v>563</v>
      </c>
      <c r="J11" s="53" t="s">
        <v>42</v>
      </c>
      <c r="K11" s="6" t="s">
        <v>114</v>
      </c>
      <c r="L11" s="67" t="s">
        <v>67</v>
      </c>
      <c r="M11" s="67" t="s">
        <v>158</v>
      </c>
      <c r="Z11" s="64" t="s">
        <v>457</v>
      </c>
      <c r="AA11" s="64" t="s">
        <v>367</v>
      </c>
      <c r="AB11" s="64" t="s">
        <v>625</v>
      </c>
      <c r="AC11" s="64" t="s">
        <v>176</v>
      </c>
      <c r="AD11" s="64" t="s">
        <v>508</v>
      </c>
      <c r="AE11" s="64" t="s">
        <v>228</v>
      </c>
      <c r="AF11" s="64" t="s">
        <v>534</v>
      </c>
      <c r="AG11" s="64" t="s">
        <v>263</v>
      </c>
      <c r="AH11" s="64" t="s">
        <v>163</v>
      </c>
      <c r="BH11" s="64" t="s">
        <v>458</v>
      </c>
      <c r="BI11" s="64" t="s">
        <v>606</v>
      </c>
      <c r="BJ11" s="64" t="s">
        <v>657</v>
      </c>
    </row>
    <row r="12" spans="1:13" ht="15" customHeight="1">
      <c r="A12" s="34" t="s">
        <v>414</v>
      </c>
      <c r="B12" s="61" t="s">
        <v>414</v>
      </c>
      <c r="C12" s="166" t="s">
        <v>124</v>
      </c>
      <c r="D12" s="166"/>
      <c r="E12" s="166"/>
      <c r="F12" s="166"/>
      <c r="G12" s="57" t="s">
        <v>546</v>
      </c>
      <c r="H12" s="57" t="s">
        <v>546</v>
      </c>
      <c r="I12" s="57" t="s">
        <v>546</v>
      </c>
      <c r="J12" s="65">
        <f>J13+J42+J55+J58+J69+J84+J96+J127+J133+J146+J161+J196+J218+J224+J232+J234+J236+J238+J251+J255+J257+J259</f>
        <v>0</v>
      </c>
      <c r="K12" s="65">
        <f>K13+K42+K55+K58+K69+K84+K96+K127+K133+K146+K161+K196+K218+K224+K232+K234+K236+K238+K251+K255+K257+K259</f>
        <v>0</v>
      </c>
      <c r="L12" s="65">
        <f>L13+L42+L55+L58+L69+L84+L96+L127+L133+L146+L161+L196+L218+L224+L232+L234+L236+L238+L251+L255+L257+L259</f>
        <v>0</v>
      </c>
      <c r="M12" s="84" t="s">
        <v>414</v>
      </c>
    </row>
    <row r="13" spans="1:47" ht="15" customHeight="1">
      <c r="A13" s="96" t="s">
        <v>414</v>
      </c>
      <c r="B13" s="28" t="s">
        <v>429</v>
      </c>
      <c r="C13" s="168" t="s">
        <v>426</v>
      </c>
      <c r="D13" s="166"/>
      <c r="E13" s="166"/>
      <c r="F13" s="168"/>
      <c r="G13" s="85" t="s">
        <v>546</v>
      </c>
      <c r="H13" s="85" t="s">
        <v>546</v>
      </c>
      <c r="I13" s="85" t="s">
        <v>546</v>
      </c>
      <c r="J13" s="56">
        <f>SUM(J14:J41)</f>
        <v>0</v>
      </c>
      <c r="K13" s="56">
        <f>SUM(K14:K41)</f>
        <v>0</v>
      </c>
      <c r="L13" s="56">
        <f>SUM(L14:L41)</f>
        <v>0</v>
      </c>
      <c r="M13" s="102" t="s">
        <v>414</v>
      </c>
      <c r="AI13" s="64" t="s">
        <v>414</v>
      </c>
      <c r="AS13" s="76">
        <f>SUM(AJ14:AJ41)</f>
        <v>0</v>
      </c>
      <c r="AT13" s="76">
        <f>SUM(AK14:AK41)</f>
        <v>0</v>
      </c>
      <c r="AU13" s="76">
        <f>SUM(AL14:AL41)</f>
        <v>0</v>
      </c>
    </row>
    <row r="14" spans="1:64" ht="15" customHeight="1">
      <c r="A14" s="86" t="s">
        <v>595</v>
      </c>
      <c r="B14" s="69" t="s">
        <v>624</v>
      </c>
      <c r="C14" s="165" t="s">
        <v>526</v>
      </c>
      <c r="D14" s="113"/>
      <c r="E14" s="113"/>
      <c r="F14" s="165"/>
      <c r="G14" s="69" t="s">
        <v>587</v>
      </c>
      <c r="H14" s="100">
        <v>29.028</v>
      </c>
      <c r="I14" s="100">
        <v>0</v>
      </c>
      <c r="J14" s="100">
        <f>H14*AO14</f>
        <v>0</v>
      </c>
      <c r="K14" s="100">
        <f>H14*AP14</f>
        <v>0</v>
      </c>
      <c r="L14" s="100">
        <f>H14*I14</f>
        <v>0</v>
      </c>
      <c r="M14" s="29" t="s">
        <v>496</v>
      </c>
      <c r="Z14" s="20">
        <f>IF(AQ14="5",BJ14,0)</f>
        <v>0</v>
      </c>
      <c r="AB14" s="20">
        <f>IF(AQ14="1",BH14,0)</f>
        <v>0</v>
      </c>
      <c r="AC14" s="20">
        <f>IF(AQ14="1",BI14,0)</f>
        <v>0</v>
      </c>
      <c r="AD14" s="20">
        <f>IF(AQ14="7",BH14,0)</f>
        <v>0</v>
      </c>
      <c r="AE14" s="20">
        <f>IF(AQ14="7",BI14,0)</f>
        <v>0</v>
      </c>
      <c r="AF14" s="20">
        <f>IF(AQ14="2",BH14,0)</f>
        <v>0</v>
      </c>
      <c r="AG14" s="20">
        <f>IF(AQ14="2",BI14,0)</f>
        <v>0</v>
      </c>
      <c r="AH14" s="20">
        <f>IF(AQ14="0",BJ14,0)</f>
        <v>0</v>
      </c>
      <c r="AI14" s="64" t="s">
        <v>414</v>
      </c>
      <c r="AJ14" s="20">
        <f>IF(AN14=0,L14,0)</f>
        <v>0</v>
      </c>
      <c r="AK14" s="20">
        <f>IF(AN14=15,L14,0)</f>
        <v>0</v>
      </c>
      <c r="AL14" s="20">
        <f>IF(AN14=21,L14,0)</f>
        <v>0</v>
      </c>
      <c r="AN14" s="20">
        <v>15</v>
      </c>
      <c r="AO14" s="20">
        <f>I14*0.476731012369495</f>
        <v>0</v>
      </c>
      <c r="AP14" s="20">
        <f>I14*(1-0.476731012369495)</f>
        <v>0</v>
      </c>
      <c r="AQ14" s="26" t="s">
        <v>595</v>
      </c>
      <c r="AV14" s="20">
        <f>AW14+AX14</f>
        <v>0</v>
      </c>
      <c r="AW14" s="20">
        <f>H14*AO14</f>
        <v>0</v>
      </c>
      <c r="AX14" s="20">
        <f>H14*AP14</f>
        <v>0</v>
      </c>
      <c r="AY14" s="26" t="s">
        <v>378</v>
      </c>
      <c r="AZ14" s="26" t="s">
        <v>576</v>
      </c>
      <c r="BA14" s="64" t="s">
        <v>452</v>
      </c>
      <c r="BC14" s="20">
        <f>AW14+AX14</f>
        <v>0</v>
      </c>
      <c r="BD14" s="20">
        <f>I14/(100-BE14)*100</f>
        <v>0</v>
      </c>
      <c r="BE14" s="20">
        <v>0</v>
      </c>
      <c r="BF14" s="20">
        <f>14</f>
        <v>14</v>
      </c>
      <c r="BH14" s="20">
        <f>H14*AO14</f>
        <v>0</v>
      </c>
      <c r="BI14" s="20">
        <f>H14*AP14</f>
        <v>0</v>
      </c>
      <c r="BJ14" s="20">
        <f>H14*I14</f>
        <v>0</v>
      </c>
      <c r="BK14" s="20"/>
      <c r="BL14" s="20">
        <v>61</v>
      </c>
    </row>
    <row r="15" spans="1:64" ht="15" customHeight="1">
      <c r="A15" s="86" t="s">
        <v>411</v>
      </c>
      <c r="B15" s="69" t="s">
        <v>342</v>
      </c>
      <c r="C15" s="165" t="s">
        <v>102</v>
      </c>
      <c r="D15" s="113"/>
      <c r="E15" s="113"/>
      <c r="F15" s="165"/>
      <c r="G15" s="69" t="s">
        <v>587</v>
      </c>
      <c r="H15" s="100">
        <v>29.028</v>
      </c>
      <c r="I15" s="100">
        <v>0</v>
      </c>
      <c r="J15" s="100">
        <f>H15*AO15</f>
        <v>0</v>
      </c>
      <c r="K15" s="100">
        <f>H15*AP15</f>
        <v>0</v>
      </c>
      <c r="L15" s="100">
        <f>H15*I15</f>
        <v>0</v>
      </c>
      <c r="M15" s="29" t="s">
        <v>496</v>
      </c>
      <c r="Z15" s="20">
        <f>IF(AQ15="5",BJ15,0)</f>
        <v>0</v>
      </c>
      <c r="AB15" s="20">
        <f>IF(AQ15="1",BH15,0)</f>
        <v>0</v>
      </c>
      <c r="AC15" s="20">
        <f>IF(AQ15="1",BI15,0)</f>
        <v>0</v>
      </c>
      <c r="AD15" s="20">
        <f>IF(AQ15="7",BH15,0)</f>
        <v>0</v>
      </c>
      <c r="AE15" s="20">
        <f>IF(AQ15="7",BI15,0)</f>
        <v>0</v>
      </c>
      <c r="AF15" s="20">
        <f>IF(AQ15="2",BH15,0)</f>
        <v>0</v>
      </c>
      <c r="AG15" s="20">
        <f>IF(AQ15="2",BI15,0)</f>
        <v>0</v>
      </c>
      <c r="AH15" s="20">
        <f>IF(AQ15="0",BJ15,0)</f>
        <v>0</v>
      </c>
      <c r="AI15" s="64" t="s">
        <v>414</v>
      </c>
      <c r="AJ15" s="20">
        <f>IF(AN15=0,L15,0)</f>
        <v>0</v>
      </c>
      <c r="AK15" s="20">
        <f>IF(AN15=15,L15,0)</f>
        <v>0</v>
      </c>
      <c r="AL15" s="20">
        <f>IF(AN15=21,L15,0)</f>
        <v>0</v>
      </c>
      <c r="AN15" s="20">
        <v>15</v>
      </c>
      <c r="AO15" s="20">
        <f>I15*0.233699130294654</f>
        <v>0</v>
      </c>
      <c r="AP15" s="20">
        <f>I15*(1-0.233699130294654)</f>
        <v>0</v>
      </c>
      <c r="AQ15" s="26" t="s">
        <v>595</v>
      </c>
      <c r="AV15" s="20">
        <f>AW15+AX15</f>
        <v>0</v>
      </c>
      <c r="AW15" s="20">
        <f>H15*AO15</f>
        <v>0</v>
      </c>
      <c r="AX15" s="20">
        <f>H15*AP15</f>
        <v>0</v>
      </c>
      <c r="AY15" s="26" t="s">
        <v>378</v>
      </c>
      <c r="AZ15" s="26" t="s">
        <v>576</v>
      </c>
      <c r="BA15" s="64" t="s">
        <v>452</v>
      </c>
      <c r="BC15" s="20">
        <f>AW15+AX15</f>
        <v>0</v>
      </c>
      <c r="BD15" s="20">
        <f>I15/(100-BE15)*100</f>
        <v>0</v>
      </c>
      <c r="BE15" s="20">
        <v>0</v>
      </c>
      <c r="BF15" s="20">
        <f>15</f>
        <v>15</v>
      </c>
      <c r="BH15" s="20">
        <f>H15*AO15</f>
        <v>0</v>
      </c>
      <c r="BI15" s="20">
        <f>H15*AP15</f>
        <v>0</v>
      </c>
      <c r="BJ15" s="20">
        <f>H15*I15</f>
        <v>0</v>
      </c>
      <c r="BK15" s="20"/>
      <c r="BL15" s="20">
        <v>61</v>
      </c>
    </row>
    <row r="16" spans="1:13" ht="15" customHeight="1">
      <c r="A16" s="32"/>
      <c r="B16" s="54"/>
      <c r="C16" s="95" t="s">
        <v>326</v>
      </c>
      <c r="F16" s="105" t="s">
        <v>414</v>
      </c>
      <c r="G16" s="54"/>
      <c r="H16" s="40">
        <v>29.028000000000002</v>
      </c>
      <c r="I16" s="54"/>
      <c r="J16" s="54"/>
      <c r="K16" s="54"/>
      <c r="L16" s="54"/>
      <c r="M16" s="23"/>
    </row>
    <row r="17" spans="1:64" ht="15" customHeight="1">
      <c r="A17" s="4" t="s">
        <v>514</v>
      </c>
      <c r="B17" s="17" t="s">
        <v>174</v>
      </c>
      <c r="C17" s="113" t="s">
        <v>323</v>
      </c>
      <c r="D17" s="113"/>
      <c r="E17" s="113"/>
      <c r="F17" s="113"/>
      <c r="G17" s="17" t="s">
        <v>587</v>
      </c>
      <c r="H17" s="20">
        <v>11.13</v>
      </c>
      <c r="I17" s="20">
        <v>0</v>
      </c>
      <c r="J17" s="20">
        <f>H17*AO17</f>
        <v>0</v>
      </c>
      <c r="K17" s="20">
        <f>H17*AP17</f>
        <v>0</v>
      </c>
      <c r="L17" s="20">
        <f>H17*I17</f>
        <v>0</v>
      </c>
      <c r="M17" s="31" t="s">
        <v>496</v>
      </c>
      <c r="Z17" s="20">
        <f>IF(AQ17="5",BJ17,0)</f>
        <v>0</v>
      </c>
      <c r="AB17" s="20">
        <f>IF(AQ17="1",BH17,0)</f>
        <v>0</v>
      </c>
      <c r="AC17" s="20">
        <f>IF(AQ17="1",BI17,0)</f>
        <v>0</v>
      </c>
      <c r="AD17" s="20">
        <f>IF(AQ17="7",BH17,0)</f>
        <v>0</v>
      </c>
      <c r="AE17" s="20">
        <f>IF(AQ17="7",BI17,0)</f>
        <v>0</v>
      </c>
      <c r="AF17" s="20">
        <f>IF(AQ17="2",BH17,0)</f>
        <v>0</v>
      </c>
      <c r="AG17" s="20">
        <f>IF(AQ17="2",BI17,0)</f>
        <v>0</v>
      </c>
      <c r="AH17" s="20">
        <f>IF(AQ17="0",BJ17,0)</f>
        <v>0</v>
      </c>
      <c r="AI17" s="64" t="s">
        <v>414</v>
      </c>
      <c r="AJ17" s="20">
        <f>IF(AN17=0,L17,0)</f>
        <v>0</v>
      </c>
      <c r="AK17" s="20">
        <f>IF(AN17=15,L17,0)</f>
        <v>0</v>
      </c>
      <c r="AL17" s="20">
        <f>IF(AN17=21,L17,0)</f>
        <v>0</v>
      </c>
      <c r="AN17" s="20">
        <v>15</v>
      </c>
      <c r="AO17" s="20">
        <f>I17*0.165830115830116</f>
        <v>0</v>
      </c>
      <c r="AP17" s="20">
        <f>I17*(1-0.165830115830116)</f>
        <v>0</v>
      </c>
      <c r="AQ17" s="26" t="s">
        <v>595</v>
      </c>
      <c r="AV17" s="20">
        <f>AW17+AX17</f>
        <v>0</v>
      </c>
      <c r="AW17" s="20">
        <f>H17*AO17</f>
        <v>0</v>
      </c>
      <c r="AX17" s="20">
        <f>H17*AP17</f>
        <v>0</v>
      </c>
      <c r="AY17" s="26" t="s">
        <v>378</v>
      </c>
      <c r="AZ17" s="26" t="s">
        <v>576</v>
      </c>
      <c r="BA17" s="64" t="s">
        <v>452</v>
      </c>
      <c r="BC17" s="20">
        <f>AW17+AX17</f>
        <v>0</v>
      </c>
      <c r="BD17" s="20">
        <f>I17/(100-BE17)*100</f>
        <v>0</v>
      </c>
      <c r="BE17" s="20">
        <v>0</v>
      </c>
      <c r="BF17" s="20">
        <f>17</f>
        <v>17</v>
      </c>
      <c r="BH17" s="20">
        <f>H17*AO17</f>
        <v>0</v>
      </c>
      <c r="BI17" s="20">
        <f>H17*AP17</f>
        <v>0</v>
      </c>
      <c r="BJ17" s="20">
        <f>H17*I17</f>
        <v>0</v>
      </c>
      <c r="BK17" s="20"/>
      <c r="BL17" s="20">
        <v>61</v>
      </c>
    </row>
    <row r="18" spans="1:13" ht="15" customHeight="1">
      <c r="A18" s="19"/>
      <c r="C18" s="9" t="s">
        <v>292</v>
      </c>
      <c r="F18" s="9" t="s">
        <v>414</v>
      </c>
      <c r="H18" s="58">
        <v>0</v>
      </c>
      <c r="M18" s="36"/>
    </row>
    <row r="19" spans="1:13" ht="15" customHeight="1">
      <c r="A19" s="19"/>
      <c r="C19" s="9" t="s">
        <v>334</v>
      </c>
      <c r="F19" s="9" t="s">
        <v>414</v>
      </c>
      <c r="H19" s="58">
        <v>6.405</v>
      </c>
      <c r="M19" s="36"/>
    </row>
    <row r="20" spans="1:13" ht="15" customHeight="1">
      <c r="A20" s="19"/>
      <c r="C20" s="9" t="s">
        <v>294</v>
      </c>
      <c r="F20" s="9" t="s">
        <v>414</v>
      </c>
      <c r="H20" s="58">
        <v>4.7250000000000005</v>
      </c>
      <c r="M20" s="36"/>
    </row>
    <row r="21" spans="1:64" ht="15" customHeight="1">
      <c r="A21" s="46" t="s">
        <v>74</v>
      </c>
      <c r="B21" s="44" t="s">
        <v>375</v>
      </c>
      <c r="C21" s="165" t="s">
        <v>96</v>
      </c>
      <c r="D21" s="113"/>
      <c r="E21" s="113"/>
      <c r="F21" s="165"/>
      <c r="G21" s="44" t="s">
        <v>587</v>
      </c>
      <c r="H21" s="1">
        <v>86.204</v>
      </c>
      <c r="I21" s="1">
        <v>0</v>
      </c>
      <c r="J21" s="1">
        <f>H21*AO21</f>
        <v>0</v>
      </c>
      <c r="K21" s="1">
        <f>H21*AP21</f>
        <v>0</v>
      </c>
      <c r="L21" s="1">
        <f>H21*I21</f>
        <v>0</v>
      </c>
      <c r="M21" s="27" t="s">
        <v>496</v>
      </c>
      <c r="Z21" s="20">
        <f>IF(AQ21="5",BJ21,0)</f>
        <v>0</v>
      </c>
      <c r="AB21" s="20">
        <f>IF(AQ21="1",BH21,0)</f>
        <v>0</v>
      </c>
      <c r="AC21" s="20">
        <f>IF(AQ21="1",BI21,0)</f>
        <v>0</v>
      </c>
      <c r="AD21" s="20">
        <f>IF(AQ21="7",BH21,0)</f>
        <v>0</v>
      </c>
      <c r="AE21" s="20">
        <f>IF(AQ21="7",BI21,0)</f>
        <v>0</v>
      </c>
      <c r="AF21" s="20">
        <f>IF(AQ21="2",BH21,0)</f>
        <v>0</v>
      </c>
      <c r="AG21" s="20">
        <f>IF(AQ21="2",BI21,0)</f>
        <v>0</v>
      </c>
      <c r="AH21" s="20">
        <f>IF(AQ21="0",BJ21,0)</f>
        <v>0</v>
      </c>
      <c r="AI21" s="64" t="s">
        <v>414</v>
      </c>
      <c r="AJ21" s="20">
        <f>IF(AN21=0,L21,0)</f>
        <v>0</v>
      </c>
      <c r="AK21" s="20">
        <f>IF(AN21=15,L21,0)</f>
        <v>0</v>
      </c>
      <c r="AL21" s="20">
        <f>IF(AN21=21,L21,0)</f>
        <v>0</v>
      </c>
      <c r="AN21" s="20">
        <v>15</v>
      </c>
      <c r="AO21" s="20">
        <f>I21*0.51854405519747</f>
        <v>0</v>
      </c>
      <c r="AP21" s="20">
        <f>I21*(1-0.51854405519747)</f>
        <v>0</v>
      </c>
      <c r="AQ21" s="26" t="s">
        <v>595</v>
      </c>
      <c r="AV21" s="20">
        <f>AW21+AX21</f>
        <v>0</v>
      </c>
      <c r="AW21" s="20">
        <f>H21*AO21</f>
        <v>0</v>
      </c>
      <c r="AX21" s="20">
        <f>H21*AP21</f>
        <v>0</v>
      </c>
      <c r="AY21" s="26" t="s">
        <v>378</v>
      </c>
      <c r="AZ21" s="26" t="s">
        <v>576</v>
      </c>
      <c r="BA21" s="64" t="s">
        <v>452</v>
      </c>
      <c r="BC21" s="20">
        <f>AW21+AX21</f>
        <v>0</v>
      </c>
      <c r="BD21" s="20">
        <f>I21/(100-BE21)*100</f>
        <v>0</v>
      </c>
      <c r="BE21" s="20">
        <v>0</v>
      </c>
      <c r="BF21" s="20">
        <f>21</f>
        <v>21</v>
      </c>
      <c r="BH21" s="20">
        <f>H21*AO21</f>
        <v>0</v>
      </c>
      <c r="BI21" s="20">
        <f>H21*AP21</f>
        <v>0</v>
      </c>
      <c r="BJ21" s="20">
        <f>H21*I21</f>
        <v>0</v>
      </c>
      <c r="BK21" s="20"/>
      <c r="BL21" s="20">
        <v>61</v>
      </c>
    </row>
    <row r="22" spans="1:64" ht="15" customHeight="1">
      <c r="A22" s="86" t="s">
        <v>322</v>
      </c>
      <c r="B22" s="69" t="s">
        <v>295</v>
      </c>
      <c r="C22" s="165" t="s">
        <v>328</v>
      </c>
      <c r="D22" s="113"/>
      <c r="E22" s="113"/>
      <c r="F22" s="165"/>
      <c r="G22" s="69" t="s">
        <v>587</v>
      </c>
      <c r="H22" s="100">
        <v>86.204</v>
      </c>
      <c r="I22" s="100">
        <v>0</v>
      </c>
      <c r="J22" s="100">
        <f>H22*AO22</f>
        <v>0</v>
      </c>
      <c r="K22" s="100">
        <f>H22*AP22</f>
        <v>0</v>
      </c>
      <c r="L22" s="100">
        <f>H22*I22</f>
        <v>0</v>
      </c>
      <c r="M22" s="29" t="s">
        <v>496</v>
      </c>
      <c r="Z22" s="20">
        <f>IF(AQ22="5",BJ22,0)</f>
        <v>0</v>
      </c>
      <c r="AB22" s="20">
        <f>IF(AQ22="1",BH22,0)</f>
        <v>0</v>
      </c>
      <c r="AC22" s="20">
        <f>IF(AQ22="1",BI22,0)</f>
        <v>0</v>
      </c>
      <c r="AD22" s="20">
        <f>IF(AQ22="7",BH22,0)</f>
        <v>0</v>
      </c>
      <c r="AE22" s="20">
        <f>IF(AQ22="7",BI22,0)</f>
        <v>0</v>
      </c>
      <c r="AF22" s="20">
        <f>IF(AQ22="2",BH22,0)</f>
        <v>0</v>
      </c>
      <c r="AG22" s="20">
        <f>IF(AQ22="2",BI22,0)</f>
        <v>0</v>
      </c>
      <c r="AH22" s="20">
        <f>IF(AQ22="0",BJ22,0)</f>
        <v>0</v>
      </c>
      <c r="AI22" s="64" t="s">
        <v>414</v>
      </c>
      <c r="AJ22" s="20">
        <f>IF(AN22=0,L22,0)</f>
        <v>0</v>
      </c>
      <c r="AK22" s="20">
        <f>IF(AN22=15,L22,0)</f>
        <v>0</v>
      </c>
      <c r="AL22" s="20">
        <f>IF(AN22=21,L22,0)</f>
        <v>0</v>
      </c>
      <c r="AN22" s="20">
        <v>15</v>
      </c>
      <c r="AO22" s="20">
        <f>I22*0.12524191074963</f>
        <v>0</v>
      </c>
      <c r="AP22" s="20">
        <f>I22*(1-0.12524191074963)</f>
        <v>0</v>
      </c>
      <c r="AQ22" s="26" t="s">
        <v>595</v>
      </c>
      <c r="AV22" s="20">
        <f>AW22+AX22</f>
        <v>0</v>
      </c>
      <c r="AW22" s="20">
        <f>H22*AO22</f>
        <v>0</v>
      </c>
      <c r="AX22" s="20">
        <f>H22*AP22</f>
        <v>0</v>
      </c>
      <c r="AY22" s="26" t="s">
        <v>378</v>
      </c>
      <c r="AZ22" s="26" t="s">
        <v>576</v>
      </c>
      <c r="BA22" s="64" t="s">
        <v>452</v>
      </c>
      <c r="BC22" s="20">
        <f>AW22+AX22</f>
        <v>0</v>
      </c>
      <c r="BD22" s="20">
        <f>I22/(100-BE22)*100</f>
        <v>0</v>
      </c>
      <c r="BE22" s="20">
        <v>0</v>
      </c>
      <c r="BF22" s="20">
        <f>22</f>
        <v>22</v>
      </c>
      <c r="BH22" s="20">
        <f>H22*AO22</f>
        <v>0</v>
      </c>
      <c r="BI22" s="20">
        <f>H22*AP22</f>
        <v>0</v>
      </c>
      <c r="BJ22" s="20">
        <f>H22*I22</f>
        <v>0</v>
      </c>
      <c r="BK22" s="20"/>
      <c r="BL22" s="20">
        <v>61</v>
      </c>
    </row>
    <row r="23" spans="1:13" ht="15" customHeight="1">
      <c r="A23" s="32"/>
      <c r="B23" s="54"/>
      <c r="C23" s="95" t="s">
        <v>173</v>
      </c>
      <c r="F23" s="105" t="s">
        <v>414</v>
      </c>
      <c r="G23" s="54"/>
      <c r="H23" s="40">
        <v>0</v>
      </c>
      <c r="I23" s="54"/>
      <c r="J23" s="54"/>
      <c r="K23" s="54"/>
      <c r="L23" s="54"/>
      <c r="M23" s="23"/>
    </row>
    <row r="24" spans="1:13" ht="15" customHeight="1">
      <c r="A24" s="32"/>
      <c r="B24" s="54"/>
      <c r="C24" s="95" t="s">
        <v>441</v>
      </c>
      <c r="F24" s="105" t="s">
        <v>414</v>
      </c>
      <c r="G24" s="54"/>
      <c r="H24" s="40">
        <v>20.113500000000002</v>
      </c>
      <c r="I24" s="54"/>
      <c r="J24" s="54"/>
      <c r="K24" s="54"/>
      <c r="L24" s="54"/>
      <c r="M24" s="23"/>
    </row>
    <row r="25" spans="1:13" ht="15" customHeight="1">
      <c r="A25" s="32"/>
      <c r="B25" s="54"/>
      <c r="C25" s="95" t="s">
        <v>279</v>
      </c>
      <c r="F25" s="105" t="s">
        <v>414</v>
      </c>
      <c r="G25" s="54"/>
      <c r="H25" s="40">
        <v>-5.91</v>
      </c>
      <c r="I25" s="54"/>
      <c r="J25" s="54"/>
      <c r="K25" s="54"/>
      <c r="L25" s="54"/>
      <c r="M25" s="23"/>
    </row>
    <row r="26" spans="1:13" ht="15" customHeight="1">
      <c r="A26" s="32"/>
      <c r="B26" s="54"/>
      <c r="C26" s="95" t="s">
        <v>184</v>
      </c>
      <c r="F26" s="105" t="s">
        <v>414</v>
      </c>
      <c r="G26" s="54"/>
      <c r="H26" s="40">
        <v>0</v>
      </c>
      <c r="I26" s="54"/>
      <c r="J26" s="54"/>
      <c r="K26" s="54"/>
      <c r="L26" s="54"/>
      <c r="M26" s="23"/>
    </row>
    <row r="27" spans="1:13" ht="15" customHeight="1">
      <c r="A27" s="32"/>
      <c r="B27" s="54"/>
      <c r="C27" s="95" t="s">
        <v>594</v>
      </c>
      <c r="F27" s="105" t="s">
        <v>414</v>
      </c>
      <c r="G27" s="54"/>
      <c r="H27" s="40">
        <v>32.5075</v>
      </c>
      <c r="I27" s="54"/>
      <c r="J27" s="54"/>
      <c r="K27" s="54"/>
      <c r="L27" s="54"/>
      <c r="M27" s="23"/>
    </row>
    <row r="28" spans="1:13" ht="15" customHeight="1">
      <c r="A28" s="32"/>
      <c r="B28" s="54"/>
      <c r="C28" s="95" t="s">
        <v>645</v>
      </c>
      <c r="F28" s="105" t="s">
        <v>414</v>
      </c>
      <c r="G28" s="54"/>
      <c r="H28" s="40">
        <v>-3.5260000000000002</v>
      </c>
      <c r="I28" s="54"/>
      <c r="J28" s="54"/>
      <c r="K28" s="54"/>
      <c r="L28" s="54"/>
      <c r="M28" s="23"/>
    </row>
    <row r="29" spans="1:13" ht="15" customHeight="1">
      <c r="A29" s="32"/>
      <c r="B29" s="54"/>
      <c r="C29" s="95" t="s">
        <v>192</v>
      </c>
      <c r="F29" s="105" t="s">
        <v>414</v>
      </c>
      <c r="G29" s="54"/>
      <c r="H29" s="40">
        <v>0</v>
      </c>
      <c r="I29" s="54"/>
      <c r="J29" s="54"/>
      <c r="K29" s="54"/>
      <c r="L29" s="54"/>
      <c r="M29" s="23"/>
    </row>
    <row r="30" spans="1:13" ht="15" customHeight="1">
      <c r="A30" s="32"/>
      <c r="B30" s="54"/>
      <c r="C30" s="95" t="s">
        <v>211</v>
      </c>
      <c r="F30" s="105" t="s">
        <v>414</v>
      </c>
      <c r="G30" s="54"/>
      <c r="H30" s="40">
        <v>41.782500000000006</v>
      </c>
      <c r="I30" s="54"/>
      <c r="J30" s="54"/>
      <c r="K30" s="54"/>
      <c r="L30" s="54"/>
      <c r="M30" s="23"/>
    </row>
    <row r="31" spans="1:13" ht="15" customHeight="1">
      <c r="A31" s="32"/>
      <c r="B31" s="54"/>
      <c r="C31" s="95" t="s">
        <v>107</v>
      </c>
      <c r="F31" s="105" t="s">
        <v>414</v>
      </c>
      <c r="G31" s="54"/>
      <c r="H31" s="40">
        <v>-3.6010000000000004</v>
      </c>
      <c r="I31" s="54"/>
      <c r="J31" s="54"/>
      <c r="K31" s="54"/>
      <c r="L31" s="54"/>
      <c r="M31" s="23"/>
    </row>
    <row r="32" spans="1:13" ht="15" customHeight="1">
      <c r="A32" s="32"/>
      <c r="B32" s="54"/>
      <c r="C32" s="95" t="s">
        <v>22</v>
      </c>
      <c r="F32" s="105" t="s">
        <v>414</v>
      </c>
      <c r="G32" s="54"/>
      <c r="H32" s="40">
        <v>0</v>
      </c>
      <c r="I32" s="54"/>
      <c r="J32" s="54"/>
      <c r="K32" s="54"/>
      <c r="L32" s="54"/>
      <c r="M32" s="23"/>
    </row>
    <row r="33" spans="1:13" ht="15" customHeight="1">
      <c r="A33" s="32"/>
      <c r="B33" s="54"/>
      <c r="C33" s="95" t="s">
        <v>656</v>
      </c>
      <c r="F33" s="105" t="s">
        <v>414</v>
      </c>
      <c r="G33" s="54"/>
      <c r="H33" s="40">
        <v>4.8375</v>
      </c>
      <c r="I33" s="54"/>
      <c r="J33" s="54"/>
      <c r="K33" s="54"/>
      <c r="L33" s="54"/>
      <c r="M33" s="23"/>
    </row>
    <row r="34" spans="1:64" ht="15" customHeight="1">
      <c r="A34" s="86" t="s">
        <v>100</v>
      </c>
      <c r="B34" s="69" t="s">
        <v>377</v>
      </c>
      <c r="C34" s="165" t="s">
        <v>401</v>
      </c>
      <c r="D34" s="113"/>
      <c r="E34" s="113"/>
      <c r="F34" s="165"/>
      <c r="G34" s="69" t="s">
        <v>154</v>
      </c>
      <c r="H34" s="100">
        <v>4</v>
      </c>
      <c r="I34" s="100">
        <v>0</v>
      </c>
      <c r="J34" s="100">
        <f>H34*AO34</f>
        <v>0</v>
      </c>
      <c r="K34" s="100">
        <f>H34*AP34</f>
        <v>0</v>
      </c>
      <c r="L34" s="100">
        <f>H34*I34</f>
        <v>0</v>
      </c>
      <c r="M34" s="29" t="s">
        <v>496</v>
      </c>
      <c r="Z34" s="20">
        <f>IF(AQ34="5",BJ34,0)</f>
        <v>0</v>
      </c>
      <c r="AB34" s="20">
        <f>IF(AQ34="1",BH34,0)</f>
        <v>0</v>
      </c>
      <c r="AC34" s="20">
        <f>IF(AQ34="1",BI34,0)</f>
        <v>0</v>
      </c>
      <c r="AD34" s="20">
        <f>IF(AQ34="7",BH34,0)</f>
        <v>0</v>
      </c>
      <c r="AE34" s="20">
        <f>IF(AQ34="7",BI34,0)</f>
        <v>0</v>
      </c>
      <c r="AF34" s="20">
        <f>IF(AQ34="2",BH34,0)</f>
        <v>0</v>
      </c>
      <c r="AG34" s="20">
        <f>IF(AQ34="2",BI34,0)</f>
        <v>0</v>
      </c>
      <c r="AH34" s="20">
        <f>IF(AQ34="0",BJ34,0)</f>
        <v>0</v>
      </c>
      <c r="AI34" s="64" t="s">
        <v>414</v>
      </c>
      <c r="AJ34" s="20">
        <f>IF(AN34=0,L34,0)</f>
        <v>0</v>
      </c>
      <c r="AK34" s="20">
        <f>IF(AN34=15,L34,0)</f>
        <v>0</v>
      </c>
      <c r="AL34" s="20">
        <f>IF(AN34=21,L34,0)</f>
        <v>0</v>
      </c>
      <c r="AN34" s="20">
        <v>15</v>
      </c>
      <c r="AO34" s="20">
        <f>I34*0.340158550396376</f>
        <v>0</v>
      </c>
      <c r="AP34" s="20">
        <f>I34*(1-0.340158550396376)</f>
        <v>0</v>
      </c>
      <c r="AQ34" s="26" t="s">
        <v>595</v>
      </c>
      <c r="AV34" s="20">
        <f>AW34+AX34</f>
        <v>0</v>
      </c>
      <c r="AW34" s="20">
        <f>H34*AO34</f>
        <v>0</v>
      </c>
      <c r="AX34" s="20">
        <f>H34*AP34</f>
        <v>0</v>
      </c>
      <c r="AY34" s="26" t="s">
        <v>378</v>
      </c>
      <c r="AZ34" s="26" t="s">
        <v>576</v>
      </c>
      <c r="BA34" s="64" t="s">
        <v>452</v>
      </c>
      <c r="BC34" s="20">
        <f>AW34+AX34</f>
        <v>0</v>
      </c>
      <c r="BD34" s="20">
        <f>I34/(100-BE34)*100</f>
        <v>0</v>
      </c>
      <c r="BE34" s="20">
        <v>0</v>
      </c>
      <c r="BF34" s="20">
        <f>34</f>
        <v>34</v>
      </c>
      <c r="BH34" s="20">
        <f>H34*AO34</f>
        <v>0</v>
      </c>
      <c r="BI34" s="20">
        <f>H34*AP34</f>
        <v>0</v>
      </c>
      <c r="BJ34" s="20">
        <f>H34*I34</f>
        <v>0</v>
      </c>
      <c r="BK34" s="20"/>
      <c r="BL34" s="20">
        <v>61</v>
      </c>
    </row>
    <row r="35" spans="1:64" ht="15" customHeight="1">
      <c r="A35" s="86" t="s">
        <v>598</v>
      </c>
      <c r="B35" s="69" t="s">
        <v>174</v>
      </c>
      <c r="C35" s="165" t="s">
        <v>323</v>
      </c>
      <c r="D35" s="113"/>
      <c r="E35" s="113"/>
      <c r="F35" s="165"/>
      <c r="G35" s="69" t="s">
        <v>587</v>
      </c>
      <c r="H35" s="100">
        <v>17.55</v>
      </c>
      <c r="I35" s="100">
        <v>0</v>
      </c>
      <c r="J35" s="100">
        <f>H35*AO35</f>
        <v>0</v>
      </c>
      <c r="K35" s="100">
        <f>H35*AP35</f>
        <v>0</v>
      </c>
      <c r="L35" s="100">
        <f>H35*I35</f>
        <v>0</v>
      </c>
      <c r="M35" s="29" t="s">
        <v>496</v>
      </c>
      <c r="Z35" s="20">
        <f>IF(AQ35="5",BJ35,0)</f>
        <v>0</v>
      </c>
      <c r="AB35" s="20">
        <f>IF(AQ35="1",BH35,0)</f>
        <v>0</v>
      </c>
      <c r="AC35" s="20">
        <f>IF(AQ35="1",BI35,0)</f>
        <v>0</v>
      </c>
      <c r="AD35" s="20">
        <f>IF(AQ35="7",BH35,0)</f>
        <v>0</v>
      </c>
      <c r="AE35" s="20">
        <f>IF(AQ35="7",BI35,0)</f>
        <v>0</v>
      </c>
      <c r="AF35" s="20">
        <f>IF(AQ35="2",BH35,0)</f>
        <v>0</v>
      </c>
      <c r="AG35" s="20">
        <f>IF(AQ35="2",BI35,0)</f>
        <v>0</v>
      </c>
      <c r="AH35" s="20">
        <f>IF(AQ35="0",BJ35,0)</f>
        <v>0</v>
      </c>
      <c r="AI35" s="64" t="s">
        <v>414</v>
      </c>
      <c r="AJ35" s="20">
        <f>IF(AN35=0,L35,0)</f>
        <v>0</v>
      </c>
      <c r="AK35" s="20">
        <f>IF(AN35=15,L35,0)</f>
        <v>0</v>
      </c>
      <c r="AL35" s="20">
        <f>IF(AN35=21,L35,0)</f>
        <v>0</v>
      </c>
      <c r="AN35" s="20">
        <v>15</v>
      </c>
      <c r="AO35" s="20">
        <f>I35*0.165830115830116</f>
        <v>0</v>
      </c>
      <c r="AP35" s="20">
        <f>I35*(1-0.165830115830116)</f>
        <v>0</v>
      </c>
      <c r="AQ35" s="26" t="s">
        <v>595</v>
      </c>
      <c r="AV35" s="20">
        <f>AW35+AX35</f>
        <v>0</v>
      </c>
      <c r="AW35" s="20">
        <f>H35*AO35</f>
        <v>0</v>
      </c>
      <c r="AX35" s="20">
        <f>H35*AP35</f>
        <v>0</v>
      </c>
      <c r="AY35" s="26" t="s">
        <v>378</v>
      </c>
      <c r="AZ35" s="26" t="s">
        <v>576</v>
      </c>
      <c r="BA35" s="64" t="s">
        <v>452</v>
      </c>
      <c r="BC35" s="20">
        <f>AW35+AX35</f>
        <v>0</v>
      </c>
      <c r="BD35" s="20">
        <f>I35/(100-BE35)*100</f>
        <v>0</v>
      </c>
      <c r="BE35" s="20">
        <v>0</v>
      </c>
      <c r="BF35" s="20">
        <f>35</f>
        <v>35</v>
      </c>
      <c r="BH35" s="20">
        <f>H35*AO35</f>
        <v>0</v>
      </c>
      <c r="BI35" s="20">
        <f>H35*AP35</f>
        <v>0</v>
      </c>
      <c r="BJ35" s="20">
        <f>H35*I35</f>
        <v>0</v>
      </c>
      <c r="BK35" s="20"/>
      <c r="BL35" s="20">
        <v>61</v>
      </c>
    </row>
    <row r="36" spans="1:64" ht="15" customHeight="1">
      <c r="A36" s="86" t="s">
        <v>465</v>
      </c>
      <c r="B36" s="69" t="s">
        <v>461</v>
      </c>
      <c r="C36" s="165" t="s">
        <v>307</v>
      </c>
      <c r="D36" s="113"/>
      <c r="E36" s="113"/>
      <c r="F36" s="165"/>
      <c r="G36" s="69" t="s">
        <v>494</v>
      </c>
      <c r="H36" s="100">
        <v>26.42925</v>
      </c>
      <c r="I36" s="100">
        <v>0</v>
      </c>
      <c r="J36" s="100">
        <f>H36*AO36</f>
        <v>0</v>
      </c>
      <c r="K36" s="100">
        <f>H36*AP36</f>
        <v>0</v>
      </c>
      <c r="L36" s="100">
        <f>H36*I36</f>
        <v>0</v>
      </c>
      <c r="M36" s="29" t="s">
        <v>496</v>
      </c>
      <c r="Z36" s="20">
        <f>IF(AQ36="5",BJ36,0)</f>
        <v>0</v>
      </c>
      <c r="AB36" s="20">
        <f>IF(AQ36="1",BH36,0)</f>
        <v>0</v>
      </c>
      <c r="AC36" s="20">
        <f>IF(AQ36="1",BI36,0)</f>
        <v>0</v>
      </c>
      <c r="AD36" s="20">
        <f>IF(AQ36="7",BH36,0)</f>
        <v>0</v>
      </c>
      <c r="AE36" s="20">
        <f>IF(AQ36="7",BI36,0)</f>
        <v>0</v>
      </c>
      <c r="AF36" s="20">
        <f>IF(AQ36="2",BH36,0)</f>
        <v>0</v>
      </c>
      <c r="AG36" s="20">
        <f>IF(AQ36="2",BI36,0)</f>
        <v>0</v>
      </c>
      <c r="AH36" s="20">
        <f>IF(AQ36="0",BJ36,0)</f>
        <v>0</v>
      </c>
      <c r="AI36" s="64" t="s">
        <v>414</v>
      </c>
      <c r="AJ36" s="20">
        <f>IF(AN36=0,L36,0)</f>
        <v>0</v>
      </c>
      <c r="AK36" s="20">
        <f>IF(AN36=15,L36,0)</f>
        <v>0</v>
      </c>
      <c r="AL36" s="20">
        <f>IF(AN36=21,L36,0)</f>
        <v>0</v>
      </c>
      <c r="AN36" s="20">
        <v>15</v>
      </c>
      <c r="AO36" s="20">
        <f>I36*0.161423444009863</f>
        <v>0</v>
      </c>
      <c r="AP36" s="20">
        <f>I36*(1-0.161423444009863)</f>
        <v>0</v>
      </c>
      <c r="AQ36" s="26" t="s">
        <v>595</v>
      </c>
      <c r="AV36" s="20">
        <f>AW36+AX36</f>
        <v>0</v>
      </c>
      <c r="AW36" s="20">
        <f>H36*AO36</f>
        <v>0</v>
      </c>
      <c r="AX36" s="20">
        <f>H36*AP36</f>
        <v>0</v>
      </c>
      <c r="AY36" s="26" t="s">
        <v>378</v>
      </c>
      <c r="AZ36" s="26" t="s">
        <v>576</v>
      </c>
      <c r="BA36" s="64" t="s">
        <v>452</v>
      </c>
      <c r="BC36" s="20">
        <f>AW36+AX36</f>
        <v>0</v>
      </c>
      <c r="BD36" s="20">
        <f>I36/(100-BE36)*100</f>
        <v>0</v>
      </c>
      <c r="BE36" s="20">
        <v>0</v>
      </c>
      <c r="BF36" s="20">
        <f>36</f>
        <v>36</v>
      </c>
      <c r="BH36" s="20">
        <f>H36*AO36</f>
        <v>0</v>
      </c>
      <c r="BI36" s="20">
        <f>H36*AP36</f>
        <v>0</v>
      </c>
      <c r="BJ36" s="20">
        <f>H36*I36</f>
        <v>0</v>
      </c>
      <c r="BK36" s="20"/>
      <c r="BL36" s="20">
        <v>61</v>
      </c>
    </row>
    <row r="37" spans="1:13" ht="15" customHeight="1">
      <c r="A37" s="32"/>
      <c r="B37" s="54"/>
      <c r="C37" s="95" t="s">
        <v>589</v>
      </c>
      <c r="F37" s="105" t="s">
        <v>414</v>
      </c>
      <c r="G37" s="54"/>
      <c r="H37" s="40">
        <v>26.429250000000003</v>
      </c>
      <c r="I37" s="54"/>
      <c r="J37" s="54"/>
      <c r="K37" s="54"/>
      <c r="L37" s="54"/>
      <c r="M37" s="23"/>
    </row>
    <row r="38" spans="1:64" ht="15" customHeight="1">
      <c r="A38" s="86" t="s">
        <v>234</v>
      </c>
      <c r="B38" s="69" t="s">
        <v>286</v>
      </c>
      <c r="C38" s="165" t="s">
        <v>215</v>
      </c>
      <c r="D38" s="113"/>
      <c r="E38" s="113"/>
      <c r="F38" s="165"/>
      <c r="G38" s="69" t="s">
        <v>494</v>
      </c>
      <c r="H38" s="100">
        <v>39.8</v>
      </c>
      <c r="I38" s="100">
        <v>0</v>
      </c>
      <c r="J38" s="100">
        <f>H38*AO38</f>
        <v>0</v>
      </c>
      <c r="K38" s="100">
        <f>H38*AP38</f>
        <v>0</v>
      </c>
      <c r="L38" s="100">
        <f>H38*I38</f>
        <v>0</v>
      </c>
      <c r="M38" s="29" t="s">
        <v>496</v>
      </c>
      <c r="Z38" s="20">
        <f>IF(AQ38="5",BJ38,0)</f>
        <v>0</v>
      </c>
      <c r="AB38" s="20">
        <f>IF(AQ38="1",BH38,0)</f>
        <v>0</v>
      </c>
      <c r="AC38" s="20">
        <f>IF(AQ38="1",BI38,0)</f>
        <v>0</v>
      </c>
      <c r="AD38" s="20">
        <f>IF(AQ38="7",BH38,0)</f>
        <v>0</v>
      </c>
      <c r="AE38" s="20">
        <f>IF(AQ38="7",BI38,0)</f>
        <v>0</v>
      </c>
      <c r="AF38" s="20">
        <f>IF(AQ38="2",BH38,0)</f>
        <v>0</v>
      </c>
      <c r="AG38" s="20">
        <f>IF(AQ38="2",BI38,0)</f>
        <v>0</v>
      </c>
      <c r="AH38" s="20">
        <f>IF(AQ38="0",BJ38,0)</f>
        <v>0</v>
      </c>
      <c r="AI38" s="64" t="s">
        <v>414</v>
      </c>
      <c r="AJ38" s="20">
        <f>IF(AN38=0,L38,0)</f>
        <v>0</v>
      </c>
      <c r="AK38" s="20">
        <f>IF(AN38=15,L38,0)</f>
        <v>0</v>
      </c>
      <c r="AL38" s="20">
        <f>IF(AN38=21,L38,0)</f>
        <v>0</v>
      </c>
      <c r="AN38" s="20">
        <v>15</v>
      </c>
      <c r="AO38" s="20">
        <f>I38*0.210825688073394</f>
        <v>0</v>
      </c>
      <c r="AP38" s="20">
        <f>I38*(1-0.210825688073394)</f>
        <v>0</v>
      </c>
      <c r="AQ38" s="26" t="s">
        <v>595</v>
      </c>
      <c r="AV38" s="20">
        <f>AW38+AX38</f>
        <v>0</v>
      </c>
      <c r="AW38" s="20">
        <f>H38*AO38</f>
        <v>0</v>
      </c>
      <c r="AX38" s="20">
        <f>H38*AP38</f>
        <v>0</v>
      </c>
      <c r="AY38" s="26" t="s">
        <v>378</v>
      </c>
      <c r="AZ38" s="26" t="s">
        <v>576</v>
      </c>
      <c r="BA38" s="64" t="s">
        <v>452</v>
      </c>
      <c r="BC38" s="20">
        <f>AW38+AX38</f>
        <v>0</v>
      </c>
      <c r="BD38" s="20">
        <f>I38/(100-BE38)*100</f>
        <v>0</v>
      </c>
      <c r="BE38" s="20">
        <v>0</v>
      </c>
      <c r="BF38" s="20">
        <f>38</f>
        <v>38</v>
      </c>
      <c r="BH38" s="20">
        <f>H38*AO38</f>
        <v>0</v>
      </c>
      <c r="BI38" s="20">
        <f>H38*AP38</f>
        <v>0</v>
      </c>
      <c r="BJ38" s="20">
        <f>H38*I38</f>
        <v>0</v>
      </c>
      <c r="BK38" s="20"/>
      <c r="BL38" s="20">
        <v>61</v>
      </c>
    </row>
    <row r="39" spans="1:13" ht="15" customHeight="1">
      <c r="A39" s="32"/>
      <c r="B39" s="54"/>
      <c r="C39" s="95" t="s">
        <v>467</v>
      </c>
      <c r="F39" s="105" t="s">
        <v>414</v>
      </c>
      <c r="G39" s="54"/>
      <c r="H39" s="40">
        <v>39.800000000000004</v>
      </c>
      <c r="I39" s="54"/>
      <c r="J39" s="54"/>
      <c r="K39" s="54"/>
      <c r="L39" s="54"/>
      <c r="M39" s="23"/>
    </row>
    <row r="40" spans="1:64" ht="15" customHeight="1">
      <c r="A40" s="4" t="s">
        <v>348</v>
      </c>
      <c r="B40" s="17" t="s">
        <v>543</v>
      </c>
      <c r="C40" s="113" t="s">
        <v>231</v>
      </c>
      <c r="D40" s="113"/>
      <c r="E40" s="113"/>
      <c r="F40" s="113"/>
      <c r="G40" s="17" t="s">
        <v>587</v>
      </c>
      <c r="H40" s="20">
        <v>7.4</v>
      </c>
      <c r="I40" s="20">
        <v>0</v>
      </c>
      <c r="J40" s="20">
        <f>H40*AO40</f>
        <v>0</v>
      </c>
      <c r="K40" s="20">
        <f>H40*AP40</f>
        <v>0</v>
      </c>
      <c r="L40" s="20">
        <f>H40*I40</f>
        <v>0</v>
      </c>
      <c r="M40" s="31" t="s">
        <v>496</v>
      </c>
      <c r="Z40" s="20">
        <f>IF(AQ40="5",BJ40,0)</f>
        <v>0</v>
      </c>
      <c r="AB40" s="20">
        <f>IF(AQ40="1",BH40,0)</f>
        <v>0</v>
      </c>
      <c r="AC40" s="20">
        <f>IF(AQ40="1",BI40,0)</f>
        <v>0</v>
      </c>
      <c r="AD40" s="20">
        <f>IF(AQ40="7",BH40,0)</f>
        <v>0</v>
      </c>
      <c r="AE40" s="20">
        <f>IF(AQ40="7",BI40,0)</f>
        <v>0</v>
      </c>
      <c r="AF40" s="20">
        <f>IF(AQ40="2",BH40,0)</f>
        <v>0</v>
      </c>
      <c r="AG40" s="20">
        <f>IF(AQ40="2",BI40,0)</f>
        <v>0</v>
      </c>
      <c r="AH40" s="20">
        <f>IF(AQ40="0",BJ40,0)</f>
        <v>0</v>
      </c>
      <c r="AI40" s="64" t="s">
        <v>414</v>
      </c>
      <c r="AJ40" s="20">
        <f>IF(AN40=0,L40,0)</f>
        <v>0</v>
      </c>
      <c r="AK40" s="20">
        <f>IF(AN40=15,L40,0)</f>
        <v>0</v>
      </c>
      <c r="AL40" s="20">
        <f>IF(AN40=21,L40,0)</f>
        <v>0</v>
      </c>
      <c r="AN40" s="20">
        <v>15</v>
      </c>
      <c r="AO40" s="20">
        <f>I40*0.251759364358683</f>
        <v>0</v>
      </c>
      <c r="AP40" s="20">
        <f>I40*(1-0.251759364358683)</f>
        <v>0</v>
      </c>
      <c r="AQ40" s="26" t="s">
        <v>595</v>
      </c>
      <c r="AV40" s="20">
        <f>AW40+AX40</f>
        <v>0</v>
      </c>
      <c r="AW40" s="20">
        <f>H40*AO40</f>
        <v>0</v>
      </c>
      <c r="AX40" s="20">
        <f>H40*AP40</f>
        <v>0</v>
      </c>
      <c r="AY40" s="26" t="s">
        <v>378</v>
      </c>
      <c r="AZ40" s="26" t="s">
        <v>576</v>
      </c>
      <c r="BA40" s="64" t="s">
        <v>452</v>
      </c>
      <c r="BC40" s="20">
        <f>AW40+AX40</f>
        <v>0</v>
      </c>
      <c r="BD40" s="20">
        <f>I40/(100-BE40)*100</f>
        <v>0</v>
      </c>
      <c r="BE40" s="20">
        <v>0</v>
      </c>
      <c r="BF40" s="20">
        <f>40</f>
        <v>40</v>
      </c>
      <c r="BH40" s="20">
        <f>H40*AO40</f>
        <v>0</v>
      </c>
      <c r="BI40" s="20">
        <f>H40*AP40</f>
        <v>0</v>
      </c>
      <c r="BJ40" s="20">
        <f>H40*I40</f>
        <v>0</v>
      </c>
      <c r="BK40" s="20"/>
      <c r="BL40" s="20">
        <v>61</v>
      </c>
    </row>
    <row r="41" spans="1:64" ht="15" customHeight="1">
      <c r="A41" s="4" t="s">
        <v>495</v>
      </c>
      <c r="B41" s="17" t="s">
        <v>249</v>
      </c>
      <c r="C41" s="113" t="s">
        <v>507</v>
      </c>
      <c r="D41" s="113"/>
      <c r="E41" s="113"/>
      <c r="F41" s="113"/>
      <c r="G41" s="17" t="s">
        <v>587</v>
      </c>
      <c r="H41" s="20">
        <v>7.4</v>
      </c>
      <c r="I41" s="20">
        <v>0</v>
      </c>
      <c r="J41" s="20">
        <f>H41*AO41</f>
        <v>0</v>
      </c>
      <c r="K41" s="20">
        <f>H41*AP41</f>
        <v>0</v>
      </c>
      <c r="L41" s="20">
        <f>H41*I41</f>
        <v>0</v>
      </c>
      <c r="M41" s="31" t="s">
        <v>496</v>
      </c>
      <c r="Z41" s="20">
        <f>IF(AQ41="5",BJ41,0)</f>
        <v>0</v>
      </c>
      <c r="AB41" s="20">
        <f>IF(AQ41="1",BH41,0)</f>
        <v>0</v>
      </c>
      <c r="AC41" s="20">
        <f>IF(AQ41="1",BI41,0)</f>
        <v>0</v>
      </c>
      <c r="AD41" s="20">
        <f>IF(AQ41="7",BH41,0)</f>
        <v>0</v>
      </c>
      <c r="AE41" s="20">
        <f>IF(AQ41="7",BI41,0)</f>
        <v>0</v>
      </c>
      <c r="AF41" s="20">
        <f>IF(AQ41="2",BH41,0)</f>
        <v>0</v>
      </c>
      <c r="AG41" s="20">
        <f>IF(AQ41="2",BI41,0)</f>
        <v>0</v>
      </c>
      <c r="AH41" s="20">
        <f>IF(AQ41="0",BJ41,0)</f>
        <v>0</v>
      </c>
      <c r="AI41" s="64" t="s">
        <v>414</v>
      </c>
      <c r="AJ41" s="20">
        <f>IF(AN41=0,L41,0)</f>
        <v>0</v>
      </c>
      <c r="AK41" s="20">
        <f>IF(AN41=15,L41,0)</f>
        <v>0</v>
      </c>
      <c r="AL41" s="20">
        <f>IF(AN41=21,L41,0)</f>
        <v>0</v>
      </c>
      <c r="AN41" s="20">
        <v>15</v>
      </c>
      <c r="AO41" s="20">
        <f>I41*0.158761662425785</f>
        <v>0</v>
      </c>
      <c r="AP41" s="20">
        <f>I41*(1-0.158761662425785)</f>
        <v>0</v>
      </c>
      <c r="AQ41" s="26" t="s">
        <v>595</v>
      </c>
      <c r="AV41" s="20">
        <f>AW41+AX41</f>
        <v>0</v>
      </c>
      <c r="AW41" s="20">
        <f>H41*AO41</f>
        <v>0</v>
      </c>
      <c r="AX41" s="20">
        <f>H41*AP41</f>
        <v>0</v>
      </c>
      <c r="AY41" s="26" t="s">
        <v>378</v>
      </c>
      <c r="AZ41" s="26" t="s">
        <v>576</v>
      </c>
      <c r="BA41" s="64" t="s">
        <v>452</v>
      </c>
      <c r="BC41" s="20">
        <f>AW41+AX41</f>
        <v>0</v>
      </c>
      <c r="BD41" s="20">
        <f>I41/(100-BE41)*100</f>
        <v>0</v>
      </c>
      <c r="BE41" s="20">
        <v>0</v>
      </c>
      <c r="BF41" s="20">
        <f>41</f>
        <v>41</v>
      </c>
      <c r="BH41" s="20">
        <f>H41*AO41</f>
        <v>0</v>
      </c>
      <c r="BI41" s="20">
        <f>H41*AP41</f>
        <v>0</v>
      </c>
      <c r="BJ41" s="20">
        <f>H41*I41</f>
        <v>0</v>
      </c>
      <c r="BK41" s="20"/>
      <c r="BL41" s="20">
        <v>61</v>
      </c>
    </row>
    <row r="42" spans="1:47" ht="15" customHeight="1">
      <c r="A42" s="74" t="s">
        <v>414</v>
      </c>
      <c r="B42" s="83" t="s">
        <v>141</v>
      </c>
      <c r="C42" s="166" t="s">
        <v>577</v>
      </c>
      <c r="D42" s="166"/>
      <c r="E42" s="166"/>
      <c r="F42" s="166"/>
      <c r="G42" s="60" t="s">
        <v>546</v>
      </c>
      <c r="H42" s="60" t="s">
        <v>546</v>
      </c>
      <c r="I42" s="60" t="s">
        <v>546</v>
      </c>
      <c r="J42" s="72">
        <f>SUM(J43:J52)</f>
        <v>0</v>
      </c>
      <c r="K42" s="72">
        <f>SUM(K43:K52)</f>
        <v>0</v>
      </c>
      <c r="L42" s="72">
        <f>SUM(L43:L52)</f>
        <v>0</v>
      </c>
      <c r="M42" s="15" t="s">
        <v>414</v>
      </c>
      <c r="AI42" s="64" t="s">
        <v>414</v>
      </c>
      <c r="AS42" s="76">
        <f>SUM(AJ43:AJ52)</f>
        <v>0</v>
      </c>
      <c r="AT42" s="76">
        <f>SUM(AK43:AK52)</f>
        <v>0</v>
      </c>
      <c r="AU42" s="76">
        <f>SUM(AL43:AL52)</f>
        <v>0</v>
      </c>
    </row>
    <row r="43" spans="1:64" ht="15" customHeight="1">
      <c r="A43" s="46" t="s">
        <v>434</v>
      </c>
      <c r="B43" s="44" t="s">
        <v>103</v>
      </c>
      <c r="C43" s="165" t="s">
        <v>139</v>
      </c>
      <c r="D43" s="113"/>
      <c r="E43" s="113"/>
      <c r="F43" s="165"/>
      <c r="G43" s="44" t="s">
        <v>587</v>
      </c>
      <c r="H43" s="1">
        <v>2.59875</v>
      </c>
      <c r="I43" s="1">
        <v>0</v>
      </c>
      <c r="J43" s="1">
        <f>H43*AO43</f>
        <v>0</v>
      </c>
      <c r="K43" s="1">
        <f>H43*AP43</f>
        <v>0</v>
      </c>
      <c r="L43" s="1">
        <f>H43*I43</f>
        <v>0</v>
      </c>
      <c r="M43" s="27" t="s">
        <v>496</v>
      </c>
      <c r="Z43" s="20">
        <f>IF(AQ43="5",BJ43,0)</f>
        <v>0</v>
      </c>
      <c r="AB43" s="20">
        <f>IF(AQ43="1",BH43,0)</f>
        <v>0</v>
      </c>
      <c r="AC43" s="20">
        <f>IF(AQ43="1",BI43,0)</f>
        <v>0</v>
      </c>
      <c r="AD43" s="20">
        <f>IF(AQ43="7",BH43,0)</f>
        <v>0</v>
      </c>
      <c r="AE43" s="20">
        <f>IF(AQ43="7",BI43,0)</f>
        <v>0</v>
      </c>
      <c r="AF43" s="20">
        <f>IF(AQ43="2",BH43,0)</f>
        <v>0</v>
      </c>
      <c r="AG43" s="20">
        <f>IF(AQ43="2",BI43,0)</f>
        <v>0</v>
      </c>
      <c r="AH43" s="20">
        <f>IF(AQ43="0",BJ43,0)</f>
        <v>0</v>
      </c>
      <c r="AI43" s="64" t="s">
        <v>414</v>
      </c>
      <c r="AJ43" s="20">
        <f>IF(AN43=0,L43,0)</f>
        <v>0</v>
      </c>
      <c r="AK43" s="20">
        <f>IF(AN43=15,L43,0)</f>
        <v>0</v>
      </c>
      <c r="AL43" s="20">
        <f>IF(AN43=21,L43,0)</f>
        <v>0</v>
      </c>
      <c r="AN43" s="20">
        <v>15</v>
      </c>
      <c r="AO43" s="20">
        <f>I43*0.707283909574468</f>
        <v>0</v>
      </c>
      <c r="AP43" s="20">
        <f>I43*(1-0.707283909574468)</f>
        <v>0</v>
      </c>
      <c r="AQ43" s="26" t="s">
        <v>595</v>
      </c>
      <c r="AV43" s="20">
        <f>AW43+AX43</f>
        <v>0</v>
      </c>
      <c r="AW43" s="20">
        <f>H43*AO43</f>
        <v>0</v>
      </c>
      <c r="AX43" s="20">
        <f>H43*AP43</f>
        <v>0</v>
      </c>
      <c r="AY43" s="26" t="s">
        <v>541</v>
      </c>
      <c r="AZ43" s="26" t="s">
        <v>576</v>
      </c>
      <c r="BA43" s="64" t="s">
        <v>452</v>
      </c>
      <c r="BC43" s="20">
        <f>AW43+AX43</f>
        <v>0</v>
      </c>
      <c r="BD43" s="20">
        <f>I43/(100-BE43)*100</f>
        <v>0</v>
      </c>
      <c r="BE43" s="20">
        <v>0</v>
      </c>
      <c r="BF43" s="20">
        <f>43</f>
        <v>43</v>
      </c>
      <c r="BH43" s="20">
        <f>H43*AO43</f>
        <v>0</v>
      </c>
      <c r="BI43" s="20">
        <f>H43*AP43</f>
        <v>0</v>
      </c>
      <c r="BJ43" s="20">
        <f>H43*I43</f>
        <v>0</v>
      </c>
      <c r="BK43" s="20"/>
      <c r="BL43" s="20">
        <v>63</v>
      </c>
    </row>
    <row r="44" spans="1:13" ht="15" customHeight="1">
      <c r="A44" s="32"/>
      <c r="B44" s="54"/>
      <c r="C44" s="95" t="s">
        <v>22</v>
      </c>
      <c r="F44" s="105" t="s">
        <v>414</v>
      </c>
      <c r="G44" s="54"/>
      <c r="H44" s="40">
        <v>0</v>
      </c>
      <c r="I44" s="54"/>
      <c r="J44" s="54"/>
      <c r="K44" s="54"/>
      <c r="L44" s="54"/>
      <c r="M44" s="23"/>
    </row>
    <row r="45" spans="1:13" ht="15" customHeight="1">
      <c r="A45" s="32"/>
      <c r="B45" s="54"/>
      <c r="C45" s="95" t="s">
        <v>198</v>
      </c>
      <c r="F45" s="105" t="s">
        <v>414</v>
      </c>
      <c r="G45" s="54"/>
      <c r="H45" s="40">
        <v>2.5987500000000003</v>
      </c>
      <c r="I45" s="54"/>
      <c r="J45" s="54"/>
      <c r="K45" s="54"/>
      <c r="L45" s="54"/>
      <c r="M45" s="23"/>
    </row>
    <row r="46" spans="1:64" ht="15" customHeight="1">
      <c r="A46" s="4" t="s">
        <v>186</v>
      </c>
      <c r="B46" s="17" t="s">
        <v>274</v>
      </c>
      <c r="C46" s="113" t="s">
        <v>540</v>
      </c>
      <c r="D46" s="113"/>
      <c r="E46" s="113"/>
      <c r="F46" s="113"/>
      <c r="G46" s="17" t="s">
        <v>587</v>
      </c>
      <c r="H46" s="20">
        <v>15.03</v>
      </c>
      <c r="I46" s="20">
        <v>0</v>
      </c>
      <c r="J46" s="20">
        <f>H46*AO46</f>
        <v>0</v>
      </c>
      <c r="K46" s="20">
        <f>H46*AP46</f>
        <v>0</v>
      </c>
      <c r="L46" s="20">
        <f>H46*I46</f>
        <v>0</v>
      </c>
      <c r="M46" s="31" t="s">
        <v>496</v>
      </c>
      <c r="Z46" s="20">
        <f>IF(AQ46="5",BJ46,0)</f>
        <v>0</v>
      </c>
      <c r="AB46" s="20">
        <f>IF(AQ46="1",BH46,0)</f>
        <v>0</v>
      </c>
      <c r="AC46" s="20">
        <f>IF(AQ46="1",BI46,0)</f>
        <v>0</v>
      </c>
      <c r="AD46" s="20">
        <f>IF(AQ46="7",BH46,0)</f>
        <v>0</v>
      </c>
      <c r="AE46" s="20">
        <f>IF(AQ46="7",BI46,0)</f>
        <v>0</v>
      </c>
      <c r="AF46" s="20">
        <f>IF(AQ46="2",BH46,0)</f>
        <v>0</v>
      </c>
      <c r="AG46" s="20">
        <f>IF(AQ46="2",BI46,0)</f>
        <v>0</v>
      </c>
      <c r="AH46" s="20">
        <f>IF(AQ46="0",BJ46,0)</f>
        <v>0</v>
      </c>
      <c r="AI46" s="64" t="s">
        <v>414</v>
      </c>
      <c r="AJ46" s="20">
        <f>IF(AN46=0,L46,0)</f>
        <v>0</v>
      </c>
      <c r="AK46" s="20">
        <f>IF(AN46=15,L46,0)</f>
        <v>0</v>
      </c>
      <c r="AL46" s="20">
        <f>IF(AN46=21,L46,0)</f>
        <v>0</v>
      </c>
      <c r="AN46" s="20">
        <v>15</v>
      </c>
      <c r="AO46" s="20">
        <f>I46*0.678394620572049</f>
        <v>0</v>
      </c>
      <c r="AP46" s="20">
        <f>I46*(1-0.678394620572049)</f>
        <v>0</v>
      </c>
      <c r="AQ46" s="26" t="s">
        <v>595</v>
      </c>
      <c r="AV46" s="20">
        <f>AW46+AX46</f>
        <v>0</v>
      </c>
      <c r="AW46" s="20">
        <f>H46*AO46</f>
        <v>0</v>
      </c>
      <c r="AX46" s="20">
        <f>H46*AP46</f>
        <v>0</v>
      </c>
      <c r="AY46" s="26" t="s">
        <v>541</v>
      </c>
      <c r="AZ46" s="26" t="s">
        <v>576</v>
      </c>
      <c r="BA46" s="64" t="s">
        <v>452</v>
      </c>
      <c r="BC46" s="20">
        <f>AW46+AX46</f>
        <v>0</v>
      </c>
      <c r="BD46" s="20">
        <f>I46/(100-BE46)*100</f>
        <v>0</v>
      </c>
      <c r="BE46" s="20">
        <v>0</v>
      </c>
      <c r="BF46" s="20">
        <f>46</f>
        <v>46</v>
      </c>
      <c r="BH46" s="20">
        <f>H46*AO46</f>
        <v>0</v>
      </c>
      <c r="BI46" s="20">
        <f>H46*AP46</f>
        <v>0</v>
      </c>
      <c r="BJ46" s="20">
        <f>H46*I46</f>
        <v>0</v>
      </c>
      <c r="BK46" s="20"/>
      <c r="BL46" s="20">
        <v>63</v>
      </c>
    </row>
    <row r="47" spans="1:13" ht="15" customHeight="1">
      <c r="A47" s="19"/>
      <c r="C47" s="9" t="s">
        <v>192</v>
      </c>
      <c r="F47" s="9" t="s">
        <v>414</v>
      </c>
      <c r="H47" s="58">
        <v>0</v>
      </c>
      <c r="M47" s="36"/>
    </row>
    <row r="48" spans="1:13" ht="15" customHeight="1">
      <c r="A48" s="19"/>
      <c r="C48" s="9" t="s">
        <v>29</v>
      </c>
      <c r="F48" s="9" t="s">
        <v>414</v>
      </c>
      <c r="H48" s="58">
        <v>15.030000000000001</v>
      </c>
      <c r="M48" s="36"/>
    </row>
    <row r="49" spans="1:64" ht="15" customHeight="1">
      <c r="A49" s="4" t="s">
        <v>352</v>
      </c>
      <c r="B49" s="17" t="s">
        <v>511</v>
      </c>
      <c r="C49" s="113" t="s">
        <v>70</v>
      </c>
      <c r="D49" s="113"/>
      <c r="E49" s="113"/>
      <c r="F49" s="113"/>
      <c r="G49" s="17" t="s">
        <v>494</v>
      </c>
      <c r="H49" s="20">
        <v>15.05</v>
      </c>
      <c r="I49" s="20">
        <v>0</v>
      </c>
      <c r="J49" s="20">
        <f>H49*AO49</f>
        <v>0</v>
      </c>
      <c r="K49" s="20">
        <f>H49*AP49</f>
        <v>0</v>
      </c>
      <c r="L49" s="20">
        <f>H49*I49</f>
        <v>0</v>
      </c>
      <c r="M49" s="31" t="s">
        <v>496</v>
      </c>
      <c r="Z49" s="20">
        <f>IF(AQ49="5",BJ49,0)</f>
        <v>0</v>
      </c>
      <c r="AB49" s="20">
        <f>IF(AQ49="1",BH49,0)</f>
        <v>0</v>
      </c>
      <c r="AC49" s="20">
        <f>IF(AQ49="1",BI49,0)</f>
        <v>0</v>
      </c>
      <c r="AD49" s="20">
        <f>IF(AQ49="7",BH49,0)</f>
        <v>0</v>
      </c>
      <c r="AE49" s="20">
        <f>IF(AQ49="7",BI49,0)</f>
        <v>0</v>
      </c>
      <c r="AF49" s="20">
        <f>IF(AQ49="2",BH49,0)</f>
        <v>0</v>
      </c>
      <c r="AG49" s="20">
        <f>IF(AQ49="2",BI49,0)</f>
        <v>0</v>
      </c>
      <c r="AH49" s="20">
        <f>IF(AQ49="0",BJ49,0)</f>
        <v>0</v>
      </c>
      <c r="AI49" s="64" t="s">
        <v>414</v>
      </c>
      <c r="AJ49" s="20">
        <f>IF(AN49=0,L49,0)</f>
        <v>0</v>
      </c>
      <c r="AK49" s="20">
        <f>IF(AN49=15,L49,0)</f>
        <v>0</v>
      </c>
      <c r="AL49" s="20">
        <f>IF(AN49=21,L49,0)</f>
        <v>0</v>
      </c>
      <c r="AN49" s="20">
        <v>15</v>
      </c>
      <c r="AO49" s="20">
        <f>I49*0</f>
        <v>0</v>
      </c>
      <c r="AP49" s="20">
        <f>I49*(1-0)</f>
        <v>0</v>
      </c>
      <c r="AQ49" s="26" t="s">
        <v>595</v>
      </c>
      <c r="AV49" s="20">
        <f>AW49+AX49</f>
        <v>0</v>
      </c>
      <c r="AW49" s="20">
        <f>H49*AO49</f>
        <v>0</v>
      </c>
      <c r="AX49" s="20">
        <f>H49*AP49</f>
        <v>0</v>
      </c>
      <c r="AY49" s="26" t="s">
        <v>541</v>
      </c>
      <c r="AZ49" s="26" t="s">
        <v>576</v>
      </c>
      <c r="BA49" s="64" t="s">
        <v>452</v>
      </c>
      <c r="BC49" s="20">
        <f>AW49+AX49</f>
        <v>0</v>
      </c>
      <c r="BD49" s="20">
        <f>I49/(100-BE49)*100</f>
        <v>0</v>
      </c>
      <c r="BE49" s="20">
        <v>0</v>
      </c>
      <c r="BF49" s="20">
        <f>49</f>
        <v>49</v>
      </c>
      <c r="BH49" s="20">
        <f>H49*AO49</f>
        <v>0</v>
      </c>
      <c r="BI49" s="20">
        <f>H49*AP49</f>
        <v>0</v>
      </c>
      <c r="BJ49" s="20">
        <f>H49*I49</f>
        <v>0</v>
      </c>
      <c r="BK49" s="20"/>
      <c r="BL49" s="20">
        <v>63</v>
      </c>
    </row>
    <row r="50" spans="1:13" ht="15" customHeight="1">
      <c r="A50" s="19"/>
      <c r="C50" s="9" t="s">
        <v>192</v>
      </c>
      <c r="F50" s="9" t="s">
        <v>414</v>
      </c>
      <c r="H50" s="58">
        <v>0</v>
      </c>
      <c r="M50" s="36"/>
    </row>
    <row r="51" spans="1:13" ht="15" customHeight="1">
      <c r="A51" s="19"/>
      <c r="C51" s="9" t="s">
        <v>253</v>
      </c>
      <c r="F51" s="9" t="s">
        <v>414</v>
      </c>
      <c r="H51" s="58">
        <v>15.05</v>
      </c>
      <c r="M51" s="36"/>
    </row>
    <row r="52" spans="1:64" ht="15" customHeight="1">
      <c r="A52" s="4" t="s">
        <v>237</v>
      </c>
      <c r="B52" s="17" t="s">
        <v>61</v>
      </c>
      <c r="C52" s="113" t="s">
        <v>575</v>
      </c>
      <c r="D52" s="113"/>
      <c r="E52" s="113"/>
      <c r="F52" s="113"/>
      <c r="G52" s="17" t="s">
        <v>587</v>
      </c>
      <c r="H52" s="20">
        <v>15.03</v>
      </c>
      <c r="I52" s="20">
        <v>0</v>
      </c>
      <c r="J52" s="20">
        <f>H52*AO52</f>
        <v>0</v>
      </c>
      <c r="K52" s="20">
        <f>H52*AP52</f>
        <v>0</v>
      </c>
      <c r="L52" s="20">
        <f>H52*I52</f>
        <v>0</v>
      </c>
      <c r="M52" s="31" t="s">
        <v>496</v>
      </c>
      <c r="Z52" s="20">
        <f>IF(AQ52="5",BJ52,0)</f>
        <v>0</v>
      </c>
      <c r="AB52" s="20">
        <f>IF(AQ52="1",BH52,0)</f>
        <v>0</v>
      </c>
      <c r="AC52" s="20">
        <f>IF(AQ52="1",BI52,0)</f>
        <v>0</v>
      </c>
      <c r="AD52" s="20">
        <f>IF(AQ52="7",BH52,0)</f>
        <v>0</v>
      </c>
      <c r="AE52" s="20">
        <f>IF(AQ52="7",BI52,0)</f>
        <v>0</v>
      </c>
      <c r="AF52" s="20">
        <f>IF(AQ52="2",BH52,0)</f>
        <v>0</v>
      </c>
      <c r="AG52" s="20">
        <f>IF(AQ52="2",BI52,0)</f>
        <v>0</v>
      </c>
      <c r="AH52" s="20">
        <f>IF(AQ52="0",BJ52,0)</f>
        <v>0</v>
      </c>
      <c r="AI52" s="64" t="s">
        <v>414</v>
      </c>
      <c r="AJ52" s="20">
        <f>IF(AN52=0,L52,0)</f>
        <v>0</v>
      </c>
      <c r="AK52" s="20">
        <f>IF(AN52=15,L52,0)</f>
        <v>0</v>
      </c>
      <c r="AL52" s="20">
        <f>IF(AN52=21,L52,0)</f>
        <v>0</v>
      </c>
      <c r="AN52" s="20">
        <v>15</v>
      </c>
      <c r="AO52" s="20">
        <f>I52*0</f>
        <v>0</v>
      </c>
      <c r="AP52" s="20">
        <f>I52*(1-0)</f>
        <v>0</v>
      </c>
      <c r="AQ52" s="26" t="s">
        <v>595</v>
      </c>
      <c r="AV52" s="20">
        <f>AW52+AX52</f>
        <v>0</v>
      </c>
      <c r="AW52" s="20">
        <f>H52*AO52</f>
        <v>0</v>
      </c>
      <c r="AX52" s="20">
        <f>H52*AP52</f>
        <v>0</v>
      </c>
      <c r="AY52" s="26" t="s">
        <v>541</v>
      </c>
      <c r="AZ52" s="26" t="s">
        <v>576</v>
      </c>
      <c r="BA52" s="64" t="s">
        <v>452</v>
      </c>
      <c r="BC52" s="20">
        <f>AW52+AX52</f>
        <v>0</v>
      </c>
      <c r="BD52" s="20">
        <f>I52/(100-BE52)*100</f>
        <v>0</v>
      </c>
      <c r="BE52" s="20">
        <v>0</v>
      </c>
      <c r="BF52" s="20">
        <f>52</f>
        <v>52</v>
      </c>
      <c r="BH52" s="20">
        <f>H52*AO52</f>
        <v>0</v>
      </c>
      <c r="BI52" s="20">
        <f>H52*AP52</f>
        <v>0</v>
      </c>
      <c r="BJ52" s="20">
        <f>H52*I52</f>
        <v>0</v>
      </c>
      <c r="BK52" s="20"/>
      <c r="BL52" s="20">
        <v>63</v>
      </c>
    </row>
    <row r="53" spans="1:13" ht="15" customHeight="1">
      <c r="A53" s="19"/>
      <c r="C53" s="9" t="s">
        <v>192</v>
      </c>
      <c r="F53" s="9" t="s">
        <v>414</v>
      </c>
      <c r="H53" s="58">
        <v>0</v>
      </c>
      <c r="M53" s="36"/>
    </row>
    <row r="54" spans="1:13" ht="15" customHeight="1">
      <c r="A54" s="19"/>
      <c r="C54" s="9" t="s">
        <v>583</v>
      </c>
      <c r="F54" s="9" t="s">
        <v>414</v>
      </c>
      <c r="H54" s="58">
        <v>15.030000000000001</v>
      </c>
      <c r="M54" s="36"/>
    </row>
    <row r="55" spans="1:47" ht="15" customHeight="1">
      <c r="A55" s="96" t="s">
        <v>414</v>
      </c>
      <c r="B55" s="28" t="s">
        <v>302</v>
      </c>
      <c r="C55" s="168" t="s">
        <v>615</v>
      </c>
      <c r="D55" s="166"/>
      <c r="E55" s="166"/>
      <c r="F55" s="168"/>
      <c r="G55" s="85" t="s">
        <v>546</v>
      </c>
      <c r="H55" s="85" t="s">
        <v>546</v>
      </c>
      <c r="I55" s="85" t="s">
        <v>546</v>
      </c>
      <c r="J55" s="56">
        <f>SUM(J56:J57)</f>
        <v>0</v>
      </c>
      <c r="K55" s="56">
        <f>SUM(K56:K57)</f>
        <v>0</v>
      </c>
      <c r="L55" s="56">
        <f>SUM(L56:L57)</f>
        <v>0</v>
      </c>
      <c r="M55" s="102" t="s">
        <v>414</v>
      </c>
      <c r="AI55" s="64" t="s">
        <v>414</v>
      </c>
      <c r="AS55" s="76">
        <f>SUM(AJ56:AJ57)</f>
        <v>0</v>
      </c>
      <c r="AT55" s="76">
        <f>SUM(AK56:AK57)</f>
        <v>0</v>
      </c>
      <c r="AU55" s="76">
        <f>SUM(AL56:AL57)</f>
        <v>0</v>
      </c>
    </row>
    <row r="56" spans="1:64" ht="15" customHeight="1">
      <c r="A56" s="86" t="s">
        <v>63</v>
      </c>
      <c r="B56" s="69" t="s">
        <v>505</v>
      </c>
      <c r="C56" s="165" t="s">
        <v>111</v>
      </c>
      <c r="D56" s="113"/>
      <c r="E56" s="113"/>
      <c r="F56" s="165"/>
      <c r="G56" s="69" t="s">
        <v>154</v>
      </c>
      <c r="H56" s="100">
        <v>1</v>
      </c>
      <c r="I56" s="100">
        <v>0</v>
      </c>
      <c r="J56" s="100">
        <f>H56*AO56</f>
        <v>0</v>
      </c>
      <c r="K56" s="100">
        <f>H56*AP56</f>
        <v>0</v>
      </c>
      <c r="L56" s="100">
        <f>H56*I56</f>
        <v>0</v>
      </c>
      <c r="M56" s="29" t="s">
        <v>496</v>
      </c>
      <c r="Z56" s="20">
        <f>IF(AQ56="5",BJ56,0)</f>
        <v>0</v>
      </c>
      <c r="AB56" s="20">
        <f>IF(AQ56="1",BH56,0)</f>
        <v>0</v>
      </c>
      <c r="AC56" s="20">
        <f>IF(AQ56="1",BI56,0)</f>
        <v>0</v>
      </c>
      <c r="AD56" s="20">
        <f>IF(AQ56="7",BH56,0)</f>
        <v>0</v>
      </c>
      <c r="AE56" s="20">
        <f>IF(AQ56="7",BI56,0)</f>
        <v>0</v>
      </c>
      <c r="AF56" s="20">
        <f>IF(AQ56="2",BH56,0)</f>
        <v>0</v>
      </c>
      <c r="AG56" s="20">
        <f>IF(AQ56="2",BI56,0)</f>
        <v>0</v>
      </c>
      <c r="AH56" s="20">
        <f>IF(AQ56="0",BJ56,0)</f>
        <v>0</v>
      </c>
      <c r="AI56" s="64" t="s">
        <v>414</v>
      </c>
      <c r="AJ56" s="20">
        <f>IF(AN56=0,L56,0)</f>
        <v>0</v>
      </c>
      <c r="AK56" s="20">
        <f>IF(AN56=15,L56,0)</f>
        <v>0</v>
      </c>
      <c r="AL56" s="20">
        <f>IF(AN56=21,L56,0)</f>
        <v>0</v>
      </c>
      <c r="AN56" s="20">
        <v>15</v>
      </c>
      <c r="AO56" s="20">
        <f>I56*0.161334312388545</f>
        <v>0</v>
      </c>
      <c r="AP56" s="20">
        <f>I56*(1-0.161334312388545)</f>
        <v>0</v>
      </c>
      <c r="AQ56" s="26" t="s">
        <v>595</v>
      </c>
      <c r="AV56" s="20">
        <f>AW56+AX56</f>
        <v>0</v>
      </c>
      <c r="AW56" s="20">
        <f>H56*AO56</f>
        <v>0</v>
      </c>
      <c r="AX56" s="20">
        <f>H56*AP56</f>
        <v>0</v>
      </c>
      <c r="AY56" s="26" t="s">
        <v>407</v>
      </c>
      <c r="AZ56" s="26" t="s">
        <v>576</v>
      </c>
      <c r="BA56" s="64" t="s">
        <v>452</v>
      </c>
      <c r="BC56" s="20">
        <f>AW56+AX56</f>
        <v>0</v>
      </c>
      <c r="BD56" s="20">
        <f>I56/(100-BE56)*100</f>
        <v>0</v>
      </c>
      <c r="BE56" s="20">
        <v>0</v>
      </c>
      <c r="BF56" s="20">
        <f>56</f>
        <v>56</v>
      </c>
      <c r="BH56" s="20">
        <f>H56*AO56</f>
        <v>0</v>
      </c>
      <c r="BI56" s="20">
        <f>H56*AP56</f>
        <v>0</v>
      </c>
      <c r="BJ56" s="20">
        <f>H56*I56</f>
        <v>0</v>
      </c>
      <c r="BK56" s="20"/>
      <c r="BL56" s="20">
        <v>64</v>
      </c>
    </row>
    <row r="57" spans="1:64" ht="15" customHeight="1">
      <c r="A57" s="4" t="s">
        <v>415</v>
      </c>
      <c r="B57" s="17" t="s">
        <v>13</v>
      </c>
      <c r="C57" s="113" t="s">
        <v>320</v>
      </c>
      <c r="D57" s="113"/>
      <c r="E57" s="113"/>
      <c r="F57" s="113"/>
      <c r="G57" s="17" t="s">
        <v>154</v>
      </c>
      <c r="H57" s="20">
        <v>1</v>
      </c>
      <c r="I57" s="20">
        <v>0</v>
      </c>
      <c r="J57" s="20">
        <f>H57*AO57</f>
        <v>0</v>
      </c>
      <c r="K57" s="20">
        <f>H57*AP57</f>
        <v>0</v>
      </c>
      <c r="L57" s="20">
        <f>H57*I57</f>
        <v>0</v>
      </c>
      <c r="M57" s="31" t="s">
        <v>13</v>
      </c>
      <c r="Z57" s="20">
        <f>IF(AQ57="5",BJ57,0)</f>
        <v>0</v>
      </c>
      <c r="AB57" s="20">
        <f>IF(AQ57="1",BH57,0)</f>
        <v>0</v>
      </c>
      <c r="AC57" s="20">
        <f>IF(AQ57="1",BI57,0)</f>
        <v>0</v>
      </c>
      <c r="AD57" s="20">
        <f>IF(AQ57="7",BH57,0)</f>
        <v>0</v>
      </c>
      <c r="AE57" s="20">
        <f>IF(AQ57="7",BI57,0)</f>
        <v>0</v>
      </c>
      <c r="AF57" s="20">
        <f>IF(AQ57="2",BH57,0)</f>
        <v>0</v>
      </c>
      <c r="AG57" s="20">
        <f>IF(AQ57="2",BI57,0)</f>
        <v>0</v>
      </c>
      <c r="AH57" s="20">
        <f>IF(AQ57="0",BJ57,0)</f>
        <v>0</v>
      </c>
      <c r="AI57" s="64" t="s">
        <v>414</v>
      </c>
      <c r="AJ57" s="20">
        <f>IF(AN57=0,L57,0)</f>
        <v>0</v>
      </c>
      <c r="AK57" s="20">
        <f>IF(AN57=15,L57,0)</f>
        <v>0</v>
      </c>
      <c r="AL57" s="20">
        <f>IF(AN57=21,L57,0)</f>
        <v>0</v>
      </c>
      <c r="AN57" s="20">
        <v>15</v>
      </c>
      <c r="AO57" s="20">
        <f>I57*1</f>
        <v>0</v>
      </c>
      <c r="AP57" s="20">
        <f>I57*(1-1)</f>
        <v>0</v>
      </c>
      <c r="AQ57" s="26" t="s">
        <v>595</v>
      </c>
      <c r="AV57" s="20">
        <f>AW57+AX57</f>
        <v>0</v>
      </c>
      <c r="AW57" s="20">
        <f>H57*AO57</f>
        <v>0</v>
      </c>
      <c r="AX57" s="20">
        <f>H57*AP57</f>
        <v>0</v>
      </c>
      <c r="AY57" s="26" t="s">
        <v>407</v>
      </c>
      <c r="AZ57" s="26" t="s">
        <v>576</v>
      </c>
      <c r="BA57" s="64" t="s">
        <v>452</v>
      </c>
      <c r="BC57" s="20">
        <f>AW57+AX57</f>
        <v>0</v>
      </c>
      <c r="BD57" s="20">
        <f>I57/(100-BE57)*100</f>
        <v>0</v>
      </c>
      <c r="BE57" s="20">
        <v>0</v>
      </c>
      <c r="BF57" s="20">
        <f>57</f>
        <v>57</v>
      </c>
      <c r="BH57" s="20">
        <f>H57*AO57</f>
        <v>0</v>
      </c>
      <c r="BI57" s="20">
        <f>H57*AP57</f>
        <v>0</v>
      </c>
      <c r="BJ57" s="20">
        <f>H57*I57</f>
        <v>0</v>
      </c>
      <c r="BK57" s="20"/>
      <c r="BL57" s="20">
        <v>64</v>
      </c>
    </row>
    <row r="58" spans="1:47" ht="15" customHeight="1">
      <c r="A58" s="51" t="s">
        <v>414</v>
      </c>
      <c r="B58" s="50" t="s">
        <v>48</v>
      </c>
      <c r="C58" s="166" t="s">
        <v>674</v>
      </c>
      <c r="D58" s="166"/>
      <c r="E58" s="166"/>
      <c r="F58" s="166"/>
      <c r="G58" s="48" t="s">
        <v>546</v>
      </c>
      <c r="H58" s="48" t="s">
        <v>546</v>
      </c>
      <c r="I58" s="48" t="s">
        <v>546</v>
      </c>
      <c r="J58" s="76">
        <f>SUM(J59:J68)</f>
        <v>0</v>
      </c>
      <c r="K58" s="76">
        <f>SUM(K59:K68)</f>
        <v>0</v>
      </c>
      <c r="L58" s="76">
        <f>SUM(L59:L68)</f>
        <v>0</v>
      </c>
      <c r="M58" s="55" t="s">
        <v>414</v>
      </c>
      <c r="AI58" s="64" t="s">
        <v>414</v>
      </c>
      <c r="AS58" s="76">
        <f>SUM(AJ59:AJ68)</f>
        <v>0</v>
      </c>
      <c r="AT58" s="76">
        <f>SUM(AK59:AK68)</f>
        <v>0</v>
      </c>
      <c r="AU58" s="76">
        <f>SUM(AL59:AL68)</f>
        <v>0</v>
      </c>
    </row>
    <row r="59" spans="1:64" ht="15" customHeight="1">
      <c r="A59" s="4" t="s">
        <v>473</v>
      </c>
      <c r="B59" s="17" t="s">
        <v>581</v>
      </c>
      <c r="C59" s="113" t="s">
        <v>632</v>
      </c>
      <c r="D59" s="113"/>
      <c r="E59" s="113"/>
      <c r="F59" s="113"/>
      <c r="G59" s="17" t="s">
        <v>587</v>
      </c>
      <c r="H59" s="20">
        <v>7.48875</v>
      </c>
      <c r="I59" s="20">
        <v>0</v>
      </c>
      <c r="J59" s="20">
        <f>H59*AO59</f>
        <v>0</v>
      </c>
      <c r="K59" s="20">
        <f>H59*AP59</f>
        <v>0</v>
      </c>
      <c r="L59" s="20">
        <f>H59*I59</f>
        <v>0</v>
      </c>
      <c r="M59" s="31" t="s">
        <v>496</v>
      </c>
      <c r="Z59" s="20">
        <f>IF(AQ59="5",BJ59,0)</f>
        <v>0</v>
      </c>
      <c r="AB59" s="20">
        <f>IF(AQ59="1",BH59,0)</f>
        <v>0</v>
      </c>
      <c r="AC59" s="20">
        <f>IF(AQ59="1",BI59,0)</f>
        <v>0</v>
      </c>
      <c r="AD59" s="20">
        <f>IF(AQ59="7",BH59,0)</f>
        <v>0</v>
      </c>
      <c r="AE59" s="20">
        <f>IF(AQ59="7",BI59,0)</f>
        <v>0</v>
      </c>
      <c r="AF59" s="20">
        <f>IF(AQ59="2",BH59,0)</f>
        <v>0</v>
      </c>
      <c r="AG59" s="20">
        <f>IF(AQ59="2",BI59,0)</f>
        <v>0</v>
      </c>
      <c r="AH59" s="20">
        <f>IF(AQ59="0",BJ59,0)</f>
        <v>0</v>
      </c>
      <c r="AI59" s="64" t="s">
        <v>414</v>
      </c>
      <c r="AJ59" s="20">
        <f>IF(AN59=0,L59,0)</f>
        <v>0</v>
      </c>
      <c r="AK59" s="20">
        <f>IF(AN59=15,L59,0)</f>
        <v>0</v>
      </c>
      <c r="AL59" s="20">
        <f>IF(AN59=21,L59,0)</f>
        <v>0</v>
      </c>
      <c r="AN59" s="20">
        <v>15</v>
      </c>
      <c r="AO59" s="20">
        <f>I59*0.631004624792576</f>
        <v>0</v>
      </c>
      <c r="AP59" s="20">
        <f>I59*(1-0.631004624792576)</f>
        <v>0</v>
      </c>
      <c r="AQ59" s="26" t="s">
        <v>598</v>
      </c>
      <c r="AV59" s="20">
        <f>AW59+AX59</f>
        <v>0</v>
      </c>
      <c r="AW59" s="20">
        <f>H59*AO59</f>
        <v>0</v>
      </c>
      <c r="AX59" s="20">
        <f>H59*AP59</f>
        <v>0</v>
      </c>
      <c r="AY59" s="26" t="s">
        <v>515</v>
      </c>
      <c r="AZ59" s="26" t="s">
        <v>671</v>
      </c>
      <c r="BA59" s="64" t="s">
        <v>452</v>
      </c>
      <c r="BC59" s="20">
        <f>AW59+AX59</f>
        <v>0</v>
      </c>
      <c r="BD59" s="20">
        <f>I59/(100-BE59)*100</f>
        <v>0</v>
      </c>
      <c r="BE59" s="20">
        <v>0</v>
      </c>
      <c r="BF59" s="20">
        <f>59</f>
        <v>59</v>
      </c>
      <c r="BH59" s="20">
        <f>H59*AO59</f>
        <v>0</v>
      </c>
      <c r="BI59" s="20">
        <f>H59*AP59</f>
        <v>0</v>
      </c>
      <c r="BJ59" s="20">
        <f>H59*I59</f>
        <v>0</v>
      </c>
      <c r="BK59" s="20"/>
      <c r="BL59" s="20">
        <v>711</v>
      </c>
    </row>
    <row r="60" spans="1:13" ht="15" customHeight="1">
      <c r="A60" s="19"/>
      <c r="C60" s="9" t="s">
        <v>644</v>
      </c>
      <c r="F60" s="9" t="s">
        <v>414</v>
      </c>
      <c r="H60" s="58">
        <v>0</v>
      </c>
      <c r="M60" s="36"/>
    </row>
    <row r="61" spans="1:13" ht="15" customHeight="1">
      <c r="A61" s="19"/>
      <c r="C61" s="9" t="s">
        <v>148</v>
      </c>
      <c r="F61" s="9" t="s">
        <v>414</v>
      </c>
      <c r="H61" s="58">
        <v>2.5987500000000003</v>
      </c>
      <c r="M61" s="36"/>
    </row>
    <row r="62" spans="1:13" ht="15" customHeight="1">
      <c r="A62" s="19"/>
      <c r="C62" s="9" t="s">
        <v>161</v>
      </c>
      <c r="F62" s="9" t="s">
        <v>414</v>
      </c>
      <c r="H62" s="58">
        <v>0</v>
      </c>
      <c r="M62" s="36"/>
    </row>
    <row r="63" spans="1:13" ht="15" customHeight="1">
      <c r="A63" s="19"/>
      <c r="C63" s="9" t="s">
        <v>82</v>
      </c>
      <c r="F63" s="9" t="s">
        <v>414</v>
      </c>
      <c r="H63" s="58">
        <v>4.2</v>
      </c>
      <c r="M63" s="36"/>
    </row>
    <row r="64" spans="1:13" ht="15" customHeight="1">
      <c r="A64" s="19"/>
      <c r="C64" s="9" t="s">
        <v>337</v>
      </c>
      <c r="F64" s="9" t="s">
        <v>414</v>
      </c>
      <c r="H64" s="58">
        <v>0.6900000000000001</v>
      </c>
      <c r="M64" s="36"/>
    </row>
    <row r="65" spans="1:64" ht="15" customHeight="1">
      <c r="A65" s="4" t="s">
        <v>383</v>
      </c>
      <c r="B65" s="17" t="s">
        <v>469</v>
      </c>
      <c r="C65" s="113" t="s">
        <v>417</v>
      </c>
      <c r="D65" s="113"/>
      <c r="E65" s="113"/>
      <c r="F65" s="113"/>
      <c r="G65" s="17" t="s">
        <v>587</v>
      </c>
      <c r="H65" s="20">
        <v>7.49</v>
      </c>
      <c r="I65" s="20">
        <v>0</v>
      </c>
      <c r="J65" s="20">
        <f>H65*AO65</f>
        <v>0</v>
      </c>
      <c r="K65" s="20">
        <f>H65*AP65</f>
        <v>0</v>
      </c>
      <c r="L65" s="20">
        <f>H65*I65</f>
        <v>0</v>
      </c>
      <c r="M65" s="31" t="s">
        <v>496</v>
      </c>
      <c r="Z65" s="20">
        <f>IF(AQ65="5",BJ65,0)</f>
        <v>0</v>
      </c>
      <c r="AB65" s="20">
        <f>IF(AQ65="1",BH65,0)</f>
        <v>0</v>
      </c>
      <c r="AC65" s="20">
        <f>IF(AQ65="1",BI65,0)</f>
        <v>0</v>
      </c>
      <c r="AD65" s="20">
        <f>IF(AQ65="7",BH65,0)</f>
        <v>0</v>
      </c>
      <c r="AE65" s="20">
        <f>IF(AQ65="7",BI65,0)</f>
        <v>0</v>
      </c>
      <c r="AF65" s="20">
        <f>IF(AQ65="2",BH65,0)</f>
        <v>0</v>
      </c>
      <c r="AG65" s="20">
        <f>IF(AQ65="2",BI65,0)</f>
        <v>0</v>
      </c>
      <c r="AH65" s="20">
        <f>IF(AQ65="0",BJ65,0)</f>
        <v>0</v>
      </c>
      <c r="AI65" s="64" t="s">
        <v>414</v>
      </c>
      <c r="AJ65" s="20">
        <f>IF(AN65=0,L65,0)</f>
        <v>0</v>
      </c>
      <c r="AK65" s="20">
        <f>IF(AN65=15,L65,0)</f>
        <v>0</v>
      </c>
      <c r="AL65" s="20">
        <f>IF(AN65=21,L65,0)</f>
        <v>0</v>
      </c>
      <c r="AN65" s="20">
        <v>15</v>
      </c>
      <c r="AO65" s="20">
        <f>I65*0.504443428048711</f>
        <v>0</v>
      </c>
      <c r="AP65" s="20">
        <f>I65*(1-0.504443428048711)</f>
        <v>0</v>
      </c>
      <c r="AQ65" s="26" t="s">
        <v>598</v>
      </c>
      <c r="AV65" s="20">
        <f>AW65+AX65</f>
        <v>0</v>
      </c>
      <c r="AW65" s="20">
        <f>H65*AO65</f>
        <v>0</v>
      </c>
      <c r="AX65" s="20">
        <f>H65*AP65</f>
        <v>0</v>
      </c>
      <c r="AY65" s="26" t="s">
        <v>515</v>
      </c>
      <c r="AZ65" s="26" t="s">
        <v>671</v>
      </c>
      <c r="BA65" s="64" t="s">
        <v>452</v>
      </c>
      <c r="BC65" s="20">
        <f>AW65+AX65</f>
        <v>0</v>
      </c>
      <c r="BD65" s="20">
        <f>I65/(100-BE65)*100</f>
        <v>0</v>
      </c>
      <c r="BE65" s="20">
        <v>0</v>
      </c>
      <c r="BF65" s="20">
        <f>65</f>
        <v>65</v>
      </c>
      <c r="BH65" s="20">
        <f>H65*AO65</f>
        <v>0</v>
      </c>
      <c r="BI65" s="20">
        <f>H65*AP65</f>
        <v>0</v>
      </c>
      <c r="BJ65" s="20">
        <f>H65*I65</f>
        <v>0</v>
      </c>
      <c r="BK65" s="20"/>
      <c r="BL65" s="20">
        <v>711</v>
      </c>
    </row>
    <row r="66" spans="1:64" ht="15" customHeight="1">
      <c r="A66" s="4" t="s">
        <v>37</v>
      </c>
      <c r="B66" s="17" t="s">
        <v>373</v>
      </c>
      <c r="C66" s="113" t="s">
        <v>126</v>
      </c>
      <c r="D66" s="113"/>
      <c r="E66" s="113"/>
      <c r="F66" s="113"/>
      <c r="G66" s="17" t="s">
        <v>494</v>
      </c>
      <c r="H66" s="20">
        <v>6.44</v>
      </c>
      <c r="I66" s="20">
        <v>0</v>
      </c>
      <c r="J66" s="20">
        <f>H66*AO66</f>
        <v>0</v>
      </c>
      <c r="K66" s="20">
        <f>H66*AP66</f>
        <v>0</v>
      </c>
      <c r="L66" s="20">
        <f>H66*I66</f>
        <v>0</v>
      </c>
      <c r="M66" s="31" t="s">
        <v>496</v>
      </c>
      <c r="Z66" s="20">
        <f>IF(AQ66="5",BJ66,0)</f>
        <v>0</v>
      </c>
      <c r="AB66" s="20">
        <f>IF(AQ66="1",BH66,0)</f>
        <v>0</v>
      </c>
      <c r="AC66" s="20">
        <f>IF(AQ66="1",BI66,0)</f>
        <v>0</v>
      </c>
      <c r="AD66" s="20">
        <f>IF(AQ66="7",BH66,0)</f>
        <v>0</v>
      </c>
      <c r="AE66" s="20">
        <f>IF(AQ66="7",BI66,0)</f>
        <v>0</v>
      </c>
      <c r="AF66" s="20">
        <f>IF(AQ66="2",BH66,0)</f>
        <v>0</v>
      </c>
      <c r="AG66" s="20">
        <f>IF(AQ66="2",BI66,0)</f>
        <v>0</v>
      </c>
      <c r="AH66" s="20">
        <f>IF(AQ66="0",BJ66,0)</f>
        <v>0</v>
      </c>
      <c r="AI66" s="64" t="s">
        <v>414</v>
      </c>
      <c r="AJ66" s="20">
        <f>IF(AN66=0,L66,0)</f>
        <v>0</v>
      </c>
      <c r="AK66" s="20">
        <f>IF(AN66=15,L66,0)</f>
        <v>0</v>
      </c>
      <c r="AL66" s="20">
        <f>IF(AN66=21,L66,0)</f>
        <v>0</v>
      </c>
      <c r="AN66" s="20">
        <v>15</v>
      </c>
      <c r="AO66" s="20">
        <f>I66*0.627770700636943</f>
        <v>0</v>
      </c>
      <c r="AP66" s="20">
        <f>I66*(1-0.627770700636943)</f>
        <v>0</v>
      </c>
      <c r="AQ66" s="26" t="s">
        <v>598</v>
      </c>
      <c r="AV66" s="20">
        <f>AW66+AX66</f>
        <v>0</v>
      </c>
      <c r="AW66" s="20">
        <f>H66*AO66</f>
        <v>0</v>
      </c>
      <c r="AX66" s="20">
        <f>H66*AP66</f>
        <v>0</v>
      </c>
      <c r="AY66" s="26" t="s">
        <v>515</v>
      </c>
      <c r="AZ66" s="26" t="s">
        <v>671</v>
      </c>
      <c r="BA66" s="64" t="s">
        <v>452</v>
      </c>
      <c r="BC66" s="20">
        <f>AW66+AX66</f>
        <v>0</v>
      </c>
      <c r="BD66" s="20">
        <f>I66/(100-BE66)*100</f>
        <v>0</v>
      </c>
      <c r="BE66" s="20">
        <v>0</v>
      </c>
      <c r="BF66" s="20">
        <f>66</f>
        <v>66</v>
      </c>
      <c r="BH66" s="20">
        <f>H66*AO66</f>
        <v>0</v>
      </c>
      <c r="BI66" s="20">
        <f>H66*AP66</f>
        <v>0</v>
      </c>
      <c r="BJ66" s="20">
        <f>H66*I66</f>
        <v>0</v>
      </c>
      <c r="BK66" s="20"/>
      <c r="BL66" s="20">
        <v>711</v>
      </c>
    </row>
    <row r="67" spans="1:64" ht="15" customHeight="1">
      <c r="A67" s="4" t="s">
        <v>421</v>
      </c>
      <c r="B67" s="17" t="s">
        <v>552</v>
      </c>
      <c r="C67" s="113" t="s">
        <v>539</v>
      </c>
      <c r="D67" s="113"/>
      <c r="E67" s="113"/>
      <c r="F67" s="113"/>
      <c r="G67" s="17" t="s">
        <v>494</v>
      </c>
      <c r="H67" s="20">
        <v>2</v>
      </c>
      <c r="I67" s="20">
        <v>0</v>
      </c>
      <c r="J67" s="20">
        <f>H67*AO67</f>
        <v>0</v>
      </c>
      <c r="K67" s="20">
        <f>H67*AP67</f>
        <v>0</v>
      </c>
      <c r="L67" s="20">
        <f>H67*I67</f>
        <v>0</v>
      </c>
      <c r="M67" s="31" t="s">
        <v>496</v>
      </c>
      <c r="Z67" s="20">
        <f>IF(AQ67="5",BJ67,0)</f>
        <v>0</v>
      </c>
      <c r="AB67" s="20">
        <f>IF(AQ67="1",BH67,0)</f>
        <v>0</v>
      </c>
      <c r="AC67" s="20">
        <f>IF(AQ67="1",BI67,0)</f>
        <v>0</v>
      </c>
      <c r="AD67" s="20">
        <f>IF(AQ67="7",BH67,0)</f>
        <v>0</v>
      </c>
      <c r="AE67" s="20">
        <f>IF(AQ67="7",BI67,0)</f>
        <v>0</v>
      </c>
      <c r="AF67" s="20">
        <f>IF(AQ67="2",BH67,0)</f>
        <v>0</v>
      </c>
      <c r="AG67" s="20">
        <f>IF(AQ67="2",BI67,0)</f>
        <v>0</v>
      </c>
      <c r="AH67" s="20">
        <f>IF(AQ67="0",BJ67,0)</f>
        <v>0</v>
      </c>
      <c r="AI67" s="64" t="s">
        <v>414</v>
      </c>
      <c r="AJ67" s="20">
        <f>IF(AN67=0,L67,0)</f>
        <v>0</v>
      </c>
      <c r="AK67" s="20">
        <f>IF(AN67=15,L67,0)</f>
        <v>0</v>
      </c>
      <c r="AL67" s="20">
        <f>IF(AN67=21,L67,0)</f>
        <v>0</v>
      </c>
      <c r="AN67" s="20">
        <v>15</v>
      </c>
      <c r="AO67" s="20">
        <f>I67*0.63134693877551</f>
        <v>0</v>
      </c>
      <c r="AP67" s="20">
        <f>I67*(1-0.63134693877551)</f>
        <v>0</v>
      </c>
      <c r="AQ67" s="26" t="s">
        <v>598</v>
      </c>
      <c r="AV67" s="20">
        <f>AW67+AX67</f>
        <v>0</v>
      </c>
      <c r="AW67" s="20">
        <f>H67*AO67</f>
        <v>0</v>
      </c>
      <c r="AX67" s="20">
        <f>H67*AP67</f>
        <v>0</v>
      </c>
      <c r="AY67" s="26" t="s">
        <v>515</v>
      </c>
      <c r="AZ67" s="26" t="s">
        <v>671</v>
      </c>
      <c r="BA67" s="64" t="s">
        <v>452</v>
      </c>
      <c r="BC67" s="20">
        <f>AW67+AX67</f>
        <v>0</v>
      </c>
      <c r="BD67" s="20">
        <f>I67/(100-BE67)*100</f>
        <v>0</v>
      </c>
      <c r="BE67" s="20">
        <v>0</v>
      </c>
      <c r="BF67" s="20">
        <f>67</f>
        <v>67</v>
      </c>
      <c r="BH67" s="20">
        <f>H67*AO67</f>
        <v>0</v>
      </c>
      <c r="BI67" s="20">
        <f>H67*AP67</f>
        <v>0</v>
      </c>
      <c r="BJ67" s="20">
        <f>H67*I67</f>
        <v>0</v>
      </c>
      <c r="BK67" s="20"/>
      <c r="BL67" s="20">
        <v>711</v>
      </c>
    </row>
    <row r="68" spans="1:64" ht="15" customHeight="1">
      <c r="A68" s="4" t="s">
        <v>565</v>
      </c>
      <c r="B68" s="17" t="s">
        <v>562</v>
      </c>
      <c r="C68" s="113" t="s">
        <v>460</v>
      </c>
      <c r="D68" s="113"/>
      <c r="E68" s="113"/>
      <c r="F68" s="113"/>
      <c r="G68" s="17" t="s">
        <v>284</v>
      </c>
      <c r="H68" s="20">
        <v>0.0323</v>
      </c>
      <c r="I68" s="20">
        <v>0</v>
      </c>
      <c r="J68" s="20">
        <f>H68*AO68</f>
        <v>0</v>
      </c>
      <c r="K68" s="20">
        <f>H68*AP68</f>
        <v>0</v>
      </c>
      <c r="L68" s="20">
        <f>H68*I68</f>
        <v>0</v>
      </c>
      <c r="M68" s="31" t="s">
        <v>496</v>
      </c>
      <c r="Z68" s="20">
        <f>IF(AQ68="5",BJ68,0)</f>
        <v>0</v>
      </c>
      <c r="AB68" s="20">
        <f>IF(AQ68="1",BH68,0)</f>
        <v>0</v>
      </c>
      <c r="AC68" s="20">
        <f>IF(AQ68="1",BI68,0)</f>
        <v>0</v>
      </c>
      <c r="AD68" s="20">
        <f>IF(AQ68="7",BH68,0)</f>
        <v>0</v>
      </c>
      <c r="AE68" s="20">
        <f>IF(AQ68="7",BI68,0)</f>
        <v>0</v>
      </c>
      <c r="AF68" s="20">
        <f>IF(AQ68="2",BH68,0)</f>
        <v>0</v>
      </c>
      <c r="AG68" s="20">
        <f>IF(AQ68="2",BI68,0)</f>
        <v>0</v>
      </c>
      <c r="AH68" s="20">
        <f>IF(AQ68="0",BJ68,0)</f>
        <v>0</v>
      </c>
      <c r="AI68" s="64" t="s">
        <v>414</v>
      </c>
      <c r="AJ68" s="20">
        <f>IF(AN68=0,L68,0)</f>
        <v>0</v>
      </c>
      <c r="AK68" s="20">
        <f>IF(AN68=15,L68,0)</f>
        <v>0</v>
      </c>
      <c r="AL68" s="20">
        <f>IF(AN68=21,L68,0)</f>
        <v>0</v>
      </c>
      <c r="AN68" s="20">
        <v>15</v>
      </c>
      <c r="AO68" s="20">
        <f>I68*0</f>
        <v>0</v>
      </c>
      <c r="AP68" s="20">
        <f>I68*(1-0)</f>
        <v>0</v>
      </c>
      <c r="AQ68" s="26" t="s">
        <v>322</v>
      </c>
      <c r="AV68" s="20">
        <f>AW68+AX68</f>
        <v>0</v>
      </c>
      <c r="AW68" s="20">
        <f>H68*AO68</f>
        <v>0</v>
      </c>
      <c r="AX68" s="20">
        <f>H68*AP68</f>
        <v>0</v>
      </c>
      <c r="AY68" s="26" t="s">
        <v>515</v>
      </c>
      <c r="AZ68" s="26" t="s">
        <v>671</v>
      </c>
      <c r="BA68" s="64" t="s">
        <v>452</v>
      </c>
      <c r="BC68" s="20">
        <f>AW68+AX68</f>
        <v>0</v>
      </c>
      <c r="BD68" s="20">
        <f>I68/(100-BE68)*100</f>
        <v>0</v>
      </c>
      <c r="BE68" s="20">
        <v>0</v>
      </c>
      <c r="BF68" s="20">
        <f>68</f>
        <v>68</v>
      </c>
      <c r="BH68" s="20">
        <f>H68*AO68</f>
        <v>0</v>
      </c>
      <c r="BI68" s="20">
        <f>H68*AP68</f>
        <v>0</v>
      </c>
      <c r="BJ68" s="20">
        <f>H68*I68</f>
        <v>0</v>
      </c>
      <c r="BK68" s="20"/>
      <c r="BL68" s="20">
        <v>711</v>
      </c>
    </row>
    <row r="69" spans="1:47" ht="15" customHeight="1">
      <c r="A69" s="51" t="s">
        <v>414</v>
      </c>
      <c r="B69" s="50" t="s">
        <v>389</v>
      </c>
      <c r="C69" s="166" t="s">
        <v>680</v>
      </c>
      <c r="D69" s="166"/>
      <c r="E69" s="166"/>
      <c r="F69" s="166"/>
      <c r="G69" s="48" t="s">
        <v>546</v>
      </c>
      <c r="H69" s="48" t="s">
        <v>546</v>
      </c>
      <c r="I69" s="48" t="s">
        <v>546</v>
      </c>
      <c r="J69" s="76">
        <f>SUM(J70:J83)</f>
        <v>0</v>
      </c>
      <c r="K69" s="76">
        <f>SUM(K70:K83)</f>
        <v>0</v>
      </c>
      <c r="L69" s="76">
        <f>SUM(L70:L83)</f>
        <v>0</v>
      </c>
      <c r="M69" s="55" t="s">
        <v>414</v>
      </c>
      <c r="AI69" s="64" t="s">
        <v>414</v>
      </c>
      <c r="AS69" s="76">
        <f>SUM(AJ70:AJ83)</f>
        <v>0</v>
      </c>
      <c r="AT69" s="76">
        <f>SUM(AK70:AK83)</f>
        <v>0</v>
      </c>
      <c r="AU69" s="76">
        <f>SUM(AL70:AL83)</f>
        <v>0</v>
      </c>
    </row>
    <row r="70" spans="1:64" ht="15" customHeight="1">
      <c r="A70" s="4" t="s">
        <v>272</v>
      </c>
      <c r="B70" s="17" t="s">
        <v>448</v>
      </c>
      <c r="C70" s="113" t="s">
        <v>136</v>
      </c>
      <c r="D70" s="113"/>
      <c r="E70" s="113"/>
      <c r="F70" s="113"/>
      <c r="G70" s="17" t="s">
        <v>154</v>
      </c>
      <c r="H70" s="20">
        <v>2</v>
      </c>
      <c r="I70" s="20">
        <v>0</v>
      </c>
      <c r="J70" s="20">
        <f aca="true" t="shared" si="0" ref="J70:J79">H70*AO70</f>
        <v>0</v>
      </c>
      <c r="K70" s="20">
        <f aca="true" t="shared" si="1" ref="K70:K79">H70*AP70</f>
        <v>0</v>
      </c>
      <c r="L70" s="20">
        <f aca="true" t="shared" si="2" ref="L70:L79">H70*I70</f>
        <v>0</v>
      </c>
      <c r="M70" s="31" t="s">
        <v>496</v>
      </c>
      <c r="Z70" s="20">
        <f aca="true" t="shared" si="3" ref="Z70:Z79">IF(AQ70="5",BJ70,0)</f>
        <v>0</v>
      </c>
      <c r="AB70" s="20">
        <f aca="true" t="shared" si="4" ref="AB70:AB79">IF(AQ70="1",BH70,0)</f>
        <v>0</v>
      </c>
      <c r="AC70" s="20">
        <f aca="true" t="shared" si="5" ref="AC70:AC79">IF(AQ70="1",BI70,0)</f>
        <v>0</v>
      </c>
      <c r="AD70" s="20">
        <f aca="true" t="shared" si="6" ref="AD70:AD79">IF(AQ70="7",BH70,0)</f>
        <v>0</v>
      </c>
      <c r="AE70" s="20">
        <f aca="true" t="shared" si="7" ref="AE70:AE79">IF(AQ70="7",BI70,0)</f>
        <v>0</v>
      </c>
      <c r="AF70" s="20">
        <f aca="true" t="shared" si="8" ref="AF70:AF79">IF(AQ70="2",BH70,0)</f>
        <v>0</v>
      </c>
      <c r="AG70" s="20">
        <f aca="true" t="shared" si="9" ref="AG70:AG79">IF(AQ70="2",BI70,0)</f>
        <v>0</v>
      </c>
      <c r="AH70" s="20">
        <f aca="true" t="shared" si="10" ref="AH70:AH79">IF(AQ70="0",BJ70,0)</f>
        <v>0</v>
      </c>
      <c r="AI70" s="64" t="s">
        <v>414</v>
      </c>
      <c r="AJ70" s="20">
        <f aca="true" t="shared" si="11" ref="AJ70:AJ79">IF(AN70=0,L70,0)</f>
        <v>0</v>
      </c>
      <c r="AK70" s="20">
        <f aca="true" t="shared" si="12" ref="AK70:AK79">IF(AN70=15,L70,0)</f>
        <v>0</v>
      </c>
      <c r="AL70" s="20">
        <f aca="true" t="shared" si="13" ref="AL70:AL79">IF(AN70=21,L70,0)</f>
        <v>0</v>
      </c>
      <c r="AN70" s="20">
        <v>15</v>
      </c>
      <c r="AO70" s="20">
        <f>I70*0.807137591966732</f>
        <v>0</v>
      </c>
      <c r="AP70" s="20">
        <f>I70*(1-0.807137591966732)</f>
        <v>0</v>
      </c>
      <c r="AQ70" s="26" t="s">
        <v>598</v>
      </c>
      <c r="AV70" s="20">
        <f aca="true" t="shared" si="14" ref="AV70:AV79">AW70+AX70</f>
        <v>0</v>
      </c>
      <c r="AW70" s="20">
        <f aca="true" t="shared" si="15" ref="AW70:AW79">H70*AO70</f>
        <v>0</v>
      </c>
      <c r="AX70" s="20">
        <f aca="true" t="shared" si="16" ref="AX70:AX79">H70*AP70</f>
        <v>0</v>
      </c>
      <c r="AY70" s="26" t="s">
        <v>94</v>
      </c>
      <c r="AZ70" s="26" t="s">
        <v>244</v>
      </c>
      <c r="BA70" s="64" t="s">
        <v>452</v>
      </c>
      <c r="BC70" s="20">
        <f aca="true" t="shared" si="17" ref="BC70:BC79">AW70+AX70</f>
        <v>0</v>
      </c>
      <c r="BD70" s="20">
        <f aca="true" t="shared" si="18" ref="BD70:BD79">I70/(100-BE70)*100</f>
        <v>0</v>
      </c>
      <c r="BE70" s="20">
        <v>0</v>
      </c>
      <c r="BF70" s="20">
        <f>70</f>
        <v>70</v>
      </c>
      <c r="BH70" s="20">
        <f aca="true" t="shared" si="19" ref="BH70:BH79">H70*AO70</f>
        <v>0</v>
      </c>
      <c r="BI70" s="20">
        <f aca="true" t="shared" si="20" ref="BI70:BI79">H70*AP70</f>
        <v>0</v>
      </c>
      <c r="BJ70" s="20">
        <f aca="true" t="shared" si="21" ref="BJ70:BJ79">H70*I70</f>
        <v>0</v>
      </c>
      <c r="BK70" s="20"/>
      <c r="BL70" s="20">
        <v>721</v>
      </c>
    </row>
    <row r="71" spans="1:64" ht="15" customHeight="1">
      <c r="A71" s="4" t="s">
        <v>65</v>
      </c>
      <c r="B71" s="17" t="s">
        <v>503</v>
      </c>
      <c r="C71" s="113" t="s">
        <v>538</v>
      </c>
      <c r="D71" s="113"/>
      <c r="E71" s="113"/>
      <c r="F71" s="113"/>
      <c r="G71" s="17" t="s">
        <v>494</v>
      </c>
      <c r="H71" s="20">
        <v>1</v>
      </c>
      <c r="I71" s="20">
        <v>0</v>
      </c>
      <c r="J71" s="20">
        <f t="shared" si="0"/>
        <v>0</v>
      </c>
      <c r="K71" s="20">
        <f t="shared" si="1"/>
        <v>0</v>
      </c>
      <c r="L71" s="20">
        <f t="shared" si="2"/>
        <v>0</v>
      </c>
      <c r="M71" s="31" t="s">
        <v>496</v>
      </c>
      <c r="Z71" s="20">
        <f t="shared" si="3"/>
        <v>0</v>
      </c>
      <c r="AB71" s="20">
        <f t="shared" si="4"/>
        <v>0</v>
      </c>
      <c r="AC71" s="20">
        <f t="shared" si="5"/>
        <v>0</v>
      </c>
      <c r="AD71" s="20">
        <f t="shared" si="6"/>
        <v>0</v>
      </c>
      <c r="AE71" s="20">
        <f t="shared" si="7"/>
        <v>0</v>
      </c>
      <c r="AF71" s="20">
        <f t="shared" si="8"/>
        <v>0</v>
      </c>
      <c r="AG71" s="20">
        <f t="shared" si="9"/>
        <v>0</v>
      </c>
      <c r="AH71" s="20">
        <f t="shared" si="10"/>
        <v>0</v>
      </c>
      <c r="AI71" s="64" t="s">
        <v>414</v>
      </c>
      <c r="AJ71" s="20">
        <f t="shared" si="11"/>
        <v>0</v>
      </c>
      <c r="AK71" s="20">
        <f t="shared" si="12"/>
        <v>0</v>
      </c>
      <c r="AL71" s="20">
        <f t="shared" si="13"/>
        <v>0</v>
      </c>
      <c r="AN71" s="20">
        <v>15</v>
      </c>
      <c r="AO71" s="20">
        <f>I71*0</f>
        <v>0</v>
      </c>
      <c r="AP71" s="20">
        <f>I71*(1-0)</f>
        <v>0</v>
      </c>
      <c r="AQ71" s="26" t="s">
        <v>598</v>
      </c>
      <c r="AV71" s="20">
        <f t="shared" si="14"/>
        <v>0</v>
      </c>
      <c r="AW71" s="20">
        <f t="shared" si="15"/>
        <v>0</v>
      </c>
      <c r="AX71" s="20">
        <f t="shared" si="16"/>
        <v>0</v>
      </c>
      <c r="AY71" s="26" t="s">
        <v>94</v>
      </c>
      <c r="AZ71" s="26" t="s">
        <v>244</v>
      </c>
      <c r="BA71" s="64" t="s">
        <v>452</v>
      </c>
      <c r="BC71" s="20">
        <f t="shared" si="17"/>
        <v>0</v>
      </c>
      <c r="BD71" s="20">
        <f t="shared" si="18"/>
        <v>0</v>
      </c>
      <c r="BE71" s="20">
        <v>0</v>
      </c>
      <c r="BF71" s="20">
        <f>71</f>
        <v>71</v>
      </c>
      <c r="BH71" s="20">
        <f t="shared" si="19"/>
        <v>0</v>
      </c>
      <c r="BI71" s="20">
        <f t="shared" si="20"/>
        <v>0</v>
      </c>
      <c r="BJ71" s="20">
        <f t="shared" si="21"/>
        <v>0</v>
      </c>
      <c r="BK71" s="20"/>
      <c r="BL71" s="20">
        <v>721</v>
      </c>
    </row>
    <row r="72" spans="1:64" ht="15" customHeight="1">
      <c r="A72" s="4" t="s">
        <v>153</v>
      </c>
      <c r="B72" s="17" t="s">
        <v>121</v>
      </c>
      <c r="C72" s="113" t="s">
        <v>410</v>
      </c>
      <c r="D72" s="113"/>
      <c r="E72" s="113"/>
      <c r="F72" s="113"/>
      <c r="G72" s="17" t="s">
        <v>494</v>
      </c>
      <c r="H72" s="20">
        <v>6</v>
      </c>
      <c r="I72" s="20">
        <v>0</v>
      </c>
      <c r="J72" s="20">
        <f t="shared" si="0"/>
        <v>0</v>
      </c>
      <c r="K72" s="20">
        <f t="shared" si="1"/>
        <v>0</v>
      </c>
      <c r="L72" s="20">
        <f t="shared" si="2"/>
        <v>0</v>
      </c>
      <c r="M72" s="31" t="s">
        <v>496</v>
      </c>
      <c r="Z72" s="20">
        <f t="shared" si="3"/>
        <v>0</v>
      </c>
      <c r="AB72" s="20">
        <f t="shared" si="4"/>
        <v>0</v>
      </c>
      <c r="AC72" s="20">
        <f t="shared" si="5"/>
        <v>0</v>
      </c>
      <c r="AD72" s="20">
        <f t="shared" si="6"/>
        <v>0</v>
      </c>
      <c r="AE72" s="20">
        <f t="shared" si="7"/>
        <v>0</v>
      </c>
      <c r="AF72" s="20">
        <f t="shared" si="8"/>
        <v>0</v>
      </c>
      <c r="AG72" s="20">
        <f t="shared" si="9"/>
        <v>0</v>
      </c>
      <c r="AH72" s="20">
        <f t="shared" si="10"/>
        <v>0</v>
      </c>
      <c r="AI72" s="64" t="s">
        <v>414</v>
      </c>
      <c r="AJ72" s="20">
        <f t="shared" si="11"/>
        <v>0</v>
      </c>
      <c r="AK72" s="20">
        <f t="shared" si="12"/>
        <v>0</v>
      </c>
      <c r="AL72" s="20">
        <f t="shared" si="13"/>
        <v>0</v>
      </c>
      <c r="AN72" s="20">
        <v>15</v>
      </c>
      <c r="AO72" s="20">
        <f>I72*0</f>
        <v>0</v>
      </c>
      <c r="AP72" s="20">
        <f>I72*(1-0)</f>
        <v>0</v>
      </c>
      <c r="AQ72" s="26" t="s">
        <v>598</v>
      </c>
      <c r="AV72" s="20">
        <f t="shared" si="14"/>
        <v>0</v>
      </c>
      <c r="AW72" s="20">
        <f t="shared" si="15"/>
        <v>0</v>
      </c>
      <c r="AX72" s="20">
        <f t="shared" si="16"/>
        <v>0</v>
      </c>
      <c r="AY72" s="26" t="s">
        <v>94</v>
      </c>
      <c r="AZ72" s="26" t="s">
        <v>244</v>
      </c>
      <c r="BA72" s="64" t="s">
        <v>452</v>
      </c>
      <c r="BC72" s="20">
        <f t="shared" si="17"/>
        <v>0</v>
      </c>
      <c r="BD72" s="20">
        <f t="shared" si="18"/>
        <v>0</v>
      </c>
      <c r="BE72" s="20">
        <v>0</v>
      </c>
      <c r="BF72" s="20">
        <f>72</f>
        <v>72</v>
      </c>
      <c r="BH72" s="20">
        <f t="shared" si="19"/>
        <v>0</v>
      </c>
      <c r="BI72" s="20">
        <f t="shared" si="20"/>
        <v>0</v>
      </c>
      <c r="BJ72" s="20">
        <f t="shared" si="21"/>
        <v>0</v>
      </c>
      <c r="BK72" s="20"/>
      <c r="BL72" s="20">
        <v>721</v>
      </c>
    </row>
    <row r="73" spans="1:64" ht="15" customHeight="1">
      <c r="A73" s="4" t="s">
        <v>83</v>
      </c>
      <c r="B73" s="17" t="s">
        <v>87</v>
      </c>
      <c r="C73" s="113" t="s">
        <v>400</v>
      </c>
      <c r="D73" s="113"/>
      <c r="E73" s="113"/>
      <c r="F73" s="113"/>
      <c r="G73" s="17" t="s">
        <v>494</v>
      </c>
      <c r="H73" s="20">
        <v>1.9</v>
      </c>
      <c r="I73" s="20">
        <v>0</v>
      </c>
      <c r="J73" s="20">
        <f t="shared" si="0"/>
        <v>0</v>
      </c>
      <c r="K73" s="20">
        <f t="shared" si="1"/>
        <v>0</v>
      </c>
      <c r="L73" s="20">
        <f t="shared" si="2"/>
        <v>0</v>
      </c>
      <c r="M73" s="31" t="s">
        <v>496</v>
      </c>
      <c r="Z73" s="20">
        <f t="shared" si="3"/>
        <v>0</v>
      </c>
      <c r="AB73" s="20">
        <f t="shared" si="4"/>
        <v>0</v>
      </c>
      <c r="AC73" s="20">
        <f t="shared" si="5"/>
        <v>0</v>
      </c>
      <c r="AD73" s="20">
        <f t="shared" si="6"/>
        <v>0</v>
      </c>
      <c r="AE73" s="20">
        <f t="shared" si="7"/>
        <v>0</v>
      </c>
      <c r="AF73" s="20">
        <f t="shared" si="8"/>
        <v>0</v>
      </c>
      <c r="AG73" s="20">
        <f t="shared" si="9"/>
        <v>0</v>
      </c>
      <c r="AH73" s="20">
        <f t="shared" si="10"/>
        <v>0</v>
      </c>
      <c r="AI73" s="64" t="s">
        <v>414</v>
      </c>
      <c r="AJ73" s="20">
        <f t="shared" si="11"/>
        <v>0</v>
      </c>
      <c r="AK73" s="20">
        <f t="shared" si="12"/>
        <v>0</v>
      </c>
      <c r="AL73" s="20">
        <f t="shared" si="13"/>
        <v>0</v>
      </c>
      <c r="AN73" s="20">
        <v>15</v>
      </c>
      <c r="AO73" s="20">
        <f>I73*0.404518388791594</f>
        <v>0</v>
      </c>
      <c r="AP73" s="20">
        <f>I73*(1-0.404518388791594)</f>
        <v>0</v>
      </c>
      <c r="AQ73" s="26" t="s">
        <v>598</v>
      </c>
      <c r="AV73" s="20">
        <f t="shared" si="14"/>
        <v>0</v>
      </c>
      <c r="AW73" s="20">
        <f t="shared" si="15"/>
        <v>0</v>
      </c>
      <c r="AX73" s="20">
        <f t="shared" si="16"/>
        <v>0</v>
      </c>
      <c r="AY73" s="26" t="s">
        <v>94</v>
      </c>
      <c r="AZ73" s="26" t="s">
        <v>244</v>
      </c>
      <c r="BA73" s="64" t="s">
        <v>452</v>
      </c>
      <c r="BC73" s="20">
        <f t="shared" si="17"/>
        <v>0</v>
      </c>
      <c r="BD73" s="20">
        <f t="shared" si="18"/>
        <v>0</v>
      </c>
      <c r="BE73" s="20">
        <v>0</v>
      </c>
      <c r="BF73" s="20">
        <f>73</f>
        <v>73</v>
      </c>
      <c r="BH73" s="20">
        <f t="shared" si="19"/>
        <v>0</v>
      </c>
      <c r="BI73" s="20">
        <f t="shared" si="20"/>
        <v>0</v>
      </c>
      <c r="BJ73" s="20">
        <f t="shared" si="21"/>
        <v>0</v>
      </c>
      <c r="BK73" s="20"/>
      <c r="BL73" s="20">
        <v>721</v>
      </c>
    </row>
    <row r="74" spans="1:64" ht="15" customHeight="1">
      <c r="A74" s="4" t="s">
        <v>584</v>
      </c>
      <c r="B74" s="17" t="s">
        <v>251</v>
      </c>
      <c r="C74" s="113" t="s">
        <v>480</v>
      </c>
      <c r="D74" s="113"/>
      <c r="E74" s="113"/>
      <c r="F74" s="113"/>
      <c r="G74" s="17" t="s">
        <v>494</v>
      </c>
      <c r="H74" s="20">
        <v>3.2</v>
      </c>
      <c r="I74" s="20">
        <v>0</v>
      </c>
      <c r="J74" s="20">
        <f t="shared" si="0"/>
        <v>0</v>
      </c>
      <c r="K74" s="20">
        <f t="shared" si="1"/>
        <v>0</v>
      </c>
      <c r="L74" s="20">
        <f t="shared" si="2"/>
        <v>0</v>
      </c>
      <c r="M74" s="31" t="s">
        <v>496</v>
      </c>
      <c r="Z74" s="20">
        <f t="shared" si="3"/>
        <v>0</v>
      </c>
      <c r="AB74" s="20">
        <f t="shared" si="4"/>
        <v>0</v>
      </c>
      <c r="AC74" s="20">
        <f t="shared" si="5"/>
        <v>0</v>
      </c>
      <c r="AD74" s="20">
        <f t="shared" si="6"/>
        <v>0</v>
      </c>
      <c r="AE74" s="20">
        <f t="shared" si="7"/>
        <v>0</v>
      </c>
      <c r="AF74" s="20">
        <f t="shared" si="8"/>
        <v>0</v>
      </c>
      <c r="AG74" s="20">
        <f t="shared" si="9"/>
        <v>0</v>
      </c>
      <c r="AH74" s="20">
        <f t="shared" si="10"/>
        <v>0</v>
      </c>
      <c r="AI74" s="64" t="s">
        <v>414</v>
      </c>
      <c r="AJ74" s="20">
        <f t="shared" si="11"/>
        <v>0</v>
      </c>
      <c r="AK74" s="20">
        <f t="shared" si="12"/>
        <v>0</v>
      </c>
      <c r="AL74" s="20">
        <f t="shared" si="13"/>
        <v>0</v>
      </c>
      <c r="AN74" s="20">
        <v>15</v>
      </c>
      <c r="AO74" s="20">
        <f>I74*0.4039375</f>
        <v>0</v>
      </c>
      <c r="AP74" s="20">
        <f>I74*(1-0.4039375)</f>
        <v>0</v>
      </c>
      <c r="AQ74" s="26" t="s">
        <v>598</v>
      </c>
      <c r="AV74" s="20">
        <f t="shared" si="14"/>
        <v>0</v>
      </c>
      <c r="AW74" s="20">
        <f t="shared" si="15"/>
        <v>0</v>
      </c>
      <c r="AX74" s="20">
        <f t="shared" si="16"/>
        <v>0</v>
      </c>
      <c r="AY74" s="26" t="s">
        <v>94</v>
      </c>
      <c r="AZ74" s="26" t="s">
        <v>244</v>
      </c>
      <c r="BA74" s="64" t="s">
        <v>452</v>
      </c>
      <c r="BC74" s="20">
        <f t="shared" si="17"/>
        <v>0</v>
      </c>
      <c r="BD74" s="20">
        <f t="shared" si="18"/>
        <v>0</v>
      </c>
      <c r="BE74" s="20">
        <v>0</v>
      </c>
      <c r="BF74" s="20">
        <f>74</f>
        <v>74</v>
      </c>
      <c r="BH74" s="20">
        <f t="shared" si="19"/>
        <v>0</v>
      </c>
      <c r="BI74" s="20">
        <f t="shared" si="20"/>
        <v>0</v>
      </c>
      <c r="BJ74" s="20">
        <f t="shared" si="21"/>
        <v>0</v>
      </c>
      <c r="BK74" s="20"/>
      <c r="BL74" s="20">
        <v>721</v>
      </c>
    </row>
    <row r="75" spans="1:64" ht="15" customHeight="1">
      <c r="A75" s="4" t="s">
        <v>652</v>
      </c>
      <c r="B75" s="17" t="s">
        <v>269</v>
      </c>
      <c r="C75" s="113" t="s">
        <v>601</v>
      </c>
      <c r="D75" s="113"/>
      <c r="E75" s="113"/>
      <c r="F75" s="113"/>
      <c r="G75" s="17" t="s">
        <v>494</v>
      </c>
      <c r="H75" s="20">
        <v>1</v>
      </c>
      <c r="I75" s="20">
        <v>0</v>
      </c>
      <c r="J75" s="20">
        <f t="shared" si="0"/>
        <v>0</v>
      </c>
      <c r="K75" s="20">
        <f t="shared" si="1"/>
        <v>0</v>
      </c>
      <c r="L75" s="20">
        <f t="shared" si="2"/>
        <v>0</v>
      </c>
      <c r="M75" s="31" t="s">
        <v>496</v>
      </c>
      <c r="Z75" s="20">
        <f t="shared" si="3"/>
        <v>0</v>
      </c>
      <c r="AB75" s="20">
        <f t="shared" si="4"/>
        <v>0</v>
      </c>
      <c r="AC75" s="20">
        <f t="shared" si="5"/>
        <v>0</v>
      </c>
      <c r="AD75" s="20">
        <f t="shared" si="6"/>
        <v>0</v>
      </c>
      <c r="AE75" s="20">
        <f t="shared" si="7"/>
        <v>0</v>
      </c>
      <c r="AF75" s="20">
        <f t="shared" si="8"/>
        <v>0</v>
      </c>
      <c r="AG75" s="20">
        <f t="shared" si="9"/>
        <v>0</v>
      </c>
      <c r="AH75" s="20">
        <f t="shared" si="10"/>
        <v>0</v>
      </c>
      <c r="AI75" s="64" t="s">
        <v>414</v>
      </c>
      <c r="AJ75" s="20">
        <f t="shared" si="11"/>
        <v>0</v>
      </c>
      <c r="AK75" s="20">
        <f t="shared" si="12"/>
        <v>0</v>
      </c>
      <c r="AL75" s="20">
        <f t="shared" si="13"/>
        <v>0</v>
      </c>
      <c r="AN75" s="20">
        <v>15</v>
      </c>
      <c r="AO75" s="20">
        <f>I75*0.386</f>
        <v>0</v>
      </c>
      <c r="AP75" s="20">
        <f>I75*(1-0.386)</f>
        <v>0</v>
      </c>
      <c r="AQ75" s="26" t="s">
        <v>598</v>
      </c>
      <c r="AV75" s="20">
        <f t="shared" si="14"/>
        <v>0</v>
      </c>
      <c r="AW75" s="20">
        <f t="shared" si="15"/>
        <v>0</v>
      </c>
      <c r="AX75" s="20">
        <f t="shared" si="16"/>
        <v>0</v>
      </c>
      <c r="AY75" s="26" t="s">
        <v>94</v>
      </c>
      <c r="AZ75" s="26" t="s">
        <v>244</v>
      </c>
      <c r="BA75" s="64" t="s">
        <v>452</v>
      </c>
      <c r="BC75" s="20">
        <f t="shared" si="17"/>
        <v>0</v>
      </c>
      <c r="BD75" s="20">
        <f t="shared" si="18"/>
        <v>0</v>
      </c>
      <c r="BE75" s="20">
        <v>0</v>
      </c>
      <c r="BF75" s="20">
        <f>75</f>
        <v>75</v>
      </c>
      <c r="BH75" s="20">
        <f t="shared" si="19"/>
        <v>0</v>
      </c>
      <c r="BI75" s="20">
        <f t="shared" si="20"/>
        <v>0</v>
      </c>
      <c r="BJ75" s="20">
        <f t="shared" si="21"/>
        <v>0</v>
      </c>
      <c r="BK75" s="20"/>
      <c r="BL75" s="20">
        <v>721</v>
      </c>
    </row>
    <row r="76" spans="1:64" ht="15" customHeight="1">
      <c r="A76" s="4" t="s">
        <v>54</v>
      </c>
      <c r="B76" s="17" t="s">
        <v>206</v>
      </c>
      <c r="C76" s="113" t="s">
        <v>46</v>
      </c>
      <c r="D76" s="113"/>
      <c r="E76" s="113"/>
      <c r="F76" s="113"/>
      <c r="G76" s="17" t="s">
        <v>494</v>
      </c>
      <c r="H76" s="20">
        <v>0.5</v>
      </c>
      <c r="I76" s="20">
        <v>0</v>
      </c>
      <c r="J76" s="20">
        <f t="shared" si="0"/>
        <v>0</v>
      </c>
      <c r="K76" s="20">
        <f t="shared" si="1"/>
        <v>0</v>
      </c>
      <c r="L76" s="20">
        <f t="shared" si="2"/>
        <v>0</v>
      </c>
      <c r="M76" s="31" t="s">
        <v>496</v>
      </c>
      <c r="Z76" s="20">
        <f t="shared" si="3"/>
        <v>0</v>
      </c>
      <c r="AB76" s="20">
        <f t="shared" si="4"/>
        <v>0</v>
      </c>
      <c r="AC76" s="20">
        <f t="shared" si="5"/>
        <v>0</v>
      </c>
      <c r="AD76" s="20">
        <f t="shared" si="6"/>
        <v>0</v>
      </c>
      <c r="AE76" s="20">
        <f t="shared" si="7"/>
        <v>0</v>
      </c>
      <c r="AF76" s="20">
        <f t="shared" si="8"/>
        <v>0</v>
      </c>
      <c r="AG76" s="20">
        <f t="shared" si="9"/>
        <v>0</v>
      </c>
      <c r="AH76" s="20">
        <f t="shared" si="10"/>
        <v>0</v>
      </c>
      <c r="AI76" s="64" t="s">
        <v>414</v>
      </c>
      <c r="AJ76" s="20">
        <f t="shared" si="11"/>
        <v>0</v>
      </c>
      <c r="AK76" s="20">
        <f t="shared" si="12"/>
        <v>0</v>
      </c>
      <c r="AL76" s="20">
        <f t="shared" si="13"/>
        <v>0</v>
      </c>
      <c r="AN76" s="20">
        <v>15</v>
      </c>
      <c r="AO76" s="20">
        <f>I76*0.492376950780312</f>
        <v>0</v>
      </c>
      <c r="AP76" s="20">
        <f>I76*(1-0.492376950780312)</f>
        <v>0</v>
      </c>
      <c r="AQ76" s="26" t="s">
        <v>598</v>
      </c>
      <c r="AV76" s="20">
        <f t="shared" si="14"/>
        <v>0</v>
      </c>
      <c r="AW76" s="20">
        <f t="shared" si="15"/>
        <v>0</v>
      </c>
      <c r="AX76" s="20">
        <f t="shared" si="16"/>
        <v>0</v>
      </c>
      <c r="AY76" s="26" t="s">
        <v>94</v>
      </c>
      <c r="AZ76" s="26" t="s">
        <v>244</v>
      </c>
      <c r="BA76" s="64" t="s">
        <v>452</v>
      </c>
      <c r="BC76" s="20">
        <f t="shared" si="17"/>
        <v>0</v>
      </c>
      <c r="BD76" s="20">
        <f t="shared" si="18"/>
        <v>0</v>
      </c>
      <c r="BE76" s="20">
        <v>0</v>
      </c>
      <c r="BF76" s="20">
        <f>76</f>
        <v>76</v>
      </c>
      <c r="BH76" s="20">
        <f t="shared" si="19"/>
        <v>0</v>
      </c>
      <c r="BI76" s="20">
        <f t="shared" si="20"/>
        <v>0</v>
      </c>
      <c r="BJ76" s="20">
        <f t="shared" si="21"/>
        <v>0</v>
      </c>
      <c r="BK76" s="20"/>
      <c r="BL76" s="20">
        <v>721</v>
      </c>
    </row>
    <row r="77" spans="1:64" ht="15" customHeight="1">
      <c r="A77" s="4" t="s">
        <v>392</v>
      </c>
      <c r="B77" s="17" t="s">
        <v>258</v>
      </c>
      <c r="C77" s="113" t="s">
        <v>649</v>
      </c>
      <c r="D77" s="113"/>
      <c r="E77" s="113"/>
      <c r="F77" s="113"/>
      <c r="G77" s="17" t="s">
        <v>154</v>
      </c>
      <c r="H77" s="20">
        <v>4</v>
      </c>
      <c r="I77" s="20">
        <v>0</v>
      </c>
      <c r="J77" s="20">
        <f t="shared" si="0"/>
        <v>0</v>
      </c>
      <c r="K77" s="20">
        <f t="shared" si="1"/>
        <v>0</v>
      </c>
      <c r="L77" s="20">
        <f t="shared" si="2"/>
        <v>0</v>
      </c>
      <c r="M77" s="31" t="s">
        <v>496</v>
      </c>
      <c r="Z77" s="20">
        <f t="shared" si="3"/>
        <v>0</v>
      </c>
      <c r="AB77" s="20">
        <f t="shared" si="4"/>
        <v>0</v>
      </c>
      <c r="AC77" s="20">
        <f t="shared" si="5"/>
        <v>0</v>
      </c>
      <c r="AD77" s="20">
        <f t="shared" si="6"/>
        <v>0</v>
      </c>
      <c r="AE77" s="20">
        <f t="shared" si="7"/>
        <v>0</v>
      </c>
      <c r="AF77" s="20">
        <f t="shared" si="8"/>
        <v>0</v>
      </c>
      <c r="AG77" s="20">
        <f t="shared" si="9"/>
        <v>0</v>
      </c>
      <c r="AH77" s="20">
        <f t="shared" si="10"/>
        <v>0</v>
      </c>
      <c r="AI77" s="64" t="s">
        <v>414</v>
      </c>
      <c r="AJ77" s="20">
        <f t="shared" si="11"/>
        <v>0</v>
      </c>
      <c r="AK77" s="20">
        <f t="shared" si="12"/>
        <v>0</v>
      </c>
      <c r="AL77" s="20">
        <f t="shared" si="13"/>
        <v>0</v>
      </c>
      <c r="AN77" s="20">
        <v>15</v>
      </c>
      <c r="AO77" s="20">
        <f>I77*0</f>
        <v>0</v>
      </c>
      <c r="AP77" s="20">
        <f>I77*(1-0)</f>
        <v>0</v>
      </c>
      <c r="AQ77" s="26" t="s">
        <v>598</v>
      </c>
      <c r="AV77" s="20">
        <f t="shared" si="14"/>
        <v>0</v>
      </c>
      <c r="AW77" s="20">
        <f t="shared" si="15"/>
        <v>0</v>
      </c>
      <c r="AX77" s="20">
        <f t="shared" si="16"/>
        <v>0</v>
      </c>
      <c r="AY77" s="26" t="s">
        <v>94</v>
      </c>
      <c r="AZ77" s="26" t="s">
        <v>244</v>
      </c>
      <c r="BA77" s="64" t="s">
        <v>452</v>
      </c>
      <c r="BC77" s="20">
        <f t="shared" si="17"/>
        <v>0</v>
      </c>
      <c r="BD77" s="20">
        <f t="shared" si="18"/>
        <v>0</v>
      </c>
      <c r="BE77" s="20">
        <v>0</v>
      </c>
      <c r="BF77" s="20">
        <f>77</f>
        <v>77</v>
      </c>
      <c r="BH77" s="20">
        <f t="shared" si="19"/>
        <v>0</v>
      </c>
      <c r="BI77" s="20">
        <f t="shared" si="20"/>
        <v>0</v>
      </c>
      <c r="BJ77" s="20">
        <f t="shared" si="21"/>
        <v>0</v>
      </c>
      <c r="BK77" s="20"/>
      <c r="BL77" s="20">
        <v>721</v>
      </c>
    </row>
    <row r="78" spans="1:64" ht="15" customHeight="1">
      <c r="A78" s="4" t="s">
        <v>353</v>
      </c>
      <c r="B78" s="17" t="s">
        <v>152</v>
      </c>
      <c r="C78" s="113" t="s">
        <v>44</v>
      </c>
      <c r="D78" s="113"/>
      <c r="E78" s="113"/>
      <c r="F78" s="113"/>
      <c r="G78" s="17" t="s">
        <v>154</v>
      </c>
      <c r="H78" s="20">
        <v>1</v>
      </c>
      <c r="I78" s="20">
        <v>0</v>
      </c>
      <c r="J78" s="20">
        <f t="shared" si="0"/>
        <v>0</v>
      </c>
      <c r="K78" s="20">
        <f t="shared" si="1"/>
        <v>0</v>
      </c>
      <c r="L78" s="20">
        <f t="shared" si="2"/>
        <v>0</v>
      </c>
      <c r="M78" s="31" t="s">
        <v>496</v>
      </c>
      <c r="Z78" s="20">
        <f t="shared" si="3"/>
        <v>0</v>
      </c>
      <c r="AB78" s="20">
        <f t="shared" si="4"/>
        <v>0</v>
      </c>
      <c r="AC78" s="20">
        <f t="shared" si="5"/>
        <v>0</v>
      </c>
      <c r="AD78" s="20">
        <f t="shared" si="6"/>
        <v>0</v>
      </c>
      <c r="AE78" s="20">
        <f t="shared" si="7"/>
        <v>0</v>
      </c>
      <c r="AF78" s="20">
        <f t="shared" si="8"/>
        <v>0</v>
      </c>
      <c r="AG78" s="20">
        <f t="shared" si="9"/>
        <v>0</v>
      </c>
      <c r="AH78" s="20">
        <f t="shared" si="10"/>
        <v>0</v>
      </c>
      <c r="AI78" s="64" t="s">
        <v>414</v>
      </c>
      <c r="AJ78" s="20">
        <f t="shared" si="11"/>
        <v>0</v>
      </c>
      <c r="AK78" s="20">
        <f t="shared" si="12"/>
        <v>0</v>
      </c>
      <c r="AL78" s="20">
        <f t="shared" si="13"/>
        <v>0</v>
      </c>
      <c r="AN78" s="20">
        <v>15</v>
      </c>
      <c r="AO78" s="20">
        <f>I78*0</f>
        <v>0</v>
      </c>
      <c r="AP78" s="20">
        <f>I78*(1-0)</f>
        <v>0</v>
      </c>
      <c r="AQ78" s="26" t="s">
        <v>598</v>
      </c>
      <c r="AV78" s="20">
        <f t="shared" si="14"/>
        <v>0</v>
      </c>
      <c r="AW78" s="20">
        <f t="shared" si="15"/>
        <v>0</v>
      </c>
      <c r="AX78" s="20">
        <f t="shared" si="16"/>
        <v>0</v>
      </c>
      <c r="AY78" s="26" t="s">
        <v>94</v>
      </c>
      <c r="AZ78" s="26" t="s">
        <v>244</v>
      </c>
      <c r="BA78" s="64" t="s">
        <v>452</v>
      </c>
      <c r="BC78" s="20">
        <f t="shared" si="17"/>
        <v>0</v>
      </c>
      <c r="BD78" s="20">
        <f t="shared" si="18"/>
        <v>0</v>
      </c>
      <c r="BE78" s="20">
        <v>0</v>
      </c>
      <c r="BF78" s="20">
        <f>78</f>
        <v>78</v>
      </c>
      <c r="BH78" s="20">
        <f t="shared" si="19"/>
        <v>0</v>
      </c>
      <c r="BI78" s="20">
        <f t="shared" si="20"/>
        <v>0</v>
      </c>
      <c r="BJ78" s="20">
        <f t="shared" si="21"/>
        <v>0</v>
      </c>
      <c r="BK78" s="20"/>
      <c r="BL78" s="20">
        <v>721</v>
      </c>
    </row>
    <row r="79" spans="1:64" ht="15" customHeight="1">
      <c r="A79" s="4" t="s">
        <v>498</v>
      </c>
      <c r="B79" s="17" t="s">
        <v>648</v>
      </c>
      <c r="C79" s="113" t="s">
        <v>297</v>
      </c>
      <c r="D79" s="113"/>
      <c r="E79" s="113"/>
      <c r="F79" s="113"/>
      <c r="G79" s="17" t="s">
        <v>494</v>
      </c>
      <c r="H79" s="20">
        <v>6.1</v>
      </c>
      <c r="I79" s="20">
        <v>0</v>
      </c>
      <c r="J79" s="20">
        <f t="shared" si="0"/>
        <v>0</v>
      </c>
      <c r="K79" s="20">
        <f t="shared" si="1"/>
        <v>0</v>
      </c>
      <c r="L79" s="20">
        <f t="shared" si="2"/>
        <v>0</v>
      </c>
      <c r="M79" s="31" t="s">
        <v>496</v>
      </c>
      <c r="Z79" s="20">
        <f t="shared" si="3"/>
        <v>0</v>
      </c>
      <c r="AB79" s="20">
        <f t="shared" si="4"/>
        <v>0</v>
      </c>
      <c r="AC79" s="20">
        <f t="shared" si="5"/>
        <v>0</v>
      </c>
      <c r="AD79" s="20">
        <f t="shared" si="6"/>
        <v>0</v>
      </c>
      <c r="AE79" s="20">
        <f t="shared" si="7"/>
        <v>0</v>
      </c>
      <c r="AF79" s="20">
        <f t="shared" si="8"/>
        <v>0</v>
      </c>
      <c r="AG79" s="20">
        <f t="shared" si="9"/>
        <v>0</v>
      </c>
      <c r="AH79" s="20">
        <f t="shared" si="10"/>
        <v>0</v>
      </c>
      <c r="AI79" s="64" t="s">
        <v>414</v>
      </c>
      <c r="AJ79" s="20">
        <f t="shared" si="11"/>
        <v>0</v>
      </c>
      <c r="AK79" s="20">
        <f t="shared" si="12"/>
        <v>0</v>
      </c>
      <c r="AL79" s="20">
        <f t="shared" si="13"/>
        <v>0</v>
      </c>
      <c r="AN79" s="20">
        <v>15</v>
      </c>
      <c r="AO79" s="20">
        <f>I79*0</f>
        <v>0</v>
      </c>
      <c r="AP79" s="20">
        <f>I79*(1-0)</f>
        <v>0</v>
      </c>
      <c r="AQ79" s="26" t="s">
        <v>411</v>
      </c>
      <c r="AV79" s="20">
        <f t="shared" si="14"/>
        <v>0</v>
      </c>
      <c r="AW79" s="20">
        <f t="shared" si="15"/>
        <v>0</v>
      </c>
      <c r="AX79" s="20">
        <f t="shared" si="16"/>
        <v>0</v>
      </c>
      <c r="AY79" s="26" t="s">
        <v>94</v>
      </c>
      <c r="AZ79" s="26" t="s">
        <v>244</v>
      </c>
      <c r="BA79" s="64" t="s">
        <v>452</v>
      </c>
      <c r="BC79" s="20">
        <f t="shared" si="17"/>
        <v>0</v>
      </c>
      <c r="BD79" s="20">
        <f t="shared" si="18"/>
        <v>0</v>
      </c>
      <c r="BE79" s="20">
        <v>0</v>
      </c>
      <c r="BF79" s="20">
        <f>79</f>
        <v>79</v>
      </c>
      <c r="BH79" s="20">
        <f t="shared" si="19"/>
        <v>0</v>
      </c>
      <c r="BI79" s="20">
        <f t="shared" si="20"/>
        <v>0</v>
      </c>
      <c r="BJ79" s="20">
        <f t="shared" si="21"/>
        <v>0</v>
      </c>
      <c r="BK79" s="20"/>
      <c r="BL79" s="20">
        <v>721</v>
      </c>
    </row>
    <row r="80" spans="1:13" ht="15" customHeight="1">
      <c r="A80" s="19"/>
      <c r="C80" s="9" t="s">
        <v>492</v>
      </c>
      <c r="F80" s="9" t="s">
        <v>414</v>
      </c>
      <c r="H80" s="58">
        <v>6.1000000000000005</v>
      </c>
      <c r="M80" s="36"/>
    </row>
    <row r="81" spans="1:64" ht="15" customHeight="1">
      <c r="A81" s="4" t="s">
        <v>132</v>
      </c>
      <c r="B81" s="17" t="s">
        <v>499</v>
      </c>
      <c r="C81" s="113" t="s">
        <v>490</v>
      </c>
      <c r="D81" s="113"/>
      <c r="E81" s="113"/>
      <c r="F81" s="113"/>
      <c r="G81" s="17" t="s">
        <v>494</v>
      </c>
      <c r="H81" s="20">
        <v>6.1</v>
      </c>
      <c r="I81" s="20">
        <v>0</v>
      </c>
      <c r="J81" s="20">
        <f>H81*AO81</f>
        <v>0</v>
      </c>
      <c r="K81" s="20">
        <f>H81*AP81</f>
        <v>0</v>
      </c>
      <c r="L81" s="20">
        <f>H81*I81</f>
        <v>0</v>
      </c>
      <c r="M81" s="31" t="s">
        <v>496</v>
      </c>
      <c r="Z81" s="20">
        <f>IF(AQ81="5",BJ81,0)</f>
        <v>0</v>
      </c>
      <c r="AB81" s="20">
        <f>IF(AQ81="1",BH81,0)</f>
        <v>0</v>
      </c>
      <c r="AC81" s="20">
        <f>IF(AQ81="1",BI81,0)</f>
        <v>0</v>
      </c>
      <c r="AD81" s="20">
        <f>IF(AQ81="7",BH81,0)</f>
        <v>0</v>
      </c>
      <c r="AE81" s="20">
        <f>IF(AQ81="7",BI81,0)</f>
        <v>0</v>
      </c>
      <c r="AF81" s="20">
        <f>IF(AQ81="2",BH81,0)</f>
        <v>0</v>
      </c>
      <c r="AG81" s="20">
        <f>IF(AQ81="2",BI81,0)</f>
        <v>0</v>
      </c>
      <c r="AH81" s="20">
        <f>IF(AQ81="0",BJ81,0)</f>
        <v>0</v>
      </c>
      <c r="AI81" s="64" t="s">
        <v>414</v>
      </c>
      <c r="AJ81" s="20">
        <f>IF(AN81=0,L81,0)</f>
        <v>0</v>
      </c>
      <c r="AK81" s="20">
        <f>IF(AN81=15,L81,0)</f>
        <v>0</v>
      </c>
      <c r="AL81" s="20">
        <f>IF(AN81=21,L81,0)</f>
        <v>0</v>
      </c>
      <c r="AN81" s="20">
        <v>15</v>
      </c>
      <c r="AO81" s="20">
        <f>I81*0.0281368821292776</f>
        <v>0</v>
      </c>
      <c r="AP81" s="20">
        <f>I81*(1-0.0281368821292776)</f>
        <v>0</v>
      </c>
      <c r="AQ81" s="26" t="s">
        <v>598</v>
      </c>
      <c r="AV81" s="20">
        <f>AW81+AX81</f>
        <v>0</v>
      </c>
      <c r="AW81" s="20">
        <f>H81*AO81</f>
        <v>0</v>
      </c>
      <c r="AX81" s="20">
        <f>H81*AP81</f>
        <v>0</v>
      </c>
      <c r="AY81" s="26" t="s">
        <v>94</v>
      </c>
      <c r="AZ81" s="26" t="s">
        <v>244</v>
      </c>
      <c r="BA81" s="64" t="s">
        <v>452</v>
      </c>
      <c r="BC81" s="20">
        <f>AW81+AX81</f>
        <v>0</v>
      </c>
      <c r="BD81" s="20">
        <f>I81/(100-BE81)*100</f>
        <v>0</v>
      </c>
      <c r="BE81" s="20">
        <v>0</v>
      </c>
      <c r="BF81" s="20">
        <f>81</f>
        <v>81</v>
      </c>
      <c r="BH81" s="20">
        <f>H81*AO81</f>
        <v>0</v>
      </c>
      <c r="BI81" s="20">
        <f>H81*AP81</f>
        <v>0</v>
      </c>
      <c r="BJ81" s="20">
        <f>H81*I81</f>
        <v>0</v>
      </c>
      <c r="BK81" s="20"/>
      <c r="BL81" s="20">
        <v>721</v>
      </c>
    </row>
    <row r="82" spans="1:64" ht="15" customHeight="1">
      <c r="A82" s="4" t="s">
        <v>667</v>
      </c>
      <c r="B82" s="17" t="s">
        <v>502</v>
      </c>
      <c r="C82" s="113" t="s">
        <v>45</v>
      </c>
      <c r="D82" s="113"/>
      <c r="E82" s="113"/>
      <c r="F82" s="113"/>
      <c r="G82" s="17" t="s">
        <v>494</v>
      </c>
      <c r="H82" s="20">
        <v>1</v>
      </c>
      <c r="I82" s="20">
        <v>0</v>
      </c>
      <c r="J82" s="20">
        <f>H82*AO82</f>
        <v>0</v>
      </c>
      <c r="K82" s="20">
        <f>H82*AP82</f>
        <v>0</v>
      </c>
      <c r="L82" s="20">
        <f>H82*I82</f>
        <v>0</v>
      </c>
      <c r="M82" s="31" t="s">
        <v>496</v>
      </c>
      <c r="Z82" s="20">
        <f>IF(AQ82="5",BJ82,0)</f>
        <v>0</v>
      </c>
      <c r="AB82" s="20">
        <f>IF(AQ82="1",BH82,0)</f>
        <v>0</v>
      </c>
      <c r="AC82" s="20">
        <f>IF(AQ82="1",BI82,0)</f>
        <v>0</v>
      </c>
      <c r="AD82" s="20">
        <f>IF(AQ82="7",BH82,0)</f>
        <v>0</v>
      </c>
      <c r="AE82" s="20">
        <f>IF(AQ82="7",BI82,0)</f>
        <v>0</v>
      </c>
      <c r="AF82" s="20">
        <f>IF(AQ82="2",BH82,0)</f>
        <v>0</v>
      </c>
      <c r="AG82" s="20">
        <f>IF(AQ82="2",BI82,0)</f>
        <v>0</v>
      </c>
      <c r="AH82" s="20">
        <f>IF(AQ82="0",BJ82,0)</f>
        <v>0</v>
      </c>
      <c r="AI82" s="64" t="s">
        <v>414</v>
      </c>
      <c r="AJ82" s="20">
        <f>IF(AN82=0,L82,0)</f>
        <v>0</v>
      </c>
      <c r="AK82" s="20">
        <f>IF(AN82=15,L82,0)</f>
        <v>0</v>
      </c>
      <c r="AL82" s="20">
        <f>IF(AN82=21,L82,0)</f>
        <v>0</v>
      </c>
      <c r="AN82" s="20">
        <v>15</v>
      </c>
      <c r="AO82" s="20">
        <f>I82*0.472097378277154</f>
        <v>0</v>
      </c>
      <c r="AP82" s="20">
        <f>I82*(1-0.472097378277154)</f>
        <v>0</v>
      </c>
      <c r="AQ82" s="26" t="s">
        <v>598</v>
      </c>
      <c r="AV82" s="20">
        <f>AW82+AX82</f>
        <v>0</v>
      </c>
      <c r="AW82" s="20">
        <f>H82*AO82</f>
        <v>0</v>
      </c>
      <c r="AX82" s="20">
        <f>H82*AP82</f>
        <v>0</v>
      </c>
      <c r="AY82" s="26" t="s">
        <v>94</v>
      </c>
      <c r="AZ82" s="26" t="s">
        <v>244</v>
      </c>
      <c r="BA82" s="64" t="s">
        <v>452</v>
      </c>
      <c r="BC82" s="20">
        <f>AW82+AX82</f>
        <v>0</v>
      </c>
      <c r="BD82" s="20">
        <f>I82/(100-BE82)*100</f>
        <v>0</v>
      </c>
      <c r="BE82" s="20">
        <v>0</v>
      </c>
      <c r="BF82" s="20">
        <f>82</f>
        <v>82</v>
      </c>
      <c r="BH82" s="20">
        <f>H82*AO82</f>
        <v>0</v>
      </c>
      <c r="BI82" s="20">
        <f>H82*AP82</f>
        <v>0</v>
      </c>
      <c r="BJ82" s="20">
        <f>H82*I82</f>
        <v>0</v>
      </c>
      <c r="BK82" s="20"/>
      <c r="BL82" s="20">
        <v>721</v>
      </c>
    </row>
    <row r="83" spans="1:64" ht="15" customHeight="1">
      <c r="A83" s="4" t="s">
        <v>527</v>
      </c>
      <c r="B83" s="17" t="s">
        <v>21</v>
      </c>
      <c r="C83" s="113" t="s">
        <v>71</v>
      </c>
      <c r="D83" s="113"/>
      <c r="E83" s="113"/>
      <c r="F83" s="113"/>
      <c r="G83" s="17" t="s">
        <v>284</v>
      </c>
      <c r="H83" s="20">
        <v>0.6172</v>
      </c>
      <c r="I83" s="20">
        <v>0</v>
      </c>
      <c r="J83" s="20">
        <f>H83*AO83</f>
        <v>0</v>
      </c>
      <c r="K83" s="20">
        <f>H83*AP83</f>
        <v>0</v>
      </c>
      <c r="L83" s="20">
        <f>H83*I83</f>
        <v>0</v>
      </c>
      <c r="M83" s="31" t="s">
        <v>496</v>
      </c>
      <c r="Z83" s="20">
        <f>IF(AQ83="5",BJ83,0)</f>
        <v>0</v>
      </c>
      <c r="AB83" s="20">
        <f>IF(AQ83="1",BH83,0)</f>
        <v>0</v>
      </c>
      <c r="AC83" s="20">
        <f>IF(AQ83="1",BI83,0)</f>
        <v>0</v>
      </c>
      <c r="AD83" s="20">
        <f>IF(AQ83="7",BH83,0)</f>
        <v>0</v>
      </c>
      <c r="AE83" s="20">
        <f>IF(AQ83="7",BI83,0)</f>
        <v>0</v>
      </c>
      <c r="AF83" s="20">
        <f>IF(AQ83="2",BH83,0)</f>
        <v>0</v>
      </c>
      <c r="AG83" s="20">
        <f>IF(AQ83="2",BI83,0)</f>
        <v>0</v>
      </c>
      <c r="AH83" s="20">
        <f>IF(AQ83="0",BJ83,0)</f>
        <v>0</v>
      </c>
      <c r="AI83" s="64" t="s">
        <v>414</v>
      </c>
      <c r="AJ83" s="20">
        <f>IF(AN83=0,L83,0)</f>
        <v>0</v>
      </c>
      <c r="AK83" s="20">
        <f>IF(AN83=15,L83,0)</f>
        <v>0</v>
      </c>
      <c r="AL83" s="20">
        <f>IF(AN83=21,L83,0)</f>
        <v>0</v>
      </c>
      <c r="AN83" s="20">
        <v>15</v>
      </c>
      <c r="AO83" s="20">
        <f>I83*0</f>
        <v>0</v>
      </c>
      <c r="AP83" s="20">
        <f>I83*(1-0)</f>
        <v>0</v>
      </c>
      <c r="AQ83" s="26" t="s">
        <v>322</v>
      </c>
      <c r="AV83" s="20">
        <f>AW83+AX83</f>
        <v>0</v>
      </c>
      <c r="AW83" s="20">
        <f>H83*AO83</f>
        <v>0</v>
      </c>
      <c r="AX83" s="20">
        <f>H83*AP83</f>
        <v>0</v>
      </c>
      <c r="AY83" s="26" t="s">
        <v>94</v>
      </c>
      <c r="AZ83" s="26" t="s">
        <v>244</v>
      </c>
      <c r="BA83" s="64" t="s">
        <v>452</v>
      </c>
      <c r="BC83" s="20">
        <f>AW83+AX83</f>
        <v>0</v>
      </c>
      <c r="BD83" s="20">
        <f>I83/(100-BE83)*100</f>
        <v>0</v>
      </c>
      <c r="BE83" s="20">
        <v>0</v>
      </c>
      <c r="BF83" s="20">
        <f>83</f>
        <v>83</v>
      </c>
      <c r="BH83" s="20">
        <f>H83*AO83</f>
        <v>0</v>
      </c>
      <c r="BI83" s="20">
        <f>H83*AP83</f>
        <v>0</v>
      </c>
      <c r="BJ83" s="20">
        <f>H83*I83</f>
        <v>0</v>
      </c>
      <c r="BK83" s="20"/>
      <c r="BL83" s="20">
        <v>721</v>
      </c>
    </row>
    <row r="84" spans="1:47" ht="15" customHeight="1">
      <c r="A84" s="51" t="s">
        <v>414</v>
      </c>
      <c r="B84" s="50" t="s">
        <v>535</v>
      </c>
      <c r="C84" s="166" t="s">
        <v>366</v>
      </c>
      <c r="D84" s="166"/>
      <c r="E84" s="166"/>
      <c r="F84" s="166"/>
      <c r="G84" s="48" t="s">
        <v>546</v>
      </c>
      <c r="H84" s="48" t="s">
        <v>546</v>
      </c>
      <c r="I84" s="48" t="s">
        <v>546</v>
      </c>
      <c r="J84" s="76">
        <f>SUM(J85:J95)</f>
        <v>0</v>
      </c>
      <c r="K84" s="76">
        <f>SUM(K85:K95)</f>
        <v>0</v>
      </c>
      <c r="L84" s="76">
        <f>SUM(L85:L95)</f>
        <v>0</v>
      </c>
      <c r="M84" s="55" t="s">
        <v>414</v>
      </c>
      <c r="AI84" s="64" t="s">
        <v>414</v>
      </c>
      <c r="AS84" s="76">
        <f>SUM(AJ85:AJ95)</f>
        <v>0</v>
      </c>
      <c r="AT84" s="76">
        <f>SUM(AK85:AK95)</f>
        <v>0</v>
      </c>
      <c r="AU84" s="76">
        <f>SUM(AL85:AL95)</f>
        <v>0</v>
      </c>
    </row>
    <row r="85" spans="1:64" ht="15" customHeight="1">
      <c r="A85" s="4" t="s">
        <v>351</v>
      </c>
      <c r="B85" s="17" t="s">
        <v>600</v>
      </c>
      <c r="C85" s="113" t="s">
        <v>679</v>
      </c>
      <c r="D85" s="113"/>
      <c r="E85" s="113"/>
      <c r="F85" s="113"/>
      <c r="G85" s="17" t="s">
        <v>494</v>
      </c>
      <c r="H85" s="20">
        <v>8</v>
      </c>
      <c r="I85" s="20">
        <v>0</v>
      </c>
      <c r="J85" s="20">
        <f aca="true" t="shared" si="22" ref="J85:J95">H85*AO85</f>
        <v>0</v>
      </c>
      <c r="K85" s="20">
        <f aca="true" t="shared" si="23" ref="K85:K95">H85*AP85</f>
        <v>0</v>
      </c>
      <c r="L85" s="20">
        <f aca="true" t="shared" si="24" ref="L85:L95">H85*I85</f>
        <v>0</v>
      </c>
      <c r="M85" s="31" t="s">
        <v>496</v>
      </c>
      <c r="Z85" s="20">
        <f aca="true" t="shared" si="25" ref="Z85:Z95">IF(AQ85="5",BJ85,0)</f>
        <v>0</v>
      </c>
      <c r="AB85" s="20">
        <f aca="true" t="shared" si="26" ref="AB85:AB95">IF(AQ85="1",BH85,0)</f>
        <v>0</v>
      </c>
      <c r="AC85" s="20">
        <f aca="true" t="shared" si="27" ref="AC85:AC95">IF(AQ85="1",BI85,0)</f>
        <v>0</v>
      </c>
      <c r="AD85" s="20">
        <f aca="true" t="shared" si="28" ref="AD85:AD95">IF(AQ85="7",BH85,0)</f>
        <v>0</v>
      </c>
      <c r="AE85" s="20">
        <f aca="true" t="shared" si="29" ref="AE85:AE95">IF(AQ85="7",BI85,0)</f>
        <v>0</v>
      </c>
      <c r="AF85" s="20">
        <f aca="true" t="shared" si="30" ref="AF85:AF95">IF(AQ85="2",BH85,0)</f>
        <v>0</v>
      </c>
      <c r="AG85" s="20">
        <f aca="true" t="shared" si="31" ref="AG85:AG95">IF(AQ85="2",BI85,0)</f>
        <v>0</v>
      </c>
      <c r="AH85" s="20">
        <f aca="true" t="shared" si="32" ref="AH85:AH95">IF(AQ85="0",BJ85,0)</f>
        <v>0</v>
      </c>
      <c r="AI85" s="64" t="s">
        <v>414</v>
      </c>
      <c r="AJ85" s="20">
        <f aca="true" t="shared" si="33" ref="AJ85:AJ95">IF(AN85=0,L85,0)</f>
        <v>0</v>
      </c>
      <c r="AK85" s="20">
        <f aca="true" t="shared" si="34" ref="AK85:AK95">IF(AN85=15,L85,0)</f>
        <v>0</v>
      </c>
      <c r="AL85" s="20">
        <f aca="true" t="shared" si="35" ref="AL85:AL95">IF(AN85=21,L85,0)</f>
        <v>0</v>
      </c>
      <c r="AN85" s="20">
        <v>15</v>
      </c>
      <c r="AO85" s="20">
        <f>I85*0</f>
        <v>0</v>
      </c>
      <c r="AP85" s="20">
        <f>I85*(1-0)</f>
        <v>0</v>
      </c>
      <c r="AQ85" s="26" t="s">
        <v>598</v>
      </c>
      <c r="AV85" s="20">
        <f aca="true" t="shared" si="36" ref="AV85:AV95">AW85+AX85</f>
        <v>0</v>
      </c>
      <c r="AW85" s="20">
        <f aca="true" t="shared" si="37" ref="AW85:AW95">H85*AO85</f>
        <v>0</v>
      </c>
      <c r="AX85" s="20">
        <f aca="true" t="shared" si="38" ref="AX85:AX95">H85*AP85</f>
        <v>0</v>
      </c>
      <c r="AY85" s="26" t="s">
        <v>382</v>
      </c>
      <c r="AZ85" s="26" t="s">
        <v>244</v>
      </c>
      <c r="BA85" s="64" t="s">
        <v>452</v>
      </c>
      <c r="BC85" s="20">
        <f aca="true" t="shared" si="39" ref="BC85:BC95">AW85+AX85</f>
        <v>0</v>
      </c>
      <c r="BD85" s="20">
        <f aca="true" t="shared" si="40" ref="BD85:BD95">I85/(100-BE85)*100</f>
        <v>0</v>
      </c>
      <c r="BE85" s="20">
        <v>0</v>
      </c>
      <c r="BF85" s="20">
        <f>85</f>
        <v>85</v>
      </c>
      <c r="BH85" s="20">
        <f aca="true" t="shared" si="41" ref="BH85:BH95">H85*AO85</f>
        <v>0</v>
      </c>
      <c r="BI85" s="20">
        <f aca="true" t="shared" si="42" ref="BI85:BI95">H85*AP85</f>
        <v>0</v>
      </c>
      <c r="BJ85" s="20">
        <f aca="true" t="shared" si="43" ref="BJ85:BJ95">H85*I85</f>
        <v>0</v>
      </c>
      <c r="BK85" s="20"/>
      <c r="BL85" s="20">
        <v>722</v>
      </c>
    </row>
    <row r="86" spans="1:64" ht="15" customHeight="1">
      <c r="A86" s="4" t="s">
        <v>585</v>
      </c>
      <c r="B86" s="17" t="s">
        <v>590</v>
      </c>
      <c r="C86" s="113" t="s">
        <v>513</v>
      </c>
      <c r="D86" s="113"/>
      <c r="E86" s="113"/>
      <c r="F86" s="113"/>
      <c r="G86" s="17" t="s">
        <v>154</v>
      </c>
      <c r="H86" s="20">
        <v>6</v>
      </c>
      <c r="I86" s="20">
        <v>0</v>
      </c>
      <c r="J86" s="20">
        <f t="shared" si="22"/>
        <v>0</v>
      </c>
      <c r="K86" s="20">
        <f t="shared" si="23"/>
        <v>0</v>
      </c>
      <c r="L86" s="20">
        <f t="shared" si="24"/>
        <v>0</v>
      </c>
      <c r="M86" s="31" t="s">
        <v>496</v>
      </c>
      <c r="Z86" s="20">
        <f t="shared" si="25"/>
        <v>0</v>
      </c>
      <c r="AB86" s="20">
        <f t="shared" si="26"/>
        <v>0</v>
      </c>
      <c r="AC86" s="20">
        <f t="shared" si="27"/>
        <v>0</v>
      </c>
      <c r="AD86" s="20">
        <f t="shared" si="28"/>
        <v>0</v>
      </c>
      <c r="AE86" s="20">
        <f t="shared" si="29"/>
        <v>0</v>
      </c>
      <c r="AF86" s="20">
        <f t="shared" si="30"/>
        <v>0</v>
      </c>
      <c r="AG86" s="20">
        <f t="shared" si="31"/>
        <v>0</v>
      </c>
      <c r="AH86" s="20">
        <f t="shared" si="32"/>
        <v>0</v>
      </c>
      <c r="AI86" s="64" t="s">
        <v>414</v>
      </c>
      <c r="AJ86" s="20">
        <f t="shared" si="33"/>
        <v>0</v>
      </c>
      <c r="AK86" s="20">
        <f t="shared" si="34"/>
        <v>0</v>
      </c>
      <c r="AL86" s="20">
        <f t="shared" si="35"/>
        <v>0</v>
      </c>
      <c r="AN86" s="20">
        <v>15</v>
      </c>
      <c r="AO86" s="20">
        <f>I86*0</f>
        <v>0</v>
      </c>
      <c r="AP86" s="20">
        <f>I86*(1-0)</f>
        <v>0</v>
      </c>
      <c r="AQ86" s="26" t="s">
        <v>598</v>
      </c>
      <c r="AV86" s="20">
        <f t="shared" si="36"/>
        <v>0</v>
      </c>
      <c r="AW86" s="20">
        <f t="shared" si="37"/>
        <v>0</v>
      </c>
      <c r="AX86" s="20">
        <f t="shared" si="38"/>
        <v>0</v>
      </c>
      <c r="AY86" s="26" t="s">
        <v>382</v>
      </c>
      <c r="AZ86" s="26" t="s">
        <v>244</v>
      </c>
      <c r="BA86" s="64" t="s">
        <v>452</v>
      </c>
      <c r="BC86" s="20">
        <f t="shared" si="39"/>
        <v>0</v>
      </c>
      <c r="BD86" s="20">
        <f t="shared" si="40"/>
        <v>0</v>
      </c>
      <c r="BE86" s="20">
        <v>0</v>
      </c>
      <c r="BF86" s="20">
        <f>86</f>
        <v>86</v>
      </c>
      <c r="BH86" s="20">
        <f t="shared" si="41"/>
        <v>0</v>
      </c>
      <c r="BI86" s="20">
        <f t="shared" si="42"/>
        <v>0</v>
      </c>
      <c r="BJ86" s="20">
        <f t="shared" si="43"/>
        <v>0</v>
      </c>
      <c r="BK86" s="20"/>
      <c r="BL86" s="20">
        <v>722</v>
      </c>
    </row>
    <row r="87" spans="1:64" ht="15" customHeight="1">
      <c r="A87" s="4" t="s">
        <v>360</v>
      </c>
      <c r="B87" s="17" t="s">
        <v>137</v>
      </c>
      <c r="C87" s="113" t="s">
        <v>175</v>
      </c>
      <c r="D87" s="113"/>
      <c r="E87" s="113"/>
      <c r="F87" s="113"/>
      <c r="G87" s="17" t="s">
        <v>154</v>
      </c>
      <c r="H87" s="20">
        <v>2</v>
      </c>
      <c r="I87" s="20">
        <v>0</v>
      </c>
      <c r="J87" s="20">
        <f t="shared" si="22"/>
        <v>0</v>
      </c>
      <c r="K87" s="20">
        <f t="shared" si="23"/>
        <v>0</v>
      </c>
      <c r="L87" s="20">
        <f t="shared" si="24"/>
        <v>0</v>
      </c>
      <c r="M87" s="31" t="s">
        <v>496</v>
      </c>
      <c r="Z87" s="20">
        <f t="shared" si="25"/>
        <v>0</v>
      </c>
      <c r="AB87" s="20">
        <f t="shared" si="26"/>
        <v>0</v>
      </c>
      <c r="AC87" s="20">
        <f t="shared" si="27"/>
        <v>0</v>
      </c>
      <c r="AD87" s="20">
        <f t="shared" si="28"/>
        <v>0</v>
      </c>
      <c r="AE87" s="20">
        <f t="shared" si="29"/>
        <v>0</v>
      </c>
      <c r="AF87" s="20">
        <f t="shared" si="30"/>
        <v>0</v>
      </c>
      <c r="AG87" s="20">
        <f t="shared" si="31"/>
        <v>0</v>
      </c>
      <c r="AH87" s="20">
        <f t="shared" si="32"/>
        <v>0</v>
      </c>
      <c r="AI87" s="64" t="s">
        <v>414</v>
      </c>
      <c r="AJ87" s="20">
        <f t="shared" si="33"/>
        <v>0</v>
      </c>
      <c r="AK87" s="20">
        <f t="shared" si="34"/>
        <v>0</v>
      </c>
      <c r="AL87" s="20">
        <f t="shared" si="35"/>
        <v>0</v>
      </c>
      <c r="AN87" s="20">
        <v>15</v>
      </c>
      <c r="AO87" s="20">
        <f>I87*0.0330558858501784</f>
        <v>0</v>
      </c>
      <c r="AP87" s="20">
        <f>I87*(1-0.0330558858501784)</f>
        <v>0</v>
      </c>
      <c r="AQ87" s="26" t="s">
        <v>598</v>
      </c>
      <c r="AV87" s="20">
        <f t="shared" si="36"/>
        <v>0</v>
      </c>
      <c r="AW87" s="20">
        <f t="shared" si="37"/>
        <v>0</v>
      </c>
      <c r="AX87" s="20">
        <f t="shared" si="38"/>
        <v>0</v>
      </c>
      <c r="AY87" s="26" t="s">
        <v>382</v>
      </c>
      <c r="AZ87" s="26" t="s">
        <v>244</v>
      </c>
      <c r="BA87" s="64" t="s">
        <v>452</v>
      </c>
      <c r="BC87" s="20">
        <f t="shared" si="39"/>
        <v>0</v>
      </c>
      <c r="BD87" s="20">
        <f t="shared" si="40"/>
        <v>0</v>
      </c>
      <c r="BE87" s="20">
        <v>0</v>
      </c>
      <c r="BF87" s="20">
        <f>87</f>
        <v>87</v>
      </c>
      <c r="BH87" s="20">
        <f t="shared" si="41"/>
        <v>0</v>
      </c>
      <c r="BI87" s="20">
        <f t="shared" si="42"/>
        <v>0</v>
      </c>
      <c r="BJ87" s="20">
        <f t="shared" si="43"/>
        <v>0</v>
      </c>
      <c r="BK87" s="20"/>
      <c r="BL87" s="20">
        <v>722</v>
      </c>
    </row>
    <row r="88" spans="1:64" ht="15" customHeight="1">
      <c r="A88" s="4" t="s">
        <v>391</v>
      </c>
      <c r="B88" s="17" t="s">
        <v>468</v>
      </c>
      <c r="C88" s="113" t="s">
        <v>668</v>
      </c>
      <c r="D88" s="113"/>
      <c r="E88" s="113"/>
      <c r="F88" s="113"/>
      <c r="G88" s="17" t="s">
        <v>494</v>
      </c>
      <c r="H88" s="20">
        <v>24.5</v>
      </c>
      <c r="I88" s="20">
        <v>0</v>
      </c>
      <c r="J88" s="20">
        <f t="shared" si="22"/>
        <v>0</v>
      </c>
      <c r="K88" s="20">
        <f t="shared" si="23"/>
        <v>0</v>
      </c>
      <c r="L88" s="20">
        <f t="shared" si="24"/>
        <v>0</v>
      </c>
      <c r="M88" s="31" t="s">
        <v>496</v>
      </c>
      <c r="Z88" s="20">
        <f t="shared" si="25"/>
        <v>0</v>
      </c>
      <c r="AB88" s="20">
        <f t="shared" si="26"/>
        <v>0</v>
      </c>
      <c r="AC88" s="20">
        <f t="shared" si="27"/>
        <v>0</v>
      </c>
      <c r="AD88" s="20">
        <f t="shared" si="28"/>
        <v>0</v>
      </c>
      <c r="AE88" s="20">
        <f t="shared" si="29"/>
        <v>0</v>
      </c>
      <c r="AF88" s="20">
        <f t="shared" si="30"/>
        <v>0</v>
      </c>
      <c r="AG88" s="20">
        <f t="shared" si="31"/>
        <v>0</v>
      </c>
      <c r="AH88" s="20">
        <f t="shared" si="32"/>
        <v>0</v>
      </c>
      <c r="AI88" s="64" t="s">
        <v>414</v>
      </c>
      <c r="AJ88" s="20">
        <f t="shared" si="33"/>
        <v>0</v>
      </c>
      <c r="AK88" s="20">
        <f t="shared" si="34"/>
        <v>0</v>
      </c>
      <c r="AL88" s="20">
        <f t="shared" si="35"/>
        <v>0</v>
      </c>
      <c r="AN88" s="20">
        <v>15</v>
      </c>
      <c r="AO88" s="20">
        <f>I88*0.407955390334572</f>
        <v>0</v>
      </c>
      <c r="AP88" s="20">
        <f>I88*(1-0.407955390334572)</f>
        <v>0</v>
      </c>
      <c r="AQ88" s="26" t="s">
        <v>598</v>
      </c>
      <c r="AV88" s="20">
        <f t="shared" si="36"/>
        <v>0</v>
      </c>
      <c r="AW88" s="20">
        <f t="shared" si="37"/>
        <v>0</v>
      </c>
      <c r="AX88" s="20">
        <f t="shared" si="38"/>
        <v>0</v>
      </c>
      <c r="AY88" s="26" t="s">
        <v>382</v>
      </c>
      <c r="AZ88" s="26" t="s">
        <v>244</v>
      </c>
      <c r="BA88" s="64" t="s">
        <v>452</v>
      </c>
      <c r="BC88" s="20">
        <f t="shared" si="39"/>
        <v>0</v>
      </c>
      <c r="BD88" s="20">
        <f t="shared" si="40"/>
        <v>0</v>
      </c>
      <c r="BE88" s="20">
        <v>0</v>
      </c>
      <c r="BF88" s="20">
        <f>88</f>
        <v>88</v>
      </c>
      <c r="BH88" s="20">
        <f t="shared" si="41"/>
        <v>0</v>
      </c>
      <c r="BI88" s="20">
        <f t="shared" si="42"/>
        <v>0</v>
      </c>
      <c r="BJ88" s="20">
        <f t="shared" si="43"/>
        <v>0</v>
      </c>
      <c r="BK88" s="20"/>
      <c r="BL88" s="20">
        <v>722</v>
      </c>
    </row>
    <row r="89" spans="1:64" ht="15" customHeight="1">
      <c r="A89" s="4" t="s">
        <v>220</v>
      </c>
      <c r="B89" s="17" t="s">
        <v>8</v>
      </c>
      <c r="C89" s="113" t="s">
        <v>2</v>
      </c>
      <c r="D89" s="113"/>
      <c r="E89" s="113"/>
      <c r="F89" s="113"/>
      <c r="G89" s="17" t="s">
        <v>154</v>
      </c>
      <c r="H89" s="20">
        <v>2</v>
      </c>
      <c r="I89" s="20">
        <v>0</v>
      </c>
      <c r="J89" s="20">
        <f t="shared" si="22"/>
        <v>0</v>
      </c>
      <c r="K89" s="20">
        <f t="shared" si="23"/>
        <v>0</v>
      </c>
      <c r="L89" s="20">
        <f t="shared" si="24"/>
        <v>0</v>
      </c>
      <c r="M89" s="31" t="s">
        <v>496</v>
      </c>
      <c r="Z89" s="20">
        <f t="shared" si="25"/>
        <v>0</v>
      </c>
      <c r="AB89" s="20">
        <f t="shared" si="26"/>
        <v>0</v>
      </c>
      <c r="AC89" s="20">
        <f t="shared" si="27"/>
        <v>0</v>
      </c>
      <c r="AD89" s="20">
        <f t="shared" si="28"/>
        <v>0</v>
      </c>
      <c r="AE89" s="20">
        <f t="shared" si="29"/>
        <v>0</v>
      </c>
      <c r="AF89" s="20">
        <f t="shared" si="30"/>
        <v>0</v>
      </c>
      <c r="AG89" s="20">
        <f t="shared" si="31"/>
        <v>0</v>
      </c>
      <c r="AH89" s="20">
        <f t="shared" si="32"/>
        <v>0</v>
      </c>
      <c r="AI89" s="64" t="s">
        <v>414</v>
      </c>
      <c r="AJ89" s="20">
        <f t="shared" si="33"/>
        <v>0</v>
      </c>
      <c r="AK89" s="20">
        <f t="shared" si="34"/>
        <v>0</v>
      </c>
      <c r="AL89" s="20">
        <f t="shared" si="35"/>
        <v>0</v>
      </c>
      <c r="AN89" s="20">
        <v>15</v>
      </c>
      <c r="AO89" s="20">
        <f>I89*0.497354709418838</f>
        <v>0</v>
      </c>
      <c r="AP89" s="20">
        <f>I89*(1-0.497354709418838)</f>
        <v>0</v>
      </c>
      <c r="AQ89" s="26" t="s">
        <v>598</v>
      </c>
      <c r="AV89" s="20">
        <f t="shared" si="36"/>
        <v>0</v>
      </c>
      <c r="AW89" s="20">
        <f t="shared" si="37"/>
        <v>0</v>
      </c>
      <c r="AX89" s="20">
        <f t="shared" si="38"/>
        <v>0</v>
      </c>
      <c r="AY89" s="26" t="s">
        <v>382</v>
      </c>
      <c r="AZ89" s="26" t="s">
        <v>244</v>
      </c>
      <c r="BA89" s="64" t="s">
        <v>452</v>
      </c>
      <c r="BC89" s="20">
        <f t="shared" si="39"/>
        <v>0</v>
      </c>
      <c r="BD89" s="20">
        <f t="shared" si="40"/>
        <v>0</v>
      </c>
      <c r="BE89" s="20">
        <v>0</v>
      </c>
      <c r="BF89" s="20">
        <f>89</f>
        <v>89</v>
      </c>
      <c r="BH89" s="20">
        <f t="shared" si="41"/>
        <v>0</v>
      </c>
      <c r="BI89" s="20">
        <f t="shared" si="42"/>
        <v>0</v>
      </c>
      <c r="BJ89" s="20">
        <f t="shared" si="43"/>
        <v>0</v>
      </c>
      <c r="BK89" s="20"/>
      <c r="BL89" s="20">
        <v>722</v>
      </c>
    </row>
    <row r="90" spans="1:64" ht="15" customHeight="1">
      <c r="A90" s="4" t="s">
        <v>588</v>
      </c>
      <c r="B90" s="17" t="s">
        <v>299</v>
      </c>
      <c r="C90" s="113" t="s">
        <v>296</v>
      </c>
      <c r="D90" s="113"/>
      <c r="E90" s="113"/>
      <c r="F90" s="113"/>
      <c r="G90" s="17" t="s">
        <v>26</v>
      </c>
      <c r="H90" s="20">
        <v>3</v>
      </c>
      <c r="I90" s="20">
        <v>0</v>
      </c>
      <c r="J90" s="20">
        <f t="shared" si="22"/>
        <v>0</v>
      </c>
      <c r="K90" s="20">
        <f t="shared" si="23"/>
        <v>0</v>
      </c>
      <c r="L90" s="20">
        <f t="shared" si="24"/>
        <v>0</v>
      </c>
      <c r="M90" s="31" t="s">
        <v>496</v>
      </c>
      <c r="Z90" s="20">
        <f t="shared" si="25"/>
        <v>0</v>
      </c>
      <c r="AB90" s="20">
        <f t="shared" si="26"/>
        <v>0</v>
      </c>
      <c r="AC90" s="20">
        <f t="shared" si="27"/>
        <v>0</v>
      </c>
      <c r="AD90" s="20">
        <f t="shared" si="28"/>
        <v>0</v>
      </c>
      <c r="AE90" s="20">
        <f t="shared" si="29"/>
        <v>0</v>
      </c>
      <c r="AF90" s="20">
        <f t="shared" si="30"/>
        <v>0</v>
      </c>
      <c r="AG90" s="20">
        <f t="shared" si="31"/>
        <v>0</v>
      </c>
      <c r="AH90" s="20">
        <f t="shared" si="32"/>
        <v>0</v>
      </c>
      <c r="AI90" s="64" t="s">
        <v>414</v>
      </c>
      <c r="AJ90" s="20">
        <f t="shared" si="33"/>
        <v>0</v>
      </c>
      <c r="AK90" s="20">
        <f t="shared" si="34"/>
        <v>0</v>
      </c>
      <c r="AL90" s="20">
        <f t="shared" si="35"/>
        <v>0</v>
      </c>
      <c r="AN90" s="20">
        <v>15</v>
      </c>
      <c r="AO90" s="20">
        <f>I90*0.504940259636985</f>
        <v>0</v>
      </c>
      <c r="AP90" s="20">
        <f>I90*(1-0.504940259636985)</f>
        <v>0</v>
      </c>
      <c r="AQ90" s="26" t="s">
        <v>598</v>
      </c>
      <c r="AV90" s="20">
        <f t="shared" si="36"/>
        <v>0</v>
      </c>
      <c r="AW90" s="20">
        <f t="shared" si="37"/>
        <v>0</v>
      </c>
      <c r="AX90" s="20">
        <f t="shared" si="38"/>
        <v>0</v>
      </c>
      <c r="AY90" s="26" t="s">
        <v>382</v>
      </c>
      <c r="AZ90" s="26" t="s">
        <v>244</v>
      </c>
      <c r="BA90" s="64" t="s">
        <v>452</v>
      </c>
      <c r="BC90" s="20">
        <f t="shared" si="39"/>
        <v>0</v>
      </c>
      <c r="BD90" s="20">
        <f t="shared" si="40"/>
        <v>0</v>
      </c>
      <c r="BE90" s="20">
        <v>0</v>
      </c>
      <c r="BF90" s="20">
        <f>90</f>
        <v>90</v>
      </c>
      <c r="BH90" s="20">
        <f t="shared" si="41"/>
        <v>0</v>
      </c>
      <c r="BI90" s="20">
        <f t="shared" si="42"/>
        <v>0</v>
      </c>
      <c r="BJ90" s="20">
        <f t="shared" si="43"/>
        <v>0</v>
      </c>
      <c r="BK90" s="20"/>
      <c r="BL90" s="20">
        <v>722</v>
      </c>
    </row>
    <row r="91" spans="1:64" ht="15" customHeight="1">
      <c r="A91" s="4" t="s">
        <v>112</v>
      </c>
      <c r="B91" s="17" t="s">
        <v>256</v>
      </c>
      <c r="C91" s="113" t="s">
        <v>533</v>
      </c>
      <c r="D91" s="113"/>
      <c r="E91" s="113"/>
      <c r="F91" s="113"/>
      <c r="G91" s="17" t="s">
        <v>494</v>
      </c>
      <c r="H91" s="20">
        <v>24.5</v>
      </c>
      <c r="I91" s="20">
        <v>0</v>
      </c>
      <c r="J91" s="20">
        <f t="shared" si="22"/>
        <v>0</v>
      </c>
      <c r="K91" s="20">
        <f t="shared" si="23"/>
        <v>0</v>
      </c>
      <c r="L91" s="20">
        <f t="shared" si="24"/>
        <v>0</v>
      </c>
      <c r="M91" s="31" t="s">
        <v>496</v>
      </c>
      <c r="Z91" s="20">
        <f t="shared" si="25"/>
        <v>0</v>
      </c>
      <c r="AB91" s="20">
        <f t="shared" si="26"/>
        <v>0</v>
      </c>
      <c r="AC91" s="20">
        <f t="shared" si="27"/>
        <v>0</v>
      </c>
      <c r="AD91" s="20">
        <f t="shared" si="28"/>
        <v>0</v>
      </c>
      <c r="AE91" s="20">
        <f t="shared" si="29"/>
        <v>0</v>
      </c>
      <c r="AF91" s="20">
        <f t="shared" si="30"/>
        <v>0</v>
      </c>
      <c r="AG91" s="20">
        <f t="shared" si="31"/>
        <v>0</v>
      </c>
      <c r="AH91" s="20">
        <f t="shared" si="32"/>
        <v>0</v>
      </c>
      <c r="AI91" s="64" t="s">
        <v>414</v>
      </c>
      <c r="AJ91" s="20">
        <f t="shared" si="33"/>
        <v>0</v>
      </c>
      <c r="AK91" s="20">
        <f t="shared" si="34"/>
        <v>0</v>
      </c>
      <c r="AL91" s="20">
        <f t="shared" si="35"/>
        <v>0</v>
      </c>
      <c r="AN91" s="20">
        <v>15</v>
      </c>
      <c r="AO91" s="20">
        <f>I91*0.443805309734513</f>
        <v>0</v>
      </c>
      <c r="AP91" s="20">
        <f>I91*(1-0.443805309734513)</f>
        <v>0</v>
      </c>
      <c r="AQ91" s="26" t="s">
        <v>598</v>
      </c>
      <c r="AV91" s="20">
        <f t="shared" si="36"/>
        <v>0</v>
      </c>
      <c r="AW91" s="20">
        <f t="shared" si="37"/>
        <v>0</v>
      </c>
      <c r="AX91" s="20">
        <f t="shared" si="38"/>
        <v>0</v>
      </c>
      <c r="AY91" s="26" t="s">
        <v>382</v>
      </c>
      <c r="AZ91" s="26" t="s">
        <v>244</v>
      </c>
      <c r="BA91" s="64" t="s">
        <v>452</v>
      </c>
      <c r="BC91" s="20">
        <f t="shared" si="39"/>
        <v>0</v>
      </c>
      <c r="BD91" s="20">
        <f t="shared" si="40"/>
        <v>0</v>
      </c>
      <c r="BE91" s="20">
        <v>0</v>
      </c>
      <c r="BF91" s="20">
        <f>91</f>
        <v>91</v>
      </c>
      <c r="BH91" s="20">
        <f t="shared" si="41"/>
        <v>0</v>
      </c>
      <c r="BI91" s="20">
        <f t="shared" si="42"/>
        <v>0</v>
      </c>
      <c r="BJ91" s="20">
        <f t="shared" si="43"/>
        <v>0</v>
      </c>
      <c r="BK91" s="20"/>
      <c r="BL91" s="20">
        <v>722</v>
      </c>
    </row>
    <row r="92" spans="1:64" ht="15" customHeight="1">
      <c r="A92" s="4" t="s">
        <v>208</v>
      </c>
      <c r="B92" s="17" t="s">
        <v>325</v>
      </c>
      <c r="C92" s="113" t="s">
        <v>471</v>
      </c>
      <c r="D92" s="113"/>
      <c r="E92" s="113"/>
      <c r="F92" s="113"/>
      <c r="G92" s="17" t="s">
        <v>154</v>
      </c>
      <c r="H92" s="20">
        <v>8</v>
      </c>
      <c r="I92" s="20">
        <v>0</v>
      </c>
      <c r="J92" s="20">
        <f t="shared" si="22"/>
        <v>0</v>
      </c>
      <c r="K92" s="20">
        <f t="shared" si="23"/>
        <v>0</v>
      </c>
      <c r="L92" s="20">
        <f t="shared" si="24"/>
        <v>0</v>
      </c>
      <c r="M92" s="31" t="s">
        <v>496</v>
      </c>
      <c r="Z92" s="20">
        <f t="shared" si="25"/>
        <v>0</v>
      </c>
      <c r="AB92" s="20">
        <f t="shared" si="26"/>
        <v>0</v>
      </c>
      <c r="AC92" s="20">
        <f t="shared" si="27"/>
        <v>0</v>
      </c>
      <c r="AD92" s="20">
        <f t="shared" si="28"/>
        <v>0</v>
      </c>
      <c r="AE92" s="20">
        <f t="shared" si="29"/>
        <v>0</v>
      </c>
      <c r="AF92" s="20">
        <f t="shared" si="30"/>
        <v>0</v>
      </c>
      <c r="AG92" s="20">
        <f t="shared" si="31"/>
        <v>0</v>
      </c>
      <c r="AH92" s="20">
        <f t="shared" si="32"/>
        <v>0</v>
      </c>
      <c r="AI92" s="64" t="s">
        <v>414</v>
      </c>
      <c r="AJ92" s="20">
        <f t="shared" si="33"/>
        <v>0</v>
      </c>
      <c r="AK92" s="20">
        <f t="shared" si="34"/>
        <v>0</v>
      </c>
      <c r="AL92" s="20">
        <f t="shared" si="35"/>
        <v>0</v>
      </c>
      <c r="AN92" s="20">
        <v>15</v>
      </c>
      <c r="AO92" s="20">
        <f>I92*0</f>
        <v>0</v>
      </c>
      <c r="AP92" s="20">
        <f>I92*(1-0)</f>
        <v>0</v>
      </c>
      <c r="AQ92" s="26" t="s">
        <v>598</v>
      </c>
      <c r="AV92" s="20">
        <f t="shared" si="36"/>
        <v>0</v>
      </c>
      <c r="AW92" s="20">
        <f t="shared" si="37"/>
        <v>0</v>
      </c>
      <c r="AX92" s="20">
        <f t="shared" si="38"/>
        <v>0</v>
      </c>
      <c r="AY92" s="26" t="s">
        <v>382</v>
      </c>
      <c r="AZ92" s="26" t="s">
        <v>244</v>
      </c>
      <c r="BA92" s="64" t="s">
        <v>452</v>
      </c>
      <c r="BC92" s="20">
        <f t="shared" si="39"/>
        <v>0</v>
      </c>
      <c r="BD92" s="20">
        <f t="shared" si="40"/>
        <v>0</v>
      </c>
      <c r="BE92" s="20">
        <v>0</v>
      </c>
      <c r="BF92" s="20">
        <f>92</f>
        <v>92</v>
      </c>
      <c r="BH92" s="20">
        <f t="shared" si="41"/>
        <v>0</v>
      </c>
      <c r="BI92" s="20">
        <f t="shared" si="42"/>
        <v>0</v>
      </c>
      <c r="BJ92" s="20">
        <f t="shared" si="43"/>
        <v>0</v>
      </c>
      <c r="BK92" s="20"/>
      <c r="BL92" s="20">
        <v>722</v>
      </c>
    </row>
    <row r="93" spans="1:64" ht="15" customHeight="1">
      <c r="A93" s="4" t="s">
        <v>266</v>
      </c>
      <c r="B93" s="17" t="s">
        <v>98</v>
      </c>
      <c r="C93" s="113" t="s">
        <v>486</v>
      </c>
      <c r="D93" s="113"/>
      <c r="E93" s="113"/>
      <c r="F93" s="113"/>
      <c r="G93" s="17" t="s">
        <v>494</v>
      </c>
      <c r="H93" s="20">
        <v>24.5</v>
      </c>
      <c r="I93" s="20">
        <v>0</v>
      </c>
      <c r="J93" s="20">
        <f t="shared" si="22"/>
        <v>0</v>
      </c>
      <c r="K93" s="20">
        <f t="shared" si="23"/>
        <v>0</v>
      </c>
      <c r="L93" s="20">
        <f t="shared" si="24"/>
        <v>0</v>
      </c>
      <c r="M93" s="31" t="s">
        <v>496</v>
      </c>
      <c r="Z93" s="20">
        <f t="shared" si="25"/>
        <v>0</v>
      </c>
      <c r="AB93" s="20">
        <f t="shared" si="26"/>
        <v>0</v>
      </c>
      <c r="AC93" s="20">
        <f t="shared" si="27"/>
        <v>0</v>
      </c>
      <c r="AD93" s="20">
        <f t="shared" si="28"/>
        <v>0</v>
      </c>
      <c r="AE93" s="20">
        <f t="shared" si="29"/>
        <v>0</v>
      </c>
      <c r="AF93" s="20">
        <f t="shared" si="30"/>
        <v>0</v>
      </c>
      <c r="AG93" s="20">
        <f t="shared" si="31"/>
        <v>0</v>
      </c>
      <c r="AH93" s="20">
        <f t="shared" si="32"/>
        <v>0</v>
      </c>
      <c r="AI93" s="64" t="s">
        <v>414</v>
      </c>
      <c r="AJ93" s="20">
        <f t="shared" si="33"/>
        <v>0</v>
      </c>
      <c r="AK93" s="20">
        <f t="shared" si="34"/>
        <v>0</v>
      </c>
      <c r="AL93" s="20">
        <f t="shared" si="35"/>
        <v>0</v>
      </c>
      <c r="AN93" s="20">
        <v>15</v>
      </c>
      <c r="AO93" s="20">
        <f>I93*0.0535816618911175</f>
        <v>0</v>
      </c>
      <c r="AP93" s="20">
        <f>I93*(1-0.0535816618911175)</f>
        <v>0</v>
      </c>
      <c r="AQ93" s="26" t="s">
        <v>598</v>
      </c>
      <c r="AV93" s="20">
        <f t="shared" si="36"/>
        <v>0</v>
      </c>
      <c r="AW93" s="20">
        <f t="shared" si="37"/>
        <v>0</v>
      </c>
      <c r="AX93" s="20">
        <f t="shared" si="38"/>
        <v>0</v>
      </c>
      <c r="AY93" s="26" t="s">
        <v>382</v>
      </c>
      <c r="AZ93" s="26" t="s">
        <v>244</v>
      </c>
      <c r="BA93" s="64" t="s">
        <v>452</v>
      </c>
      <c r="BC93" s="20">
        <f t="shared" si="39"/>
        <v>0</v>
      </c>
      <c r="BD93" s="20">
        <f t="shared" si="40"/>
        <v>0</v>
      </c>
      <c r="BE93" s="20">
        <v>0</v>
      </c>
      <c r="BF93" s="20">
        <f>93</f>
        <v>93</v>
      </c>
      <c r="BH93" s="20">
        <f t="shared" si="41"/>
        <v>0</v>
      </c>
      <c r="BI93" s="20">
        <f t="shared" si="42"/>
        <v>0</v>
      </c>
      <c r="BJ93" s="20">
        <f t="shared" si="43"/>
        <v>0</v>
      </c>
      <c r="BK93" s="20"/>
      <c r="BL93" s="20">
        <v>722</v>
      </c>
    </row>
    <row r="94" spans="1:64" ht="15" customHeight="1">
      <c r="A94" s="4" t="s">
        <v>219</v>
      </c>
      <c r="B94" s="17" t="s">
        <v>10</v>
      </c>
      <c r="C94" s="113" t="s">
        <v>512</v>
      </c>
      <c r="D94" s="113"/>
      <c r="E94" s="113"/>
      <c r="F94" s="113"/>
      <c r="G94" s="17" t="s">
        <v>494</v>
      </c>
      <c r="H94" s="20">
        <v>24.5</v>
      </c>
      <c r="I94" s="20">
        <v>0</v>
      </c>
      <c r="J94" s="20">
        <f t="shared" si="22"/>
        <v>0</v>
      </c>
      <c r="K94" s="20">
        <f t="shared" si="23"/>
        <v>0</v>
      </c>
      <c r="L94" s="20">
        <f t="shared" si="24"/>
        <v>0</v>
      </c>
      <c r="M94" s="31" t="s">
        <v>496</v>
      </c>
      <c r="Z94" s="20">
        <f t="shared" si="25"/>
        <v>0</v>
      </c>
      <c r="AB94" s="20">
        <f t="shared" si="26"/>
        <v>0</v>
      </c>
      <c r="AC94" s="20">
        <f t="shared" si="27"/>
        <v>0</v>
      </c>
      <c r="AD94" s="20">
        <f t="shared" si="28"/>
        <v>0</v>
      </c>
      <c r="AE94" s="20">
        <f t="shared" si="29"/>
        <v>0</v>
      </c>
      <c r="AF94" s="20">
        <f t="shared" si="30"/>
        <v>0</v>
      </c>
      <c r="AG94" s="20">
        <f t="shared" si="31"/>
        <v>0</v>
      </c>
      <c r="AH94" s="20">
        <f t="shared" si="32"/>
        <v>0</v>
      </c>
      <c r="AI94" s="64" t="s">
        <v>414</v>
      </c>
      <c r="AJ94" s="20">
        <f t="shared" si="33"/>
        <v>0</v>
      </c>
      <c r="AK94" s="20">
        <f t="shared" si="34"/>
        <v>0</v>
      </c>
      <c r="AL94" s="20">
        <f t="shared" si="35"/>
        <v>0</v>
      </c>
      <c r="AN94" s="20">
        <v>15</v>
      </c>
      <c r="AO94" s="20">
        <f>I94*0.0146496815286624</f>
        <v>0</v>
      </c>
      <c r="AP94" s="20">
        <f>I94*(1-0.0146496815286624)</f>
        <v>0</v>
      </c>
      <c r="AQ94" s="26" t="s">
        <v>598</v>
      </c>
      <c r="AV94" s="20">
        <f t="shared" si="36"/>
        <v>0</v>
      </c>
      <c r="AW94" s="20">
        <f t="shared" si="37"/>
        <v>0</v>
      </c>
      <c r="AX94" s="20">
        <f t="shared" si="38"/>
        <v>0</v>
      </c>
      <c r="AY94" s="26" t="s">
        <v>382</v>
      </c>
      <c r="AZ94" s="26" t="s">
        <v>244</v>
      </c>
      <c r="BA94" s="64" t="s">
        <v>452</v>
      </c>
      <c r="BC94" s="20">
        <f t="shared" si="39"/>
        <v>0</v>
      </c>
      <c r="BD94" s="20">
        <f t="shared" si="40"/>
        <v>0</v>
      </c>
      <c r="BE94" s="20">
        <v>0</v>
      </c>
      <c r="BF94" s="20">
        <f>94</f>
        <v>94</v>
      </c>
      <c r="BH94" s="20">
        <f t="shared" si="41"/>
        <v>0</v>
      </c>
      <c r="BI94" s="20">
        <f t="shared" si="42"/>
        <v>0</v>
      </c>
      <c r="BJ94" s="20">
        <f t="shared" si="43"/>
        <v>0</v>
      </c>
      <c r="BK94" s="20"/>
      <c r="BL94" s="20">
        <v>722</v>
      </c>
    </row>
    <row r="95" spans="1:64" ht="15" customHeight="1">
      <c r="A95" s="4" t="s">
        <v>477</v>
      </c>
      <c r="B95" s="17" t="s">
        <v>408</v>
      </c>
      <c r="C95" s="113" t="s">
        <v>324</v>
      </c>
      <c r="D95" s="113"/>
      <c r="E95" s="113"/>
      <c r="F95" s="113"/>
      <c r="G95" s="17" t="s">
        <v>284</v>
      </c>
      <c r="H95" s="20">
        <v>0.037</v>
      </c>
      <c r="I95" s="20">
        <v>0</v>
      </c>
      <c r="J95" s="20">
        <f t="shared" si="22"/>
        <v>0</v>
      </c>
      <c r="K95" s="20">
        <f t="shared" si="23"/>
        <v>0</v>
      </c>
      <c r="L95" s="20">
        <f t="shared" si="24"/>
        <v>0</v>
      </c>
      <c r="M95" s="31" t="s">
        <v>496</v>
      </c>
      <c r="Z95" s="20">
        <f t="shared" si="25"/>
        <v>0</v>
      </c>
      <c r="AB95" s="20">
        <f t="shared" si="26"/>
        <v>0</v>
      </c>
      <c r="AC95" s="20">
        <f t="shared" si="27"/>
        <v>0</v>
      </c>
      <c r="AD95" s="20">
        <f t="shared" si="28"/>
        <v>0</v>
      </c>
      <c r="AE95" s="20">
        <f t="shared" si="29"/>
        <v>0</v>
      </c>
      <c r="AF95" s="20">
        <f t="shared" si="30"/>
        <v>0</v>
      </c>
      <c r="AG95" s="20">
        <f t="shared" si="31"/>
        <v>0</v>
      </c>
      <c r="AH95" s="20">
        <f t="shared" si="32"/>
        <v>0</v>
      </c>
      <c r="AI95" s="64" t="s">
        <v>414</v>
      </c>
      <c r="AJ95" s="20">
        <f t="shared" si="33"/>
        <v>0</v>
      </c>
      <c r="AK95" s="20">
        <f t="shared" si="34"/>
        <v>0</v>
      </c>
      <c r="AL95" s="20">
        <f t="shared" si="35"/>
        <v>0</v>
      </c>
      <c r="AN95" s="20">
        <v>15</v>
      </c>
      <c r="AO95" s="20">
        <f>I95*0</f>
        <v>0</v>
      </c>
      <c r="AP95" s="20">
        <f>I95*(1-0)</f>
        <v>0</v>
      </c>
      <c r="AQ95" s="26" t="s">
        <v>322</v>
      </c>
      <c r="AV95" s="20">
        <f t="shared" si="36"/>
        <v>0</v>
      </c>
      <c r="AW95" s="20">
        <f t="shared" si="37"/>
        <v>0</v>
      </c>
      <c r="AX95" s="20">
        <f t="shared" si="38"/>
        <v>0</v>
      </c>
      <c r="AY95" s="26" t="s">
        <v>382</v>
      </c>
      <c r="AZ95" s="26" t="s">
        <v>244</v>
      </c>
      <c r="BA95" s="64" t="s">
        <v>452</v>
      </c>
      <c r="BC95" s="20">
        <f t="shared" si="39"/>
        <v>0</v>
      </c>
      <c r="BD95" s="20">
        <f t="shared" si="40"/>
        <v>0</v>
      </c>
      <c r="BE95" s="20">
        <v>0</v>
      </c>
      <c r="BF95" s="20">
        <f>95</f>
        <v>95</v>
      </c>
      <c r="BH95" s="20">
        <f t="shared" si="41"/>
        <v>0</v>
      </c>
      <c r="BI95" s="20">
        <f t="shared" si="42"/>
        <v>0</v>
      </c>
      <c r="BJ95" s="20">
        <f t="shared" si="43"/>
        <v>0</v>
      </c>
      <c r="BK95" s="20"/>
      <c r="BL95" s="20">
        <v>722</v>
      </c>
    </row>
    <row r="96" spans="1:47" ht="15" customHeight="1">
      <c r="A96" s="51" t="s">
        <v>414</v>
      </c>
      <c r="B96" s="50" t="s">
        <v>574</v>
      </c>
      <c r="C96" s="166" t="s">
        <v>354</v>
      </c>
      <c r="D96" s="166"/>
      <c r="E96" s="166"/>
      <c r="F96" s="166"/>
      <c r="G96" s="48" t="s">
        <v>546</v>
      </c>
      <c r="H96" s="48" t="s">
        <v>546</v>
      </c>
      <c r="I96" s="48" t="s">
        <v>546</v>
      </c>
      <c r="J96" s="76">
        <f>SUM(J97:J126)</f>
        <v>0</v>
      </c>
      <c r="K96" s="76">
        <f>SUM(K97:K126)</f>
        <v>0</v>
      </c>
      <c r="L96" s="76">
        <f>SUM(L97:L126)</f>
        <v>0</v>
      </c>
      <c r="M96" s="55" t="s">
        <v>414</v>
      </c>
      <c r="AI96" s="64" t="s">
        <v>414</v>
      </c>
      <c r="AS96" s="76">
        <f>SUM(AJ97:AJ126)</f>
        <v>0</v>
      </c>
      <c r="AT96" s="76">
        <f>SUM(AK97:AK126)</f>
        <v>0</v>
      </c>
      <c r="AU96" s="76">
        <f>SUM(AL97:AL126)</f>
        <v>0</v>
      </c>
    </row>
    <row r="97" spans="1:64" ht="15" customHeight="1">
      <c r="A97" s="4" t="s">
        <v>621</v>
      </c>
      <c r="B97" s="17" t="s">
        <v>630</v>
      </c>
      <c r="C97" s="113" t="s">
        <v>145</v>
      </c>
      <c r="D97" s="113"/>
      <c r="E97" s="113"/>
      <c r="F97" s="113"/>
      <c r="G97" s="17" t="s">
        <v>216</v>
      </c>
      <c r="H97" s="20">
        <v>1</v>
      </c>
      <c r="I97" s="20">
        <v>0</v>
      </c>
      <c r="J97" s="20">
        <f aca="true" t="shared" si="44" ref="J97:J105">H97*AO97</f>
        <v>0</v>
      </c>
      <c r="K97" s="20">
        <f aca="true" t="shared" si="45" ref="K97:K105">H97*AP97</f>
        <v>0</v>
      </c>
      <c r="L97" s="20">
        <f aca="true" t="shared" si="46" ref="L97:L105">H97*I97</f>
        <v>0</v>
      </c>
      <c r="M97" s="31" t="s">
        <v>496</v>
      </c>
      <c r="Z97" s="20">
        <f aca="true" t="shared" si="47" ref="Z97:Z105">IF(AQ97="5",BJ97,0)</f>
        <v>0</v>
      </c>
      <c r="AB97" s="20">
        <f aca="true" t="shared" si="48" ref="AB97:AB105">IF(AQ97="1",BH97,0)</f>
        <v>0</v>
      </c>
      <c r="AC97" s="20">
        <f aca="true" t="shared" si="49" ref="AC97:AC105">IF(AQ97="1",BI97,0)</f>
        <v>0</v>
      </c>
      <c r="AD97" s="20">
        <f aca="true" t="shared" si="50" ref="AD97:AD105">IF(AQ97="7",BH97,0)</f>
        <v>0</v>
      </c>
      <c r="AE97" s="20">
        <f aca="true" t="shared" si="51" ref="AE97:AE105">IF(AQ97="7",BI97,0)</f>
        <v>0</v>
      </c>
      <c r="AF97" s="20">
        <f aca="true" t="shared" si="52" ref="AF97:AF105">IF(AQ97="2",BH97,0)</f>
        <v>0</v>
      </c>
      <c r="AG97" s="20">
        <f aca="true" t="shared" si="53" ref="AG97:AG105">IF(AQ97="2",BI97,0)</f>
        <v>0</v>
      </c>
      <c r="AH97" s="20">
        <f aca="true" t="shared" si="54" ref="AH97:AH105">IF(AQ97="0",BJ97,0)</f>
        <v>0</v>
      </c>
      <c r="AI97" s="64" t="s">
        <v>414</v>
      </c>
      <c r="AJ97" s="20">
        <f aca="true" t="shared" si="55" ref="AJ97:AJ105">IF(AN97=0,L97,0)</f>
        <v>0</v>
      </c>
      <c r="AK97" s="20">
        <f aca="true" t="shared" si="56" ref="AK97:AK105">IF(AN97=15,L97,0)</f>
        <v>0</v>
      </c>
      <c r="AL97" s="20">
        <f aca="true" t="shared" si="57" ref="AL97:AL105">IF(AN97=21,L97,0)</f>
        <v>0</v>
      </c>
      <c r="AN97" s="20">
        <v>15</v>
      </c>
      <c r="AO97" s="20">
        <f aca="true" t="shared" si="58" ref="AO97:AO105">I97*0</f>
        <v>0</v>
      </c>
      <c r="AP97" s="20">
        <f aca="true" t="shared" si="59" ref="AP97:AP105">I97*(1-0)</f>
        <v>0</v>
      </c>
      <c r="AQ97" s="26" t="s">
        <v>598</v>
      </c>
      <c r="AV97" s="20">
        <f aca="true" t="shared" si="60" ref="AV97:AV105">AW97+AX97</f>
        <v>0</v>
      </c>
      <c r="AW97" s="20">
        <f aca="true" t="shared" si="61" ref="AW97:AW105">H97*AO97</f>
        <v>0</v>
      </c>
      <c r="AX97" s="20">
        <f aca="true" t="shared" si="62" ref="AX97:AX105">H97*AP97</f>
        <v>0</v>
      </c>
      <c r="AY97" s="26" t="s">
        <v>275</v>
      </c>
      <c r="AZ97" s="26" t="s">
        <v>244</v>
      </c>
      <c r="BA97" s="64" t="s">
        <v>452</v>
      </c>
      <c r="BC97" s="20">
        <f aca="true" t="shared" si="63" ref="BC97:BC105">AW97+AX97</f>
        <v>0</v>
      </c>
      <c r="BD97" s="20">
        <f aca="true" t="shared" si="64" ref="BD97:BD105">I97/(100-BE97)*100</f>
        <v>0</v>
      </c>
      <c r="BE97" s="20">
        <v>0</v>
      </c>
      <c r="BF97" s="20">
        <f>97</f>
        <v>97</v>
      </c>
      <c r="BH97" s="20">
        <f aca="true" t="shared" si="65" ref="BH97:BH105">H97*AO97</f>
        <v>0</v>
      </c>
      <c r="BI97" s="20">
        <f aca="true" t="shared" si="66" ref="BI97:BI105">H97*AP97</f>
        <v>0</v>
      </c>
      <c r="BJ97" s="20">
        <f aca="true" t="shared" si="67" ref="BJ97:BJ105">H97*I97</f>
        <v>0</v>
      </c>
      <c r="BK97" s="20"/>
      <c r="BL97" s="20">
        <v>725</v>
      </c>
    </row>
    <row r="98" spans="1:64" ht="15" customHeight="1">
      <c r="A98" s="4" t="s">
        <v>53</v>
      </c>
      <c r="B98" s="17" t="s">
        <v>330</v>
      </c>
      <c r="C98" s="113" t="s">
        <v>119</v>
      </c>
      <c r="D98" s="113"/>
      <c r="E98" s="113"/>
      <c r="F98" s="113"/>
      <c r="G98" s="17" t="s">
        <v>216</v>
      </c>
      <c r="H98" s="20">
        <v>1</v>
      </c>
      <c r="I98" s="20">
        <v>0</v>
      </c>
      <c r="J98" s="20">
        <f t="shared" si="44"/>
        <v>0</v>
      </c>
      <c r="K98" s="20">
        <f t="shared" si="45"/>
        <v>0</v>
      </c>
      <c r="L98" s="20">
        <f t="shared" si="46"/>
        <v>0</v>
      </c>
      <c r="M98" s="31" t="s">
        <v>496</v>
      </c>
      <c r="Z98" s="20">
        <f t="shared" si="47"/>
        <v>0</v>
      </c>
      <c r="AB98" s="20">
        <f t="shared" si="48"/>
        <v>0</v>
      </c>
      <c r="AC98" s="20">
        <f t="shared" si="49"/>
        <v>0</v>
      </c>
      <c r="AD98" s="20">
        <f t="shared" si="50"/>
        <v>0</v>
      </c>
      <c r="AE98" s="20">
        <f t="shared" si="51"/>
        <v>0</v>
      </c>
      <c r="AF98" s="20">
        <f t="shared" si="52"/>
        <v>0</v>
      </c>
      <c r="AG98" s="20">
        <f t="shared" si="53"/>
        <v>0</v>
      </c>
      <c r="AH98" s="20">
        <f t="shared" si="54"/>
        <v>0</v>
      </c>
      <c r="AI98" s="64" t="s">
        <v>414</v>
      </c>
      <c r="AJ98" s="20">
        <f t="shared" si="55"/>
        <v>0</v>
      </c>
      <c r="AK98" s="20">
        <f t="shared" si="56"/>
        <v>0</v>
      </c>
      <c r="AL98" s="20">
        <f t="shared" si="57"/>
        <v>0</v>
      </c>
      <c r="AN98" s="20">
        <v>15</v>
      </c>
      <c r="AO98" s="20">
        <f t="shared" si="58"/>
        <v>0</v>
      </c>
      <c r="AP98" s="20">
        <f t="shared" si="59"/>
        <v>0</v>
      </c>
      <c r="AQ98" s="26" t="s">
        <v>598</v>
      </c>
      <c r="AV98" s="20">
        <f t="shared" si="60"/>
        <v>0</v>
      </c>
      <c r="AW98" s="20">
        <f t="shared" si="61"/>
        <v>0</v>
      </c>
      <c r="AX98" s="20">
        <f t="shared" si="62"/>
        <v>0</v>
      </c>
      <c r="AY98" s="26" t="s">
        <v>275</v>
      </c>
      <c r="AZ98" s="26" t="s">
        <v>244</v>
      </c>
      <c r="BA98" s="64" t="s">
        <v>452</v>
      </c>
      <c r="BC98" s="20">
        <f t="shared" si="63"/>
        <v>0</v>
      </c>
      <c r="BD98" s="20">
        <f t="shared" si="64"/>
        <v>0</v>
      </c>
      <c r="BE98" s="20">
        <v>0</v>
      </c>
      <c r="BF98" s="20">
        <f>98</f>
        <v>98</v>
      </c>
      <c r="BH98" s="20">
        <f t="shared" si="65"/>
        <v>0</v>
      </c>
      <c r="BI98" s="20">
        <f t="shared" si="66"/>
        <v>0</v>
      </c>
      <c r="BJ98" s="20">
        <f t="shared" si="67"/>
        <v>0</v>
      </c>
      <c r="BK98" s="20"/>
      <c r="BL98" s="20">
        <v>725</v>
      </c>
    </row>
    <row r="99" spans="1:64" ht="15" customHeight="1">
      <c r="A99" s="4" t="s">
        <v>455</v>
      </c>
      <c r="B99" s="17" t="s">
        <v>440</v>
      </c>
      <c r="C99" s="113" t="s">
        <v>361</v>
      </c>
      <c r="D99" s="113"/>
      <c r="E99" s="113"/>
      <c r="F99" s="113"/>
      <c r="G99" s="17" t="s">
        <v>154</v>
      </c>
      <c r="H99" s="20">
        <v>1</v>
      </c>
      <c r="I99" s="20">
        <v>0</v>
      </c>
      <c r="J99" s="20">
        <f t="shared" si="44"/>
        <v>0</v>
      </c>
      <c r="K99" s="20">
        <f t="shared" si="45"/>
        <v>0</v>
      </c>
      <c r="L99" s="20">
        <f t="shared" si="46"/>
        <v>0</v>
      </c>
      <c r="M99" s="31" t="s">
        <v>496</v>
      </c>
      <c r="Z99" s="20">
        <f t="shared" si="47"/>
        <v>0</v>
      </c>
      <c r="AB99" s="20">
        <f t="shared" si="48"/>
        <v>0</v>
      </c>
      <c r="AC99" s="20">
        <f t="shared" si="49"/>
        <v>0</v>
      </c>
      <c r="AD99" s="20">
        <f t="shared" si="50"/>
        <v>0</v>
      </c>
      <c r="AE99" s="20">
        <f t="shared" si="51"/>
        <v>0</v>
      </c>
      <c r="AF99" s="20">
        <f t="shared" si="52"/>
        <v>0</v>
      </c>
      <c r="AG99" s="20">
        <f t="shared" si="53"/>
        <v>0</v>
      </c>
      <c r="AH99" s="20">
        <f t="shared" si="54"/>
        <v>0</v>
      </c>
      <c r="AI99" s="64" t="s">
        <v>414</v>
      </c>
      <c r="AJ99" s="20">
        <f t="shared" si="55"/>
        <v>0</v>
      </c>
      <c r="AK99" s="20">
        <f t="shared" si="56"/>
        <v>0</v>
      </c>
      <c r="AL99" s="20">
        <f t="shared" si="57"/>
        <v>0</v>
      </c>
      <c r="AN99" s="20">
        <v>15</v>
      </c>
      <c r="AO99" s="20">
        <f t="shared" si="58"/>
        <v>0</v>
      </c>
      <c r="AP99" s="20">
        <f t="shared" si="59"/>
        <v>0</v>
      </c>
      <c r="AQ99" s="26" t="s">
        <v>598</v>
      </c>
      <c r="AV99" s="20">
        <f t="shared" si="60"/>
        <v>0</v>
      </c>
      <c r="AW99" s="20">
        <f t="shared" si="61"/>
        <v>0</v>
      </c>
      <c r="AX99" s="20">
        <f t="shared" si="62"/>
        <v>0</v>
      </c>
      <c r="AY99" s="26" t="s">
        <v>275</v>
      </c>
      <c r="AZ99" s="26" t="s">
        <v>244</v>
      </c>
      <c r="BA99" s="64" t="s">
        <v>452</v>
      </c>
      <c r="BC99" s="20">
        <f t="shared" si="63"/>
        <v>0</v>
      </c>
      <c r="BD99" s="20">
        <f t="shared" si="64"/>
        <v>0</v>
      </c>
      <c r="BE99" s="20">
        <v>0</v>
      </c>
      <c r="BF99" s="20">
        <f>99</f>
        <v>99</v>
      </c>
      <c r="BH99" s="20">
        <f t="shared" si="65"/>
        <v>0</v>
      </c>
      <c r="BI99" s="20">
        <f t="shared" si="66"/>
        <v>0</v>
      </c>
      <c r="BJ99" s="20">
        <f t="shared" si="67"/>
        <v>0</v>
      </c>
      <c r="BK99" s="20"/>
      <c r="BL99" s="20">
        <v>725</v>
      </c>
    </row>
    <row r="100" spans="1:64" ht="15" customHeight="1">
      <c r="A100" s="4" t="s">
        <v>489</v>
      </c>
      <c r="B100" s="17" t="s">
        <v>195</v>
      </c>
      <c r="C100" s="113" t="s">
        <v>56</v>
      </c>
      <c r="D100" s="113"/>
      <c r="E100" s="113"/>
      <c r="F100" s="113"/>
      <c r="G100" s="17" t="s">
        <v>216</v>
      </c>
      <c r="H100" s="20">
        <v>2</v>
      </c>
      <c r="I100" s="20">
        <v>0</v>
      </c>
      <c r="J100" s="20">
        <f t="shared" si="44"/>
        <v>0</v>
      </c>
      <c r="K100" s="20">
        <f t="shared" si="45"/>
        <v>0</v>
      </c>
      <c r="L100" s="20">
        <f t="shared" si="46"/>
        <v>0</v>
      </c>
      <c r="M100" s="31" t="s">
        <v>496</v>
      </c>
      <c r="Z100" s="20">
        <f t="shared" si="47"/>
        <v>0</v>
      </c>
      <c r="AB100" s="20">
        <f t="shared" si="48"/>
        <v>0</v>
      </c>
      <c r="AC100" s="20">
        <f t="shared" si="49"/>
        <v>0</v>
      </c>
      <c r="AD100" s="20">
        <f t="shared" si="50"/>
        <v>0</v>
      </c>
      <c r="AE100" s="20">
        <f t="shared" si="51"/>
        <v>0</v>
      </c>
      <c r="AF100" s="20">
        <f t="shared" si="52"/>
        <v>0</v>
      </c>
      <c r="AG100" s="20">
        <f t="shared" si="53"/>
        <v>0</v>
      </c>
      <c r="AH100" s="20">
        <f t="shared" si="54"/>
        <v>0</v>
      </c>
      <c r="AI100" s="64" t="s">
        <v>414</v>
      </c>
      <c r="AJ100" s="20">
        <f t="shared" si="55"/>
        <v>0</v>
      </c>
      <c r="AK100" s="20">
        <f t="shared" si="56"/>
        <v>0</v>
      </c>
      <c r="AL100" s="20">
        <f t="shared" si="57"/>
        <v>0</v>
      </c>
      <c r="AN100" s="20">
        <v>15</v>
      </c>
      <c r="AO100" s="20">
        <f t="shared" si="58"/>
        <v>0</v>
      </c>
      <c r="AP100" s="20">
        <f t="shared" si="59"/>
        <v>0</v>
      </c>
      <c r="AQ100" s="26" t="s">
        <v>598</v>
      </c>
      <c r="AV100" s="20">
        <f t="shared" si="60"/>
        <v>0</v>
      </c>
      <c r="AW100" s="20">
        <f t="shared" si="61"/>
        <v>0</v>
      </c>
      <c r="AX100" s="20">
        <f t="shared" si="62"/>
        <v>0</v>
      </c>
      <c r="AY100" s="26" t="s">
        <v>275</v>
      </c>
      <c r="AZ100" s="26" t="s">
        <v>244</v>
      </c>
      <c r="BA100" s="64" t="s">
        <v>452</v>
      </c>
      <c r="BC100" s="20">
        <f t="shared" si="63"/>
        <v>0</v>
      </c>
      <c r="BD100" s="20">
        <f t="shared" si="64"/>
        <v>0</v>
      </c>
      <c r="BE100" s="20">
        <v>0</v>
      </c>
      <c r="BF100" s="20">
        <f>100</f>
        <v>100</v>
      </c>
      <c r="BH100" s="20">
        <f t="shared" si="65"/>
        <v>0</v>
      </c>
      <c r="BI100" s="20">
        <f t="shared" si="66"/>
        <v>0</v>
      </c>
      <c r="BJ100" s="20">
        <f t="shared" si="67"/>
        <v>0</v>
      </c>
      <c r="BK100" s="20"/>
      <c r="BL100" s="20">
        <v>725</v>
      </c>
    </row>
    <row r="101" spans="1:64" ht="15" customHeight="1">
      <c r="A101" s="4" t="s">
        <v>259</v>
      </c>
      <c r="B101" s="17" t="s">
        <v>451</v>
      </c>
      <c r="C101" s="113" t="s">
        <v>115</v>
      </c>
      <c r="D101" s="113"/>
      <c r="E101" s="113"/>
      <c r="F101" s="113"/>
      <c r="G101" s="17" t="s">
        <v>154</v>
      </c>
      <c r="H101" s="20">
        <v>3</v>
      </c>
      <c r="I101" s="20">
        <v>0</v>
      </c>
      <c r="J101" s="20">
        <f t="shared" si="44"/>
        <v>0</v>
      </c>
      <c r="K101" s="20">
        <f t="shared" si="45"/>
        <v>0</v>
      </c>
      <c r="L101" s="20">
        <f t="shared" si="46"/>
        <v>0</v>
      </c>
      <c r="M101" s="31" t="s">
        <v>496</v>
      </c>
      <c r="Z101" s="20">
        <f t="shared" si="47"/>
        <v>0</v>
      </c>
      <c r="AB101" s="20">
        <f t="shared" si="48"/>
        <v>0</v>
      </c>
      <c r="AC101" s="20">
        <f t="shared" si="49"/>
        <v>0</v>
      </c>
      <c r="AD101" s="20">
        <f t="shared" si="50"/>
        <v>0</v>
      </c>
      <c r="AE101" s="20">
        <f t="shared" si="51"/>
        <v>0</v>
      </c>
      <c r="AF101" s="20">
        <f t="shared" si="52"/>
        <v>0</v>
      </c>
      <c r="AG101" s="20">
        <f t="shared" si="53"/>
        <v>0</v>
      </c>
      <c r="AH101" s="20">
        <f t="shared" si="54"/>
        <v>0</v>
      </c>
      <c r="AI101" s="64" t="s">
        <v>414</v>
      </c>
      <c r="AJ101" s="20">
        <f t="shared" si="55"/>
        <v>0</v>
      </c>
      <c r="AK101" s="20">
        <f t="shared" si="56"/>
        <v>0</v>
      </c>
      <c r="AL101" s="20">
        <f t="shared" si="57"/>
        <v>0</v>
      </c>
      <c r="AN101" s="20">
        <v>15</v>
      </c>
      <c r="AO101" s="20">
        <f t="shared" si="58"/>
        <v>0</v>
      </c>
      <c r="AP101" s="20">
        <f t="shared" si="59"/>
        <v>0</v>
      </c>
      <c r="AQ101" s="26" t="s">
        <v>598</v>
      </c>
      <c r="AV101" s="20">
        <f t="shared" si="60"/>
        <v>0</v>
      </c>
      <c r="AW101" s="20">
        <f t="shared" si="61"/>
        <v>0</v>
      </c>
      <c r="AX101" s="20">
        <f t="shared" si="62"/>
        <v>0</v>
      </c>
      <c r="AY101" s="26" t="s">
        <v>275</v>
      </c>
      <c r="AZ101" s="26" t="s">
        <v>244</v>
      </c>
      <c r="BA101" s="64" t="s">
        <v>452</v>
      </c>
      <c r="BC101" s="20">
        <f t="shared" si="63"/>
        <v>0</v>
      </c>
      <c r="BD101" s="20">
        <f t="shared" si="64"/>
        <v>0</v>
      </c>
      <c r="BE101" s="20">
        <v>0</v>
      </c>
      <c r="BF101" s="20">
        <f>101</f>
        <v>101</v>
      </c>
      <c r="BH101" s="20">
        <f t="shared" si="65"/>
        <v>0</v>
      </c>
      <c r="BI101" s="20">
        <f t="shared" si="66"/>
        <v>0</v>
      </c>
      <c r="BJ101" s="20">
        <f t="shared" si="67"/>
        <v>0</v>
      </c>
      <c r="BK101" s="20"/>
      <c r="BL101" s="20">
        <v>725</v>
      </c>
    </row>
    <row r="102" spans="1:64" ht="15" customHeight="1">
      <c r="A102" s="4" t="s">
        <v>255</v>
      </c>
      <c r="B102" s="17" t="s">
        <v>32</v>
      </c>
      <c r="C102" s="113" t="s">
        <v>308</v>
      </c>
      <c r="D102" s="113"/>
      <c r="E102" s="113"/>
      <c r="F102" s="113"/>
      <c r="G102" s="17" t="s">
        <v>216</v>
      </c>
      <c r="H102" s="20">
        <v>1</v>
      </c>
      <c r="I102" s="20">
        <v>0</v>
      </c>
      <c r="J102" s="20">
        <f t="shared" si="44"/>
        <v>0</v>
      </c>
      <c r="K102" s="20">
        <f t="shared" si="45"/>
        <v>0</v>
      </c>
      <c r="L102" s="20">
        <f t="shared" si="46"/>
        <v>0</v>
      </c>
      <c r="M102" s="31" t="s">
        <v>496</v>
      </c>
      <c r="Z102" s="20">
        <f t="shared" si="47"/>
        <v>0</v>
      </c>
      <c r="AB102" s="20">
        <f t="shared" si="48"/>
        <v>0</v>
      </c>
      <c r="AC102" s="20">
        <f t="shared" si="49"/>
        <v>0</v>
      </c>
      <c r="AD102" s="20">
        <f t="shared" si="50"/>
        <v>0</v>
      </c>
      <c r="AE102" s="20">
        <f t="shared" si="51"/>
        <v>0</v>
      </c>
      <c r="AF102" s="20">
        <f t="shared" si="52"/>
        <v>0</v>
      </c>
      <c r="AG102" s="20">
        <f t="shared" si="53"/>
        <v>0</v>
      </c>
      <c r="AH102" s="20">
        <f t="shared" si="54"/>
        <v>0</v>
      </c>
      <c r="AI102" s="64" t="s">
        <v>414</v>
      </c>
      <c r="AJ102" s="20">
        <f t="shared" si="55"/>
        <v>0</v>
      </c>
      <c r="AK102" s="20">
        <f t="shared" si="56"/>
        <v>0</v>
      </c>
      <c r="AL102" s="20">
        <f t="shared" si="57"/>
        <v>0</v>
      </c>
      <c r="AN102" s="20">
        <v>15</v>
      </c>
      <c r="AO102" s="20">
        <f t="shared" si="58"/>
        <v>0</v>
      </c>
      <c r="AP102" s="20">
        <f t="shared" si="59"/>
        <v>0</v>
      </c>
      <c r="AQ102" s="26" t="s">
        <v>598</v>
      </c>
      <c r="AV102" s="20">
        <f t="shared" si="60"/>
        <v>0</v>
      </c>
      <c r="AW102" s="20">
        <f t="shared" si="61"/>
        <v>0</v>
      </c>
      <c r="AX102" s="20">
        <f t="shared" si="62"/>
        <v>0</v>
      </c>
      <c r="AY102" s="26" t="s">
        <v>275</v>
      </c>
      <c r="AZ102" s="26" t="s">
        <v>244</v>
      </c>
      <c r="BA102" s="64" t="s">
        <v>452</v>
      </c>
      <c r="BC102" s="20">
        <f t="shared" si="63"/>
        <v>0</v>
      </c>
      <c r="BD102" s="20">
        <f t="shared" si="64"/>
        <v>0</v>
      </c>
      <c r="BE102" s="20">
        <v>0</v>
      </c>
      <c r="BF102" s="20">
        <f>102</f>
        <v>102</v>
      </c>
      <c r="BH102" s="20">
        <f t="shared" si="65"/>
        <v>0</v>
      </c>
      <c r="BI102" s="20">
        <f t="shared" si="66"/>
        <v>0</v>
      </c>
      <c r="BJ102" s="20">
        <f t="shared" si="67"/>
        <v>0</v>
      </c>
      <c r="BK102" s="20"/>
      <c r="BL102" s="20">
        <v>725</v>
      </c>
    </row>
    <row r="103" spans="1:64" ht="15" customHeight="1">
      <c r="A103" s="4" t="s">
        <v>288</v>
      </c>
      <c r="B103" s="17" t="s">
        <v>28</v>
      </c>
      <c r="C103" s="113" t="s">
        <v>30</v>
      </c>
      <c r="D103" s="113"/>
      <c r="E103" s="113"/>
      <c r="F103" s="113"/>
      <c r="G103" s="17" t="s">
        <v>216</v>
      </c>
      <c r="H103" s="20">
        <v>3</v>
      </c>
      <c r="I103" s="20">
        <v>0</v>
      </c>
      <c r="J103" s="20">
        <f t="shared" si="44"/>
        <v>0</v>
      </c>
      <c r="K103" s="20">
        <f t="shared" si="45"/>
        <v>0</v>
      </c>
      <c r="L103" s="20">
        <f t="shared" si="46"/>
        <v>0</v>
      </c>
      <c r="M103" s="31" t="s">
        <v>496</v>
      </c>
      <c r="Z103" s="20">
        <f t="shared" si="47"/>
        <v>0</v>
      </c>
      <c r="AB103" s="20">
        <f t="shared" si="48"/>
        <v>0</v>
      </c>
      <c r="AC103" s="20">
        <f t="shared" si="49"/>
        <v>0</v>
      </c>
      <c r="AD103" s="20">
        <f t="shared" si="50"/>
        <v>0</v>
      </c>
      <c r="AE103" s="20">
        <f t="shared" si="51"/>
        <v>0</v>
      </c>
      <c r="AF103" s="20">
        <f t="shared" si="52"/>
        <v>0</v>
      </c>
      <c r="AG103" s="20">
        <f t="shared" si="53"/>
        <v>0</v>
      </c>
      <c r="AH103" s="20">
        <f t="shared" si="54"/>
        <v>0</v>
      </c>
      <c r="AI103" s="64" t="s">
        <v>414</v>
      </c>
      <c r="AJ103" s="20">
        <f t="shared" si="55"/>
        <v>0</v>
      </c>
      <c r="AK103" s="20">
        <f t="shared" si="56"/>
        <v>0</v>
      </c>
      <c r="AL103" s="20">
        <f t="shared" si="57"/>
        <v>0</v>
      </c>
      <c r="AN103" s="20">
        <v>15</v>
      </c>
      <c r="AO103" s="20">
        <f t="shared" si="58"/>
        <v>0</v>
      </c>
      <c r="AP103" s="20">
        <f t="shared" si="59"/>
        <v>0</v>
      </c>
      <c r="AQ103" s="26" t="s">
        <v>598</v>
      </c>
      <c r="AV103" s="20">
        <f t="shared" si="60"/>
        <v>0</v>
      </c>
      <c r="AW103" s="20">
        <f t="shared" si="61"/>
        <v>0</v>
      </c>
      <c r="AX103" s="20">
        <f t="shared" si="62"/>
        <v>0</v>
      </c>
      <c r="AY103" s="26" t="s">
        <v>275</v>
      </c>
      <c r="AZ103" s="26" t="s">
        <v>244</v>
      </c>
      <c r="BA103" s="64" t="s">
        <v>452</v>
      </c>
      <c r="BC103" s="20">
        <f t="shared" si="63"/>
        <v>0</v>
      </c>
      <c r="BD103" s="20">
        <f t="shared" si="64"/>
        <v>0</v>
      </c>
      <c r="BE103" s="20">
        <v>0</v>
      </c>
      <c r="BF103" s="20">
        <f>103</f>
        <v>103</v>
      </c>
      <c r="BH103" s="20">
        <f t="shared" si="65"/>
        <v>0</v>
      </c>
      <c r="BI103" s="20">
        <f t="shared" si="66"/>
        <v>0</v>
      </c>
      <c r="BJ103" s="20">
        <f t="shared" si="67"/>
        <v>0</v>
      </c>
      <c r="BK103" s="20"/>
      <c r="BL103" s="20">
        <v>725</v>
      </c>
    </row>
    <row r="104" spans="1:64" ht="15" customHeight="1">
      <c r="A104" s="4" t="s">
        <v>545</v>
      </c>
      <c r="B104" s="17" t="s">
        <v>451</v>
      </c>
      <c r="C104" s="113" t="s">
        <v>115</v>
      </c>
      <c r="D104" s="113"/>
      <c r="E104" s="113"/>
      <c r="F104" s="113"/>
      <c r="G104" s="17" t="s">
        <v>154</v>
      </c>
      <c r="H104" s="20">
        <v>3</v>
      </c>
      <c r="I104" s="20">
        <v>0</v>
      </c>
      <c r="J104" s="20">
        <f t="shared" si="44"/>
        <v>0</v>
      </c>
      <c r="K104" s="20">
        <f t="shared" si="45"/>
        <v>0</v>
      </c>
      <c r="L104" s="20">
        <f t="shared" si="46"/>
        <v>0</v>
      </c>
      <c r="M104" s="31" t="s">
        <v>496</v>
      </c>
      <c r="Z104" s="20">
        <f t="shared" si="47"/>
        <v>0</v>
      </c>
      <c r="AB104" s="20">
        <f t="shared" si="48"/>
        <v>0</v>
      </c>
      <c r="AC104" s="20">
        <f t="shared" si="49"/>
        <v>0</v>
      </c>
      <c r="AD104" s="20">
        <f t="shared" si="50"/>
        <v>0</v>
      </c>
      <c r="AE104" s="20">
        <f t="shared" si="51"/>
        <v>0</v>
      </c>
      <c r="AF104" s="20">
        <f t="shared" si="52"/>
        <v>0</v>
      </c>
      <c r="AG104" s="20">
        <f t="shared" si="53"/>
        <v>0</v>
      </c>
      <c r="AH104" s="20">
        <f t="shared" si="54"/>
        <v>0</v>
      </c>
      <c r="AI104" s="64" t="s">
        <v>414</v>
      </c>
      <c r="AJ104" s="20">
        <f t="shared" si="55"/>
        <v>0</v>
      </c>
      <c r="AK104" s="20">
        <f t="shared" si="56"/>
        <v>0</v>
      </c>
      <c r="AL104" s="20">
        <f t="shared" si="57"/>
        <v>0</v>
      </c>
      <c r="AN104" s="20">
        <v>15</v>
      </c>
      <c r="AO104" s="20">
        <f t="shared" si="58"/>
        <v>0</v>
      </c>
      <c r="AP104" s="20">
        <f t="shared" si="59"/>
        <v>0</v>
      </c>
      <c r="AQ104" s="26" t="s">
        <v>598</v>
      </c>
      <c r="AV104" s="20">
        <f t="shared" si="60"/>
        <v>0</v>
      </c>
      <c r="AW104" s="20">
        <f t="shared" si="61"/>
        <v>0</v>
      </c>
      <c r="AX104" s="20">
        <f t="shared" si="62"/>
        <v>0</v>
      </c>
      <c r="AY104" s="26" t="s">
        <v>275</v>
      </c>
      <c r="AZ104" s="26" t="s">
        <v>244</v>
      </c>
      <c r="BA104" s="64" t="s">
        <v>452</v>
      </c>
      <c r="BC104" s="20">
        <f t="shared" si="63"/>
        <v>0</v>
      </c>
      <c r="BD104" s="20">
        <f t="shared" si="64"/>
        <v>0</v>
      </c>
      <c r="BE104" s="20">
        <v>0</v>
      </c>
      <c r="BF104" s="20">
        <f>104</f>
        <v>104</v>
      </c>
      <c r="BH104" s="20">
        <f t="shared" si="65"/>
        <v>0</v>
      </c>
      <c r="BI104" s="20">
        <f t="shared" si="66"/>
        <v>0</v>
      </c>
      <c r="BJ104" s="20">
        <f t="shared" si="67"/>
        <v>0</v>
      </c>
      <c r="BK104" s="20"/>
      <c r="BL104" s="20">
        <v>725</v>
      </c>
    </row>
    <row r="105" spans="1:64" ht="15" customHeight="1">
      <c r="A105" s="4" t="s">
        <v>402</v>
      </c>
      <c r="B105" s="17" t="s">
        <v>432</v>
      </c>
      <c r="C105" s="113" t="s">
        <v>338</v>
      </c>
      <c r="D105" s="113"/>
      <c r="E105" s="113"/>
      <c r="F105" s="113"/>
      <c r="G105" s="17" t="s">
        <v>154</v>
      </c>
      <c r="H105" s="20">
        <v>1</v>
      </c>
      <c r="I105" s="20">
        <v>0</v>
      </c>
      <c r="J105" s="20">
        <f t="shared" si="44"/>
        <v>0</v>
      </c>
      <c r="K105" s="20">
        <f t="shared" si="45"/>
        <v>0</v>
      </c>
      <c r="L105" s="20">
        <f t="shared" si="46"/>
        <v>0</v>
      </c>
      <c r="M105" s="31" t="s">
        <v>496</v>
      </c>
      <c r="Z105" s="20">
        <f t="shared" si="47"/>
        <v>0</v>
      </c>
      <c r="AB105" s="20">
        <f t="shared" si="48"/>
        <v>0</v>
      </c>
      <c r="AC105" s="20">
        <f t="shared" si="49"/>
        <v>0</v>
      </c>
      <c r="AD105" s="20">
        <f t="shared" si="50"/>
        <v>0</v>
      </c>
      <c r="AE105" s="20">
        <f t="shared" si="51"/>
        <v>0</v>
      </c>
      <c r="AF105" s="20">
        <f t="shared" si="52"/>
        <v>0</v>
      </c>
      <c r="AG105" s="20">
        <f t="shared" si="53"/>
        <v>0</v>
      </c>
      <c r="AH105" s="20">
        <f t="shared" si="54"/>
        <v>0</v>
      </c>
      <c r="AI105" s="64" t="s">
        <v>414</v>
      </c>
      <c r="AJ105" s="20">
        <f t="shared" si="55"/>
        <v>0</v>
      </c>
      <c r="AK105" s="20">
        <f t="shared" si="56"/>
        <v>0</v>
      </c>
      <c r="AL105" s="20">
        <f t="shared" si="57"/>
        <v>0</v>
      </c>
      <c r="AN105" s="20">
        <v>15</v>
      </c>
      <c r="AO105" s="20">
        <f t="shared" si="58"/>
        <v>0</v>
      </c>
      <c r="AP105" s="20">
        <f t="shared" si="59"/>
        <v>0</v>
      </c>
      <c r="AQ105" s="26" t="s">
        <v>598</v>
      </c>
      <c r="AV105" s="20">
        <f t="shared" si="60"/>
        <v>0</v>
      </c>
      <c r="AW105" s="20">
        <f t="shared" si="61"/>
        <v>0</v>
      </c>
      <c r="AX105" s="20">
        <f t="shared" si="62"/>
        <v>0</v>
      </c>
      <c r="AY105" s="26" t="s">
        <v>275</v>
      </c>
      <c r="AZ105" s="26" t="s">
        <v>244</v>
      </c>
      <c r="BA105" s="64" t="s">
        <v>452</v>
      </c>
      <c r="BC105" s="20">
        <f t="shared" si="63"/>
        <v>0</v>
      </c>
      <c r="BD105" s="20">
        <f t="shared" si="64"/>
        <v>0</v>
      </c>
      <c r="BE105" s="20">
        <v>0</v>
      </c>
      <c r="BF105" s="20">
        <f>105</f>
        <v>105</v>
      </c>
      <c r="BH105" s="20">
        <f t="shared" si="65"/>
        <v>0</v>
      </c>
      <c r="BI105" s="20">
        <f t="shared" si="66"/>
        <v>0</v>
      </c>
      <c r="BJ105" s="20">
        <f t="shared" si="67"/>
        <v>0</v>
      </c>
      <c r="BK105" s="20"/>
      <c r="BL105" s="20">
        <v>725</v>
      </c>
    </row>
    <row r="106" spans="1:13" ht="15" customHeight="1">
      <c r="A106" s="19"/>
      <c r="C106" s="9" t="s">
        <v>663</v>
      </c>
      <c r="F106" s="9" t="s">
        <v>414</v>
      </c>
      <c r="H106" s="58">
        <v>0</v>
      </c>
      <c r="M106" s="36"/>
    </row>
    <row r="107" spans="1:13" ht="15" customHeight="1">
      <c r="A107" s="19"/>
      <c r="C107" s="9" t="s">
        <v>595</v>
      </c>
      <c r="F107" s="9" t="s">
        <v>414</v>
      </c>
      <c r="H107" s="58">
        <v>1</v>
      </c>
      <c r="M107" s="36"/>
    </row>
    <row r="108" spans="1:64" ht="15" customHeight="1">
      <c r="A108" s="4" t="s">
        <v>380</v>
      </c>
      <c r="B108" s="17" t="s">
        <v>6</v>
      </c>
      <c r="C108" s="113" t="s">
        <v>591</v>
      </c>
      <c r="D108" s="113"/>
      <c r="E108" s="113"/>
      <c r="F108" s="113"/>
      <c r="G108" s="17" t="s">
        <v>216</v>
      </c>
      <c r="H108" s="20">
        <v>1</v>
      </c>
      <c r="I108" s="20">
        <v>0</v>
      </c>
      <c r="J108" s="20">
        <f aca="true" t="shared" si="68" ref="J108:J126">H108*AO108</f>
        <v>0</v>
      </c>
      <c r="K108" s="20">
        <f aca="true" t="shared" si="69" ref="K108:K126">H108*AP108</f>
        <v>0</v>
      </c>
      <c r="L108" s="20">
        <f aca="true" t="shared" si="70" ref="L108:L126">H108*I108</f>
        <v>0</v>
      </c>
      <c r="M108" s="31" t="s">
        <v>496</v>
      </c>
      <c r="Z108" s="20">
        <f aca="true" t="shared" si="71" ref="Z108:Z126">IF(AQ108="5",BJ108,0)</f>
        <v>0</v>
      </c>
      <c r="AB108" s="20">
        <f aca="true" t="shared" si="72" ref="AB108:AB126">IF(AQ108="1",BH108,0)</f>
        <v>0</v>
      </c>
      <c r="AC108" s="20">
        <f aca="true" t="shared" si="73" ref="AC108:AC126">IF(AQ108="1",BI108,0)</f>
        <v>0</v>
      </c>
      <c r="AD108" s="20">
        <f aca="true" t="shared" si="74" ref="AD108:AD126">IF(AQ108="7",BH108,0)</f>
        <v>0</v>
      </c>
      <c r="AE108" s="20">
        <f aca="true" t="shared" si="75" ref="AE108:AE126">IF(AQ108="7",BI108,0)</f>
        <v>0</v>
      </c>
      <c r="AF108" s="20">
        <f aca="true" t="shared" si="76" ref="AF108:AF126">IF(AQ108="2",BH108,0)</f>
        <v>0</v>
      </c>
      <c r="AG108" s="20">
        <f aca="true" t="shared" si="77" ref="AG108:AG126">IF(AQ108="2",BI108,0)</f>
        <v>0</v>
      </c>
      <c r="AH108" s="20">
        <f aca="true" t="shared" si="78" ref="AH108:AH126">IF(AQ108="0",BJ108,0)</f>
        <v>0</v>
      </c>
      <c r="AI108" s="64" t="s">
        <v>414</v>
      </c>
      <c r="AJ108" s="20">
        <f aca="true" t="shared" si="79" ref="AJ108:AJ126">IF(AN108=0,L108,0)</f>
        <v>0</v>
      </c>
      <c r="AK108" s="20">
        <f aca="true" t="shared" si="80" ref="AK108:AK126">IF(AN108=15,L108,0)</f>
        <v>0</v>
      </c>
      <c r="AL108" s="20">
        <f aca="true" t="shared" si="81" ref="AL108:AL126">IF(AN108=21,L108,0)</f>
        <v>0</v>
      </c>
      <c r="AN108" s="20">
        <v>15</v>
      </c>
      <c r="AO108" s="20">
        <f>I108*0.124568306010929</f>
        <v>0</v>
      </c>
      <c r="AP108" s="20">
        <f>I108*(1-0.124568306010929)</f>
        <v>0</v>
      </c>
      <c r="AQ108" s="26" t="s">
        <v>598</v>
      </c>
      <c r="AV108" s="20">
        <f aca="true" t="shared" si="82" ref="AV108:AV126">AW108+AX108</f>
        <v>0</v>
      </c>
      <c r="AW108" s="20">
        <f aca="true" t="shared" si="83" ref="AW108:AW126">H108*AO108</f>
        <v>0</v>
      </c>
      <c r="AX108" s="20">
        <f aca="true" t="shared" si="84" ref="AX108:AX126">H108*AP108</f>
        <v>0</v>
      </c>
      <c r="AY108" s="26" t="s">
        <v>275</v>
      </c>
      <c r="AZ108" s="26" t="s">
        <v>244</v>
      </c>
      <c r="BA108" s="64" t="s">
        <v>452</v>
      </c>
      <c r="BC108" s="20">
        <f aca="true" t="shared" si="85" ref="BC108:BC126">AW108+AX108</f>
        <v>0</v>
      </c>
      <c r="BD108" s="20">
        <f aca="true" t="shared" si="86" ref="BD108:BD126">I108/(100-BE108)*100</f>
        <v>0</v>
      </c>
      <c r="BE108" s="20">
        <v>0</v>
      </c>
      <c r="BF108" s="20">
        <f>108</f>
        <v>108</v>
      </c>
      <c r="BH108" s="20">
        <f aca="true" t="shared" si="87" ref="BH108:BH126">H108*AO108</f>
        <v>0</v>
      </c>
      <c r="BI108" s="20">
        <f aca="true" t="shared" si="88" ref="BI108:BI126">H108*AP108</f>
        <v>0</v>
      </c>
      <c r="BJ108" s="20">
        <f aca="true" t="shared" si="89" ref="BJ108:BJ126">H108*I108</f>
        <v>0</v>
      </c>
      <c r="BK108" s="20"/>
      <c r="BL108" s="20">
        <v>725</v>
      </c>
    </row>
    <row r="109" spans="1:64" ht="15" customHeight="1">
      <c r="A109" s="81" t="s">
        <v>560</v>
      </c>
      <c r="B109" s="18" t="s">
        <v>178</v>
      </c>
      <c r="C109" s="170" t="s">
        <v>566</v>
      </c>
      <c r="D109" s="113"/>
      <c r="E109" s="113"/>
      <c r="F109" s="170"/>
      <c r="G109" s="18" t="s">
        <v>216</v>
      </c>
      <c r="H109" s="80">
        <v>1</v>
      </c>
      <c r="I109" s="80">
        <v>0</v>
      </c>
      <c r="J109" s="80">
        <f t="shared" si="68"/>
        <v>0</v>
      </c>
      <c r="K109" s="80">
        <f t="shared" si="69"/>
        <v>0</v>
      </c>
      <c r="L109" s="80">
        <f t="shared" si="70"/>
        <v>0</v>
      </c>
      <c r="M109" s="41" t="s">
        <v>496</v>
      </c>
      <c r="Z109" s="20">
        <f t="shared" si="71"/>
        <v>0</v>
      </c>
      <c r="AB109" s="20">
        <f t="shared" si="72"/>
        <v>0</v>
      </c>
      <c r="AC109" s="20">
        <f t="shared" si="73"/>
        <v>0</v>
      </c>
      <c r="AD109" s="20">
        <f t="shared" si="74"/>
        <v>0</v>
      </c>
      <c r="AE109" s="20">
        <f t="shared" si="75"/>
        <v>0</v>
      </c>
      <c r="AF109" s="20">
        <f t="shared" si="76"/>
        <v>0</v>
      </c>
      <c r="AG109" s="20">
        <f t="shared" si="77"/>
        <v>0</v>
      </c>
      <c r="AH109" s="20">
        <f t="shared" si="78"/>
        <v>0</v>
      </c>
      <c r="AI109" s="64" t="s">
        <v>414</v>
      </c>
      <c r="AJ109" s="20">
        <f t="shared" si="79"/>
        <v>0</v>
      </c>
      <c r="AK109" s="20">
        <f t="shared" si="80"/>
        <v>0</v>
      </c>
      <c r="AL109" s="20">
        <f t="shared" si="81"/>
        <v>0</v>
      </c>
      <c r="AN109" s="20">
        <v>15</v>
      </c>
      <c r="AO109" s="20">
        <f>I109*0.662144878296897</f>
        <v>0</v>
      </c>
      <c r="AP109" s="20">
        <f>I109*(1-0.662144878296897)</f>
        <v>0</v>
      </c>
      <c r="AQ109" s="26" t="s">
        <v>598</v>
      </c>
      <c r="AV109" s="20">
        <f t="shared" si="82"/>
        <v>0</v>
      </c>
      <c r="AW109" s="20">
        <f t="shared" si="83"/>
        <v>0</v>
      </c>
      <c r="AX109" s="20">
        <f t="shared" si="84"/>
        <v>0</v>
      </c>
      <c r="AY109" s="26" t="s">
        <v>275</v>
      </c>
      <c r="AZ109" s="26" t="s">
        <v>244</v>
      </c>
      <c r="BA109" s="64" t="s">
        <v>452</v>
      </c>
      <c r="BC109" s="20">
        <f t="shared" si="85"/>
        <v>0</v>
      </c>
      <c r="BD109" s="20">
        <f t="shared" si="86"/>
        <v>0</v>
      </c>
      <c r="BE109" s="20">
        <v>0</v>
      </c>
      <c r="BF109" s="20">
        <f>109</f>
        <v>109</v>
      </c>
      <c r="BH109" s="20">
        <f t="shared" si="87"/>
        <v>0</v>
      </c>
      <c r="BI109" s="20">
        <f t="shared" si="88"/>
        <v>0</v>
      </c>
      <c r="BJ109" s="20">
        <f t="shared" si="89"/>
        <v>0</v>
      </c>
      <c r="BK109" s="20"/>
      <c r="BL109" s="20">
        <v>725</v>
      </c>
    </row>
    <row r="110" spans="1:64" ht="15" customHeight="1">
      <c r="A110" s="4" t="s">
        <v>349</v>
      </c>
      <c r="B110" s="17" t="s">
        <v>213</v>
      </c>
      <c r="C110" s="113" t="s">
        <v>142</v>
      </c>
      <c r="D110" s="113"/>
      <c r="E110" s="113"/>
      <c r="F110" s="113"/>
      <c r="G110" s="17" t="s">
        <v>154</v>
      </c>
      <c r="H110" s="20">
        <v>2</v>
      </c>
      <c r="I110" s="20">
        <v>0</v>
      </c>
      <c r="J110" s="20">
        <f t="shared" si="68"/>
        <v>0</v>
      </c>
      <c r="K110" s="20">
        <f t="shared" si="69"/>
        <v>0</v>
      </c>
      <c r="L110" s="20">
        <f t="shared" si="70"/>
        <v>0</v>
      </c>
      <c r="M110" s="31" t="s">
        <v>496</v>
      </c>
      <c r="Z110" s="20">
        <f t="shared" si="71"/>
        <v>0</v>
      </c>
      <c r="AB110" s="20">
        <f t="shared" si="72"/>
        <v>0</v>
      </c>
      <c r="AC110" s="20">
        <f t="shared" si="73"/>
        <v>0</v>
      </c>
      <c r="AD110" s="20">
        <f t="shared" si="74"/>
        <v>0</v>
      </c>
      <c r="AE110" s="20">
        <f t="shared" si="75"/>
        <v>0</v>
      </c>
      <c r="AF110" s="20">
        <f t="shared" si="76"/>
        <v>0</v>
      </c>
      <c r="AG110" s="20">
        <f t="shared" si="77"/>
        <v>0</v>
      </c>
      <c r="AH110" s="20">
        <f t="shared" si="78"/>
        <v>0</v>
      </c>
      <c r="AI110" s="64" t="s">
        <v>414</v>
      </c>
      <c r="AJ110" s="20">
        <f t="shared" si="79"/>
        <v>0</v>
      </c>
      <c r="AK110" s="20">
        <f t="shared" si="80"/>
        <v>0</v>
      </c>
      <c r="AL110" s="20">
        <f t="shared" si="81"/>
        <v>0</v>
      </c>
      <c r="AN110" s="20">
        <v>15</v>
      </c>
      <c r="AO110" s="20">
        <f>I110*0.668694550063371</f>
        <v>0</v>
      </c>
      <c r="AP110" s="20">
        <f>I110*(1-0.668694550063371)</f>
        <v>0</v>
      </c>
      <c r="AQ110" s="26" t="s">
        <v>598</v>
      </c>
      <c r="AV110" s="20">
        <f t="shared" si="82"/>
        <v>0</v>
      </c>
      <c r="AW110" s="20">
        <f t="shared" si="83"/>
        <v>0</v>
      </c>
      <c r="AX110" s="20">
        <f t="shared" si="84"/>
        <v>0</v>
      </c>
      <c r="AY110" s="26" t="s">
        <v>275</v>
      </c>
      <c r="AZ110" s="26" t="s">
        <v>244</v>
      </c>
      <c r="BA110" s="64" t="s">
        <v>452</v>
      </c>
      <c r="BC110" s="20">
        <f t="shared" si="85"/>
        <v>0</v>
      </c>
      <c r="BD110" s="20">
        <f t="shared" si="86"/>
        <v>0</v>
      </c>
      <c r="BE110" s="20">
        <v>0</v>
      </c>
      <c r="BF110" s="20">
        <f>110</f>
        <v>110</v>
      </c>
      <c r="BH110" s="20">
        <f t="shared" si="87"/>
        <v>0</v>
      </c>
      <c r="BI110" s="20">
        <f t="shared" si="88"/>
        <v>0</v>
      </c>
      <c r="BJ110" s="20">
        <f t="shared" si="89"/>
        <v>0</v>
      </c>
      <c r="BK110" s="20"/>
      <c r="BL110" s="20">
        <v>725</v>
      </c>
    </row>
    <row r="111" spans="1:64" ht="15" customHeight="1">
      <c r="A111" s="4" t="s">
        <v>280</v>
      </c>
      <c r="B111" s="17" t="s">
        <v>424</v>
      </c>
      <c r="C111" s="113" t="s">
        <v>504</v>
      </c>
      <c r="D111" s="113"/>
      <c r="E111" s="113"/>
      <c r="F111" s="113"/>
      <c r="G111" s="17" t="s">
        <v>154</v>
      </c>
      <c r="H111" s="20">
        <v>2</v>
      </c>
      <c r="I111" s="20">
        <v>0</v>
      </c>
      <c r="J111" s="20">
        <f t="shared" si="68"/>
        <v>0</v>
      </c>
      <c r="K111" s="20">
        <f t="shared" si="69"/>
        <v>0</v>
      </c>
      <c r="L111" s="20">
        <f t="shared" si="70"/>
        <v>0</v>
      </c>
      <c r="M111" s="31" t="s">
        <v>496</v>
      </c>
      <c r="Z111" s="20">
        <f t="shared" si="71"/>
        <v>0</v>
      </c>
      <c r="AB111" s="20">
        <f t="shared" si="72"/>
        <v>0</v>
      </c>
      <c r="AC111" s="20">
        <f t="shared" si="73"/>
        <v>0</v>
      </c>
      <c r="AD111" s="20">
        <f t="shared" si="74"/>
        <v>0</v>
      </c>
      <c r="AE111" s="20">
        <f t="shared" si="75"/>
        <v>0</v>
      </c>
      <c r="AF111" s="20">
        <f t="shared" si="76"/>
        <v>0</v>
      </c>
      <c r="AG111" s="20">
        <f t="shared" si="77"/>
        <v>0</v>
      </c>
      <c r="AH111" s="20">
        <f t="shared" si="78"/>
        <v>0</v>
      </c>
      <c r="AI111" s="64" t="s">
        <v>414</v>
      </c>
      <c r="AJ111" s="20">
        <f t="shared" si="79"/>
        <v>0</v>
      </c>
      <c r="AK111" s="20">
        <f t="shared" si="80"/>
        <v>0</v>
      </c>
      <c r="AL111" s="20">
        <f t="shared" si="81"/>
        <v>0</v>
      </c>
      <c r="AN111" s="20">
        <v>15</v>
      </c>
      <c r="AO111" s="20">
        <f>I111*0.510486891385768</f>
        <v>0</v>
      </c>
      <c r="AP111" s="20">
        <f>I111*(1-0.510486891385768)</f>
        <v>0</v>
      </c>
      <c r="AQ111" s="26" t="s">
        <v>598</v>
      </c>
      <c r="AV111" s="20">
        <f t="shared" si="82"/>
        <v>0</v>
      </c>
      <c r="AW111" s="20">
        <f t="shared" si="83"/>
        <v>0</v>
      </c>
      <c r="AX111" s="20">
        <f t="shared" si="84"/>
        <v>0</v>
      </c>
      <c r="AY111" s="26" t="s">
        <v>275</v>
      </c>
      <c r="AZ111" s="26" t="s">
        <v>244</v>
      </c>
      <c r="BA111" s="64" t="s">
        <v>452</v>
      </c>
      <c r="BC111" s="20">
        <f t="shared" si="85"/>
        <v>0</v>
      </c>
      <c r="BD111" s="20">
        <f t="shared" si="86"/>
        <v>0</v>
      </c>
      <c r="BE111" s="20">
        <v>0</v>
      </c>
      <c r="BF111" s="20">
        <f>111</f>
        <v>111</v>
      </c>
      <c r="BH111" s="20">
        <f t="shared" si="87"/>
        <v>0</v>
      </c>
      <c r="BI111" s="20">
        <f t="shared" si="88"/>
        <v>0</v>
      </c>
      <c r="BJ111" s="20">
        <f t="shared" si="89"/>
        <v>0</v>
      </c>
      <c r="BK111" s="20"/>
      <c r="BL111" s="20">
        <v>725</v>
      </c>
    </row>
    <row r="112" spans="1:64" ht="15" customHeight="1">
      <c r="A112" s="4" t="s">
        <v>80</v>
      </c>
      <c r="B112" s="17" t="s">
        <v>122</v>
      </c>
      <c r="C112" s="113" t="s">
        <v>5</v>
      </c>
      <c r="D112" s="113"/>
      <c r="E112" s="113"/>
      <c r="F112" s="113"/>
      <c r="G112" s="17" t="s">
        <v>154</v>
      </c>
      <c r="H112" s="20">
        <v>2</v>
      </c>
      <c r="I112" s="20">
        <v>0</v>
      </c>
      <c r="J112" s="20">
        <f t="shared" si="68"/>
        <v>0</v>
      </c>
      <c r="K112" s="20">
        <f t="shared" si="69"/>
        <v>0</v>
      </c>
      <c r="L112" s="20">
        <f t="shared" si="70"/>
        <v>0</v>
      </c>
      <c r="M112" s="31" t="s">
        <v>496</v>
      </c>
      <c r="Z112" s="20">
        <f t="shared" si="71"/>
        <v>0</v>
      </c>
      <c r="AB112" s="20">
        <f t="shared" si="72"/>
        <v>0</v>
      </c>
      <c r="AC112" s="20">
        <f t="shared" si="73"/>
        <v>0</v>
      </c>
      <c r="AD112" s="20">
        <f t="shared" si="74"/>
        <v>0</v>
      </c>
      <c r="AE112" s="20">
        <f t="shared" si="75"/>
        <v>0</v>
      </c>
      <c r="AF112" s="20">
        <f t="shared" si="76"/>
        <v>0</v>
      </c>
      <c r="AG112" s="20">
        <f t="shared" si="77"/>
        <v>0</v>
      </c>
      <c r="AH112" s="20">
        <f t="shared" si="78"/>
        <v>0</v>
      </c>
      <c r="AI112" s="64" t="s">
        <v>414</v>
      </c>
      <c r="AJ112" s="20">
        <f t="shared" si="79"/>
        <v>0</v>
      </c>
      <c r="AK112" s="20">
        <f t="shared" si="80"/>
        <v>0</v>
      </c>
      <c r="AL112" s="20">
        <f t="shared" si="81"/>
        <v>0</v>
      </c>
      <c r="AN112" s="20">
        <v>15</v>
      </c>
      <c r="AO112" s="20">
        <f>I112*0.0340394269621648</f>
        <v>0</v>
      </c>
      <c r="AP112" s="20">
        <f>I112*(1-0.0340394269621648)</f>
        <v>0</v>
      </c>
      <c r="AQ112" s="26" t="s">
        <v>598</v>
      </c>
      <c r="AV112" s="20">
        <f t="shared" si="82"/>
        <v>0</v>
      </c>
      <c r="AW112" s="20">
        <f t="shared" si="83"/>
        <v>0</v>
      </c>
      <c r="AX112" s="20">
        <f t="shared" si="84"/>
        <v>0</v>
      </c>
      <c r="AY112" s="26" t="s">
        <v>275</v>
      </c>
      <c r="AZ112" s="26" t="s">
        <v>244</v>
      </c>
      <c r="BA112" s="64" t="s">
        <v>452</v>
      </c>
      <c r="BC112" s="20">
        <f t="shared" si="85"/>
        <v>0</v>
      </c>
      <c r="BD112" s="20">
        <f t="shared" si="86"/>
        <v>0</v>
      </c>
      <c r="BE112" s="20">
        <v>0</v>
      </c>
      <c r="BF112" s="20">
        <f>112</f>
        <v>112</v>
      </c>
      <c r="BH112" s="20">
        <f t="shared" si="87"/>
        <v>0</v>
      </c>
      <c r="BI112" s="20">
        <f t="shared" si="88"/>
        <v>0</v>
      </c>
      <c r="BJ112" s="20">
        <f t="shared" si="89"/>
        <v>0</v>
      </c>
      <c r="BK112" s="20"/>
      <c r="BL112" s="20">
        <v>725</v>
      </c>
    </row>
    <row r="113" spans="1:64" ht="15" customHeight="1">
      <c r="A113" s="4" t="s">
        <v>429</v>
      </c>
      <c r="B113" s="17" t="s">
        <v>183</v>
      </c>
      <c r="C113" s="113" t="s">
        <v>561</v>
      </c>
      <c r="D113" s="113"/>
      <c r="E113" s="113"/>
      <c r="F113" s="113"/>
      <c r="G113" s="17" t="s">
        <v>154</v>
      </c>
      <c r="H113" s="20">
        <v>1</v>
      </c>
      <c r="I113" s="20">
        <v>0</v>
      </c>
      <c r="J113" s="20">
        <f t="shared" si="68"/>
        <v>0</v>
      </c>
      <c r="K113" s="20">
        <f t="shared" si="69"/>
        <v>0</v>
      </c>
      <c r="L113" s="20">
        <f t="shared" si="70"/>
        <v>0</v>
      </c>
      <c r="M113" s="31" t="s">
        <v>496</v>
      </c>
      <c r="Z113" s="20">
        <f t="shared" si="71"/>
        <v>0</v>
      </c>
      <c r="AB113" s="20">
        <f t="shared" si="72"/>
        <v>0</v>
      </c>
      <c r="AC113" s="20">
        <f t="shared" si="73"/>
        <v>0</v>
      </c>
      <c r="AD113" s="20">
        <f t="shared" si="74"/>
        <v>0</v>
      </c>
      <c r="AE113" s="20">
        <f t="shared" si="75"/>
        <v>0</v>
      </c>
      <c r="AF113" s="20">
        <f t="shared" si="76"/>
        <v>0</v>
      </c>
      <c r="AG113" s="20">
        <f t="shared" si="77"/>
        <v>0</v>
      </c>
      <c r="AH113" s="20">
        <f t="shared" si="78"/>
        <v>0</v>
      </c>
      <c r="AI113" s="64" t="s">
        <v>414</v>
      </c>
      <c r="AJ113" s="20">
        <f t="shared" si="79"/>
        <v>0</v>
      </c>
      <c r="AK113" s="20">
        <f t="shared" si="80"/>
        <v>0</v>
      </c>
      <c r="AL113" s="20">
        <f t="shared" si="81"/>
        <v>0</v>
      </c>
      <c r="AN113" s="20">
        <v>15</v>
      </c>
      <c r="AO113" s="20">
        <f>I113*0.208977030490288</f>
        <v>0</v>
      </c>
      <c r="AP113" s="20">
        <f>I113*(1-0.208977030490288)</f>
        <v>0</v>
      </c>
      <c r="AQ113" s="26" t="s">
        <v>598</v>
      </c>
      <c r="AV113" s="20">
        <f t="shared" si="82"/>
        <v>0</v>
      </c>
      <c r="AW113" s="20">
        <f t="shared" si="83"/>
        <v>0</v>
      </c>
      <c r="AX113" s="20">
        <f t="shared" si="84"/>
        <v>0</v>
      </c>
      <c r="AY113" s="26" t="s">
        <v>275</v>
      </c>
      <c r="AZ113" s="26" t="s">
        <v>244</v>
      </c>
      <c r="BA113" s="64" t="s">
        <v>452</v>
      </c>
      <c r="BC113" s="20">
        <f t="shared" si="85"/>
        <v>0</v>
      </c>
      <c r="BD113" s="20">
        <f t="shared" si="86"/>
        <v>0</v>
      </c>
      <c r="BE113" s="20">
        <v>0</v>
      </c>
      <c r="BF113" s="20">
        <f>113</f>
        <v>113</v>
      </c>
      <c r="BH113" s="20">
        <f t="shared" si="87"/>
        <v>0</v>
      </c>
      <c r="BI113" s="20">
        <f t="shared" si="88"/>
        <v>0</v>
      </c>
      <c r="BJ113" s="20">
        <f t="shared" si="89"/>
        <v>0</v>
      </c>
      <c r="BK113" s="20"/>
      <c r="BL113" s="20">
        <v>725</v>
      </c>
    </row>
    <row r="114" spans="1:64" ht="15" customHeight="1">
      <c r="A114" s="4" t="s">
        <v>669</v>
      </c>
      <c r="B114" s="17" t="s">
        <v>273</v>
      </c>
      <c r="C114" s="113" t="s">
        <v>482</v>
      </c>
      <c r="D114" s="113"/>
      <c r="E114" s="113"/>
      <c r="F114" s="113"/>
      <c r="G114" s="17" t="s">
        <v>154</v>
      </c>
      <c r="H114" s="20">
        <v>1</v>
      </c>
      <c r="I114" s="20">
        <v>0</v>
      </c>
      <c r="J114" s="20">
        <f t="shared" si="68"/>
        <v>0</v>
      </c>
      <c r="K114" s="20">
        <f t="shared" si="69"/>
        <v>0</v>
      </c>
      <c r="L114" s="20">
        <f t="shared" si="70"/>
        <v>0</v>
      </c>
      <c r="M114" s="31" t="s">
        <v>496</v>
      </c>
      <c r="Z114" s="20">
        <f t="shared" si="71"/>
        <v>0</v>
      </c>
      <c r="AB114" s="20">
        <f t="shared" si="72"/>
        <v>0</v>
      </c>
      <c r="AC114" s="20">
        <f t="shared" si="73"/>
        <v>0</v>
      </c>
      <c r="AD114" s="20">
        <f t="shared" si="74"/>
        <v>0</v>
      </c>
      <c r="AE114" s="20">
        <f t="shared" si="75"/>
        <v>0</v>
      </c>
      <c r="AF114" s="20">
        <f t="shared" si="76"/>
        <v>0</v>
      </c>
      <c r="AG114" s="20">
        <f t="shared" si="77"/>
        <v>0</v>
      </c>
      <c r="AH114" s="20">
        <f t="shared" si="78"/>
        <v>0</v>
      </c>
      <c r="AI114" s="64" t="s">
        <v>414</v>
      </c>
      <c r="AJ114" s="20">
        <f t="shared" si="79"/>
        <v>0</v>
      </c>
      <c r="AK114" s="20">
        <f t="shared" si="80"/>
        <v>0</v>
      </c>
      <c r="AL114" s="20">
        <f t="shared" si="81"/>
        <v>0</v>
      </c>
      <c r="AN114" s="20">
        <v>15</v>
      </c>
      <c r="AO114" s="20">
        <f>I114*0.913615333773959</f>
        <v>0</v>
      </c>
      <c r="AP114" s="20">
        <f>I114*(1-0.913615333773959)</f>
        <v>0</v>
      </c>
      <c r="AQ114" s="26" t="s">
        <v>598</v>
      </c>
      <c r="AV114" s="20">
        <f t="shared" si="82"/>
        <v>0</v>
      </c>
      <c r="AW114" s="20">
        <f t="shared" si="83"/>
        <v>0</v>
      </c>
      <c r="AX114" s="20">
        <f t="shared" si="84"/>
        <v>0</v>
      </c>
      <c r="AY114" s="26" t="s">
        <v>275</v>
      </c>
      <c r="AZ114" s="26" t="s">
        <v>244</v>
      </c>
      <c r="BA114" s="64" t="s">
        <v>452</v>
      </c>
      <c r="BC114" s="20">
        <f t="shared" si="85"/>
        <v>0</v>
      </c>
      <c r="BD114" s="20">
        <f t="shared" si="86"/>
        <v>0</v>
      </c>
      <c r="BE114" s="20">
        <v>0</v>
      </c>
      <c r="BF114" s="20">
        <f>114</f>
        <v>114</v>
      </c>
      <c r="BH114" s="20">
        <f t="shared" si="87"/>
        <v>0</v>
      </c>
      <c r="BI114" s="20">
        <f t="shared" si="88"/>
        <v>0</v>
      </c>
      <c r="BJ114" s="20">
        <f t="shared" si="89"/>
        <v>0</v>
      </c>
      <c r="BK114" s="20"/>
      <c r="BL114" s="20">
        <v>725</v>
      </c>
    </row>
    <row r="115" spans="1:64" ht="15" customHeight="1">
      <c r="A115" s="4" t="s">
        <v>141</v>
      </c>
      <c r="B115" s="17" t="s">
        <v>483</v>
      </c>
      <c r="C115" s="113" t="s">
        <v>364</v>
      </c>
      <c r="D115" s="113"/>
      <c r="E115" s="113"/>
      <c r="F115" s="113"/>
      <c r="G115" s="17" t="s">
        <v>154</v>
      </c>
      <c r="H115" s="20">
        <v>1</v>
      </c>
      <c r="I115" s="20">
        <v>0</v>
      </c>
      <c r="J115" s="20">
        <f t="shared" si="68"/>
        <v>0</v>
      </c>
      <c r="K115" s="20">
        <f t="shared" si="69"/>
        <v>0</v>
      </c>
      <c r="L115" s="20">
        <f t="shared" si="70"/>
        <v>0</v>
      </c>
      <c r="M115" s="31" t="s">
        <v>496</v>
      </c>
      <c r="Z115" s="20">
        <f t="shared" si="71"/>
        <v>0</v>
      </c>
      <c r="AB115" s="20">
        <f t="shared" si="72"/>
        <v>0</v>
      </c>
      <c r="AC115" s="20">
        <f t="shared" si="73"/>
        <v>0</v>
      </c>
      <c r="AD115" s="20">
        <f t="shared" si="74"/>
        <v>0</v>
      </c>
      <c r="AE115" s="20">
        <f t="shared" si="75"/>
        <v>0</v>
      </c>
      <c r="AF115" s="20">
        <f t="shared" si="76"/>
        <v>0</v>
      </c>
      <c r="AG115" s="20">
        <f t="shared" si="77"/>
        <v>0</v>
      </c>
      <c r="AH115" s="20">
        <f t="shared" si="78"/>
        <v>0</v>
      </c>
      <c r="AI115" s="64" t="s">
        <v>414</v>
      </c>
      <c r="AJ115" s="20">
        <f t="shared" si="79"/>
        <v>0</v>
      </c>
      <c r="AK115" s="20">
        <f t="shared" si="80"/>
        <v>0</v>
      </c>
      <c r="AL115" s="20">
        <f t="shared" si="81"/>
        <v>0</v>
      </c>
      <c r="AN115" s="20">
        <v>15</v>
      </c>
      <c r="AO115" s="20">
        <f>I115*0.825965379494008</f>
        <v>0</v>
      </c>
      <c r="AP115" s="20">
        <f>I115*(1-0.825965379494008)</f>
        <v>0</v>
      </c>
      <c r="AQ115" s="26" t="s">
        <v>598</v>
      </c>
      <c r="AV115" s="20">
        <f t="shared" si="82"/>
        <v>0</v>
      </c>
      <c r="AW115" s="20">
        <f t="shared" si="83"/>
        <v>0</v>
      </c>
      <c r="AX115" s="20">
        <f t="shared" si="84"/>
        <v>0</v>
      </c>
      <c r="AY115" s="26" t="s">
        <v>275</v>
      </c>
      <c r="AZ115" s="26" t="s">
        <v>244</v>
      </c>
      <c r="BA115" s="64" t="s">
        <v>452</v>
      </c>
      <c r="BC115" s="20">
        <f t="shared" si="85"/>
        <v>0</v>
      </c>
      <c r="BD115" s="20">
        <f t="shared" si="86"/>
        <v>0</v>
      </c>
      <c r="BE115" s="20">
        <v>0</v>
      </c>
      <c r="BF115" s="20">
        <f>115</f>
        <v>115</v>
      </c>
      <c r="BH115" s="20">
        <f t="shared" si="87"/>
        <v>0</v>
      </c>
      <c r="BI115" s="20">
        <f t="shared" si="88"/>
        <v>0</v>
      </c>
      <c r="BJ115" s="20">
        <f t="shared" si="89"/>
        <v>0</v>
      </c>
      <c r="BK115" s="20"/>
      <c r="BL115" s="20">
        <v>725</v>
      </c>
    </row>
    <row r="116" spans="1:64" ht="15" customHeight="1">
      <c r="A116" s="4" t="s">
        <v>302</v>
      </c>
      <c r="B116" s="17" t="s">
        <v>642</v>
      </c>
      <c r="C116" s="113" t="s">
        <v>168</v>
      </c>
      <c r="D116" s="113"/>
      <c r="E116" s="113"/>
      <c r="F116" s="113"/>
      <c r="G116" s="17" t="s">
        <v>216</v>
      </c>
      <c r="H116" s="20">
        <v>6</v>
      </c>
      <c r="I116" s="20">
        <v>0</v>
      </c>
      <c r="J116" s="20">
        <f t="shared" si="68"/>
        <v>0</v>
      </c>
      <c r="K116" s="20">
        <f t="shared" si="69"/>
        <v>0</v>
      </c>
      <c r="L116" s="20">
        <f t="shared" si="70"/>
        <v>0</v>
      </c>
      <c r="M116" s="31" t="s">
        <v>496</v>
      </c>
      <c r="Z116" s="20">
        <f t="shared" si="71"/>
        <v>0</v>
      </c>
      <c r="AB116" s="20">
        <f t="shared" si="72"/>
        <v>0</v>
      </c>
      <c r="AC116" s="20">
        <f t="shared" si="73"/>
        <v>0</v>
      </c>
      <c r="AD116" s="20">
        <f t="shared" si="74"/>
        <v>0</v>
      </c>
      <c r="AE116" s="20">
        <f t="shared" si="75"/>
        <v>0</v>
      </c>
      <c r="AF116" s="20">
        <f t="shared" si="76"/>
        <v>0</v>
      </c>
      <c r="AG116" s="20">
        <f t="shared" si="77"/>
        <v>0</v>
      </c>
      <c r="AH116" s="20">
        <f t="shared" si="78"/>
        <v>0</v>
      </c>
      <c r="AI116" s="64" t="s">
        <v>414</v>
      </c>
      <c r="AJ116" s="20">
        <f t="shared" si="79"/>
        <v>0</v>
      </c>
      <c r="AK116" s="20">
        <f t="shared" si="80"/>
        <v>0</v>
      </c>
      <c r="AL116" s="20">
        <f t="shared" si="81"/>
        <v>0</v>
      </c>
      <c r="AN116" s="20">
        <v>15</v>
      </c>
      <c r="AO116" s="20">
        <f>I116*0.521428571428571</f>
        <v>0</v>
      </c>
      <c r="AP116" s="20">
        <f>I116*(1-0.521428571428571)</f>
        <v>0</v>
      </c>
      <c r="AQ116" s="26" t="s">
        <v>598</v>
      </c>
      <c r="AV116" s="20">
        <f t="shared" si="82"/>
        <v>0</v>
      </c>
      <c r="AW116" s="20">
        <f t="shared" si="83"/>
        <v>0</v>
      </c>
      <c r="AX116" s="20">
        <f t="shared" si="84"/>
        <v>0</v>
      </c>
      <c r="AY116" s="26" t="s">
        <v>275</v>
      </c>
      <c r="AZ116" s="26" t="s">
        <v>244</v>
      </c>
      <c r="BA116" s="64" t="s">
        <v>452</v>
      </c>
      <c r="BC116" s="20">
        <f t="shared" si="85"/>
        <v>0</v>
      </c>
      <c r="BD116" s="20">
        <f t="shared" si="86"/>
        <v>0</v>
      </c>
      <c r="BE116" s="20">
        <v>0</v>
      </c>
      <c r="BF116" s="20">
        <f>116</f>
        <v>116</v>
      </c>
      <c r="BH116" s="20">
        <f t="shared" si="87"/>
        <v>0</v>
      </c>
      <c r="BI116" s="20">
        <f t="shared" si="88"/>
        <v>0</v>
      </c>
      <c r="BJ116" s="20">
        <f t="shared" si="89"/>
        <v>0</v>
      </c>
      <c r="BK116" s="20"/>
      <c r="BL116" s="20">
        <v>725</v>
      </c>
    </row>
    <row r="117" spans="1:64" ht="15" customHeight="1">
      <c r="A117" s="4" t="s">
        <v>665</v>
      </c>
      <c r="B117" s="17" t="s">
        <v>210</v>
      </c>
      <c r="C117" s="113" t="s">
        <v>550</v>
      </c>
      <c r="D117" s="113"/>
      <c r="E117" s="113"/>
      <c r="F117" s="113"/>
      <c r="G117" s="17" t="s">
        <v>216</v>
      </c>
      <c r="H117" s="20">
        <v>1</v>
      </c>
      <c r="I117" s="20">
        <v>0</v>
      </c>
      <c r="J117" s="20">
        <f t="shared" si="68"/>
        <v>0</v>
      </c>
      <c r="K117" s="20">
        <f t="shared" si="69"/>
        <v>0</v>
      </c>
      <c r="L117" s="20">
        <f t="shared" si="70"/>
        <v>0</v>
      </c>
      <c r="M117" s="31" t="s">
        <v>496</v>
      </c>
      <c r="Z117" s="20">
        <f t="shared" si="71"/>
        <v>0</v>
      </c>
      <c r="AB117" s="20">
        <f t="shared" si="72"/>
        <v>0</v>
      </c>
      <c r="AC117" s="20">
        <f t="shared" si="73"/>
        <v>0</v>
      </c>
      <c r="AD117" s="20">
        <f t="shared" si="74"/>
        <v>0</v>
      </c>
      <c r="AE117" s="20">
        <f t="shared" si="75"/>
        <v>0</v>
      </c>
      <c r="AF117" s="20">
        <f t="shared" si="76"/>
        <v>0</v>
      </c>
      <c r="AG117" s="20">
        <f t="shared" si="77"/>
        <v>0</v>
      </c>
      <c r="AH117" s="20">
        <f t="shared" si="78"/>
        <v>0</v>
      </c>
      <c r="AI117" s="64" t="s">
        <v>414</v>
      </c>
      <c r="AJ117" s="20">
        <f t="shared" si="79"/>
        <v>0</v>
      </c>
      <c r="AK117" s="20">
        <f t="shared" si="80"/>
        <v>0</v>
      </c>
      <c r="AL117" s="20">
        <f t="shared" si="81"/>
        <v>0</v>
      </c>
      <c r="AN117" s="20">
        <v>15</v>
      </c>
      <c r="AO117" s="20">
        <f>I117*0.322200980392157</f>
        <v>0</v>
      </c>
      <c r="AP117" s="20">
        <f>I117*(1-0.322200980392157)</f>
        <v>0</v>
      </c>
      <c r="AQ117" s="26" t="s">
        <v>598</v>
      </c>
      <c r="AV117" s="20">
        <f t="shared" si="82"/>
        <v>0</v>
      </c>
      <c r="AW117" s="20">
        <f t="shared" si="83"/>
        <v>0</v>
      </c>
      <c r="AX117" s="20">
        <f t="shared" si="84"/>
        <v>0</v>
      </c>
      <c r="AY117" s="26" t="s">
        <v>275</v>
      </c>
      <c r="AZ117" s="26" t="s">
        <v>244</v>
      </c>
      <c r="BA117" s="64" t="s">
        <v>452</v>
      </c>
      <c r="BC117" s="20">
        <f t="shared" si="85"/>
        <v>0</v>
      </c>
      <c r="BD117" s="20">
        <f t="shared" si="86"/>
        <v>0</v>
      </c>
      <c r="BE117" s="20">
        <v>0</v>
      </c>
      <c r="BF117" s="20">
        <f>117</f>
        <v>117</v>
      </c>
      <c r="BH117" s="20">
        <f t="shared" si="87"/>
        <v>0</v>
      </c>
      <c r="BI117" s="20">
        <f t="shared" si="88"/>
        <v>0</v>
      </c>
      <c r="BJ117" s="20">
        <f t="shared" si="89"/>
        <v>0</v>
      </c>
      <c r="BK117" s="20"/>
      <c r="BL117" s="20">
        <v>725</v>
      </c>
    </row>
    <row r="118" spans="1:64" ht="15" customHeight="1">
      <c r="A118" s="81" t="s">
        <v>629</v>
      </c>
      <c r="B118" s="18" t="s">
        <v>222</v>
      </c>
      <c r="C118" s="170" t="s">
        <v>604</v>
      </c>
      <c r="D118" s="113"/>
      <c r="E118" s="113"/>
      <c r="F118" s="170"/>
      <c r="G118" s="18" t="s">
        <v>154</v>
      </c>
      <c r="H118" s="80">
        <v>1</v>
      </c>
      <c r="I118" s="80">
        <v>0</v>
      </c>
      <c r="J118" s="80">
        <f t="shared" si="68"/>
        <v>0</v>
      </c>
      <c r="K118" s="80">
        <f t="shared" si="69"/>
        <v>0</v>
      </c>
      <c r="L118" s="80">
        <f t="shared" si="70"/>
        <v>0</v>
      </c>
      <c r="M118" s="41" t="s">
        <v>496</v>
      </c>
      <c r="Z118" s="20">
        <f t="shared" si="71"/>
        <v>0</v>
      </c>
      <c r="AB118" s="20">
        <f t="shared" si="72"/>
        <v>0</v>
      </c>
      <c r="AC118" s="20">
        <f t="shared" si="73"/>
        <v>0</v>
      </c>
      <c r="AD118" s="20">
        <f t="shared" si="74"/>
        <v>0</v>
      </c>
      <c r="AE118" s="20">
        <f t="shared" si="75"/>
        <v>0</v>
      </c>
      <c r="AF118" s="20">
        <f t="shared" si="76"/>
        <v>0</v>
      </c>
      <c r="AG118" s="20">
        <f t="shared" si="77"/>
        <v>0</v>
      </c>
      <c r="AH118" s="20">
        <f t="shared" si="78"/>
        <v>0</v>
      </c>
      <c r="AI118" s="64" t="s">
        <v>414</v>
      </c>
      <c r="AJ118" s="20">
        <f t="shared" si="79"/>
        <v>0</v>
      </c>
      <c r="AK118" s="20">
        <f t="shared" si="80"/>
        <v>0</v>
      </c>
      <c r="AL118" s="20">
        <f t="shared" si="81"/>
        <v>0</v>
      </c>
      <c r="AN118" s="20">
        <v>15</v>
      </c>
      <c r="AO118" s="20">
        <f>I118*0.883456221198157</f>
        <v>0</v>
      </c>
      <c r="AP118" s="20">
        <f>I118*(1-0.883456221198157)</f>
        <v>0</v>
      </c>
      <c r="AQ118" s="26" t="s">
        <v>598</v>
      </c>
      <c r="AV118" s="20">
        <f t="shared" si="82"/>
        <v>0</v>
      </c>
      <c r="AW118" s="20">
        <f t="shared" si="83"/>
        <v>0</v>
      </c>
      <c r="AX118" s="20">
        <f t="shared" si="84"/>
        <v>0</v>
      </c>
      <c r="AY118" s="26" t="s">
        <v>275</v>
      </c>
      <c r="AZ118" s="26" t="s">
        <v>244</v>
      </c>
      <c r="BA118" s="64" t="s">
        <v>452</v>
      </c>
      <c r="BC118" s="20">
        <f t="shared" si="85"/>
        <v>0</v>
      </c>
      <c r="BD118" s="20">
        <f t="shared" si="86"/>
        <v>0</v>
      </c>
      <c r="BE118" s="20">
        <v>0</v>
      </c>
      <c r="BF118" s="20">
        <f>118</f>
        <v>118</v>
      </c>
      <c r="BH118" s="20">
        <f t="shared" si="87"/>
        <v>0</v>
      </c>
      <c r="BI118" s="20">
        <f t="shared" si="88"/>
        <v>0</v>
      </c>
      <c r="BJ118" s="20">
        <f t="shared" si="89"/>
        <v>0</v>
      </c>
      <c r="BK118" s="20"/>
      <c r="BL118" s="20">
        <v>725</v>
      </c>
    </row>
    <row r="119" spans="1:64" ht="15" customHeight="1">
      <c r="A119" s="81" t="s">
        <v>11</v>
      </c>
      <c r="B119" s="18" t="s">
        <v>637</v>
      </c>
      <c r="C119" s="170" t="s">
        <v>579</v>
      </c>
      <c r="D119" s="113"/>
      <c r="E119" s="113"/>
      <c r="F119" s="170"/>
      <c r="G119" s="18" t="s">
        <v>154</v>
      </c>
      <c r="H119" s="80">
        <v>1</v>
      </c>
      <c r="I119" s="80">
        <v>0</v>
      </c>
      <c r="J119" s="80">
        <f t="shared" si="68"/>
        <v>0</v>
      </c>
      <c r="K119" s="80">
        <f t="shared" si="69"/>
        <v>0</v>
      </c>
      <c r="L119" s="80">
        <f t="shared" si="70"/>
        <v>0</v>
      </c>
      <c r="M119" s="41" t="s">
        <v>496</v>
      </c>
      <c r="Z119" s="20">
        <f t="shared" si="71"/>
        <v>0</v>
      </c>
      <c r="AB119" s="20">
        <f t="shared" si="72"/>
        <v>0</v>
      </c>
      <c r="AC119" s="20">
        <f t="shared" si="73"/>
        <v>0</v>
      </c>
      <c r="AD119" s="20">
        <f t="shared" si="74"/>
        <v>0</v>
      </c>
      <c r="AE119" s="20">
        <f t="shared" si="75"/>
        <v>0</v>
      </c>
      <c r="AF119" s="20">
        <f t="shared" si="76"/>
        <v>0</v>
      </c>
      <c r="AG119" s="20">
        <f t="shared" si="77"/>
        <v>0</v>
      </c>
      <c r="AH119" s="20">
        <f t="shared" si="78"/>
        <v>0</v>
      </c>
      <c r="AI119" s="64" t="s">
        <v>414</v>
      </c>
      <c r="AJ119" s="20">
        <f t="shared" si="79"/>
        <v>0</v>
      </c>
      <c r="AK119" s="20">
        <f t="shared" si="80"/>
        <v>0</v>
      </c>
      <c r="AL119" s="20">
        <f t="shared" si="81"/>
        <v>0</v>
      </c>
      <c r="AN119" s="20">
        <v>15</v>
      </c>
      <c r="AO119" s="20">
        <f>I119*0.893735309054791</f>
        <v>0</v>
      </c>
      <c r="AP119" s="20">
        <f>I119*(1-0.893735309054791)</f>
        <v>0</v>
      </c>
      <c r="AQ119" s="26" t="s">
        <v>598</v>
      </c>
      <c r="AV119" s="20">
        <f t="shared" si="82"/>
        <v>0</v>
      </c>
      <c r="AW119" s="20">
        <f t="shared" si="83"/>
        <v>0</v>
      </c>
      <c r="AX119" s="20">
        <f t="shared" si="84"/>
        <v>0</v>
      </c>
      <c r="AY119" s="26" t="s">
        <v>275</v>
      </c>
      <c r="AZ119" s="26" t="s">
        <v>244</v>
      </c>
      <c r="BA119" s="64" t="s">
        <v>452</v>
      </c>
      <c r="BC119" s="20">
        <f t="shared" si="85"/>
        <v>0</v>
      </c>
      <c r="BD119" s="20">
        <f t="shared" si="86"/>
        <v>0</v>
      </c>
      <c r="BE119" s="20">
        <v>0</v>
      </c>
      <c r="BF119" s="20">
        <f>119</f>
        <v>119</v>
      </c>
      <c r="BH119" s="20">
        <f t="shared" si="87"/>
        <v>0</v>
      </c>
      <c r="BI119" s="20">
        <f t="shared" si="88"/>
        <v>0</v>
      </c>
      <c r="BJ119" s="20">
        <f t="shared" si="89"/>
        <v>0</v>
      </c>
      <c r="BK119" s="20"/>
      <c r="BL119" s="20">
        <v>725</v>
      </c>
    </row>
    <row r="120" spans="1:64" ht="15" customHeight="1">
      <c r="A120" s="81" t="s">
        <v>104</v>
      </c>
      <c r="B120" s="18" t="s">
        <v>443</v>
      </c>
      <c r="C120" s="170" t="s">
        <v>484</v>
      </c>
      <c r="D120" s="113"/>
      <c r="E120" s="113"/>
      <c r="F120" s="170"/>
      <c r="G120" s="18" t="s">
        <v>154</v>
      </c>
      <c r="H120" s="80">
        <v>1</v>
      </c>
      <c r="I120" s="80">
        <v>0</v>
      </c>
      <c r="J120" s="80">
        <f t="shared" si="68"/>
        <v>0</v>
      </c>
      <c r="K120" s="80">
        <f t="shared" si="69"/>
        <v>0</v>
      </c>
      <c r="L120" s="80">
        <f t="shared" si="70"/>
        <v>0</v>
      </c>
      <c r="M120" s="41" t="s">
        <v>496</v>
      </c>
      <c r="Z120" s="20">
        <f t="shared" si="71"/>
        <v>0</v>
      </c>
      <c r="AB120" s="20">
        <f t="shared" si="72"/>
        <v>0</v>
      </c>
      <c r="AC120" s="20">
        <f t="shared" si="73"/>
        <v>0</v>
      </c>
      <c r="AD120" s="20">
        <f t="shared" si="74"/>
        <v>0</v>
      </c>
      <c r="AE120" s="20">
        <f t="shared" si="75"/>
        <v>0</v>
      </c>
      <c r="AF120" s="20">
        <f t="shared" si="76"/>
        <v>0</v>
      </c>
      <c r="AG120" s="20">
        <f t="shared" si="77"/>
        <v>0</v>
      </c>
      <c r="AH120" s="20">
        <f t="shared" si="78"/>
        <v>0</v>
      </c>
      <c r="AI120" s="64" t="s">
        <v>414</v>
      </c>
      <c r="AJ120" s="20">
        <f t="shared" si="79"/>
        <v>0</v>
      </c>
      <c r="AK120" s="20">
        <f t="shared" si="80"/>
        <v>0</v>
      </c>
      <c r="AL120" s="20">
        <f t="shared" si="81"/>
        <v>0</v>
      </c>
      <c r="AN120" s="20">
        <v>15</v>
      </c>
      <c r="AO120" s="20">
        <f>I120*0.861391111111111</f>
        <v>0</v>
      </c>
      <c r="AP120" s="20">
        <f>I120*(1-0.861391111111111)</f>
        <v>0</v>
      </c>
      <c r="AQ120" s="26" t="s">
        <v>598</v>
      </c>
      <c r="AV120" s="20">
        <f t="shared" si="82"/>
        <v>0</v>
      </c>
      <c r="AW120" s="20">
        <f t="shared" si="83"/>
        <v>0</v>
      </c>
      <c r="AX120" s="20">
        <f t="shared" si="84"/>
        <v>0</v>
      </c>
      <c r="AY120" s="26" t="s">
        <v>275</v>
      </c>
      <c r="AZ120" s="26" t="s">
        <v>244</v>
      </c>
      <c r="BA120" s="64" t="s">
        <v>452</v>
      </c>
      <c r="BC120" s="20">
        <f t="shared" si="85"/>
        <v>0</v>
      </c>
      <c r="BD120" s="20">
        <f t="shared" si="86"/>
        <v>0</v>
      </c>
      <c r="BE120" s="20">
        <v>0</v>
      </c>
      <c r="BF120" s="20">
        <f>120</f>
        <v>120</v>
      </c>
      <c r="BH120" s="20">
        <f t="shared" si="87"/>
        <v>0</v>
      </c>
      <c r="BI120" s="20">
        <f t="shared" si="88"/>
        <v>0</v>
      </c>
      <c r="BJ120" s="20">
        <f t="shared" si="89"/>
        <v>0</v>
      </c>
      <c r="BK120" s="20"/>
      <c r="BL120" s="20">
        <v>725</v>
      </c>
    </row>
    <row r="121" spans="1:64" ht="15" customHeight="1">
      <c r="A121" s="81" t="s">
        <v>128</v>
      </c>
      <c r="B121" s="18" t="s">
        <v>493</v>
      </c>
      <c r="C121" s="170" t="s">
        <v>179</v>
      </c>
      <c r="D121" s="113"/>
      <c r="E121" s="113"/>
      <c r="F121" s="170"/>
      <c r="G121" s="18" t="s">
        <v>216</v>
      </c>
      <c r="H121" s="80">
        <v>1</v>
      </c>
      <c r="I121" s="80">
        <v>0</v>
      </c>
      <c r="J121" s="80">
        <f t="shared" si="68"/>
        <v>0</v>
      </c>
      <c r="K121" s="80">
        <f t="shared" si="69"/>
        <v>0</v>
      </c>
      <c r="L121" s="80">
        <f t="shared" si="70"/>
        <v>0</v>
      </c>
      <c r="M121" s="41" t="s">
        <v>496</v>
      </c>
      <c r="Z121" s="20">
        <f t="shared" si="71"/>
        <v>0</v>
      </c>
      <c r="AB121" s="20">
        <f t="shared" si="72"/>
        <v>0</v>
      </c>
      <c r="AC121" s="20">
        <f t="shared" si="73"/>
        <v>0</v>
      </c>
      <c r="AD121" s="20">
        <f t="shared" si="74"/>
        <v>0</v>
      </c>
      <c r="AE121" s="20">
        <f t="shared" si="75"/>
        <v>0</v>
      </c>
      <c r="AF121" s="20">
        <f t="shared" si="76"/>
        <v>0</v>
      </c>
      <c r="AG121" s="20">
        <f t="shared" si="77"/>
        <v>0</v>
      </c>
      <c r="AH121" s="20">
        <f t="shared" si="78"/>
        <v>0</v>
      </c>
      <c r="AI121" s="64" t="s">
        <v>414</v>
      </c>
      <c r="AJ121" s="20">
        <f t="shared" si="79"/>
        <v>0</v>
      </c>
      <c r="AK121" s="20">
        <f t="shared" si="80"/>
        <v>0</v>
      </c>
      <c r="AL121" s="20">
        <f t="shared" si="81"/>
        <v>0</v>
      </c>
      <c r="AN121" s="20">
        <v>15</v>
      </c>
      <c r="AO121" s="20">
        <f>I121*0.918577485506619</f>
        <v>0</v>
      </c>
      <c r="AP121" s="20">
        <f>I121*(1-0.918577485506619)</f>
        <v>0</v>
      </c>
      <c r="AQ121" s="26" t="s">
        <v>598</v>
      </c>
      <c r="AV121" s="20">
        <f t="shared" si="82"/>
        <v>0</v>
      </c>
      <c r="AW121" s="20">
        <f t="shared" si="83"/>
        <v>0</v>
      </c>
      <c r="AX121" s="20">
        <f t="shared" si="84"/>
        <v>0</v>
      </c>
      <c r="AY121" s="26" t="s">
        <v>275</v>
      </c>
      <c r="AZ121" s="26" t="s">
        <v>244</v>
      </c>
      <c r="BA121" s="64" t="s">
        <v>452</v>
      </c>
      <c r="BC121" s="20">
        <f t="shared" si="85"/>
        <v>0</v>
      </c>
      <c r="BD121" s="20">
        <f t="shared" si="86"/>
        <v>0</v>
      </c>
      <c r="BE121" s="20">
        <v>0</v>
      </c>
      <c r="BF121" s="20">
        <f>121</f>
        <v>121</v>
      </c>
      <c r="BH121" s="20">
        <f t="shared" si="87"/>
        <v>0</v>
      </c>
      <c r="BI121" s="20">
        <f t="shared" si="88"/>
        <v>0</v>
      </c>
      <c r="BJ121" s="20">
        <f t="shared" si="89"/>
        <v>0</v>
      </c>
      <c r="BK121" s="20"/>
      <c r="BL121" s="20">
        <v>725</v>
      </c>
    </row>
    <row r="122" spans="1:64" ht="15" customHeight="1">
      <c r="A122" s="4" t="s">
        <v>462</v>
      </c>
      <c r="B122" s="17" t="s">
        <v>459</v>
      </c>
      <c r="C122" s="113" t="s">
        <v>73</v>
      </c>
      <c r="D122" s="113"/>
      <c r="E122" s="113"/>
      <c r="F122" s="113"/>
      <c r="G122" s="17" t="s">
        <v>216</v>
      </c>
      <c r="H122" s="20">
        <v>1</v>
      </c>
      <c r="I122" s="20">
        <v>0</v>
      </c>
      <c r="J122" s="20">
        <f t="shared" si="68"/>
        <v>0</v>
      </c>
      <c r="K122" s="20">
        <f t="shared" si="69"/>
        <v>0</v>
      </c>
      <c r="L122" s="20">
        <f t="shared" si="70"/>
        <v>0</v>
      </c>
      <c r="M122" s="31" t="s">
        <v>496</v>
      </c>
      <c r="Z122" s="20">
        <f t="shared" si="71"/>
        <v>0</v>
      </c>
      <c r="AB122" s="20">
        <f t="shared" si="72"/>
        <v>0</v>
      </c>
      <c r="AC122" s="20">
        <f t="shared" si="73"/>
        <v>0</v>
      </c>
      <c r="AD122" s="20">
        <f t="shared" si="74"/>
        <v>0</v>
      </c>
      <c r="AE122" s="20">
        <f t="shared" si="75"/>
        <v>0</v>
      </c>
      <c r="AF122" s="20">
        <f t="shared" si="76"/>
        <v>0</v>
      </c>
      <c r="AG122" s="20">
        <f t="shared" si="77"/>
        <v>0</v>
      </c>
      <c r="AH122" s="20">
        <f t="shared" si="78"/>
        <v>0</v>
      </c>
      <c r="AI122" s="64" t="s">
        <v>414</v>
      </c>
      <c r="AJ122" s="20">
        <f t="shared" si="79"/>
        <v>0</v>
      </c>
      <c r="AK122" s="20">
        <f t="shared" si="80"/>
        <v>0</v>
      </c>
      <c r="AL122" s="20">
        <f t="shared" si="81"/>
        <v>0</v>
      </c>
      <c r="AN122" s="20">
        <v>15</v>
      </c>
      <c r="AO122" s="20">
        <f>I122*0.449311960465893</f>
        <v>0</v>
      </c>
      <c r="AP122" s="20">
        <f>I122*(1-0.449311960465893)</f>
        <v>0</v>
      </c>
      <c r="AQ122" s="26" t="s">
        <v>598</v>
      </c>
      <c r="AV122" s="20">
        <f t="shared" si="82"/>
        <v>0</v>
      </c>
      <c r="AW122" s="20">
        <f t="shared" si="83"/>
        <v>0</v>
      </c>
      <c r="AX122" s="20">
        <f t="shared" si="84"/>
        <v>0</v>
      </c>
      <c r="AY122" s="26" t="s">
        <v>275</v>
      </c>
      <c r="AZ122" s="26" t="s">
        <v>244</v>
      </c>
      <c r="BA122" s="64" t="s">
        <v>452</v>
      </c>
      <c r="BC122" s="20">
        <f t="shared" si="85"/>
        <v>0</v>
      </c>
      <c r="BD122" s="20">
        <f t="shared" si="86"/>
        <v>0</v>
      </c>
      <c r="BE122" s="20">
        <v>0</v>
      </c>
      <c r="BF122" s="20">
        <f>122</f>
        <v>122</v>
      </c>
      <c r="BH122" s="20">
        <f t="shared" si="87"/>
        <v>0</v>
      </c>
      <c r="BI122" s="20">
        <f t="shared" si="88"/>
        <v>0</v>
      </c>
      <c r="BJ122" s="20">
        <f t="shared" si="89"/>
        <v>0</v>
      </c>
      <c r="BK122" s="20"/>
      <c r="BL122" s="20">
        <v>725</v>
      </c>
    </row>
    <row r="123" spans="1:64" ht="15" customHeight="1">
      <c r="A123" s="81" t="s">
        <v>62</v>
      </c>
      <c r="B123" s="18" t="s">
        <v>190</v>
      </c>
      <c r="C123" s="170" t="s">
        <v>331</v>
      </c>
      <c r="D123" s="113"/>
      <c r="E123" s="113"/>
      <c r="F123" s="170"/>
      <c r="G123" s="18" t="s">
        <v>216</v>
      </c>
      <c r="H123" s="80">
        <v>1</v>
      </c>
      <c r="I123" s="80">
        <v>0</v>
      </c>
      <c r="J123" s="80">
        <f t="shared" si="68"/>
        <v>0</v>
      </c>
      <c r="K123" s="80">
        <f t="shared" si="69"/>
        <v>0</v>
      </c>
      <c r="L123" s="80">
        <f t="shared" si="70"/>
        <v>0</v>
      </c>
      <c r="M123" s="41" t="s">
        <v>496</v>
      </c>
      <c r="Z123" s="20">
        <f t="shared" si="71"/>
        <v>0</v>
      </c>
      <c r="AB123" s="20">
        <f t="shared" si="72"/>
        <v>0</v>
      </c>
      <c r="AC123" s="20">
        <f t="shared" si="73"/>
        <v>0</v>
      </c>
      <c r="AD123" s="20">
        <f t="shared" si="74"/>
        <v>0</v>
      </c>
      <c r="AE123" s="20">
        <f t="shared" si="75"/>
        <v>0</v>
      </c>
      <c r="AF123" s="20">
        <f t="shared" si="76"/>
        <v>0</v>
      </c>
      <c r="AG123" s="20">
        <f t="shared" si="77"/>
        <v>0</v>
      </c>
      <c r="AH123" s="20">
        <f t="shared" si="78"/>
        <v>0</v>
      </c>
      <c r="AI123" s="64" t="s">
        <v>414</v>
      </c>
      <c r="AJ123" s="20">
        <f t="shared" si="79"/>
        <v>0</v>
      </c>
      <c r="AK123" s="20">
        <f t="shared" si="80"/>
        <v>0</v>
      </c>
      <c r="AL123" s="20">
        <f t="shared" si="81"/>
        <v>0</v>
      </c>
      <c r="AN123" s="20">
        <v>15</v>
      </c>
      <c r="AO123" s="20">
        <f>I123*0.856271440466278</f>
        <v>0</v>
      </c>
      <c r="AP123" s="20">
        <f>I123*(1-0.856271440466278)</f>
        <v>0</v>
      </c>
      <c r="AQ123" s="26" t="s">
        <v>598</v>
      </c>
      <c r="AV123" s="20">
        <f t="shared" si="82"/>
        <v>0</v>
      </c>
      <c r="AW123" s="20">
        <f t="shared" si="83"/>
        <v>0</v>
      </c>
      <c r="AX123" s="20">
        <f t="shared" si="84"/>
        <v>0</v>
      </c>
      <c r="AY123" s="26" t="s">
        <v>275</v>
      </c>
      <c r="AZ123" s="26" t="s">
        <v>244</v>
      </c>
      <c r="BA123" s="64" t="s">
        <v>452</v>
      </c>
      <c r="BC123" s="20">
        <f t="shared" si="85"/>
        <v>0</v>
      </c>
      <c r="BD123" s="20">
        <f t="shared" si="86"/>
        <v>0</v>
      </c>
      <c r="BE123" s="20">
        <v>0</v>
      </c>
      <c r="BF123" s="20">
        <f>123</f>
        <v>123</v>
      </c>
      <c r="BH123" s="20">
        <f t="shared" si="87"/>
        <v>0</v>
      </c>
      <c r="BI123" s="20">
        <f t="shared" si="88"/>
        <v>0</v>
      </c>
      <c r="BJ123" s="20">
        <f t="shared" si="89"/>
        <v>0</v>
      </c>
      <c r="BK123" s="20"/>
      <c r="BL123" s="20">
        <v>725</v>
      </c>
    </row>
    <row r="124" spans="1:64" ht="15" customHeight="1">
      <c r="A124" s="81" t="s">
        <v>456</v>
      </c>
      <c r="B124" s="18" t="s">
        <v>673</v>
      </c>
      <c r="C124" s="170" t="s">
        <v>303</v>
      </c>
      <c r="D124" s="113"/>
      <c r="E124" s="113"/>
      <c r="F124" s="170"/>
      <c r="G124" s="18" t="s">
        <v>154</v>
      </c>
      <c r="H124" s="80">
        <v>1</v>
      </c>
      <c r="I124" s="80">
        <v>0</v>
      </c>
      <c r="J124" s="80">
        <f t="shared" si="68"/>
        <v>0</v>
      </c>
      <c r="K124" s="80">
        <f t="shared" si="69"/>
        <v>0</v>
      </c>
      <c r="L124" s="80">
        <f t="shared" si="70"/>
        <v>0</v>
      </c>
      <c r="M124" s="41" t="s">
        <v>496</v>
      </c>
      <c r="Z124" s="20">
        <f t="shared" si="71"/>
        <v>0</v>
      </c>
      <c r="AB124" s="20">
        <f t="shared" si="72"/>
        <v>0</v>
      </c>
      <c r="AC124" s="20">
        <f t="shared" si="73"/>
        <v>0</v>
      </c>
      <c r="AD124" s="20">
        <f t="shared" si="74"/>
        <v>0</v>
      </c>
      <c r="AE124" s="20">
        <f t="shared" si="75"/>
        <v>0</v>
      </c>
      <c r="AF124" s="20">
        <f t="shared" si="76"/>
        <v>0</v>
      </c>
      <c r="AG124" s="20">
        <f t="shared" si="77"/>
        <v>0</v>
      </c>
      <c r="AH124" s="20">
        <f t="shared" si="78"/>
        <v>0</v>
      </c>
      <c r="AI124" s="64" t="s">
        <v>414</v>
      </c>
      <c r="AJ124" s="20">
        <f t="shared" si="79"/>
        <v>0</v>
      </c>
      <c r="AK124" s="20">
        <f t="shared" si="80"/>
        <v>0</v>
      </c>
      <c r="AL124" s="20">
        <f t="shared" si="81"/>
        <v>0</v>
      </c>
      <c r="AN124" s="20">
        <v>15</v>
      </c>
      <c r="AO124" s="20">
        <f>I124*1</f>
        <v>0</v>
      </c>
      <c r="AP124" s="20">
        <f>I124*(1-1)</f>
        <v>0</v>
      </c>
      <c r="AQ124" s="26" t="s">
        <v>598</v>
      </c>
      <c r="AV124" s="20">
        <f t="shared" si="82"/>
        <v>0</v>
      </c>
      <c r="AW124" s="20">
        <f t="shared" si="83"/>
        <v>0</v>
      </c>
      <c r="AX124" s="20">
        <f t="shared" si="84"/>
        <v>0</v>
      </c>
      <c r="AY124" s="26" t="s">
        <v>275</v>
      </c>
      <c r="AZ124" s="26" t="s">
        <v>244</v>
      </c>
      <c r="BA124" s="64" t="s">
        <v>452</v>
      </c>
      <c r="BC124" s="20">
        <f t="shared" si="85"/>
        <v>0</v>
      </c>
      <c r="BD124" s="20">
        <f t="shared" si="86"/>
        <v>0</v>
      </c>
      <c r="BE124" s="20">
        <v>0</v>
      </c>
      <c r="BF124" s="20">
        <f>124</f>
        <v>124</v>
      </c>
      <c r="BH124" s="20">
        <f t="shared" si="87"/>
        <v>0</v>
      </c>
      <c r="BI124" s="20">
        <f t="shared" si="88"/>
        <v>0</v>
      </c>
      <c r="BJ124" s="20">
        <f t="shared" si="89"/>
        <v>0</v>
      </c>
      <c r="BK124" s="20"/>
      <c r="BL124" s="20">
        <v>725</v>
      </c>
    </row>
    <row r="125" spans="1:64" ht="15" customHeight="1">
      <c r="A125" s="81" t="s">
        <v>368</v>
      </c>
      <c r="B125" s="18" t="s">
        <v>517</v>
      </c>
      <c r="C125" s="170" t="s">
        <v>15</v>
      </c>
      <c r="D125" s="113"/>
      <c r="E125" s="113"/>
      <c r="F125" s="170"/>
      <c r="G125" s="18" t="s">
        <v>154</v>
      </c>
      <c r="H125" s="80">
        <v>1</v>
      </c>
      <c r="I125" s="80">
        <v>0</v>
      </c>
      <c r="J125" s="80">
        <f t="shared" si="68"/>
        <v>0</v>
      </c>
      <c r="K125" s="80">
        <f t="shared" si="69"/>
        <v>0</v>
      </c>
      <c r="L125" s="80">
        <f t="shared" si="70"/>
        <v>0</v>
      </c>
      <c r="M125" s="41" t="s">
        <v>496</v>
      </c>
      <c r="Z125" s="20">
        <f t="shared" si="71"/>
        <v>0</v>
      </c>
      <c r="AB125" s="20">
        <f t="shared" si="72"/>
        <v>0</v>
      </c>
      <c r="AC125" s="20">
        <f t="shared" si="73"/>
        <v>0</v>
      </c>
      <c r="AD125" s="20">
        <f t="shared" si="74"/>
        <v>0</v>
      </c>
      <c r="AE125" s="20">
        <f t="shared" si="75"/>
        <v>0</v>
      </c>
      <c r="AF125" s="20">
        <f t="shared" si="76"/>
        <v>0</v>
      </c>
      <c r="AG125" s="20">
        <f t="shared" si="77"/>
        <v>0</v>
      </c>
      <c r="AH125" s="20">
        <f t="shared" si="78"/>
        <v>0</v>
      </c>
      <c r="AI125" s="64" t="s">
        <v>414</v>
      </c>
      <c r="AJ125" s="20">
        <f t="shared" si="79"/>
        <v>0</v>
      </c>
      <c r="AK125" s="20">
        <f t="shared" si="80"/>
        <v>0</v>
      </c>
      <c r="AL125" s="20">
        <f t="shared" si="81"/>
        <v>0</v>
      </c>
      <c r="AN125" s="20">
        <v>15</v>
      </c>
      <c r="AO125" s="20">
        <f>I125*1</f>
        <v>0</v>
      </c>
      <c r="AP125" s="20">
        <f>I125*(1-1)</f>
        <v>0</v>
      </c>
      <c r="AQ125" s="26" t="s">
        <v>598</v>
      </c>
      <c r="AV125" s="20">
        <f t="shared" si="82"/>
        <v>0</v>
      </c>
      <c r="AW125" s="20">
        <f t="shared" si="83"/>
        <v>0</v>
      </c>
      <c r="AX125" s="20">
        <f t="shared" si="84"/>
        <v>0</v>
      </c>
      <c r="AY125" s="26" t="s">
        <v>275</v>
      </c>
      <c r="AZ125" s="26" t="s">
        <v>244</v>
      </c>
      <c r="BA125" s="64" t="s">
        <v>452</v>
      </c>
      <c r="BC125" s="20">
        <f t="shared" si="85"/>
        <v>0</v>
      </c>
      <c r="BD125" s="20">
        <f t="shared" si="86"/>
        <v>0</v>
      </c>
      <c r="BE125" s="20">
        <v>0</v>
      </c>
      <c r="BF125" s="20">
        <f>125</f>
        <v>125</v>
      </c>
      <c r="BH125" s="20">
        <f t="shared" si="87"/>
        <v>0</v>
      </c>
      <c r="BI125" s="20">
        <f t="shared" si="88"/>
        <v>0</v>
      </c>
      <c r="BJ125" s="20">
        <f t="shared" si="89"/>
        <v>0</v>
      </c>
      <c r="BK125" s="20"/>
      <c r="BL125" s="20">
        <v>725</v>
      </c>
    </row>
    <row r="126" spans="1:64" ht="15" customHeight="1">
      <c r="A126" s="4" t="s">
        <v>602</v>
      </c>
      <c r="B126" s="17" t="s">
        <v>497</v>
      </c>
      <c r="C126" s="113" t="s">
        <v>660</v>
      </c>
      <c r="D126" s="113"/>
      <c r="E126" s="113"/>
      <c r="F126" s="113"/>
      <c r="G126" s="17" t="s">
        <v>284</v>
      </c>
      <c r="H126" s="20">
        <v>0.162</v>
      </c>
      <c r="I126" s="20">
        <v>0</v>
      </c>
      <c r="J126" s="20">
        <f t="shared" si="68"/>
        <v>0</v>
      </c>
      <c r="K126" s="20">
        <f t="shared" si="69"/>
        <v>0</v>
      </c>
      <c r="L126" s="20">
        <f t="shared" si="70"/>
        <v>0</v>
      </c>
      <c r="M126" s="31" t="s">
        <v>496</v>
      </c>
      <c r="Z126" s="20">
        <f t="shared" si="71"/>
        <v>0</v>
      </c>
      <c r="AB126" s="20">
        <f t="shared" si="72"/>
        <v>0</v>
      </c>
      <c r="AC126" s="20">
        <f t="shared" si="73"/>
        <v>0</v>
      </c>
      <c r="AD126" s="20">
        <f t="shared" si="74"/>
        <v>0</v>
      </c>
      <c r="AE126" s="20">
        <f t="shared" si="75"/>
        <v>0</v>
      </c>
      <c r="AF126" s="20">
        <f t="shared" si="76"/>
        <v>0</v>
      </c>
      <c r="AG126" s="20">
        <f t="shared" si="77"/>
        <v>0</v>
      </c>
      <c r="AH126" s="20">
        <f t="shared" si="78"/>
        <v>0</v>
      </c>
      <c r="AI126" s="64" t="s">
        <v>414</v>
      </c>
      <c r="AJ126" s="20">
        <f t="shared" si="79"/>
        <v>0</v>
      </c>
      <c r="AK126" s="20">
        <f t="shared" si="80"/>
        <v>0</v>
      </c>
      <c r="AL126" s="20">
        <f t="shared" si="81"/>
        <v>0</v>
      </c>
      <c r="AN126" s="20">
        <v>15</v>
      </c>
      <c r="AO126" s="20">
        <f>I126*0</f>
        <v>0</v>
      </c>
      <c r="AP126" s="20">
        <f>I126*(1-0)</f>
        <v>0</v>
      </c>
      <c r="AQ126" s="26" t="s">
        <v>322</v>
      </c>
      <c r="AV126" s="20">
        <f t="shared" si="82"/>
        <v>0</v>
      </c>
      <c r="AW126" s="20">
        <f t="shared" si="83"/>
        <v>0</v>
      </c>
      <c r="AX126" s="20">
        <f t="shared" si="84"/>
        <v>0</v>
      </c>
      <c r="AY126" s="26" t="s">
        <v>275</v>
      </c>
      <c r="AZ126" s="26" t="s">
        <v>244</v>
      </c>
      <c r="BA126" s="64" t="s">
        <v>452</v>
      </c>
      <c r="BC126" s="20">
        <f t="shared" si="85"/>
        <v>0</v>
      </c>
      <c r="BD126" s="20">
        <f t="shared" si="86"/>
        <v>0</v>
      </c>
      <c r="BE126" s="20">
        <v>0</v>
      </c>
      <c r="BF126" s="20">
        <f>126</f>
        <v>126</v>
      </c>
      <c r="BH126" s="20">
        <f t="shared" si="87"/>
        <v>0</v>
      </c>
      <c r="BI126" s="20">
        <f t="shared" si="88"/>
        <v>0</v>
      </c>
      <c r="BJ126" s="20">
        <f t="shared" si="89"/>
        <v>0</v>
      </c>
      <c r="BK126" s="20"/>
      <c r="BL126" s="20">
        <v>725</v>
      </c>
    </row>
    <row r="127" spans="1:47" ht="15" customHeight="1">
      <c r="A127" s="51" t="s">
        <v>414</v>
      </c>
      <c r="B127" s="50" t="s">
        <v>622</v>
      </c>
      <c r="C127" s="166" t="s">
        <v>442</v>
      </c>
      <c r="D127" s="166"/>
      <c r="E127" s="166"/>
      <c r="F127" s="166"/>
      <c r="G127" s="48" t="s">
        <v>546</v>
      </c>
      <c r="H127" s="48" t="s">
        <v>546</v>
      </c>
      <c r="I127" s="48" t="s">
        <v>546</v>
      </c>
      <c r="J127" s="76">
        <f>SUM(J128:J132)</f>
        <v>0</v>
      </c>
      <c r="K127" s="76">
        <f>SUM(K128:K132)</f>
        <v>0</v>
      </c>
      <c r="L127" s="76">
        <f>SUM(L128:L132)</f>
        <v>0</v>
      </c>
      <c r="M127" s="55" t="s">
        <v>414</v>
      </c>
      <c r="AI127" s="64" t="s">
        <v>414</v>
      </c>
      <c r="AS127" s="76">
        <f>SUM(AJ128:AJ132)</f>
        <v>0</v>
      </c>
      <c r="AT127" s="76">
        <f>SUM(AK128:AK132)</f>
        <v>0</v>
      </c>
      <c r="AU127" s="76">
        <f>SUM(AL128:AL132)</f>
        <v>0</v>
      </c>
    </row>
    <row r="128" spans="1:64" ht="15" customHeight="1">
      <c r="A128" s="4" t="s">
        <v>544</v>
      </c>
      <c r="B128" s="17" t="s">
        <v>369</v>
      </c>
      <c r="C128" s="113" t="s">
        <v>304</v>
      </c>
      <c r="D128" s="113"/>
      <c r="E128" s="113"/>
      <c r="F128" s="113"/>
      <c r="G128" s="17" t="s">
        <v>154</v>
      </c>
      <c r="H128" s="20">
        <v>3</v>
      </c>
      <c r="I128" s="20">
        <v>0</v>
      </c>
      <c r="J128" s="20">
        <f>H128*AO128</f>
        <v>0</v>
      </c>
      <c r="K128" s="20">
        <f>H128*AP128</f>
        <v>0</v>
      </c>
      <c r="L128" s="20">
        <f>H128*I128</f>
        <v>0</v>
      </c>
      <c r="M128" s="31" t="s">
        <v>496</v>
      </c>
      <c r="Z128" s="20">
        <f>IF(AQ128="5",BJ128,0)</f>
        <v>0</v>
      </c>
      <c r="AB128" s="20">
        <f>IF(AQ128="1",BH128,0)</f>
        <v>0</v>
      </c>
      <c r="AC128" s="20">
        <f>IF(AQ128="1",BI128,0)</f>
        <v>0</v>
      </c>
      <c r="AD128" s="20">
        <f>IF(AQ128="7",BH128,0)</f>
        <v>0</v>
      </c>
      <c r="AE128" s="20">
        <f>IF(AQ128="7",BI128,0)</f>
        <v>0</v>
      </c>
      <c r="AF128" s="20">
        <f>IF(AQ128="2",BH128,0)</f>
        <v>0</v>
      </c>
      <c r="AG128" s="20">
        <f>IF(AQ128="2",BI128,0)</f>
        <v>0</v>
      </c>
      <c r="AH128" s="20">
        <f>IF(AQ128="0",BJ128,0)</f>
        <v>0</v>
      </c>
      <c r="AI128" s="64" t="s">
        <v>414</v>
      </c>
      <c r="AJ128" s="20">
        <f>IF(AN128=0,L128,0)</f>
        <v>0</v>
      </c>
      <c r="AK128" s="20">
        <f>IF(AN128=15,L128,0)</f>
        <v>0</v>
      </c>
      <c r="AL128" s="20">
        <f>IF(AN128=21,L128,0)</f>
        <v>0</v>
      </c>
      <c r="AN128" s="20">
        <v>15</v>
      </c>
      <c r="AO128" s="20">
        <f>I128*0.298618784530387</f>
        <v>0</v>
      </c>
      <c r="AP128" s="20">
        <f>I128*(1-0.298618784530387)</f>
        <v>0</v>
      </c>
      <c r="AQ128" s="26" t="s">
        <v>598</v>
      </c>
      <c r="AV128" s="20">
        <f>AW128+AX128</f>
        <v>0</v>
      </c>
      <c r="AW128" s="20">
        <f>H128*AO128</f>
        <v>0</v>
      </c>
      <c r="AX128" s="20">
        <f>H128*AP128</f>
        <v>0</v>
      </c>
      <c r="AY128" s="26" t="s">
        <v>344</v>
      </c>
      <c r="AZ128" s="26" t="s">
        <v>314</v>
      </c>
      <c r="BA128" s="64" t="s">
        <v>452</v>
      </c>
      <c r="BC128" s="20">
        <f>AW128+AX128</f>
        <v>0</v>
      </c>
      <c r="BD128" s="20">
        <f>I128/(100-BE128)*100</f>
        <v>0</v>
      </c>
      <c r="BE128" s="20">
        <v>0</v>
      </c>
      <c r="BF128" s="20">
        <f>128</f>
        <v>128</v>
      </c>
      <c r="BH128" s="20">
        <f>H128*AO128</f>
        <v>0</v>
      </c>
      <c r="BI128" s="20">
        <f>H128*AP128</f>
        <v>0</v>
      </c>
      <c r="BJ128" s="20">
        <f>H128*I128</f>
        <v>0</v>
      </c>
      <c r="BK128" s="20"/>
      <c r="BL128" s="20">
        <v>735</v>
      </c>
    </row>
    <row r="129" spans="1:64" ht="15" customHeight="1">
      <c r="A129" s="4" t="s">
        <v>405</v>
      </c>
      <c r="B129" s="17" t="s">
        <v>281</v>
      </c>
      <c r="C129" s="113" t="s">
        <v>127</v>
      </c>
      <c r="D129" s="113"/>
      <c r="E129" s="113"/>
      <c r="F129" s="113"/>
      <c r="G129" s="17" t="s">
        <v>154</v>
      </c>
      <c r="H129" s="20">
        <v>3</v>
      </c>
      <c r="I129" s="20">
        <v>0</v>
      </c>
      <c r="J129" s="20">
        <f>H129*AO129</f>
        <v>0</v>
      </c>
      <c r="K129" s="20">
        <f>H129*AP129</f>
        <v>0</v>
      </c>
      <c r="L129" s="20">
        <f>H129*I129</f>
        <v>0</v>
      </c>
      <c r="M129" s="31" t="s">
        <v>496</v>
      </c>
      <c r="Z129" s="20">
        <f>IF(AQ129="5",BJ129,0)</f>
        <v>0</v>
      </c>
      <c r="AB129" s="20">
        <f>IF(AQ129="1",BH129,0)</f>
        <v>0</v>
      </c>
      <c r="AC129" s="20">
        <f>IF(AQ129="1",BI129,0)</f>
        <v>0</v>
      </c>
      <c r="AD129" s="20">
        <f>IF(AQ129="7",BH129,0)</f>
        <v>0</v>
      </c>
      <c r="AE129" s="20">
        <f>IF(AQ129="7",BI129,0)</f>
        <v>0</v>
      </c>
      <c r="AF129" s="20">
        <f>IF(AQ129="2",BH129,0)</f>
        <v>0</v>
      </c>
      <c r="AG129" s="20">
        <f>IF(AQ129="2",BI129,0)</f>
        <v>0</v>
      </c>
      <c r="AH129" s="20">
        <f>IF(AQ129="0",BJ129,0)</f>
        <v>0</v>
      </c>
      <c r="AI129" s="64" t="s">
        <v>414</v>
      </c>
      <c r="AJ129" s="20">
        <f>IF(AN129=0,L129,0)</f>
        <v>0</v>
      </c>
      <c r="AK129" s="20">
        <f>IF(AN129=15,L129,0)</f>
        <v>0</v>
      </c>
      <c r="AL129" s="20">
        <f>IF(AN129=21,L129,0)</f>
        <v>0</v>
      </c>
      <c r="AN129" s="20">
        <v>15</v>
      </c>
      <c r="AO129" s="20">
        <f>I129*0.0670103092783505</f>
        <v>0</v>
      </c>
      <c r="AP129" s="20">
        <f>I129*(1-0.0670103092783505)</f>
        <v>0</v>
      </c>
      <c r="AQ129" s="26" t="s">
        <v>598</v>
      </c>
      <c r="AV129" s="20">
        <f>AW129+AX129</f>
        <v>0</v>
      </c>
      <c r="AW129" s="20">
        <f>H129*AO129</f>
        <v>0</v>
      </c>
      <c r="AX129" s="20">
        <f>H129*AP129</f>
        <v>0</v>
      </c>
      <c r="AY129" s="26" t="s">
        <v>344</v>
      </c>
      <c r="AZ129" s="26" t="s">
        <v>314</v>
      </c>
      <c r="BA129" s="64" t="s">
        <v>452</v>
      </c>
      <c r="BC129" s="20">
        <f>AW129+AX129</f>
        <v>0</v>
      </c>
      <c r="BD129" s="20">
        <f>I129/(100-BE129)*100</f>
        <v>0</v>
      </c>
      <c r="BE129" s="20">
        <v>0</v>
      </c>
      <c r="BF129" s="20">
        <f>129</f>
        <v>129</v>
      </c>
      <c r="BH129" s="20">
        <f>H129*AO129</f>
        <v>0</v>
      </c>
      <c r="BI129" s="20">
        <f>H129*AP129</f>
        <v>0</v>
      </c>
      <c r="BJ129" s="20">
        <f>H129*I129</f>
        <v>0</v>
      </c>
      <c r="BK129" s="20"/>
      <c r="BL129" s="20">
        <v>735</v>
      </c>
    </row>
    <row r="130" spans="1:64" ht="15" customHeight="1">
      <c r="A130" s="4" t="s">
        <v>309</v>
      </c>
      <c r="B130" s="17" t="s">
        <v>664</v>
      </c>
      <c r="C130" s="113" t="s">
        <v>521</v>
      </c>
      <c r="D130" s="113"/>
      <c r="E130" s="113"/>
      <c r="F130" s="113"/>
      <c r="G130" s="17" t="s">
        <v>154</v>
      </c>
      <c r="H130" s="20">
        <v>3</v>
      </c>
      <c r="I130" s="20">
        <v>0</v>
      </c>
      <c r="J130" s="20">
        <f>H130*AO130</f>
        <v>0</v>
      </c>
      <c r="K130" s="20">
        <f>H130*AP130</f>
        <v>0</v>
      </c>
      <c r="L130" s="20">
        <f>H130*I130</f>
        <v>0</v>
      </c>
      <c r="M130" s="31" t="s">
        <v>496</v>
      </c>
      <c r="Z130" s="20">
        <f>IF(AQ130="5",BJ130,0)</f>
        <v>0</v>
      </c>
      <c r="AB130" s="20">
        <f>IF(AQ130="1",BH130,0)</f>
        <v>0</v>
      </c>
      <c r="AC130" s="20">
        <f>IF(AQ130="1",BI130,0)</f>
        <v>0</v>
      </c>
      <c r="AD130" s="20">
        <f>IF(AQ130="7",BH130,0)</f>
        <v>0</v>
      </c>
      <c r="AE130" s="20">
        <f>IF(AQ130="7",BI130,0)</f>
        <v>0</v>
      </c>
      <c r="AF130" s="20">
        <f>IF(AQ130="2",BH130,0)</f>
        <v>0</v>
      </c>
      <c r="AG130" s="20">
        <f>IF(AQ130="2",BI130,0)</f>
        <v>0</v>
      </c>
      <c r="AH130" s="20">
        <f>IF(AQ130="0",BJ130,0)</f>
        <v>0</v>
      </c>
      <c r="AI130" s="64" t="s">
        <v>414</v>
      </c>
      <c r="AJ130" s="20">
        <f>IF(AN130=0,L130,0)</f>
        <v>0</v>
      </c>
      <c r="AK130" s="20">
        <f>IF(AN130=15,L130,0)</f>
        <v>0</v>
      </c>
      <c r="AL130" s="20">
        <f>IF(AN130=21,L130,0)</f>
        <v>0</v>
      </c>
      <c r="AN130" s="20">
        <v>15</v>
      </c>
      <c r="AO130" s="20">
        <f>I130*0.183743842364532</f>
        <v>0</v>
      </c>
      <c r="AP130" s="20">
        <f>I130*(1-0.183743842364532)</f>
        <v>0</v>
      </c>
      <c r="AQ130" s="26" t="s">
        <v>598</v>
      </c>
      <c r="AV130" s="20">
        <f>AW130+AX130</f>
        <v>0</v>
      </c>
      <c r="AW130" s="20">
        <f>H130*AO130</f>
        <v>0</v>
      </c>
      <c r="AX130" s="20">
        <f>H130*AP130</f>
        <v>0</v>
      </c>
      <c r="AY130" s="26" t="s">
        <v>344</v>
      </c>
      <c r="AZ130" s="26" t="s">
        <v>314</v>
      </c>
      <c r="BA130" s="64" t="s">
        <v>452</v>
      </c>
      <c r="BC130" s="20">
        <f>AW130+AX130</f>
        <v>0</v>
      </c>
      <c r="BD130" s="20">
        <f>I130/(100-BE130)*100</f>
        <v>0</v>
      </c>
      <c r="BE130" s="20">
        <v>0</v>
      </c>
      <c r="BF130" s="20">
        <f>130</f>
        <v>130</v>
      </c>
      <c r="BH130" s="20">
        <f>H130*AO130</f>
        <v>0</v>
      </c>
      <c r="BI130" s="20">
        <f>H130*AP130</f>
        <v>0</v>
      </c>
      <c r="BJ130" s="20">
        <f>H130*I130</f>
        <v>0</v>
      </c>
      <c r="BK130" s="20"/>
      <c r="BL130" s="20">
        <v>735</v>
      </c>
    </row>
    <row r="131" spans="1:64" ht="15" customHeight="1">
      <c r="A131" s="4" t="s">
        <v>135</v>
      </c>
      <c r="B131" s="17" t="s">
        <v>57</v>
      </c>
      <c r="C131" s="113" t="s">
        <v>572</v>
      </c>
      <c r="D131" s="113"/>
      <c r="E131" s="113"/>
      <c r="F131" s="113"/>
      <c r="G131" s="17" t="s">
        <v>154</v>
      </c>
      <c r="H131" s="20">
        <v>3</v>
      </c>
      <c r="I131" s="20">
        <v>0</v>
      </c>
      <c r="J131" s="20">
        <f>H131*AO131</f>
        <v>0</v>
      </c>
      <c r="K131" s="20">
        <f>H131*AP131</f>
        <v>0</v>
      </c>
      <c r="L131" s="20">
        <f>H131*I131</f>
        <v>0</v>
      </c>
      <c r="M131" s="31" t="s">
        <v>496</v>
      </c>
      <c r="Z131" s="20">
        <f>IF(AQ131="5",BJ131,0)</f>
        <v>0</v>
      </c>
      <c r="AB131" s="20">
        <f>IF(AQ131="1",BH131,0)</f>
        <v>0</v>
      </c>
      <c r="AC131" s="20">
        <f>IF(AQ131="1",BI131,0)</f>
        <v>0</v>
      </c>
      <c r="AD131" s="20">
        <f>IF(AQ131="7",BH131,0)</f>
        <v>0</v>
      </c>
      <c r="AE131" s="20">
        <f>IF(AQ131="7",BI131,0)</f>
        <v>0</v>
      </c>
      <c r="AF131" s="20">
        <f>IF(AQ131="2",BH131,0)</f>
        <v>0</v>
      </c>
      <c r="AG131" s="20">
        <f>IF(AQ131="2",BI131,0)</f>
        <v>0</v>
      </c>
      <c r="AH131" s="20">
        <f>IF(AQ131="0",BJ131,0)</f>
        <v>0</v>
      </c>
      <c r="AI131" s="64" t="s">
        <v>414</v>
      </c>
      <c r="AJ131" s="20">
        <f>IF(AN131=0,L131,0)</f>
        <v>0</v>
      </c>
      <c r="AK131" s="20">
        <f>IF(AN131=15,L131,0)</f>
        <v>0</v>
      </c>
      <c r="AL131" s="20">
        <f>IF(AN131=21,L131,0)</f>
        <v>0</v>
      </c>
      <c r="AN131" s="20">
        <v>15</v>
      </c>
      <c r="AO131" s="20">
        <f>I131*0.117290836653386</f>
        <v>0</v>
      </c>
      <c r="AP131" s="20">
        <f>I131*(1-0.117290836653386)</f>
        <v>0</v>
      </c>
      <c r="AQ131" s="26" t="s">
        <v>598</v>
      </c>
      <c r="AV131" s="20">
        <f>AW131+AX131</f>
        <v>0</v>
      </c>
      <c r="AW131" s="20">
        <f>H131*AO131</f>
        <v>0</v>
      </c>
      <c r="AX131" s="20">
        <f>H131*AP131</f>
        <v>0</v>
      </c>
      <c r="AY131" s="26" t="s">
        <v>344</v>
      </c>
      <c r="AZ131" s="26" t="s">
        <v>314</v>
      </c>
      <c r="BA131" s="64" t="s">
        <v>452</v>
      </c>
      <c r="BC131" s="20">
        <f>AW131+AX131</f>
        <v>0</v>
      </c>
      <c r="BD131" s="20">
        <f>I131/(100-BE131)*100</f>
        <v>0</v>
      </c>
      <c r="BE131" s="20">
        <v>0</v>
      </c>
      <c r="BF131" s="20">
        <f>131</f>
        <v>131</v>
      </c>
      <c r="BH131" s="20">
        <f>H131*AO131</f>
        <v>0</v>
      </c>
      <c r="BI131" s="20">
        <f>H131*AP131</f>
        <v>0</v>
      </c>
      <c r="BJ131" s="20">
        <f>H131*I131</f>
        <v>0</v>
      </c>
      <c r="BK131" s="20"/>
      <c r="BL131" s="20">
        <v>735</v>
      </c>
    </row>
    <row r="132" spans="1:64" ht="15" customHeight="1">
      <c r="A132" s="4" t="s">
        <v>60</v>
      </c>
      <c r="B132" s="17" t="s">
        <v>428</v>
      </c>
      <c r="C132" s="113" t="s">
        <v>359</v>
      </c>
      <c r="D132" s="113"/>
      <c r="E132" s="113"/>
      <c r="F132" s="113"/>
      <c r="G132" s="17" t="s">
        <v>587</v>
      </c>
      <c r="H132" s="20">
        <v>7.395</v>
      </c>
      <c r="I132" s="20">
        <v>0</v>
      </c>
      <c r="J132" s="20">
        <f>H132*AO132</f>
        <v>0</v>
      </c>
      <c r="K132" s="20">
        <f>H132*AP132</f>
        <v>0</v>
      </c>
      <c r="L132" s="20">
        <f>H132*I132</f>
        <v>0</v>
      </c>
      <c r="M132" s="31" t="s">
        <v>496</v>
      </c>
      <c r="Z132" s="20">
        <f>IF(AQ132="5",BJ132,0)</f>
        <v>0</v>
      </c>
      <c r="AB132" s="20">
        <f>IF(AQ132="1",BH132,0)</f>
        <v>0</v>
      </c>
      <c r="AC132" s="20">
        <f>IF(AQ132="1",BI132,0)</f>
        <v>0</v>
      </c>
      <c r="AD132" s="20">
        <f>IF(AQ132="7",BH132,0)</f>
        <v>0</v>
      </c>
      <c r="AE132" s="20">
        <f>IF(AQ132="7",BI132,0)</f>
        <v>0</v>
      </c>
      <c r="AF132" s="20">
        <f>IF(AQ132="2",BH132,0)</f>
        <v>0</v>
      </c>
      <c r="AG132" s="20">
        <f>IF(AQ132="2",BI132,0)</f>
        <v>0</v>
      </c>
      <c r="AH132" s="20">
        <f>IF(AQ132="0",BJ132,0)</f>
        <v>0</v>
      </c>
      <c r="AI132" s="64" t="s">
        <v>414</v>
      </c>
      <c r="AJ132" s="20">
        <f>IF(AN132=0,L132,0)</f>
        <v>0</v>
      </c>
      <c r="AK132" s="20">
        <f>IF(AN132=15,L132,0)</f>
        <v>0</v>
      </c>
      <c r="AL132" s="20">
        <f>IF(AN132=21,L132,0)</f>
        <v>0</v>
      </c>
      <c r="AN132" s="20">
        <v>15</v>
      </c>
      <c r="AO132" s="20">
        <f>I132*0.395589687643546</f>
        <v>0</v>
      </c>
      <c r="AP132" s="20">
        <f>I132*(1-0.395589687643546)</f>
        <v>0</v>
      </c>
      <c r="AQ132" s="26" t="s">
        <v>598</v>
      </c>
      <c r="AV132" s="20">
        <f>AW132+AX132</f>
        <v>0</v>
      </c>
      <c r="AW132" s="20">
        <f>H132*AO132</f>
        <v>0</v>
      </c>
      <c r="AX132" s="20">
        <f>H132*AP132</f>
        <v>0</v>
      </c>
      <c r="AY132" s="26" t="s">
        <v>344</v>
      </c>
      <c r="AZ132" s="26" t="s">
        <v>314</v>
      </c>
      <c r="BA132" s="64" t="s">
        <v>452</v>
      </c>
      <c r="BC132" s="20">
        <f>AW132+AX132</f>
        <v>0</v>
      </c>
      <c r="BD132" s="20">
        <f>I132/(100-BE132)*100</f>
        <v>0</v>
      </c>
      <c r="BE132" s="20">
        <v>0</v>
      </c>
      <c r="BF132" s="20">
        <f>132</f>
        <v>132</v>
      </c>
      <c r="BH132" s="20">
        <f>H132*AO132</f>
        <v>0</v>
      </c>
      <c r="BI132" s="20">
        <f>H132*AP132</f>
        <v>0</v>
      </c>
      <c r="BJ132" s="20">
        <f>H132*I132</f>
        <v>0</v>
      </c>
      <c r="BK132" s="20"/>
      <c r="BL132" s="20">
        <v>735</v>
      </c>
    </row>
    <row r="133" spans="1:47" ht="15" customHeight="1">
      <c r="A133" s="51" t="s">
        <v>414</v>
      </c>
      <c r="B133" s="50" t="s">
        <v>655</v>
      </c>
      <c r="C133" s="166" t="s">
        <v>522</v>
      </c>
      <c r="D133" s="166"/>
      <c r="E133" s="166"/>
      <c r="F133" s="166"/>
      <c r="G133" s="48" t="s">
        <v>546</v>
      </c>
      <c r="H133" s="48" t="s">
        <v>546</v>
      </c>
      <c r="I133" s="48" t="s">
        <v>546</v>
      </c>
      <c r="J133" s="76">
        <f>SUM(J134:J145)</f>
        <v>0</v>
      </c>
      <c r="K133" s="76">
        <f>SUM(K134:K145)</f>
        <v>0</v>
      </c>
      <c r="L133" s="76">
        <f>SUM(L134:L145)</f>
        <v>0</v>
      </c>
      <c r="M133" s="55" t="s">
        <v>414</v>
      </c>
      <c r="AI133" s="64" t="s">
        <v>414</v>
      </c>
      <c r="AS133" s="76">
        <f>SUM(AJ134:AJ145)</f>
        <v>0</v>
      </c>
      <c r="AT133" s="76">
        <f>SUM(AK134:AK145)</f>
        <v>0</v>
      </c>
      <c r="AU133" s="76">
        <f>SUM(AL134:AL145)</f>
        <v>0</v>
      </c>
    </row>
    <row r="134" spans="1:64" ht="15" customHeight="1">
      <c r="A134" s="4" t="s">
        <v>586</v>
      </c>
      <c r="B134" s="17" t="s">
        <v>199</v>
      </c>
      <c r="C134" s="113" t="s">
        <v>187</v>
      </c>
      <c r="D134" s="113"/>
      <c r="E134" s="113"/>
      <c r="F134" s="113"/>
      <c r="G134" s="17" t="s">
        <v>587</v>
      </c>
      <c r="H134" s="20">
        <v>2.59875</v>
      </c>
      <c r="I134" s="20">
        <v>0</v>
      </c>
      <c r="J134" s="20">
        <f>H134*AO134</f>
        <v>0</v>
      </c>
      <c r="K134" s="20">
        <f>H134*AP134</f>
        <v>0</v>
      </c>
      <c r="L134" s="20">
        <f>H134*I134</f>
        <v>0</v>
      </c>
      <c r="M134" s="31" t="s">
        <v>496</v>
      </c>
      <c r="Z134" s="20">
        <f>IF(AQ134="5",BJ134,0)</f>
        <v>0</v>
      </c>
      <c r="AB134" s="20">
        <f>IF(AQ134="1",BH134,0)</f>
        <v>0</v>
      </c>
      <c r="AC134" s="20">
        <f>IF(AQ134="1",BI134,0)</f>
        <v>0</v>
      </c>
      <c r="AD134" s="20">
        <f>IF(AQ134="7",BH134,0)</f>
        <v>0</v>
      </c>
      <c r="AE134" s="20">
        <f>IF(AQ134="7",BI134,0)</f>
        <v>0</v>
      </c>
      <c r="AF134" s="20">
        <f>IF(AQ134="2",BH134,0)</f>
        <v>0</v>
      </c>
      <c r="AG134" s="20">
        <f>IF(AQ134="2",BI134,0)</f>
        <v>0</v>
      </c>
      <c r="AH134" s="20">
        <f>IF(AQ134="0",BJ134,0)</f>
        <v>0</v>
      </c>
      <c r="AI134" s="64" t="s">
        <v>414</v>
      </c>
      <c r="AJ134" s="20">
        <f>IF(AN134=0,L134,0)</f>
        <v>0</v>
      </c>
      <c r="AK134" s="20">
        <f>IF(AN134=15,L134,0)</f>
        <v>0</v>
      </c>
      <c r="AL134" s="20">
        <f>IF(AN134=21,L134,0)</f>
        <v>0</v>
      </c>
      <c r="AN134" s="20">
        <v>15</v>
      </c>
      <c r="AO134" s="20">
        <f>I134*0.176506770814155</f>
        <v>0</v>
      </c>
      <c r="AP134" s="20">
        <f>I134*(1-0.176506770814155)</f>
        <v>0</v>
      </c>
      <c r="AQ134" s="26" t="s">
        <v>598</v>
      </c>
      <c r="AV134" s="20">
        <f>AW134+AX134</f>
        <v>0</v>
      </c>
      <c r="AW134" s="20">
        <f>H134*AO134</f>
        <v>0</v>
      </c>
      <c r="AX134" s="20">
        <f>H134*AP134</f>
        <v>0</v>
      </c>
      <c r="AY134" s="26" t="s">
        <v>614</v>
      </c>
      <c r="AZ134" s="26" t="s">
        <v>356</v>
      </c>
      <c r="BA134" s="64" t="s">
        <v>452</v>
      </c>
      <c r="BC134" s="20">
        <f>AW134+AX134</f>
        <v>0</v>
      </c>
      <c r="BD134" s="20">
        <f>I134/(100-BE134)*100</f>
        <v>0</v>
      </c>
      <c r="BE134" s="20">
        <v>0</v>
      </c>
      <c r="BF134" s="20">
        <f>134</f>
        <v>134</v>
      </c>
      <c r="BH134" s="20">
        <f>H134*AO134</f>
        <v>0</v>
      </c>
      <c r="BI134" s="20">
        <f>H134*AP134</f>
        <v>0</v>
      </c>
      <c r="BJ134" s="20">
        <f>H134*I134</f>
        <v>0</v>
      </c>
      <c r="BK134" s="20"/>
      <c r="BL134" s="20">
        <v>771</v>
      </c>
    </row>
    <row r="135" spans="1:13" ht="15" customHeight="1">
      <c r="A135" s="19"/>
      <c r="C135" s="9" t="s">
        <v>22</v>
      </c>
      <c r="F135" s="9" t="s">
        <v>414</v>
      </c>
      <c r="H135" s="58">
        <v>0</v>
      </c>
      <c r="M135" s="36"/>
    </row>
    <row r="136" spans="1:13" ht="15" customHeight="1">
      <c r="A136" s="19"/>
      <c r="C136" s="9" t="s">
        <v>148</v>
      </c>
      <c r="F136" s="9" t="s">
        <v>414</v>
      </c>
      <c r="H136" s="58">
        <v>2.5987500000000003</v>
      </c>
      <c r="M136" s="36"/>
    </row>
    <row r="137" spans="1:64" ht="15" customHeight="1">
      <c r="A137" s="4" t="s">
        <v>106</v>
      </c>
      <c r="B137" s="17" t="s">
        <v>189</v>
      </c>
      <c r="C137" s="113" t="s">
        <v>406</v>
      </c>
      <c r="D137" s="113"/>
      <c r="E137" s="113"/>
      <c r="F137" s="113"/>
      <c r="G137" s="17" t="s">
        <v>587</v>
      </c>
      <c r="H137" s="20">
        <v>2.6</v>
      </c>
      <c r="I137" s="20">
        <v>0</v>
      </c>
      <c r="J137" s="20">
        <f>H137*AO137</f>
        <v>0</v>
      </c>
      <c r="K137" s="20">
        <f>H137*AP137</f>
        <v>0</v>
      </c>
      <c r="L137" s="20">
        <f>H137*I137</f>
        <v>0</v>
      </c>
      <c r="M137" s="31" t="s">
        <v>496</v>
      </c>
      <c r="Z137" s="20">
        <f>IF(AQ137="5",BJ137,0)</f>
        <v>0</v>
      </c>
      <c r="AB137" s="20">
        <f>IF(AQ137="1",BH137,0)</f>
        <v>0</v>
      </c>
      <c r="AC137" s="20">
        <f>IF(AQ137="1",BI137,0)</f>
        <v>0</v>
      </c>
      <c r="AD137" s="20">
        <f>IF(AQ137="7",BH137,0)</f>
        <v>0</v>
      </c>
      <c r="AE137" s="20">
        <f>IF(AQ137="7",BI137,0)</f>
        <v>0</v>
      </c>
      <c r="AF137" s="20">
        <f>IF(AQ137="2",BH137,0)</f>
        <v>0</v>
      </c>
      <c r="AG137" s="20">
        <f>IF(AQ137="2",BI137,0)</f>
        <v>0</v>
      </c>
      <c r="AH137" s="20">
        <f>IF(AQ137="0",BJ137,0)</f>
        <v>0</v>
      </c>
      <c r="AI137" s="64" t="s">
        <v>414</v>
      </c>
      <c r="AJ137" s="20">
        <f>IF(AN137=0,L137,0)</f>
        <v>0</v>
      </c>
      <c r="AK137" s="20">
        <f>IF(AN137=15,L137,0)</f>
        <v>0</v>
      </c>
      <c r="AL137" s="20">
        <f>IF(AN137=21,L137,0)</f>
        <v>0</v>
      </c>
      <c r="AN137" s="20">
        <v>15</v>
      </c>
      <c r="AO137" s="20">
        <f>I137*0</f>
        <v>0</v>
      </c>
      <c r="AP137" s="20">
        <f>I137*(1-0)</f>
        <v>0</v>
      </c>
      <c r="AQ137" s="26" t="s">
        <v>598</v>
      </c>
      <c r="AV137" s="20">
        <f>AW137+AX137</f>
        <v>0</v>
      </c>
      <c r="AW137" s="20">
        <f>H137*AO137</f>
        <v>0</v>
      </c>
      <c r="AX137" s="20">
        <f>H137*AP137</f>
        <v>0</v>
      </c>
      <c r="AY137" s="26" t="s">
        <v>614</v>
      </c>
      <c r="AZ137" s="26" t="s">
        <v>356</v>
      </c>
      <c r="BA137" s="64" t="s">
        <v>452</v>
      </c>
      <c r="BC137" s="20">
        <f>AW137+AX137</f>
        <v>0</v>
      </c>
      <c r="BD137" s="20">
        <f>I137/(100-BE137)*100</f>
        <v>0</v>
      </c>
      <c r="BE137" s="20">
        <v>0</v>
      </c>
      <c r="BF137" s="20">
        <f>137</f>
        <v>137</v>
      </c>
      <c r="BH137" s="20">
        <f>H137*AO137</f>
        <v>0</v>
      </c>
      <c r="BI137" s="20">
        <f>H137*AP137</f>
        <v>0</v>
      </c>
      <c r="BJ137" s="20">
        <f>H137*I137</f>
        <v>0</v>
      </c>
      <c r="BK137" s="20"/>
      <c r="BL137" s="20">
        <v>771</v>
      </c>
    </row>
    <row r="138" spans="1:64" ht="15" customHeight="1">
      <c r="A138" s="4" t="s">
        <v>113</v>
      </c>
      <c r="B138" s="17" t="s">
        <v>509</v>
      </c>
      <c r="C138" s="113" t="s">
        <v>607</v>
      </c>
      <c r="D138" s="113"/>
      <c r="E138" s="113"/>
      <c r="F138" s="113"/>
      <c r="G138" s="17" t="s">
        <v>587</v>
      </c>
      <c r="H138" s="20">
        <v>2.6</v>
      </c>
      <c r="I138" s="20">
        <v>0</v>
      </c>
      <c r="J138" s="20">
        <f>H138*AO138</f>
        <v>0</v>
      </c>
      <c r="K138" s="20">
        <f>H138*AP138</f>
        <v>0</v>
      </c>
      <c r="L138" s="20">
        <f>H138*I138</f>
        <v>0</v>
      </c>
      <c r="M138" s="31" t="s">
        <v>496</v>
      </c>
      <c r="Z138" s="20">
        <f>IF(AQ138="5",BJ138,0)</f>
        <v>0</v>
      </c>
      <c r="AB138" s="20">
        <f>IF(AQ138="1",BH138,0)</f>
        <v>0</v>
      </c>
      <c r="AC138" s="20">
        <f>IF(AQ138="1",BI138,0)</f>
        <v>0</v>
      </c>
      <c r="AD138" s="20">
        <f>IF(AQ138="7",BH138,0)</f>
        <v>0</v>
      </c>
      <c r="AE138" s="20">
        <f>IF(AQ138="7",BI138,0)</f>
        <v>0</v>
      </c>
      <c r="AF138" s="20">
        <f>IF(AQ138="2",BH138,0)</f>
        <v>0</v>
      </c>
      <c r="AG138" s="20">
        <f>IF(AQ138="2",BI138,0)</f>
        <v>0</v>
      </c>
      <c r="AH138" s="20">
        <f>IF(AQ138="0",BJ138,0)</f>
        <v>0</v>
      </c>
      <c r="AI138" s="64" t="s">
        <v>414</v>
      </c>
      <c r="AJ138" s="20">
        <f>IF(AN138=0,L138,0)</f>
        <v>0</v>
      </c>
      <c r="AK138" s="20">
        <f>IF(AN138=15,L138,0)</f>
        <v>0</v>
      </c>
      <c r="AL138" s="20">
        <f>IF(AN138=21,L138,0)</f>
        <v>0</v>
      </c>
      <c r="AN138" s="20">
        <v>15</v>
      </c>
      <c r="AO138" s="20">
        <f>I138*0</f>
        <v>0</v>
      </c>
      <c r="AP138" s="20">
        <f>I138*(1-0)</f>
        <v>0</v>
      </c>
      <c r="AQ138" s="26" t="s">
        <v>598</v>
      </c>
      <c r="AV138" s="20">
        <f>AW138+AX138</f>
        <v>0</v>
      </c>
      <c r="AW138" s="20">
        <f>H138*AO138</f>
        <v>0</v>
      </c>
      <c r="AX138" s="20">
        <f>H138*AP138</f>
        <v>0</v>
      </c>
      <c r="AY138" s="26" t="s">
        <v>614</v>
      </c>
      <c r="AZ138" s="26" t="s">
        <v>356</v>
      </c>
      <c r="BA138" s="64" t="s">
        <v>452</v>
      </c>
      <c r="BC138" s="20">
        <f>AW138+AX138</f>
        <v>0</v>
      </c>
      <c r="BD138" s="20">
        <f>I138/(100-BE138)*100</f>
        <v>0</v>
      </c>
      <c r="BE138" s="20">
        <v>0</v>
      </c>
      <c r="BF138" s="20">
        <f>138</f>
        <v>138</v>
      </c>
      <c r="BH138" s="20">
        <f>H138*AO138</f>
        <v>0</v>
      </c>
      <c r="BI138" s="20">
        <f>H138*AP138</f>
        <v>0</v>
      </c>
      <c r="BJ138" s="20">
        <f>H138*I138</f>
        <v>0</v>
      </c>
      <c r="BK138" s="20"/>
      <c r="BL138" s="20">
        <v>771</v>
      </c>
    </row>
    <row r="139" spans="1:64" ht="15" customHeight="1">
      <c r="A139" s="4" t="s">
        <v>611</v>
      </c>
      <c r="B139" s="17" t="s">
        <v>12</v>
      </c>
      <c r="C139" s="113" t="s">
        <v>612</v>
      </c>
      <c r="D139" s="113"/>
      <c r="E139" s="113"/>
      <c r="F139" s="113"/>
      <c r="G139" s="17" t="s">
        <v>587</v>
      </c>
      <c r="H139" s="20">
        <v>2.6</v>
      </c>
      <c r="I139" s="20">
        <v>0</v>
      </c>
      <c r="J139" s="20">
        <f>H139*AO139</f>
        <v>0</v>
      </c>
      <c r="K139" s="20">
        <f>H139*AP139</f>
        <v>0</v>
      </c>
      <c r="L139" s="20">
        <f>H139*I139</f>
        <v>0</v>
      </c>
      <c r="M139" s="31" t="s">
        <v>496</v>
      </c>
      <c r="Z139" s="20">
        <f>IF(AQ139="5",BJ139,0)</f>
        <v>0</v>
      </c>
      <c r="AB139" s="20">
        <f>IF(AQ139="1",BH139,0)</f>
        <v>0</v>
      </c>
      <c r="AC139" s="20">
        <f>IF(AQ139="1",BI139,0)</f>
        <v>0</v>
      </c>
      <c r="AD139" s="20">
        <f>IF(AQ139="7",BH139,0)</f>
        <v>0</v>
      </c>
      <c r="AE139" s="20">
        <f>IF(AQ139="7",BI139,0)</f>
        <v>0</v>
      </c>
      <c r="AF139" s="20">
        <f>IF(AQ139="2",BH139,0)</f>
        <v>0</v>
      </c>
      <c r="AG139" s="20">
        <f>IF(AQ139="2",BI139,0)</f>
        <v>0</v>
      </c>
      <c r="AH139" s="20">
        <f>IF(AQ139="0",BJ139,0)</f>
        <v>0</v>
      </c>
      <c r="AI139" s="64" t="s">
        <v>414</v>
      </c>
      <c r="AJ139" s="20">
        <f>IF(AN139=0,L139,0)</f>
        <v>0</v>
      </c>
      <c r="AK139" s="20">
        <f>IF(AN139=15,L139,0)</f>
        <v>0</v>
      </c>
      <c r="AL139" s="20">
        <f>IF(AN139=21,L139,0)</f>
        <v>0</v>
      </c>
      <c r="AN139" s="20">
        <v>15</v>
      </c>
      <c r="AO139" s="20">
        <f>I139*0</f>
        <v>0</v>
      </c>
      <c r="AP139" s="20">
        <f>I139*(1-0)</f>
        <v>0</v>
      </c>
      <c r="AQ139" s="26" t="s">
        <v>598</v>
      </c>
      <c r="AV139" s="20">
        <f>AW139+AX139</f>
        <v>0</v>
      </c>
      <c r="AW139" s="20">
        <f>H139*AO139</f>
        <v>0</v>
      </c>
      <c r="AX139" s="20">
        <f>H139*AP139</f>
        <v>0</v>
      </c>
      <c r="AY139" s="26" t="s">
        <v>614</v>
      </c>
      <c r="AZ139" s="26" t="s">
        <v>356</v>
      </c>
      <c r="BA139" s="64" t="s">
        <v>452</v>
      </c>
      <c r="BC139" s="20">
        <f>AW139+AX139</f>
        <v>0</v>
      </c>
      <c r="BD139" s="20">
        <f>I139/(100-BE139)*100</f>
        <v>0</v>
      </c>
      <c r="BE139" s="20">
        <v>0</v>
      </c>
      <c r="BF139" s="20">
        <f>139</f>
        <v>139</v>
      </c>
      <c r="BH139" s="20">
        <f>H139*AO139</f>
        <v>0</v>
      </c>
      <c r="BI139" s="20">
        <f>H139*AP139</f>
        <v>0</v>
      </c>
      <c r="BJ139" s="20">
        <f>H139*I139</f>
        <v>0</v>
      </c>
      <c r="BK139" s="20"/>
      <c r="BL139" s="20">
        <v>771</v>
      </c>
    </row>
    <row r="140" spans="1:64" ht="15" customHeight="1">
      <c r="A140" s="4" t="s">
        <v>355</v>
      </c>
      <c r="B140" s="17" t="s">
        <v>23</v>
      </c>
      <c r="C140" s="113" t="s">
        <v>27</v>
      </c>
      <c r="D140" s="113"/>
      <c r="E140" s="113"/>
      <c r="F140" s="113"/>
      <c r="G140" s="17" t="s">
        <v>587</v>
      </c>
      <c r="H140" s="20">
        <v>2.6</v>
      </c>
      <c r="I140" s="20">
        <v>0</v>
      </c>
      <c r="J140" s="20">
        <f>H140*AO140</f>
        <v>0</v>
      </c>
      <c r="K140" s="20">
        <f>H140*AP140</f>
        <v>0</v>
      </c>
      <c r="L140" s="20">
        <f>H140*I140</f>
        <v>0</v>
      </c>
      <c r="M140" s="31" t="s">
        <v>496</v>
      </c>
      <c r="Z140" s="20">
        <f>IF(AQ140="5",BJ140,0)</f>
        <v>0</v>
      </c>
      <c r="AB140" s="20">
        <f>IF(AQ140="1",BH140,0)</f>
        <v>0</v>
      </c>
      <c r="AC140" s="20">
        <f>IF(AQ140="1",BI140,0)</f>
        <v>0</v>
      </c>
      <c r="AD140" s="20">
        <f>IF(AQ140="7",BH140,0)</f>
        <v>0</v>
      </c>
      <c r="AE140" s="20">
        <f>IF(AQ140="7",BI140,0)</f>
        <v>0</v>
      </c>
      <c r="AF140" s="20">
        <f>IF(AQ140="2",BH140,0)</f>
        <v>0</v>
      </c>
      <c r="AG140" s="20">
        <f>IF(AQ140="2",BI140,0)</f>
        <v>0</v>
      </c>
      <c r="AH140" s="20">
        <f>IF(AQ140="0",BJ140,0)</f>
        <v>0</v>
      </c>
      <c r="AI140" s="64" t="s">
        <v>414</v>
      </c>
      <c r="AJ140" s="20">
        <f>IF(AN140=0,L140,0)</f>
        <v>0</v>
      </c>
      <c r="AK140" s="20">
        <f>IF(AN140=15,L140,0)</f>
        <v>0</v>
      </c>
      <c r="AL140" s="20">
        <f>IF(AN140=21,L140,0)</f>
        <v>0</v>
      </c>
      <c r="AN140" s="20">
        <v>15</v>
      </c>
      <c r="AO140" s="20">
        <f>I140*0.524865831842576</f>
        <v>0</v>
      </c>
      <c r="AP140" s="20">
        <f>I140*(1-0.524865831842576)</f>
        <v>0</v>
      </c>
      <c r="AQ140" s="26" t="s">
        <v>598</v>
      </c>
      <c r="AV140" s="20">
        <f>AW140+AX140</f>
        <v>0</v>
      </c>
      <c r="AW140" s="20">
        <f>H140*AO140</f>
        <v>0</v>
      </c>
      <c r="AX140" s="20">
        <f>H140*AP140</f>
        <v>0</v>
      </c>
      <c r="AY140" s="26" t="s">
        <v>614</v>
      </c>
      <c r="AZ140" s="26" t="s">
        <v>356</v>
      </c>
      <c r="BA140" s="64" t="s">
        <v>452</v>
      </c>
      <c r="BC140" s="20">
        <f>AW140+AX140</f>
        <v>0</v>
      </c>
      <c r="BD140" s="20">
        <f>I140/(100-BE140)*100</f>
        <v>0</v>
      </c>
      <c r="BE140" s="20">
        <v>0</v>
      </c>
      <c r="BF140" s="20">
        <f>140</f>
        <v>140</v>
      </c>
      <c r="BH140" s="20">
        <f>H140*AO140</f>
        <v>0</v>
      </c>
      <c r="BI140" s="20">
        <f>H140*AP140</f>
        <v>0</v>
      </c>
      <c r="BJ140" s="20">
        <f>H140*I140</f>
        <v>0</v>
      </c>
      <c r="BK140" s="20"/>
      <c r="BL140" s="20">
        <v>771</v>
      </c>
    </row>
    <row r="141" spans="1:64" ht="15" customHeight="1">
      <c r="A141" s="4" t="s">
        <v>301</v>
      </c>
      <c r="B141" s="17" t="s">
        <v>676</v>
      </c>
      <c r="C141" s="113" t="s">
        <v>571</v>
      </c>
      <c r="D141" s="113"/>
      <c r="E141" s="113"/>
      <c r="F141" s="113"/>
      <c r="G141" s="17" t="s">
        <v>494</v>
      </c>
      <c r="H141" s="20">
        <v>7.55</v>
      </c>
      <c r="I141" s="20">
        <v>0</v>
      </c>
      <c r="J141" s="20">
        <f>H141*AO141</f>
        <v>0</v>
      </c>
      <c r="K141" s="20">
        <f>H141*AP141</f>
        <v>0</v>
      </c>
      <c r="L141" s="20">
        <f>H141*I141</f>
        <v>0</v>
      </c>
      <c r="M141" s="31" t="s">
        <v>496</v>
      </c>
      <c r="Z141" s="20">
        <f>IF(AQ141="5",BJ141,0)</f>
        <v>0</v>
      </c>
      <c r="AB141" s="20">
        <f>IF(AQ141="1",BH141,0)</f>
        <v>0</v>
      </c>
      <c r="AC141" s="20">
        <f>IF(AQ141="1",BI141,0)</f>
        <v>0</v>
      </c>
      <c r="AD141" s="20">
        <f>IF(AQ141="7",BH141,0)</f>
        <v>0</v>
      </c>
      <c r="AE141" s="20">
        <f>IF(AQ141="7",BI141,0)</f>
        <v>0</v>
      </c>
      <c r="AF141" s="20">
        <f>IF(AQ141="2",BH141,0)</f>
        <v>0</v>
      </c>
      <c r="AG141" s="20">
        <f>IF(AQ141="2",BI141,0)</f>
        <v>0</v>
      </c>
      <c r="AH141" s="20">
        <f>IF(AQ141="0",BJ141,0)</f>
        <v>0</v>
      </c>
      <c r="AI141" s="64" t="s">
        <v>414</v>
      </c>
      <c r="AJ141" s="20">
        <f>IF(AN141=0,L141,0)</f>
        <v>0</v>
      </c>
      <c r="AK141" s="20">
        <f>IF(AN141=15,L141,0)</f>
        <v>0</v>
      </c>
      <c r="AL141" s="20">
        <f>IF(AN141=21,L141,0)</f>
        <v>0</v>
      </c>
      <c r="AN141" s="20">
        <v>15</v>
      </c>
      <c r="AO141" s="20">
        <f>I141*0.557783954894796</f>
        <v>0</v>
      </c>
      <c r="AP141" s="20">
        <f>I141*(1-0.557783954894796)</f>
        <v>0</v>
      </c>
      <c r="AQ141" s="26" t="s">
        <v>598</v>
      </c>
      <c r="AV141" s="20">
        <f>AW141+AX141</f>
        <v>0</v>
      </c>
      <c r="AW141" s="20">
        <f>H141*AO141</f>
        <v>0</v>
      </c>
      <c r="AX141" s="20">
        <f>H141*AP141</f>
        <v>0</v>
      </c>
      <c r="AY141" s="26" t="s">
        <v>614</v>
      </c>
      <c r="AZ141" s="26" t="s">
        <v>356</v>
      </c>
      <c r="BA141" s="64" t="s">
        <v>452</v>
      </c>
      <c r="BC141" s="20">
        <f>AW141+AX141</f>
        <v>0</v>
      </c>
      <c r="BD141" s="20">
        <f>I141/(100-BE141)*100</f>
        <v>0</v>
      </c>
      <c r="BE141" s="20">
        <v>0</v>
      </c>
      <c r="BF141" s="20">
        <f>141</f>
        <v>141</v>
      </c>
      <c r="BH141" s="20">
        <f>H141*AO141</f>
        <v>0</v>
      </c>
      <c r="BI141" s="20">
        <f>H141*AP141</f>
        <v>0</v>
      </c>
      <c r="BJ141" s="20">
        <f>H141*I141</f>
        <v>0</v>
      </c>
      <c r="BK141" s="20"/>
      <c r="BL141" s="20">
        <v>771</v>
      </c>
    </row>
    <row r="142" spans="1:13" ht="15" customHeight="1">
      <c r="A142" s="19"/>
      <c r="C142" s="9" t="s">
        <v>650</v>
      </c>
      <c r="F142" s="9" t="s">
        <v>414</v>
      </c>
      <c r="H142" s="58">
        <v>7.550000000000001</v>
      </c>
      <c r="M142" s="36"/>
    </row>
    <row r="143" spans="1:64" ht="15" customHeight="1">
      <c r="A143" s="4" t="s">
        <v>398</v>
      </c>
      <c r="B143" s="17" t="s">
        <v>510</v>
      </c>
      <c r="C143" s="113" t="s">
        <v>218</v>
      </c>
      <c r="D143" s="113"/>
      <c r="E143" s="113"/>
      <c r="F143" s="113"/>
      <c r="G143" s="17" t="s">
        <v>587</v>
      </c>
      <c r="H143" s="20">
        <v>2.86</v>
      </c>
      <c r="I143" s="20">
        <v>0</v>
      </c>
      <c r="J143" s="20">
        <f>H143*AO143</f>
        <v>0</v>
      </c>
      <c r="K143" s="20">
        <f>H143*AP143</f>
        <v>0</v>
      </c>
      <c r="L143" s="20">
        <f>H143*I143</f>
        <v>0</v>
      </c>
      <c r="M143" s="31" t="s">
        <v>496</v>
      </c>
      <c r="Z143" s="20">
        <f>IF(AQ143="5",BJ143,0)</f>
        <v>0</v>
      </c>
      <c r="AB143" s="20">
        <f>IF(AQ143="1",BH143,0)</f>
        <v>0</v>
      </c>
      <c r="AC143" s="20">
        <f>IF(AQ143="1",BI143,0)</f>
        <v>0</v>
      </c>
      <c r="AD143" s="20">
        <f>IF(AQ143="7",BH143,0)</f>
        <v>0</v>
      </c>
      <c r="AE143" s="20">
        <f>IF(AQ143="7",BI143,0)</f>
        <v>0</v>
      </c>
      <c r="AF143" s="20">
        <f>IF(AQ143="2",BH143,0)</f>
        <v>0</v>
      </c>
      <c r="AG143" s="20">
        <f>IF(AQ143="2",BI143,0)</f>
        <v>0</v>
      </c>
      <c r="AH143" s="20">
        <f>IF(AQ143="0",BJ143,0)</f>
        <v>0</v>
      </c>
      <c r="AI143" s="64" t="s">
        <v>414</v>
      </c>
      <c r="AJ143" s="20">
        <f>IF(AN143=0,L143,0)</f>
        <v>0</v>
      </c>
      <c r="AK143" s="20">
        <f>IF(AN143=15,L143,0)</f>
        <v>0</v>
      </c>
      <c r="AL143" s="20">
        <f>IF(AN143=21,L143,0)</f>
        <v>0</v>
      </c>
      <c r="AN143" s="20">
        <v>15</v>
      </c>
      <c r="AO143" s="20">
        <f>I143*1</f>
        <v>0</v>
      </c>
      <c r="AP143" s="20">
        <f>I143*(1-1)</f>
        <v>0</v>
      </c>
      <c r="AQ143" s="26" t="s">
        <v>598</v>
      </c>
      <c r="AV143" s="20">
        <f>AW143+AX143</f>
        <v>0</v>
      </c>
      <c r="AW143" s="20">
        <f>H143*AO143</f>
        <v>0</v>
      </c>
      <c r="AX143" s="20">
        <f>H143*AP143</f>
        <v>0</v>
      </c>
      <c r="AY143" s="26" t="s">
        <v>614</v>
      </c>
      <c r="AZ143" s="26" t="s">
        <v>356</v>
      </c>
      <c r="BA143" s="64" t="s">
        <v>452</v>
      </c>
      <c r="BC143" s="20">
        <f>AW143+AX143</f>
        <v>0</v>
      </c>
      <c r="BD143" s="20">
        <f>I143/(100-BE143)*100</f>
        <v>0</v>
      </c>
      <c r="BE143" s="20">
        <v>0</v>
      </c>
      <c r="BF143" s="20">
        <f>143</f>
        <v>143</v>
      </c>
      <c r="BH143" s="20">
        <f>H143*AO143</f>
        <v>0</v>
      </c>
      <c r="BI143" s="20">
        <f>H143*AP143</f>
        <v>0</v>
      </c>
      <c r="BJ143" s="20">
        <f>H143*I143</f>
        <v>0</v>
      </c>
      <c r="BK143" s="20"/>
      <c r="BL143" s="20">
        <v>771</v>
      </c>
    </row>
    <row r="144" spans="1:13" ht="15" customHeight="1">
      <c r="A144" s="19"/>
      <c r="C144" s="9" t="s">
        <v>18</v>
      </c>
      <c r="F144" s="9" t="s">
        <v>414</v>
      </c>
      <c r="H144" s="58">
        <v>2.8600000000000003</v>
      </c>
      <c r="M144" s="36"/>
    </row>
    <row r="145" spans="1:64" ht="15" customHeight="1">
      <c r="A145" s="4" t="s">
        <v>35</v>
      </c>
      <c r="B145" s="17" t="s">
        <v>194</v>
      </c>
      <c r="C145" s="113" t="s">
        <v>454</v>
      </c>
      <c r="D145" s="113"/>
      <c r="E145" s="113"/>
      <c r="F145" s="113"/>
      <c r="G145" s="17" t="s">
        <v>284</v>
      </c>
      <c r="H145" s="20">
        <v>0.0683</v>
      </c>
      <c r="I145" s="20">
        <v>0</v>
      </c>
      <c r="J145" s="20">
        <f>H145*AO145</f>
        <v>0</v>
      </c>
      <c r="K145" s="20">
        <f>H145*AP145</f>
        <v>0</v>
      </c>
      <c r="L145" s="20">
        <f>H145*I145</f>
        <v>0</v>
      </c>
      <c r="M145" s="31" t="s">
        <v>496</v>
      </c>
      <c r="Z145" s="20">
        <f>IF(AQ145="5",BJ145,0)</f>
        <v>0</v>
      </c>
      <c r="AB145" s="20">
        <f>IF(AQ145="1",BH145,0)</f>
        <v>0</v>
      </c>
      <c r="AC145" s="20">
        <f>IF(AQ145="1",BI145,0)</f>
        <v>0</v>
      </c>
      <c r="AD145" s="20">
        <f>IF(AQ145="7",BH145,0)</f>
        <v>0</v>
      </c>
      <c r="AE145" s="20">
        <f>IF(AQ145="7",BI145,0)</f>
        <v>0</v>
      </c>
      <c r="AF145" s="20">
        <f>IF(AQ145="2",BH145,0)</f>
        <v>0</v>
      </c>
      <c r="AG145" s="20">
        <f>IF(AQ145="2",BI145,0)</f>
        <v>0</v>
      </c>
      <c r="AH145" s="20">
        <f>IF(AQ145="0",BJ145,0)</f>
        <v>0</v>
      </c>
      <c r="AI145" s="64" t="s">
        <v>414</v>
      </c>
      <c r="AJ145" s="20">
        <f>IF(AN145=0,L145,0)</f>
        <v>0</v>
      </c>
      <c r="AK145" s="20">
        <f>IF(AN145=15,L145,0)</f>
        <v>0</v>
      </c>
      <c r="AL145" s="20">
        <f>IF(AN145=21,L145,0)</f>
        <v>0</v>
      </c>
      <c r="AN145" s="20">
        <v>15</v>
      </c>
      <c r="AO145" s="20">
        <f>I145*0</f>
        <v>0</v>
      </c>
      <c r="AP145" s="20">
        <f>I145*(1-0)</f>
        <v>0</v>
      </c>
      <c r="AQ145" s="26" t="s">
        <v>322</v>
      </c>
      <c r="AV145" s="20">
        <f>AW145+AX145</f>
        <v>0</v>
      </c>
      <c r="AW145" s="20">
        <f>H145*AO145</f>
        <v>0</v>
      </c>
      <c r="AX145" s="20">
        <f>H145*AP145</f>
        <v>0</v>
      </c>
      <c r="AY145" s="26" t="s">
        <v>614</v>
      </c>
      <c r="AZ145" s="26" t="s">
        <v>356</v>
      </c>
      <c r="BA145" s="64" t="s">
        <v>452</v>
      </c>
      <c r="BC145" s="20">
        <f>AW145+AX145</f>
        <v>0</v>
      </c>
      <c r="BD145" s="20">
        <f>I145/(100-BE145)*100</f>
        <v>0</v>
      </c>
      <c r="BE145" s="20">
        <v>0</v>
      </c>
      <c r="BF145" s="20">
        <f>145</f>
        <v>145</v>
      </c>
      <c r="BH145" s="20">
        <f>H145*AO145</f>
        <v>0</v>
      </c>
      <c r="BI145" s="20">
        <f>H145*AP145</f>
        <v>0</v>
      </c>
      <c r="BJ145" s="20">
        <f>H145*I145</f>
        <v>0</v>
      </c>
      <c r="BK145" s="20"/>
      <c r="BL145" s="20">
        <v>771</v>
      </c>
    </row>
    <row r="146" spans="1:47" ht="15" customHeight="1">
      <c r="A146" s="96" t="s">
        <v>414</v>
      </c>
      <c r="B146" s="28" t="s">
        <v>252</v>
      </c>
      <c r="C146" s="168" t="s">
        <v>290</v>
      </c>
      <c r="D146" s="166"/>
      <c r="E146" s="166"/>
      <c r="F146" s="168"/>
      <c r="G146" s="85" t="s">
        <v>546</v>
      </c>
      <c r="H146" s="85" t="s">
        <v>546</v>
      </c>
      <c r="I146" s="85" t="s">
        <v>546</v>
      </c>
      <c r="J146" s="56">
        <f>SUM(J147:J160)</f>
        <v>0</v>
      </c>
      <c r="K146" s="56">
        <f>SUM(K147:K160)</f>
        <v>0</v>
      </c>
      <c r="L146" s="56">
        <f>SUM(L147:L160)</f>
        <v>0</v>
      </c>
      <c r="M146" s="102" t="s">
        <v>414</v>
      </c>
      <c r="AI146" s="64" t="s">
        <v>414</v>
      </c>
      <c r="AS146" s="76">
        <f>SUM(AJ147:AJ160)</f>
        <v>0</v>
      </c>
      <c r="AT146" s="76">
        <f>SUM(AK147:AK160)</f>
        <v>0</v>
      </c>
      <c r="AU146" s="76">
        <f>SUM(AL147:AL160)</f>
        <v>0</v>
      </c>
    </row>
    <row r="147" spans="1:64" ht="15" customHeight="1">
      <c r="A147" s="86" t="s">
        <v>647</v>
      </c>
      <c r="B147" s="69" t="s">
        <v>191</v>
      </c>
      <c r="C147" s="165" t="s">
        <v>619</v>
      </c>
      <c r="D147" s="113"/>
      <c r="E147" s="113"/>
      <c r="F147" s="165"/>
      <c r="G147" s="69" t="s">
        <v>154</v>
      </c>
      <c r="H147" s="100">
        <v>4</v>
      </c>
      <c r="I147" s="100">
        <v>0</v>
      </c>
      <c r="J147" s="100">
        <f aca="true" t="shared" si="90" ref="J147:J160">H147*AO147</f>
        <v>0</v>
      </c>
      <c r="K147" s="100">
        <f aca="true" t="shared" si="91" ref="K147:K160">H147*AP147</f>
        <v>0</v>
      </c>
      <c r="L147" s="100">
        <f aca="true" t="shared" si="92" ref="L147:L160">H147*I147</f>
        <v>0</v>
      </c>
      <c r="M147" s="29" t="s">
        <v>496</v>
      </c>
      <c r="Z147" s="20">
        <f aca="true" t="shared" si="93" ref="Z147:Z160">IF(AQ147="5",BJ147,0)</f>
        <v>0</v>
      </c>
      <c r="AB147" s="20">
        <f aca="true" t="shared" si="94" ref="AB147:AB160">IF(AQ147="1",BH147,0)</f>
        <v>0</v>
      </c>
      <c r="AC147" s="20">
        <f aca="true" t="shared" si="95" ref="AC147:AC160">IF(AQ147="1",BI147,0)</f>
        <v>0</v>
      </c>
      <c r="AD147" s="20">
        <f aca="true" t="shared" si="96" ref="AD147:AD160">IF(AQ147="7",BH147,0)</f>
        <v>0</v>
      </c>
      <c r="AE147" s="20">
        <f aca="true" t="shared" si="97" ref="AE147:AE160">IF(AQ147="7",BI147,0)</f>
        <v>0</v>
      </c>
      <c r="AF147" s="20">
        <f aca="true" t="shared" si="98" ref="AF147:AF160">IF(AQ147="2",BH147,0)</f>
        <v>0</v>
      </c>
      <c r="AG147" s="20">
        <f aca="true" t="shared" si="99" ref="AG147:AG160">IF(AQ147="2",BI147,0)</f>
        <v>0</v>
      </c>
      <c r="AH147" s="20">
        <f aca="true" t="shared" si="100" ref="AH147:AH160">IF(AQ147="0",BJ147,0)</f>
        <v>0</v>
      </c>
      <c r="AI147" s="64" t="s">
        <v>414</v>
      </c>
      <c r="AJ147" s="20">
        <f aca="true" t="shared" si="101" ref="AJ147:AJ160">IF(AN147=0,L147,0)</f>
        <v>0</v>
      </c>
      <c r="AK147" s="20">
        <f aca="true" t="shared" si="102" ref="AK147:AK160">IF(AN147=15,L147,0)</f>
        <v>0</v>
      </c>
      <c r="AL147" s="20">
        <f aca="true" t="shared" si="103" ref="AL147:AL160">IF(AN147=21,L147,0)</f>
        <v>0</v>
      </c>
      <c r="AN147" s="20">
        <v>15</v>
      </c>
      <c r="AO147" s="20">
        <f>I147*0</f>
        <v>0</v>
      </c>
      <c r="AP147" s="20">
        <f>I147*(1-0)</f>
        <v>0</v>
      </c>
      <c r="AQ147" s="26" t="s">
        <v>598</v>
      </c>
      <c r="AV147" s="20">
        <f aca="true" t="shared" si="104" ref="AV147:AV160">AW147+AX147</f>
        <v>0</v>
      </c>
      <c r="AW147" s="20">
        <f aca="true" t="shared" si="105" ref="AW147:AW160">H147*AO147</f>
        <v>0</v>
      </c>
      <c r="AX147" s="20">
        <f aca="true" t="shared" si="106" ref="AX147:AX160">H147*AP147</f>
        <v>0</v>
      </c>
      <c r="AY147" s="26" t="s">
        <v>72</v>
      </c>
      <c r="AZ147" s="26" t="s">
        <v>479</v>
      </c>
      <c r="BA147" s="64" t="s">
        <v>452</v>
      </c>
      <c r="BC147" s="20">
        <f aca="true" t="shared" si="107" ref="BC147:BC160">AW147+AX147</f>
        <v>0</v>
      </c>
      <c r="BD147" s="20">
        <f aca="true" t="shared" si="108" ref="BD147:BD160">I147/(100-BE147)*100</f>
        <v>0</v>
      </c>
      <c r="BE147" s="20">
        <v>0</v>
      </c>
      <c r="BF147" s="20">
        <f>147</f>
        <v>147</v>
      </c>
      <c r="BH147" s="20">
        <f aca="true" t="shared" si="109" ref="BH147:BH160">H147*AO147</f>
        <v>0</v>
      </c>
      <c r="BI147" s="20">
        <f aca="true" t="shared" si="110" ref="BI147:BI160">H147*AP147</f>
        <v>0</v>
      </c>
      <c r="BJ147" s="20">
        <f aca="true" t="shared" si="111" ref="BJ147:BJ160">H147*I147</f>
        <v>0</v>
      </c>
      <c r="BK147" s="20"/>
      <c r="BL147" s="20">
        <v>766</v>
      </c>
    </row>
    <row r="148" spans="1:64" ht="15" customHeight="1">
      <c r="A148" s="4" t="s">
        <v>636</v>
      </c>
      <c r="B148" s="17" t="s">
        <v>313</v>
      </c>
      <c r="C148" s="113" t="s">
        <v>623</v>
      </c>
      <c r="D148" s="113"/>
      <c r="E148" s="113"/>
      <c r="F148" s="113"/>
      <c r="G148" s="17" t="s">
        <v>154</v>
      </c>
      <c r="H148" s="20">
        <v>1</v>
      </c>
      <c r="I148" s="20">
        <v>0</v>
      </c>
      <c r="J148" s="20">
        <f t="shared" si="90"/>
        <v>0</v>
      </c>
      <c r="K148" s="20">
        <f t="shared" si="91"/>
        <v>0</v>
      </c>
      <c r="L148" s="20">
        <f t="shared" si="92"/>
        <v>0</v>
      </c>
      <c r="M148" s="31" t="s">
        <v>496</v>
      </c>
      <c r="Z148" s="20">
        <f t="shared" si="93"/>
        <v>0</v>
      </c>
      <c r="AB148" s="20">
        <f t="shared" si="94"/>
        <v>0</v>
      </c>
      <c r="AC148" s="20">
        <f t="shared" si="95"/>
        <v>0</v>
      </c>
      <c r="AD148" s="20">
        <f t="shared" si="96"/>
        <v>0</v>
      </c>
      <c r="AE148" s="20">
        <f t="shared" si="97"/>
        <v>0</v>
      </c>
      <c r="AF148" s="20">
        <f t="shared" si="98"/>
        <v>0</v>
      </c>
      <c r="AG148" s="20">
        <f t="shared" si="99"/>
        <v>0</v>
      </c>
      <c r="AH148" s="20">
        <f t="shared" si="100"/>
        <v>0</v>
      </c>
      <c r="AI148" s="64" t="s">
        <v>414</v>
      </c>
      <c r="AJ148" s="20">
        <f t="shared" si="101"/>
        <v>0</v>
      </c>
      <c r="AK148" s="20">
        <f t="shared" si="102"/>
        <v>0</v>
      </c>
      <c r="AL148" s="20">
        <f t="shared" si="103"/>
        <v>0</v>
      </c>
      <c r="AN148" s="20">
        <v>15</v>
      </c>
      <c r="AO148" s="20">
        <f>I148*0</f>
        <v>0</v>
      </c>
      <c r="AP148" s="20">
        <f>I148*(1-0)</f>
        <v>0</v>
      </c>
      <c r="AQ148" s="26" t="s">
        <v>598</v>
      </c>
      <c r="AV148" s="20">
        <f t="shared" si="104"/>
        <v>0</v>
      </c>
      <c r="AW148" s="20">
        <f t="shared" si="105"/>
        <v>0</v>
      </c>
      <c r="AX148" s="20">
        <f t="shared" si="106"/>
        <v>0</v>
      </c>
      <c r="AY148" s="26" t="s">
        <v>72</v>
      </c>
      <c r="AZ148" s="26" t="s">
        <v>479</v>
      </c>
      <c r="BA148" s="64" t="s">
        <v>452</v>
      </c>
      <c r="BC148" s="20">
        <f t="shared" si="107"/>
        <v>0</v>
      </c>
      <c r="BD148" s="20">
        <f t="shared" si="108"/>
        <v>0</v>
      </c>
      <c r="BE148" s="20">
        <v>0</v>
      </c>
      <c r="BF148" s="20">
        <f>148</f>
        <v>148</v>
      </c>
      <c r="BH148" s="20">
        <f t="shared" si="109"/>
        <v>0</v>
      </c>
      <c r="BI148" s="20">
        <f t="shared" si="110"/>
        <v>0</v>
      </c>
      <c r="BJ148" s="20">
        <f t="shared" si="111"/>
        <v>0</v>
      </c>
      <c r="BK148" s="20"/>
      <c r="BL148" s="20">
        <v>766</v>
      </c>
    </row>
    <row r="149" spans="1:64" ht="15" customHeight="1">
      <c r="A149" s="4" t="s">
        <v>635</v>
      </c>
      <c r="B149" s="17" t="s">
        <v>155</v>
      </c>
      <c r="C149" s="113" t="s">
        <v>225</v>
      </c>
      <c r="D149" s="113"/>
      <c r="E149" s="113"/>
      <c r="F149" s="113"/>
      <c r="G149" s="17" t="s">
        <v>154</v>
      </c>
      <c r="H149" s="20">
        <v>1</v>
      </c>
      <c r="I149" s="20">
        <v>0</v>
      </c>
      <c r="J149" s="20">
        <f t="shared" si="90"/>
        <v>0</v>
      </c>
      <c r="K149" s="20">
        <f t="shared" si="91"/>
        <v>0</v>
      </c>
      <c r="L149" s="20">
        <f t="shared" si="92"/>
        <v>0</v>
      </c>
      <c r="M149" s="31" t="s">
        <v>496</v>
      </c>
      <c r="Z149" s="20">
        <f t="shared" si="93"/>
        <v>0</v>
      </c>
      <c r="AB149" s="20">
        <f t="shared" si="94"/>
        <v>0</v>
      </c>
      <c r="AC149" s="20">
        <f t="shared" si="95"/>
        <v>0</v>
      </c>
      <c r="AD149" s="20">
        <f t="shared" si="96"/>
        <v>0</v>
      </c>
      <c r="AE149" s="20">
        <f t="shared" si="97"/>
        <v>0</v>
      </c>
      <c r="AF149" s="20">
        <f t="shared" si="98"/>
        <v>0</v>
      </c>
      <c r="AG149" s="20">
        <f t="shared" si="99"/>
        <v>0</v>
      </c>
      <c r="AH149" s="20">
        <f t="shared" si="100"/>
        <v>0</v>
      </c>
      <c r="AI149" s="64" t="s">
        <v>414</v>
      </c>
      <c r="AJ149" s="20">
        <f t="shared" si="101"/>
        <v>0</v>
      </c>
      <c r="AK149" s="20">
        <f t="shared" si="102"/>
        <v>0</v>
      </c>
      <c r="AL149" s="20">
        <f t="shared" si="103"/>
        <v>0</v>
      </c>
      <c r="AN149" s="20">
        <v>15</v>
      </c>
      <c r="AO149" s="20">
        <f>I149*0</f>
        <v>0</v>
      </c>
      <c r="AP149" s="20">
        <f>I149*(1-0)</f>
        <v>0</v>
      </c>
      <c r="AQ149" s="26" t="s">
        <v>598</v>
      </c>
      <c r="AV149" s="20">
        <f t="shared" si="104"/>
        <v>0</v>
      </c>
      <c r="AW149" s="20">
        <f t="shared" si="105"/>
        <v>0</v>
      </c>
      <c r="AX149" s="20">
        <f t="shared" si="106"/>
        <v>0</v>
      </c>
      <c r="AY149" s="26" t="s">
        <v>72</v>
      </c>
      <c r="AZ149" s="26" t="s">
        <v>479</v>
      </c>
      <c r="BA149" s="64" t="s">
        <v>452</v>
      </c>
      <c r="BC149" s="20">
        <f t="shared" si="107"/>
        <v>0</v>
      </c>
      <c r="BD149" s="20">
        <f t="shared" si="108"/>
        <v>0</v>
      </c>
      <c r="BE149" s="20">
        <v>0</v>
      </c>
      <c r="BF149" s="20">
        <f>149</f>
        <v>149</v>
      </c>
      <c r="BH149" s="20">
        <f t="shared" si="109"/>
        <v>0</v>
      </c>
      <c r="BI149" s="20">
        <f t="shared" si="110"/>
        <v>0</v>
      </c>
      <c r="BJ149" s="20">
        <f t="shared" si="111"/>
        <v>0</v>
      </c>
      <c r="BK149" s="20"/>
      <c r="BL149" s="20">
        <v>766</v>
      </c>
    </row>
    <row r="150" spans="1:64" ht="15" customHeight="1">
      <c r="A150" s="46" t="s">
        <v>31</v>
      </c>
      <c r="B150" s="44" t="s">
        <v>0</v>
      </c>
      <c r="C150" s="165" t="s">
        <v>393</v>
      </c>
      <c r="D150" s="113"/>
      <c r="E150" s="113"/>
      <c r="F150" s="165"/>
      <c r="G150" s="44" t="s">
        <v>154</v>
      </c>
      <c r="H150" s="1">
        <v>4</v>
      </c>
      <c r="I150" s="1">
        <v>0</v>
      </c>
      <c r="J150" s="1">
        <f t="shared" si="90"/>
        <v>0</v>
      </c>
      <c r="K150" s="1">
        <f t="shared" si="91"/>
        <v>0</v>
      </c>
      <c r="L150" s="1">
        <f t="shared" si="92"/>
        <v>0</v>
      </c>
      <c r="M150" s="27" t="s">
        <v>496</v>
      </c>
      <c r="Z150" s="20">
        <f t="shared" si="93"/>
        <v>0</v>
      </c>
      <c r="AB150" s="20">
        <f t="shared" si="94"/>
        <v>0</v>
      </c>
      <c r="AC150" s="20">
        <f t="shared" si="95"/>
        <v>0</v>
      </c>
      <c r="AD150" s="20">
        <f t="shared" si="96"/>
        <v>0</v>
      </c>
      <c r="AE150" s="20">
        <f t="shared" si="97"/>
        <v>0</v>
      </c>
      <c r="AF150" s="20">
        <f t="shared" si="98"/>
        <v>0</v>
      </c>
      <c r="AG150" s="20">
        <f t="shared" si="99"/>
        <v>0</v>
      </c>
      <c r="AH150" s="20">
        <f t="shared" si="100"/>
        <v>0</v>
      </c>
      <c r="AI150" s="64" t="s">
        <v>414</v>
      </c>
      <c r="AJ150" s="20">
        <f t="shared" si="101"/>
        <v>0</v>
      </c>
      <c r="AK150" s="20">
        <f t="shared" si="102"/>
        <v>0</v>
      </c>
      <c r="AL150" s="20">
        <f t="shared" si="103"/>
        <v>0</v>
      </c>
      <c r="AN150" s="20">
        <v>15</v>
      </c>
      <c r="AO150" s="20">
        <f>I150*0</f>
        <v>0</v>
      </c>
      <c r="AP150" s="20">
        <f>I150*(1-0)</f>
        <v>0</v>
      </c>
      <c r="AQ150" s="26" t="s">
        <v>598</v>
      </c>
      <c r="AV150" s="20">
        <f t="shared" si="104"/>
        <v>0</v>
      </c>
      <c r="AW150" s="20">
        <f t="shared" si="105"/>
        <v>0</v>
      </c>
      <c r="AX150" s="20">
        <f t="shared" si="106"/>
        <v>0</v>
      </c>
      <c r="AY150" s="26" t="s">
        <v>72</v>
      </c>
      <c r="AZ150" s="26" t="s">
        <v>479</v>
      </c>
      <c r="BA150" s="64" t="s">
        <v>452</v>
      </c>
      <c r="BC150" s="20">
        <f t="shared" si="107"/>
        <v>0</v>
      </c>
      <c r="BD150" s="20">
        <f t="shared" si="108"/>
        <v>0</v>
      </c>
      <c r="BE150" s="20">
        <v>0</v>
      </c>
      <c r="BF150" s="20">
        <f>150</f>
        <v>150</v>
      </c>
      <c r="BH150" s="20">
        <f t="shared" si="109"/>
        <v>0</v>
      </c>
      <c r="BI150" s="20">
        <f t="shared" si="110"/>
        <v>0</v>
      </c>
      <c r="BJ150" s="20">
        <f t="shared" si="111"/>
        <v>0</v>
      </c>
      <c r="BK150" s="20"/>
      <c r="BL150" s="20">
        <v>766</v>
      </c>
    </row>
    <row r="151" spans="1:64" ht="15" customHeight="1">
      <c r="A151" s="86" t="s">
        <v>1</v>
      </c>
      <c r="B151" s="69" t="s">
        <v>381</v>
      </c>
      <c r="C151" s="165" t="s">
        <v>423</v>
      </c>
      <c r="D151" s="113"/>
      <c r="E151" s="113"/>
      <c r="F151" s="165"/>
      <c r="G151" s="69" t="s">
        <v>154</v>
      </c>
      <c r="H151" s="100">
        <v>4</v>
      </c>
      <c r="I151" s="100">
        <v>0</v>
      </c>
      <c r="J151" s="100">
        <f t="shared" si="90"/>
        <v>0</v>
      </c>
      <c r="K151" s="100">
        <f t="shared" si="91"/>
        <v>0</v>
      </c>
      <c r="L151" s="100">
        <f t="shared" si="92"/>
        <v>0</v>
      </c>
      <c r="M151" s="29" t="s">
        <v>496</v>
      </c>
      <c r="Z151" s="20">
        <f t="shared" si="93"/>
        <v>0</v>
      </c>
      <c r="AB151" s="20">
        <f t="shared" si="94"/>
        <v>0</v>
      </c>
      <c r="AC151" s="20">
        <f t="shared" si="95"/>
        <v>0</v>
      </c>
      <c r="AD151" s="20">
        <f t="shared" si="96"/>
        <v>0</v>
      </c>
      <c r="AE151" s="20">
        <f t="shared" si="97"/>
        <v>0</v>
      </c>
      <c r="AF151" s="20">
        <f t="shared" si="98"/>
        <v>0</v>
      </c>
      <c r="AG151" s="20">
        <f t="shared" si="99"/>
        <v>0</v>
      </c>
      <c r="AH151" s="20">
        <f t="shared" si="100"/>
        <v>0</v>
      </c>
      <c r="AI151" s="64" t="s">
        <v>414</v>
      </c>
      <c r="AJ151" s="20">
        <f t="shared" si="101"/>
        <v>0</v>
      </c>
      <c r="AK151" s="20">
        <f t="shared" si="102"/>
        <v>0</v>
      </c>
      <c r="AL151" s="20">
        <f t="shared" si="103"/>
        <v>0</v>
      </c>
      <c r="AN151" s="20">
        <v>15</v>
      </c>
      <c r="AO151" s="20">
        <f>I151*0.0374214074691311</f>
        <v>0</v>
      </c>
      <c r="AP151" s="20">
        <f>I151*(1-0.0374214074691311)</f>
        <v>0</v>
      </c>
      <c r="AQ151" s="26" t="s">
        <v>598</v>
      </c>
      <c r="AV151" s="20">
        <f t="shared" si="104"/>
        <v>0</v>
      </c>
      <c r="AW151" s="20">
        <f t="shared" si="105"/>
        <v>0</v>
      </c>
      <c r="AX151" s="20">
        <f t="shared" si="106"/>
        <v>0</v>
      </c>
      <c r="AY151" s="26" t="s">
        <v>72</v>
      </c>
      <c r="AZ151" s="26" t="s">
        <v>479</v>
      </c>
      <c r="BA151" s="64" t="s">
        <v>452</v>
      </c>
      <c r="BC151" s="20">
        <f t="shared" si="107"/>
        <v>0</v>
      </c>
      <c r="BD151" s="20">
        <f t="shared" si="108"/>
        <v>0</v>
      </c>
      <c r="BE151" s="20">
        <v>0</v>
      </c>
      <c r="BF151" s="20">
        <f>151</f>
        <v>151</v>
      </c>
      <c r="BH151" s="20">
        <f t="shared" si="109"/>
        <v>0</v>
      </c>
      <c r="BI151" s="20">
        <f t="shared" si="110"/>
        <v>0</v>
      </c>
      <c r="BJ151" s="20">
        <f t="shared" si="111"/>
        <v>0</v>
      </c>
      <c r="BK151" s="20"/>
      <c r="BL151" s="20">
        <v>766</v>
      </c>
    </row>
    <row r="152" spans="1:64" ht="15" customHeight="1">
      <c r="A152" s="7" t="s">
        <v>537</v>
      </c>
      <c r="B152" s="88" t="s">
        <v>204</v>
      </c>
      <c r="C152" s="169" t="s">
        <v>491</v>
      </c>
      <c r="D152" s="113"/>
      <c r="E152" s="113"/>
      <c r="F152" s="169"/>
      <c r="G152" s="88" t="s">
        <v>154</v>
      </c>
      <c r="H152" s="21">
        <v>1</v>
      </c>
      <c r="I152" s="21">
        <v>0</v>
      </c>
      <c r="J152" s="21">
        <f t="shared" si="90"/>
        <v>0</v>
      </c>
      <c r="K152" s="21">
        <f t="shared" si="91"/>
        <v>0</v>
      </c>
      <c r="L152" s="21">
        <f t="shared" si="92"/>
        <v>0</v>
      </c>
      <c r="M152" s="49" t="s">
        <v>496</v>
      </c>
      <c r="Z152" s="20">
        <f t="shared" si="93"/>
        <v>0</v>
      </c>
      <c r="AB152" s="20">
        <f t="shared" si="94"/>
        <v>0</v>
      </c>
      <c r="AC152" s="20">
        <f t="shared" si="95"/>
        <v>0</v>
      </c>
      <c r="AD152" s="20">
        <f t="shared" si="96"/>
        <v>0</v>
      </c>
      <c r="AE152" s="20">
        <f t="shared" si="97"/>
        <v>0</v>
      </c>
      <c r="AF152" s="20">
        <f t="shared" si="98"/>
        <v>0</v>
      </c>
      <c r="AG152" s="20">
        <f t="shared" si="99"/>
        <v>0</v>
      </c>
      <c r="AH152" s="20">
        <f t="shared" si="100"/>
        <v>0</v>
      </c>
      <c r="AI152" s="64" t="s">
        <v>414</v>
      </c>
      <c r="AJ152" s="20">
        <f t="shared" si="101"/>
        <v>0</v>
      </c>
      <c r="AK152" s="20">
        <f t="shared" si="102"/>
        <v>0</v>
      </c>
      <c r="AL152" s="20">
        <f t="shared" si="103"/>
        <v>0</v>
      </c>
      <c r="AN152" s="20">
        <v>15</v>
      </c>
      <c r="AO152" s="20">
        <f>I152*1</f>
        <v>0</v>
      </c>
      <c r="AP152" s="20">
        <f>I152*(1-1)</f>
        <v>0</v>
      </c>
      <c r="AQ152" s="26" t="s">
        <v>598</v>
      </c>
      <c r="AV152" s="20">
        <f t="shared" si="104"/>
        <v>0</v>
      </c>
      <c r="AW152" s="20">
        <f t="shared" si="105"/>
        <v>0</v>
      </c>
      <c r="AX152" s="20">
        <f t="shared" si="106"/>
        <v>0</v>
      </c>
      <c r="AY152" s="26" t="s">
        <v>72</v>
      </c>
      <c r="AZ152" s="26" t="s">
        <v>479</v>
      </c>
      <c r="BA152" s="64" t="s">
        <v>452</v>
      </c>
      <c r="BC152" s="20">
        <f t="shared" si="107"/>
        <v>0</v>
      </c>
      <c r="BD152" s="20">
        <f t="shared" si="108"/>
        <v>0</v>
      </c>
      <c r="BE152" s="20">
        <v>0</v>
      </c>
      <c r="BF152" s="20">
        <f>152</f>
        <v>152</v>
      </c>
      <c r="BH152" s="20">
        <f t="shared" si="109"/>
        <v>0</v>
      </c>
      <c r="BI152" s="20">
        <f t="shared" si="110"/>
        <v>0</v>
      </c>
      <c r="BJ152" s="20">
        <f t="shared" si="111"/>
        <v>0</v>
      </c>
      <c r="BK152" s="20"/>
      <c r="BL152" s="20">
        <v>766</v>
      </c>
    </row>
    <row r="153" spans="1:64" ht="15" customHeight="1">
      <c r="A153" s="7" t="s">
        <v>77</v>
      </c>
      <c r="B153" s="88" t="s">
        <v>125</v>
      </c>
      <c r="C153" s="169" t="s">
        <v>188</v>
      </c>
      <c r="D153" s="113"/>
      <c r="E153" s="113"/>
      <c r="F153" s="169"/>
      <c r="G153" s="88" t="s">
        <v>154</v>
      </c>
      <c r="H153" s="21">
        <v>2</v>
      </c>
      <c r="I153" s="21">
        <v>0</v>
      </c>
      <c r="J153" s="21">
        <f t="shared" si="90"/>
        <v>0</v>
      </c>
      <c r="K153" s="21">
        <f t="shared" si="91"/>
        <v>0</v>
      </c>
      <c r="L153" s="21">
        <f t="shared" si="92"/>
        <v>0</v>
      </c>
      <c r="M153" s="49" t="s">
        <v>496</v>
      </c>
      <c r="Z153" s="20">
        <f t="shared" si="93"/>
        <v>0</v>
      </c>
      <c r="AB153" s="20">
        <f t="shared" si="94"/>
        <v>0</v>
      </c>
      <c r="AC153" s="20">
        <f t="shared" si="95"/>
        <v>0</v>
      </c>
      <c r="AD153" s="20">
        <f t="shared" si="96"/>
        <v>0</v>
      </c>
      <c r="AE153" s="20">
        <f t="shared" si="97"/>
        <v>0</v>
      </c>
      <c r="AF153" s="20">
        <f t="shared" si="98"/>
        <v>0</v>
      </c>
      <c r="AG153" s="20">
        <f t="shared" si="99"/>
        <v>0</v>
      </c>
      <c r="AH153" s="20">
        <f t="shared" si="100"/>
        <v>0</v>
      </c>
      <c r="AI153" s="64" t="s">
        <v>414</v>
      </c>
      <c r="AJ153" s="20">
        <f t="shared" si="101"/>
        <v>0</v>
      </c>
      <c r="AK153" s="20">
        <f t="shared" si="102"/>
        <v>0</v>
      </c>
      <c r="AL153" s="20">
        <f t="shared" si="103"/>
        <v>0</v>
      </c>
      <c r="AN153" s="20">
        <v>15</v>
      </c>
      <c r="AO153" s="20">
        <f>I153*1</f>
        <v>0</v>
      </c>
      <c r="AP153" s="20">
        <f>I153*(1-1)</f>
        <v>0</v>
      </c>
      <c r="AQ153" s="26" t="s">
        <v>598</v>
      </c>
      <c r="AV153" s="20">
        <f t="shared" si="104"/>
        <v>0</v>
      </c>
      <c r="AW153" s="20">
        <f t="shared" si="105"/>
        <v>0</v>
      </c>
      <c r="AX153" s="20">
        <f t="shared" si="106"/>
        <v>0</v>
      </c>
      <c r="AY153" s="26" t="s">
        <v>72</v>
      </c>
      <c r="AZ153" s="26" t="s">
        <v>479</v>
      </c>
      <c r="BA153" s="64" t="s">
        <v>452</v>
      </c>
      <c r="BC153" s="20">
        <f t="shared" si="107"/>
        <v>0</v>
      </c>
      <c r="BD153" s="20">
        <f t="shared" si="108"/>
        <v>0</v>
      </c>
      <c r="BE153" s="20">
        <v>0</v>
      </c>
      <c r="BF153" s="20">
        <f>153</f>
        <v>153</v>
      </c>
      <c r="BH153" s="20">
        <f t="shared" si="109"/>
        <v>0</v>
      </c>
      <c r="BI153" s="20">
        <f t="shared" si="110"/>
        <v>0</v>
      </c>
      <c r="BJ153" s="20">
        <f t="shared" si="111"/>
        <v>0</v>
      </c>
      <c r="BK153" s="20"/>
      <c r="BL153" s="20">
        <v>766</v>
      </c>
    </row>
    <row r="154" spans="1:64" ht="15" customHeight="1">
      <c r="A154" s="7" t="s">
        <v>238</v>
      </c>
      <c r="B154" s="88" t="s">
        <v>436</v>
      </c>
      <c r="C154" s="169" t="s">
        <v>150</v>
      </c>
      <c r="D154" s="113"/>
      <c r="E154" s="113"/>
      <c r="F154" s="169"/>
      <c r="G154" s="88" t="s">
        <v>154</v>
      </c>
      <c r="H154" s="21">
        <v>1</v>
      </c>
      <c r="I154" s="21">
        <v>0</v>
      </c>
      <c r="J154" s="21">
        <f t="shared" si="90"/>
        <v>0</v>
      </c>
      <c r="K154" s="21">
        <f t="shared" si="91"/>
        <v>0</v>
      </c>
      <c r="L154" s="21">
        <f t="shared" si="92"/>
        <v>0</v>
      </c>
      <c r="M154" s="49" t="s">
        <v>496</v>
      </c>
      <c r="Z154" s="20">
        <f t="shared" si="93"/>
        <v>0</v>
      </c>
      <c r="AB154" s="20">
        <f t="shared" si="94"/>
        <v>0</v>
      </c>
      <c r="AC154" s="20">
        <f t="shared" si="95"/>
        <v>0</v>
      </c>
      <c r="AD154" s="20">
        <f t="shared" si="96"/>
        <v>0</v>
      </c>
      <c r="AE154" s="20">
        <f t="shared" si="97"/>
        <v>0</v>
      </c>
      <c r="AF154" s="20">
        <f t="shared" si="98"/>
        <v>0</v>
      </c>
      <c r="AG154" s="20">
        <f t="shared" si="99"/>
        <v>0</v>
      </c>
      <c r="AH154" s="20">
        <f t="shared" si="100"/>
        <v>0</v>
      </c>
      <c r="AI154" s="64" t="s">
        <v>414</v>
      </c>
      <c r="AJ154" s="20">
        <f t="shared" si="101"/>
        <v>0</v>
      </c>
      <c r="AK154" s="20">
        <f t="shared" si="102"/>
        <v>0</v>
      </c>
      <c r="AL154" s="20">
        <f t="shared" si="103"/>
        <v>0</v>
      </c>
      <c r="AN154" s="20">
        <v>15</v>
      </c>
      <c r="AO154" s="20">
        <f>I154*1</f>
        <v>0</v>
      </c>
      <c r="AP154" s="20">
        <f>I154*(1-1)</f>
        <v>0</v>
      </c>
      <c r="AQ154" s="26" t="s">
        <v>598</v>
      </c>
      <c r="AV154" s="20">
        <f t="shared" si="104"/>
        <v>0</v>
      </c>
      <c r="AW154" s="20">
        <f t="shared" si="105"/>
        <v>0</v>
      </c>
      <c r="AX154" s="20">
        <f t="shared" si="106"/>
        <v>0</v>
      </c>
      <c r="AY154" s="26" t="s">
        <v>72</v>
      </c>
      <c r="AZ154" s="26" t="s">
        <v>479</v>
      </c>
      <c r="BA154" s="64" t="s">
        <v>452</v>
      </c>
      <c r="BC154" s="20">
        <f t="shared" si="107"/>
        <v>0</v>
      </c>
      <c r="BD154" s="20">
        <f t="shared" si="108"/>
        <v>0</v>
      </c>
      <c r="BE154" s="20">
        <v>0</v>
      </c>
      <c r="BF154" s="20">
        <f>154</f>
        <v>154</v>
      </c>
      <c r="BH154" s="20">
        <f t="shared" si="109"/>
        <v>0</v>
      </c>
      <c r="BI154" s="20">
        <f t="shared" si="110"/>
        <v>0</v>
      </c>
      <c r="BJ154" s="20">
        <f t="shared" si="111"/>
        <v>0</v>
      </c>
      <c r="BK154" s="20"/>
      <c r="BL154" s="20">
        <v>766</v>
      </c>
    </row>
    <row r="155" spans="1:64" ht="15" customHeight="1">
      <c r="A155" s="7" t="s">
        <v>340</v>
      </c>
      <c r="B155" s="88" t="s">
        <v>678</v>
      </c>
      <c r="C155" s="169" t="s">
        <v>47</v>
      </c>
      <c r="D155" s="113"/>
      <c r="E155" s="113"/>
      <c r="F155" s="169"/>
      <c r="G155" s="88" t="s">
        <v>154</v>
      </c>
      <c r="H155" s="21">
        <v>2</v>
      </c>
      <c r="I155" s="21">
        <v>0</v>
      </c>
      <c r="J155" s="21">
        <f t="shared" si="90"/>
        <v>0</v>
      </c>
      <c r="K155" s="21">
        <f t="shared" si="91"/>
        <v>0</v>
      </c>
      <c r="L155" s="21">
        <f t="shared" si="92"/>
        <v>0</v>
      </c>
      <c r="M155" s="49" t="s">
        <v>496</v>
      </c>
      <c r="Z155" s="20">
        <f t="shared" si="93"/>
        <v>0</v>
      </c>
      <c r="AB155" s="20">
        <f t="shared" si="94"/>
        <v>0</v>
      </c>
      <c r="AC155" s="20">
        <f t="shared" si="95"/>
        <v>0</v>
      </c>
      <c r="AD155" s="20">
        <f t="shared" si="96"/>
        <v>0</v>
      </c>
      <c r="AE155" s="20">
        <f t="shared" si="97"/>
        <v>0</v>
      </c>
      <c r="AF155" s="20">
        <f t="shared" si="98"/>
        <v>0</v>
      </c>
      <c r="AG155" s="20">
        <f t="shared" si="99"/>
        <v>0</v>
      </c>
      <c r="AH155" s="20">
        <f t="shared" si="100"/>
        <v>0</v>
      </c>
      <c r="AI155" s="64" t="s">
        <v>414</v>
      </c>
      <c r="AJ155" s="20">
        <f t="shared" si="101"/>
        <v>0</v>
      </c>
      <c r="AK155" s="20">
        <f t="shared" si="102"/>
        <v>0</v>
      </c>
      <c r="AL155" s="20">
        <f t="shared" si="103"/>
        <v>0</v>
      </c>
      <c r="AN155" s="20">
        <v>15</v>
      </c>
      <c r="AO155" s="20">
        <f>I155*1</f>
        <v>0</v>
      </c>
      <c r="AP155" s="20">
        <f>I155*(1-1)</f>
        <v>0</v>
      </c>
      <c r="AQ155" s="26" t="s">
        <v>598</v>
      </c>
      <c r="AV155" s="20">
        <f t="shared" si="104"/>
        <v>0</v>
      </c>
      <c r="AW155" s="20">
        <f t="shared" si="105"/>
        <v>0</v>
      </c>
      <c r="AX155" s="20">
        <f t="shared" si="106"/>
        <v>0</v>
      </c>
      <c r="AY155" s="26" t="s">
        <v>72</v>
      </c>
      <c r="AZ155" s="26" t="s">
        <v>479</v>
      </c>
      <c r="BA155" s="64" t="s">
        <v>452</v>
      </c>
      <c r="BC155" s="20">
        <f t="shared" si="107"/>
        <v>0</v>
      </c>
      <c r="BD155" s="20">
        <f t="shared" si="108"/>
        <v>0</v>
      </c>
      <c r="BE155" s="20">
        <v>0</v>
      </c>
      <c r="BF155" s="20">
        <f>155</f>
        <v>155</v>
      </c>
      <c r="BH155" s="20">
        <f t="shared" si="109"/>
        <v>0</v>
      </c>
      <c r="BI155" s="20">
        <f t="shared" si="110"/>
        <v>0</v>
      </c>
      <c r="BJ155" s="20">
        <f t="shared" si="111"/>
        <v>0</v>
      </c>
      <c r="BK155" s="20"/>
      <c r="BL155" s="20">
        <v>766</v>
      </c>
    </row>
    <row r="156" spans="1:64" ht="15" customHeight="1">
      <c r="A156" s="86" t="s">
        <v>75</v>
      </c>
      <c r="B156" s="69" t="s">
        <v>580</v>
      </c>
      <c r="C156" s="165" t="s">
        <v>531</v>
      </c>
      <c r="D156" s="113"/>
      <c r="E156" s="113"/>
      <c r="F156" s="165"/>
      <c r="G156" s="69" t="s">
        <v>154</v>
      </c>
      <c r="H156" s="100">
        <v>4</v>
      </c>
      <c r="I156" s="100">
        <v>0</v>
      </c>
      <c r="J156" s="100">
        <f t="shared" si="90"/>
        <v>0</v>
      </c>
      <c r="K156" s="100">
        <f t="shared" si="91"/>
        <v>0</v>
      </c>
      <c r="L156" s="100">
        <f t="shared" si="92"/>
        <v>0</v>
      </c>
      <c r="M156" s="29" t="s">
        <v>496</v>
      </c>
      <c r="Z156" s="20">
        <f t="shared" si="93"/>
        <v>0</v>
      </c>
      <c r="AB156" s="20">
        <f t="shared" si="94"/>
        <v>0</v>
      </c>
      <c r="AC156" s="20">
        <f t="shared" si="95"/>
        <v>0</v>
      </c>
      <c r="AD156" s="20">
        <f t="shared" si="96"/>
        <v>0</v>
      </c>
      <c r="AE156" s="20">
        <f t="shared" si="97"/>
        <v>0</v>
      </c>
      <c r="AF156" s="20">
        <f t="shared" si="98"/>
        <v>0</v>
      </c>
      <c r="AG156" s="20">
        <f t="shared" si="99"/>
        <v>0</v>
      </c>
      <c r="AH156" s="20">
        <f t="shared" si="100"/>
        <v>0</v>
      </c>
      <c r="AI156" s="64" t="s">
        <v>414</v>
      </c>
      <c r="AJ156" s="20">
        <f t="shared" si="101"/>
        <v>0</v>
      </c>
      <c r="AK156" s="20">
        <f t="shared" si="102"/>
        <v>0</v>
      </c>
      <c r="AL156" s="20">
        <f t="shared" si="103"/>
        <v>0</v>
      </c>
      <c r="AN156" s="20">
        <v>15</v>
      </c>
      <c r="AO156" s="20">
        <f>I156*0</f>
        <v>0</v>
      </c>
      <c r="AP156" s="20">
        <f>I156*(1-0)</f>
        <v>0</v>
      </c>
      <c r="AQ156" s="26" t="s">
        <v>598</v>
      </c>
      <c r="AV156" s="20">
        <f t="shared" si="104"/>
        <v>0</v>
      </c>
      <c r="AW156" s="20">
        <f t="shared" si="105"/>
        <v>0</v>
      </c>
      <c r="AX156" s="20">
        <f t="shared" si="106"/>
        <v>0</v>
      </c>
      <c r="AY156" s="26" t="s">
        <v>72</v>
      </c>
      <c r="AZ156" s="26" t="s">
        <v>479</v>
      </c>
      <c r="BA156" s="64" t="s">
        <v>452</v>
      </c>
      <c r="BC156" s="20">
        <f t="shared" si="107"/>
        <v>0</v>
      </c>
      <c r="BD156" s="20">
        <f t="shared" si="108"/>
        <v>0</v>
      </c>
      <c r="BE156" s="20">
        <v>0</v>
      </c>
      <c r="BF156" s="20">
        <f>156</f>
        <v>156</v>
      </c>
      <c r="BH156" s="20">
        <f t="shared" si="109"/>
        <v>0</v>
      </c>
      <c r="BI156" s="20">
        <f t="shared" si="110"/>
        <v>0</v>
      </c>
      <c r="BJ156" s="20">
        <f t="shared" si="111"/>
        <v>0</v>
      </c>
      <c r="BK156" s="20"/>
      <c r="BL156" s="20">
        <v>766</v>
      </c>
    </row>
    <row r="157" spans="1:64" ht="15" customHeight="1">
      <c r="A157" s="4" t="s">
        <v>418</v>
      </c>
      <c r="B157" s="17" t="s">
        <v>616</v>
      </c>
      <c r="C157" s="113" t="s">
        <v>165</v>
      </c>
      <c r="D157" s="113"/>
      <c r="E157" s="113"/>
      <c r="F157" s="113"/>
      <c r="G157" s="17" t="s">
        <v>154</v>
      </c>
      <c r="H157" s="20">
        <v>3</v>
      </c>
      <c r="I157" s="20">
        <v>0</v>
      </c>
      <c r="J157" s="20">
        <f t="shared" si="90"/>
        <v>0</v>
      </c>
      <c r="K157" s="20">
        <f t="shared" si="91"/>
        <v>0</v>
      </c>
      <c r="L157" s="20">
        <f t="shared" si="92"/>
        <v>0</v>
      </c>
      <c r="M157" s="31" t="s">
        <v>496</v>
      </c>
      <c r="Z157" s="20">
        <f t="shared" si="93"/>
        <v>0</v>
      </c>
      <c r="AB157" s="20">
        <f t="shared" si="94"/>
        <v>0</v>
      </c>
      <c r="AC157" s="20">
        <f t="shared" si="95"/>
        <v>0</v>
      </c>
      <c r="AD157" s="20">
        <f t="shared" si="96"/>
        <v>0</v>
      </c>
      <c r="AE157" s="20">
        <f t="shared" si="97"/>
        <v>0</v>
      </c>
      <c r="AF157" s="20">
        <f t="shared" si="98"/>
        <v>0</v>
      </c>
      <c r="AG157" s="20">
        <f t="shared" si="99"/>
        <v>0</v>
      </c>
      <c r="AH157" s="20">
        <f t="shared" si="100"/>
        <v>0</v>
      </c>
      <c r="AI157" s="64" t="s">
        <v>414</v>
      </c>
      <c r="AJ157" s="20">
        <f t="shared" si="101"/>
        <v>0</v>
      </c>
      <c r="AK157" s="20">
        <f t="shared" si="102"/>
        <v>0</v>
      </c>
      <c r="AL157" s="20">
        <f t="shared" si="103"/>
        <v>0</v>
      </c>
      <c r="AN157" s="20">
        <v>15</v>
      </c>
      <c r="AO157" s="20">
        <f>I157*1</f>
        <v>0</v>
      </c>
      <c r="AP157" s="20">
        <f>I157*(1-1)</f>
        <v>0</v>
      </c>
      <c r="AQ157" s="26" t="s">
        <v>598</v>
      </c>
      <c r="AV157" s="20">
        <f t="shared" si="104"/>
        <v>0</v>
      </c>
      <c r="AW157" s="20">
        <f t="shared" si="105"/>
        <v>0</v>
      </c>
      <c r="AX157" s="20">
        <f t="shared" si="106"/>
        <v>0</v>
      </c>
      <c r="AY157" s="26" t="s">
        <v>72</v>
      </c>
      <c r="AZ157" s="26" t="s">
        <v>479</v>
      </c>
      <c r="BA157" s="64" t="s">
        <v>452</v>
      </c>
      <c r="BC157" s="20">
        <f t="shared" si="107"/>
        <v>0</v>
      </c>
      <c r="BD157" s="20">
        <f t="shared" si="108"/>
        <v>0</v>
      </c>
      <c r="BE157" s="20">
        <v>0</v>
      </c>
      <c r="BF157" s="20">
        <f>157</f>
        <v>157</v>
      </c>
      <c r="BH157" s="20">
        <f t="shared" si="109"/>
        <v>0</v>
      </c>
      <c r="BI157" s="20">
        <f t="shared" si="110"/>
        <v>0</v>
      </c>
      <c r="BJ157" s="20">
        <f t="shared" si="111"/>
        <v>0</v>
      </c>
      <c r="BK157" s="20"/>
      <c r="BL157" s="20">
        <v>766</v>
      </c>
    </row>
    <row r="158" spans="1:64" ht="15" customHeight="1">
      <c r="A158" s="81" t="s">
        <v>291</v>
      </c>
      <c r="B158" s="18" t="s">
        <v>13</v>
      </c>
      <c r="C158" s="170" t="s">
        <v>559</v>
      </c>
      <c r="D158" s="113"/>
      <c r="E158" s="113"/>
      <c r="F158" s="170"/>
      <c r="G158" s="18" t="s">
        <v>416</v>
      </c>
      <c r="H158" s="80">
        <v>1</v>
      </c>
      <c r="I158" s="80">
        <v>0</v>
      </c>
      <c r="J158" s="80">
        <f t="shared" si="90"/>
        <v>0</v>
      </c>
      <c r="K158" s="80">
        <f t="shared" si="91"/>
        <v>0</v>
      </c>
      <c r="L158" s="80">
        <f t="shared" si="92"/>
        <v>0</v>
      </c>
      <c r="M158" s="41" t="s">
        <v>13</v>
      </c>
      <c r="Z158" s="20">
        <f t="shared" si="93"/>
        <v>0</v>
      </c>
      <c r="AB158" s="20">
        <f t="shared" si="94"/>
        <v>0</v>
      </c>
      <c r="AC158" s="20">
        <f t="shared" si="95"/>
        <v>0</v>
      </c>
      <c r="AD158" s="20">
        <f t="shared" si="96"/>
        <v>0</v>
      </c>
      <c r="AE158" s="20">
        <f t="shared" si="97"/>
        <v>0</v>
      </c>
      <c r="AF158" s="20">
        <f t="shared" si="98"/>
        <v>0</v>
      </c>
      <c r="AG158" s="20">
        <f t="shared" si="99"/>
        <v>0</v>
      </c>
      <c r="AH158" s="20">
        <f t="shared" si="100"/>
        <v>0</v>
      </c>
      <c r="AI158" s="64" t="s">
        <v>414</v>
      </c>
      <c r="AJ158" s="20">
        <f t="shared" si="101"/>
        <v>0</v>
      </c>
      <c r="AK158" s="20">
        <f t="shared" si="102"/>
        <v>0</v>
      </c>
      <c r="AL158" s="20">
        <f t="shared" si="103"/>
        <v>0</v>
      </c>
      <c r="AN158" s="20">
        <v>15</v>
      </c>
      <c r="AO158" s="20">
        <f>I158*0.285411923076923</f>
        <v>0</v>
      </c>
      <c r="AP158" s="20">
        <f>I158*(1-0.285411923076923)</f>
        <v>0</v>
      </c>
      <c r="AQ158" s="26" t="s">
        <v>598</v>
      </c>
      <c r="AV158" s="20">
        <f t="shared" si="104"/>
        <v>0</v>
      </c>
      <c r="AW158" s="20">
        <f t="shared" si="105"/>
        <v>0</v>
      </c>
      <c r="AX158" s="20">
        <f t="shared" si="106"/>
        <v>0</v>
      </c>
      <c r="AY158" s="26" t="s">
        <v>72</v>
      </c>
      <c r="AZ158" s="26" t="s">
        <v>479</v>
      </c>
      <c r="BA158" s="64" t="s">
        <v>452</v>
      </c>
      <c r="BC158" s="20">
        <f t="shared" si="107"/>
        <v>0</v>
      </c>
      <c r="BD158" s="20">
        <f t="shared" si="108"/>
        <v>0</v>
      </c>
      <c r="BE158" s="20">
        <v>0</v>
      </c>
      <c r="BF158" s="20">
        <f>158</f>
        <v>158</v>
      </c>
      <c r="BH158" s="20">
        <f t="shared" si="109"/>
        <v>0</v>
      </c>
      <c r="BI158" s="20">
        <f t="shared" si="110"/>
        <v>0</v>
      </c>
      <c r="BJ158" s="20">
        <f t="shared" si="111"/>
        <v>0</v>
      </c>
      <c r="BK158" s="20"/>
      <c r="BL158" s="20">
        <v>766</v>
      </c>
    </row>
    <row r="159" spans="1:64" ht="15" customHeight="1">
      <c r="A159" s="4" t="s">
        <v>487</v>
      </c>
      <c r="B159" s="17" t="s">
        <v>336</v>
      </c>
      <c r="C159" s="113" t="s">
        <v>14</v>
      </c>
      <c r="D159" s="113"/>
      <c r="E159" s="113"/>
      <c r="F159" s="113"/>
      <c r="G159" s="17" t="s">
        <v>154</v>
      </c>
      <c r="H159" s="20">
        <v>4</v>
      </c>
      <c r="I159" s="20">
        <v>0</v>
      </c>
      <c r="J159" s="20">
        <f t="shared" si="90"/>
        <v>0</v>
      </c>
      <c r="K159" s="20">
        <f t="shared" si="91"/>
        <v>0</v>
      </c>
      <c r="L159" s="20">
        <f t="shared" si="92"/>
        <v>0</v>
      </c>
      <c r="M159" s="31" t="s">
        <v>496</v>
      </c>
      <c r="Z159" s="20">
        <f t="shared" si="93"/>
        <v>0</v>
      </c>
      <c r="AB159" s="20">
        <f t="shared" si="94"/>
        <v>0</v>
      </c>
      <c r="AC159" s="20">
        <f t="shared" si="95"/>
        <v>0</v>
      </c>
      <c r="AD159" s="20">
        <f t="shared" si="96"/>
        <v>0</v>
      </c>
      <c r="AE159" s="20">
        <f t="shared" si="97"/>
        <v>0</v>
      </c>
      <c r="AF159" s="20">
        <f t="shared" si="98"/>
        <v>0</v>
      </c>
      <c r="AG159" s="20">
        <f t="shared" si="99"/>
        <v>0</v>
      </c>
      <c r="AH159" s="20">
        <f t="shared" si="100"/>
        <v>0</v>
      </c>
      <c r="AI159" s="64" t="s">
        <v>414</v>
      </c>
      <c r="AJ159" s="20">
        <f t="shared" si="101"/>
        <v>0</v>
      </c>
      <c r="AK159" s="20">
        <f t="shared" si="102"/>
        <v>0</v>
      </c>
      <c r="AL159" s="20">
        <f t="shared" si="103"/>
        <v>0</v>
      </c>
      <c r="AN159" s="20">
        <v>15</v>
      </c>
      <c r="AO159" s="20">
        <f>I159*0</f>
        <v>0</v>
      </c>
      <c r="AP159" s="20">
        <f>I159*(1-0)</f>
        <v>0</v>
      </c>
      <c r="AQ159" s="26" t="s">
        <v>598</v>
      </c>
      <c r="AV159" s="20">
        <f t="shared" si="104"/>
        <v>0</v>
      </c>
      <c r="AW159" s="20">
        <f t="shared" si="105"/>
        <v>0</v>
      </c>
      <c r="AX159" s="20">
        <f t="shared" si="106"/>
        <v>0</v>
      </c>
      <c r="AY159" s="26" t="s">
        <v>72</v>
      </c>
      <c r="AZ159" s="26" t="s">
        <v>479</v>
      </c>
      <c r="BA159" s="64" t="s">
        <v>452</v>
      </c>
      <c r="BC159" s="20">
        <f t="shared" si="107"/>
        <v>0</v>
      </c>
      <c r="BD159" s="20">
        <f t="shared" si="108"/>
        <v>0</v>
      </c>
      <c r="BE159" s="20">
        <v>0</v>
      </c>
      <c r="BF159" s="20">
        <f>159</f>
        <v>159</v>
      </c>
      <c r="BH159" s="20">
        <f t="shared" si="109"/>
        <v>0</v>
      </c>
      <c r="BI159" s="20">
        <f t="shared" si="110"/>
        <v>0</v>
      </c>
      <c r="BJ159" s="20">
        <f t="shared" si="111"/>
        <v>0</v>
      </c>
      <c r="BK159" s="20"/>
      <c r="BL159" s="20">
        <v>766</v>
      </c>
    </row>
    <row r="160" spans="1:64" ht="15" customHeight="1">
      <c r="A160" s="46" t="s">
        <v>542</v>
      </c>
      <c r="B160" s="44" t="s">
        <v>501</v>
      </c>
      <c r="C160" s="165" t="s">
        <v>475</v>
      </c>
      <c r="D160" s="113"/>
      <c r="E160" s="113"/>
      <c r="F160" s="165"/>
      <c r="G160" s="44" t="s">
        <v>284</v>
      </c>
      <c r="H160" s="1">
        <v>0.3297</v>
      </c>
      <c r="I160" s="1">
        <v>0</v>
      </c>
      <c r="J160" s="1">
        <f t="shared" si="90"/>
        <v>0</v>
      </c>
      <c r="K160" s="1">
        <f t="shared" si="91"/>
        <v>0</v>
      </c>
      <c r="L160" s="1">
        <f t="shared" si="92"/>
        <v>0</v>
      </c>
      <c r="M160" s="27" t="s">
        <v>496</v>
      </c>
      <c r="Z160" s="20">
        <f t="shared" si="93"/>
        <v>0</v>
      </c>
      <c r="AB160" s="20">
        <f t="shared" si="94"/>
        <v>0</v>
      </c>
      <c r="AC160" s="20">
        <f t="shared" si="95"/>
        <v>0</v>
      </c>
      <c r="AD160" s="20">
        <f t="shared" si="96"/>
        <v>0</v>
      </c>
      <c r="AE160" s="20">
        <f t="shared" si="97"/>
        <v>0</v>
      </c>
      <c r="AF160" s="20">
        <f t="shared" si="98"/>
        <v>0</v>
      </c>
      <c r="AG160" s="20">
        <f t="shared" si="99"/>
        <v>0</v>
      </c>
      <c r="AH160" s="20">
        <f t="shared" si="100"/>
        <v>0</v>
      </c>
      <c r="AI160" s="64" t="s">
        <v>414</v>
      </c>
      <c r="AJ160" s="20">
        <f t="shared" si="101"/>
        <v>0</v>
      </c>
      <c r="AK160" s="20">
        <f t="shared" si="102"/>
        <v>0</v>
      </c>
      <c r="AL160" s="20">
        <f t="shared" si="103"/>
        <v>0</v>
      </c>
      <c r="AN160" s="20">
        <v>15</v>
      </c>
      <c r="AO160" s="20">
        <f>I160*0</f>
        <v>0</v>
      </c>
      <c r="AP160" s="20">
        <f>I160*(1-0)</f>
        <v>0</v>
      </c>
      <c r="AQ160" s="26" t="s">
        <v>322</v>
      </c>
      <c r="AV160" s="20">
        <f t="shared" si="104"/>
        <v>0</v>
      </c>
      <c r="AW160" s="20">
        <f t="shared" si="105"/>
        <v>0</v>
      </c>
      <c r="AX160" s="20">
        <f t="shared" si="106"/>
        <v>0</v>
      </c>
      <c r="AY160" s="26" t="s">
        <v>72</v>
      </c>
      <c r="AZ160" s="26" t="s">
        <v>479</v>
      </c>
      <c r="BA160" s="64" t="s">
        <v>452</v>
      </c>
      <c r="BC160" s="20">
        <f t="shared" si="107"/>
        <v>0</v>
      </c>
      <c r="BD160" s="20">
        <f t="shared" si="108"/>
        <v>0</v>
      </c>
      <c r="BE160" s="20">
        <v>0</v>
      </c>
      <c r="BF160" s="20">
        <f>160</f>
        <v>160</v>
      </c>
      <c r="BH160" s="20">
        <f t="shared" si="109"/>
        <v>0</v>
      </c>
      <c r="BI160" s="20">
        <f t="shared" si="110"/>
        <v>0</v>
      </c>
      <c r="BJ160" s="20">
        <f t="shared" si="111"/>
        <v>0</v>
      </c>
      <c r="BK160" s="20"/>
      <c r="BL160" s="20">
        <v>766</v>
      </c>
    </row>
    <row r="161" spans="1:47" ht="15" customHeight="1">
      <c r="A161" s="5" t="s">
        <v>414</v>
      </c>
      <c r="B161" s="24" t="s">
        <v>463</v>
      </c>
      <c r="C161" s="166" t="s">
        <v>403</v>
      </c>
      <c r="D161" s="166"/>
      <c r="E161" s="166"/>
      <c r="F161" s="166"/>
      <c r="G161" s="30" t="s">
        <v>546</v>
      </c>
      <c r="H161" s="30" t="s">
        <v>546</v>
      </c>
      <c r="I161" s="30" t="s">
        <v>546</v>
      </c>
      <c r="J161" s="63">
        <f>SUM(J162:J195)</f>
        <v>0</v>
      </c>
      <c r="K161" s="63">
        <f>SUM(K162:K195)</f>
        <v>0</v>
      </c>
      <c r="L161" s="63">
        <f>SUM(L162:L195)</f>
        <v>0</v>
      </c>
      <c r="M161" s="87" t="s">
        <v>414</v>
      </c>
      <c r="AI161" s="64" t="s">
        <v>414</v>
      </c>
      <c r="AS161" s="76">
        <f>SUM(AJ162:AJ195)</f>
        <v>0</v>
      </c>
      <c r="AT161" s="76">
        <f>SUM(AK162:AK195)</f>
        <v>0</v>
      </c>
      <c r="AU161" s="76">
        <f>SUM(AL162:AL195)</f>
        <v>0</v>
      </c>
    </row>
    <row r="162" spans="1:64" ht="15" customHeight="1">
      <c r="A162" s="4" t="s">
        <v>516</v>
      </c>
      <c r="B162" s="17" t="s">
        <v>396</v>
      </c>
      <c r="C162" s="113" t="s">
        <v>388</v>
      </c>
      <c r="D162" s="113"/>
      <c r="E162" s="113"/>
      <c r="F162" s="113"/>
      <c r="G162" s="17" t="s">
        <v>494</v>
      </c>
      <c r="H162" s="20">
        <v>31.96</v>
      </c>
      <c r="I162" s="20">
        <v>0</v>
      </c>
      <c r="J162" s="20">
        <f>H162*AO162</f>
        <v>0</v>
      </c>
      <c r="K162" s="20">
        <f>H162*AP162</f>
        <v>0</v>
      </c>
      <c r="L162" s="20">
        <f>H162*I162</f>
        <v>0</v>
      </c>
      <c r="M162" s="31" t="s">
        <v>496</v>
      </c>
      <c r="Z162" s="20">
        <f>IF(AQ162="5",BJ162,0)</f>
        <v>0</v>
      </c>
      <c r="AB162" s="20">
        <f>IF(AQ162="1",BH162,0)</f>
        <v>0</v>
      </c>
      <c r="AC162" s="20">
        <f>IF(AQ162="1",BI162,0)</f>
        <v>0</v>
      </c>
      <c r="AD162" s="20">
        <f>IF(AQ162="7",BH162,0)</f>
        <v>0</v>
      </c>
      <c r="AE162" s="20">
        <f>IF(AQ162="7",BI162,0)</f>
        <v>0</v>
      </c>
      <c r="AF162" s="20">
        <f>IF(AQ162="2",BH162,0)</f>
        <v>0</v>
      </c>
      <c r="AG162" s="20">
        <f>IF(AQ162="2",BI162,0)</f>
        <v>0</v>
      </c>
      <c r="AH162" s="20">
        <f>IF(AQ162="0",BJ162,0)</f>
        <v>0</v>
      </c>
      <c r="AI162" s="64" t="s">
        <v>414</v>
      </c>
      <c r="AJ162" s="20">
        <f>IF(AN162=0,L162,0)</f>
        <v>0</v>
      </c>
      <c r="AK162" s="20">
        <f>IF(AN162=15,L162,0)</f>
        <v>0</v>
      </c>
      <c r="AL162" s="20">
        <f>IF(AN162=21,L162,0)</f>
        <v>0</v>
      </c>
      <c r="AN162" s="20">
        <v>15</v>
      </c>
      <c r="AO162" s="20">
        <f>I162*0</f>
        <v>0</v>
      </c>
      <c r="AP162" s="20">
        <f>I162*(1-0)</f>
        <v>0</v>
      </c>
      <c r="AQ162" s="26" t="s">
        <v>598</v>
      </c>
      <c r="AV162" s="20">
        <f>AW162+AX162</f>
        <v>0</v>
      </c>
      <c r="AW162" s="20">
        <f>H162*AO162</f>
        <v>0</v>
      </c>
      <c r="AX162" s="20">
        <f>H162*AP162</f>
        <v>0</v>
      </c>
      <c r="AY162" s="26" t="s">
        <v>117</v>
      </c>
      <c r="AZ162" s="26" t="s">
        <v>356</v>
      </c>
      <c r="BA162" s="64" t="s">
        <v>452</v>
      </c>
      <c r="BC162" s="20">
        <f>AW162+AX162</f>
        <v>0</v>
      </c>
      <c r="BD162" s="20">
        <f>I162/(100-BE162)*100</f>
        <v>0</v>
      </c>
      <c r="BE162" s="20">
        <v>0</v>
      </c>
      <c r="BF162" s="20">
        <f>162</f>
        <v>162</v>
      </c>
      <c r="BH162" s="20">
        <f>H162*AO162</f>
        <v>0</v>
      </c>
      <c r="BI162" s="20">
        <f>H162*AP162</f>
        <v>0</v>
      </c>
      <c r="BJ162" s="20">
        <f>H162*I162</f>
        <v>0</v>
      </c>
      <c r="BK162" s="20"/>
      <c r="BL162" s="20">
        <v>776</v>
      </c>
    </row>
    <row r="163" spans="1:13" ht="15" customHeight="1">
      <c r="A163" s="19"/>
      <c r="C163" s="9" t="s">
        <v>184</v>
      </c>
      <c r="F163" s="9" t="s">
        <v>414</v>
      </c>
      <c r="H163" s="58">
        <v>0</v>
      </c>
      <c r="M163" s="36"/>
    </row>
    <row r="164" spans="1:13" ht="15" customHeight="1">
      <c r="A164" s="19"/>
      <c r="C164" s="9" t="s">
        <v>262</v>
      </c>
      <c r="F164" s="9" t="s">
        <v>414</v>
      </c>
      <c r="H164" s="58">
        <v>11.55</v>
      </c>
      <c r="M164" s="36"/>
    </row>
    <row r="165" spans="1:13" ht="15" customHeight="1">
      <c r="A165" s="19"/>
      <c r="C165" s="9" t="s">
        <v>192</v>
      </c>
      <c r="F165" s="9" t="s">
        <v>414</v>
      </c>
      <c r="H165" s="58">
        <v>0</v>
      </c>
      <c r="M165" s="36"/>
    </row>
    <row r="166" spans="1:13" ht="15" customHeight="1">
      <c r="A166" s="19"/>
      <c r="C166" s="9" t="s">
        <v>253</v>
      </c>
      <c r="F166" s="9" t="s">
        <v>414</v>
      </c>
      <c r="H166" s="58">
        <v>15.05</v>
      </c>
      <c r="M166" s="36"/>
    </row>
    <row r="167" spans="1:13" ht="15" customHeight="1">
      <c r="A167" s="19"/>
      <c r="C167" s="9" t="s">
        <v>371</v>
      </c>
      <c r="F167" s="9" t="s">
        <v>414</v>
      </c>
      <c r="H167" s="58">
        <v>0</v>
      </c>
      <c r="M167" s="36"/>
    </row>
    <row r="168" spans="1:13" ht="15" customHeight="1">
      <c r="A168" s="19"/>
      <c r="C168" s="9" t="s">
        <v>613</v>
      </c>
      <c r="F168" s="9" t="s">
        <v>414</v>
      </c>
      <c r="H168" s="58">
        <v>5.36</v>
      </c>
      <c r="M168" s="36"/>
    </row>
    <row r="169" spans="1:64" ht="15" customHeight="1">
      <c r="A169" s="4" t="s">
        <v>19</v>
      </c>
      <c r="B169" s="17" t="s">
        <v>395</v>
      </c>
      <c r="C169" s="113" t="s">
        <v>568</v>
      </c>
      <c r="D169" s="113"/>
      <c r="E169" s="113"/>
      <c r="F169" s="113"/>
      <c r="G169" s="17" t="s">
        <v>587</v>
      </c>
      <c r="H169" s="20">
        <v>27.30925</v>
      </c>
      <c r="I169" s="20">
        <v>0</v>
      </c>
      <c r="J169" s="20">
        <f>H169*AO169</f>
        <v>0</v>
      </c>
      <c r="K169" s="20">
        <f>H169*AP169</f>
        <v>0</v>
      </c>
      <c r="L169" s="20">
        <f>H169*I169</f>
        <v>0</v>
      </c>
      <c r="M169" s="31" t="s">
        <v>496</v>
      </c>
      <c r="Z169" s="20">
        <f>IF(AQ169="5",BJ169,0)</f>
        <v>0</v>
      </c>
      <c r="AB169" s="20">
        <f>IF(AQ169="1",BH169,0)</f>
        <v>0</v>
      </c>
      <c r="AC169" s="20">
        <f>IF(AQ169="1",BI169,0)</f>
        <v>0</v>
      </c>
      <c r="AD169" s="20">
        <f>IF(AQ169="7",BH169,0)</f>
        <v>0</v>
      </c>
      <c r="AE169" s="20">
        <f>IF(AQ169="7",BI169,0)</f>
        <v>0</v>
      </c>
      <c r="AF169" s="20">
        <f>IF(AQ169="2",BH169,0)</f>
        <v>0</v>
      </c>
      <c r="AG169" s="20">
        <f>IF(AQ169="2",BI169,0)</f>
        <v>0</v>
      </c>
      <c r="AH169" s="20">
        <f>IF(AQ169="0",BJ169,0)</f>
        <v>0</v>
      </c>
      <c r="AI169" s="64" t="s">
        <v>414</v>
      </c>
      <c r="AJ169" s="20">
        <f>IF(AN169=0,L169,0)</f>
        <v>0</v>
      </c>
      <c r="AK169" s="20">
        <f>IF(AN169=15,L169,0)</f>
        <v>0</v>
      </c>
      <c r="AL169" s="20">
        <f>IF(AN169=21,L169,0)</f>
        <v>0</v>
      </c>
      <c r="AN169" s="20">
        <v>15</v>
      </c>
      <c r="AO169" s="20">
        <f>I169*0</f>
        <v>0</v>
      </c>
      <c r="AP169" s="20">
        <f>I169*(1-0)</f>
        <v>0</v>
      </c>
      <c r="AQ169" s="26" t="s">
        <v>598</v>
      </c>
      <c r="AV169" s="20">
        <f>AW169+AX169</f>
        <v>0</v>
      </c>
      <c r="AW169" s="20">
        <f>H169*AO169</f>
        <v>0</v>
      </c>
      <c r="AX169" s="20">
        <f>H169*AP169</f>
        <v>0</v>
      </c>
      <c r="AY169" s="26" t="s">
        <v>117</v>
      </c>
      <c r="AZ169" s="26" t="s">
        <v>356</v>
      </c>
      <c r="BA169" s="64" t="s">
        <v>452</v>
      </c>
      <c r="BC169" s="20">
        <f>AW169+AX169</f>
        <v>0</v>
      </c>
      <c r="BD169" s="20">
        <f>I169/(100-BE169)*100</f>
        <v>0</v>
      </c>
      <c r="BE169" s="20">
        <v>0</v>
      </c>
      <c r="BF169" s="20">
        <f>169</f>
        <v>169</v>
      </c>
      <c r="BH169" s="20">
        <f>H169*AO169</f>
        <v>0</v>
      </c>
      <c r="BI169" s="20">
        <f>H169*AP169</f>
        <v>0</v>
      </c>
      <c r="BJ169" s="20">
        <f>H169*I169</f>
        <v>0</v>
      </c>
      <c r="BK169" s="20"/>
      <c r="BL169" s="20">
        <v>776</v>
      </c>
    </row>
    <row r="170" spans="1:13" ht="15" customHeight="1">
      <c r="A170" s="19"/>
      <c r="C170" s="9" t="s">
        <v>184</v>
      </c>
      <c r="F170" s="9" t="s">
        <v>414</v>
      </c>
      <c r="H170" s="58">
        <v>0</v>
      </c>
      <c r="M170" s="36"/>
    </row>
    <row r="171" spans="1:13" ht="15" customHeight="1">
      <c r="A171" s="19"/>
      <c r="C171" s="9" t="s">
        <v>556</v>
      </c>
      <c r="F171" s="9" t="s">
        <v>414</v>
      </c>
      <c r="H171" s="58">
        <v>8.887500000000001</v>
      </c>
      <c r="M171" s="36"/>
    </row>
    <row r="172" spans="1:13" ht="15" customHeight="1">
      <c r="A172" s="19"/>
      <c r="C172" s="9" t="s">
        <v>192</v>
      </c>
      <c r="F172" s="9" t="s">
        <v>414</v>
      </c>
      <c r="H172" s="58">
        <v>0</v>
      </c>
      <c r="M172" s="36"/>
    </row>
    <row r="173" spans="1:13" ht="15" customHeight="1">
      <c r="A173" s="19"/>
      <c r="C173" s="9" t="s">
        <v>357</v>
      </c>
      <c r="F173" s="9" t="s">
        <v>414</v>
      </c>
      <c r="H173" s="58">
        <v>15.075000000000001</v>
      </c>
      <c r="M173" s="36"/>
    </row>
    <row r="174" spans="1:13" ht="15" customHeight="1">
      <c r="A174" s="19"/>
      <c r="C174" s="9" t="s">
        <v>371</v>
      </c>
      <c r="F174" s="9" t="s">
        <v>414</v>
      </c>
      <c r="H174" s="58">
        <v>0</v>
      </c>
      <c r="M174" s="36"/>
    </row>
    <row r="175" spans="1:13" ht="15" customHeight="1">
      <c r="A175" s="19"/>
      <c r="C175" s="9" t="s">
        <v>341</v>
      </c>
      <c r="F175" s="9" t="s">
        <v>414</v>
      </c>
      <c r="H175" s="58">
        <v>3.34675</v>
      </c>
      <c r="M175" s="36"/>
    </row>
    <row r="176" spans="1:64" ht="15" customHeight="1">
      <c r="A176" s="4" t="s">
        <v>236</v>
      </c>
      <c r="B176" s="17" t="s">
        <v>13</v>
      </c>
      <c r="C176" s="113" t="s">
        <v>250</v>
      </c>
      <c r="D176" s="113"/>
      <c r="E176" s="113"/>
      <c r="F176" s="113"/>
      <c r="G176" s="17" t="s">
        <v>587</v>
      </c>
      <c r="H176" s="20">
        <v>27.3</v>
      </c>
      <c r="I176" s="20">
        <v>0</v>
      </c>
      <c r="J176" s="20">
        <f>H176*AO176</f>
        <v>0</v>
      </c>
      <c r="K176" s="20">
        <f>H176*AP176</f>
        <v>0</v>
      </c>
      <c r="L176" s="20">
        <f>H176*I176</f>
        <v>0</v>
      </c>
      <c r="M176" s="31" t="s">
        <v>345</v>
      </c>
      <c r="Z176" s="20">
        <f>IF(AQ176="5",BJ176,0)</f>
        <v>0</v>
      </c>
      <c r="AB176" s="20">
        <f>IF(AQ176="1",BH176,0)</f>
        <v>0</v>
      </c>
      <c r="AC176" s="20">
        <f>IF(AQ176="1",BI176,0)</f>
        <v>0</v>
      </c>
      <c r="AD176" s="20">
        <f>IF(AQ176="7",BH176,0)</f>
        <v>0</v>
      </c>
      <c r="AE176" s="20">
        <f>IF(AQ176="7",BI176,0)</f>
        <v>0</v>
      </c>
      <c r="AF176" s="20">
        <f>IF(AQ176="2",BH176,0)</f>
        <v>0</v>
      </c>
      <c r="AG176" s="20">
        <f>IF(AQ176="2",BI176,0)</f>
        <v>0</v>
      </c>
      <c r="AH176" s="20">
        <f>IF(AQ176="0",BJ176,0)</f>
        <v>0</v>
      </c>
      <c r="AI176" s="64" t="s">
        <v>414</v>
      </c>
      <c r="AJ176" s="20">
        <f>IF(AN176=0,L176,0)</f>
        <v>0</v>
      </c>
      <c r="AK176" s="20">
        <f>IF(AN176=15,L176,0)</f>
        <v>0</v>
      </c>
      <c r="AL176" s="20">
        <f>IF(AN176=21,L176,0)</f>
        <v>0</v>
      </c>
      <c r="AN176" s="20">
        <v>15</v>
      </c>
      <c r="AO176" s="20">
        <f>I176*0.285411764705882</f>
        <v>0</v>
      </c>
      <c r="AP176" s="20">
        <f>I176*(1-0.285411764705882)</f>
        <v>0</v>
      </c>
      <c r="AQ176" s="26" t="s">
        <v>598</v>
      </c>
      <c r="AV176" s="20">
        <f>AW176+AX176</f>
        <v>0</v>
      </c>
      <c r="AW176" s="20">
        <f>H176*AO176</f>
        <v>0</v>
      </c>
      <c r="AX176" s="20">
        <f>H176*AP176</f>
        <v>0</v>
      </c>
      <c r="AY176" s="26" t="s">
        <v>117</v>
      </c>
      <c r="AZ176" s="26" t="s">
        <v>356</v>
      </c>
      <c r="BA176" s="64" t="s">
        <v>452</v>
      </c>
      <c r="BC176" s="20">
        <f>AW176+AX176</f>
        <v>0</v>
      </c>
      <c r="BD176" s="20">
        <f>I176/(100-BE176)*100</f>
        <v>0</v>
      </c>
      <c r="BE176" s="20">
        <v>0</v>
      </c>
      <c r="BF176" s="20">
        <f>176</f>
        <v>176</v>
      </c>
      <c r="BH176" s="20">
        <f>H176*AO176</f>
        <v>0</v>
      </c>
      <c r="BI176" s="20">
        <f>H176*AP176</f>
        <v>0</v>
      </c>
      <c r="BJ176" s="20">
        <f>H176*I176</f>
        <v>0</v>
      </c>
      <c r="BK176" s="20"/>
      <c r="BL176" s="20">
        <v>776</v>
      </c>
    </row>
    <row r="177" spans="1:64" ht="15" customHeight="1">
      <c r="A177" s="4" t="s">
        <v>84</v>
      </c>
      <c r="B177" s="17" t="s">
        <v>481</v>
      </c>
      <c r="C177" s="113" t="s">
        <v>449</v>
      </c>
      <c r="D177" s="113"/>
      <c r="E177" s="113"/>
      <c r="F177" s="113"/>
      <c r="G177" s="17" t="s">
        <v>587</v>
      </c>
      <c r="H177" s="20">
        <v>27.3</v>
      </c>
      <c r="I177" s="20">
        <v>0</v>
      </c>
      <c r="J177" s="20">
        <f>H177*AO177</f>
        <v>0</v>
      </c>
      <c r="K177" s="20">
        <f>H177*AP177</f>
        <v>0</v>
      </c>
      <c r="L177" s="20">
        <f>H177*I177</f>
        <v>0</v>
      </c>
      <c r="M177" s="31" t="s">
        <v>496</v>
      </c>
      <c r="Z177" s="20">
        <f>IF(AQ177="5",BJ177,0)</f>
        <v>0</v>
      </c>
      <c r="AB177" s="20">
        <f>IF(AQ177="1",BH177,0)</f>
        <v>0</v>
      </c>
      <c r="AC177" s="20">
        <f>IF(AQ177="1",BI177,0)</f>
        <v>0</v>
      </c>
      <c r="AD177" s="20">
        <f>IF(AQ177="7",BH177,0)</f>
        <v>0</v>
      </c>
      <c r="AE177" s="20">
        <f>IF(AQ177="7",BI177,0)</f>
        <v>0</v>
      </c>
      <c r="AF177" s="20">
        <f>IF(AQ177="2",BH177,0)</f>
        <v>0</v>
      </c>
      <c r="AG177" s="20">
        <f>IF(AQ177="2",BI177,0)</f>
        <v>0</v>
      </c>
      <c r="AH177" s="20">
        <f>IF(AQ177="0",BJ177,0)</f>
        <v>0</v>
      </c>
      <c r="AI177" s="64" t="s">
        <v>414</v>
      </c>
      <c r="AJ177" s="20">
        <f>IF(AN177=0,L177,0)</f>
        <v>0</v>
      </c>
      <c r="AK177" s="20">
        <f>IF(AN177=15,L177,0)</f>
        <v>0</v>
      </c>
      <c r="AL177" s="20">
        <f>IF(AN177=21,L177,0)</f>
        <v>0</v>
      </c>
      <c r="AN177" s="20">
        <v>15</v>
      </c>
      <c r="AO177" s="20">
        <f>I177*0</f>
        <v>0</v>
      </c>
      <c r="AP177" s="20">
        <f>I177*(1-0)</f>
        <v>0</v>
      </c>
      <c r="AQ177" s="26" t="s">
        <v>598</v>
      </c>
      <c r="AV177" s="20">
        <f>AW177+AX177</f>
        <v>0</v>
      </c>
      <c r="AW177" s="20">
        <f>H177*AO177</f>
        <v>0</v>
      </c>
      <c r="AX177" s="20">
        <f>H177*AP177</f>
        <v>0</v>
      </c>
      <c r="AY177" s="26" t="s">
        <v>117</v>
      </c>
      <c r="AZ177" s="26" t="s">
        <v>356</v>
      </c>
      <c r="BA177" s="64" t="s">
        <v>452</v>
      </c>
      <c r="BC177" s="20">
        <f>AW177+AX177</f>
        <v>0</v>
      </c>
      <c r="BD177" s="20">
        <f>I177/(100-BE177)*100</f>
        <v>0</v>
      </c>
      <c r="BE177" s="20">
        <v>0</v>
      </c>
      <c r="BF177" s="20">
        <f>177</f>
        <v>177</v>
      </c>
      <c r="BH177" s="20">
        <f>H177*AO177</f>
        <v>0</v>
      </c>
      <c r="BI177" s="20">
        <f>H177*AP177</f>
        <v>0</v>
      </c>
      <c r="BJ177" s="20">
        <f>H177*I177</f>
        <v>0</v>
      </c>
      <c r="BK177" s="20"/>
      <c r="BL177" s="20">
        <v>776</v>
      </c>
    </row>
    <row r="178" spans="1:64" ht="15" customHeight="1">
      <c r="A178" s="4" t="s">
        <v>661</v>
      </c>
      <c r="B178" s="17" t="s">
        <v>247</v>
      </c>
      <c r="C178" s="113" t="s">
        <v>677</v>
      </c>
      <c r="D178" s="113"/>
      <c r="E178" s="113"/>
      <c r="F178" s="113"/>
      <c r="G178" s="17" t="s">
        <v>494</v>
      </c>
      <c r="H178" s="20">
        <v>31.95</v>
      </c>
      <c r="I178" s="20">
        <v>0</v>
      </c>
      <c r="J178" s="20">
        <f>H178*AO178</f>
        <v>0</v>
      </c>
      <c r="K178" s="20">
        <f>H178*AP178</f>
        <v>0</v>
      </c>
      <c r="L178" s="20">
        <f>H178*I178</f>
        <v>0</v>
      </c>
      <c r="M178" s="31" t="s">
        <v>496</v>
      </c>
      <c r="Z178" s="20">
        <f>IF(AQ178="5",BJ178,0)</f>
        <v>0</v>
      </c>
      <c r="AB178" s="20">
        <f>IF(AQ178="1",BH178,0)</f>
        <v>0</v>
      </c>
      <c r="AC178" s="20">
        <f>IF(AQ178="1",BI178,0)</f>
        <v>0</v>
      </c>
      <c r="AD178" s="20">
        <f>IF(AQ178="7",BH178,0)</f>
        <v>0</v>
      </c>
      <c r="AE178" s="20">
        <f>IF(AQ178="7",BI178,0)</f>
        <v>0</v>
      </c>
      <c r="AF178" s="20">
        <f>IF(AQ178="2",BH178,0)</f>
        <v>0</v>
      </c>
      <c r="AG178" s="20">
        <f>IF(AQ178="2",BI178,0)</f>
        <v>0</v>
      </c>
      <c r="AH178" s="20">
        <f>IF(AQ178="0",BJ178,0)</f>
        <v>0</v>
      </c>
      <c r="AI178" s="64" t="s">
        <v>414</v>
      </c>
      <c r="AJ178" s="20">
        <f>IF(AN178=0,L178,0)</f>
        <v>0</v>
      </c>
      <c r="AK178" s="20">
        <f>IF(AN178=15,L178,0)</f>
        <v>0</v>
      </c>
      <c r="AL178" s="20">
        <f>IF(AN178=21,L178,0)</f>
        <v>0</v>
      </c>
      <c r="AN178" s="20">
        <v>15</v>
      </c>
      <c r="AO178" s="20">
        <f>I178*0.337363636363636</f>
        <v>0</v>
      </c>
      <c r="AP178" s="20">
        <f>I178*(1-0.337363636363636)</f>
        <v>0</v>
      </c>
      <c r="AQ178" s="26" t="s">
        <v>598</v>
      </c>
      <c r="AV178" s="20">
        <f>AW178+AX178</f>
        <v>0</v>
      </c>
      <c r="AW178" s="20">
        <f>H178*AO178</f>
        <v>0</v>
      </c>
      <c r="AX178" s="20">
        <f>H178*AP178</f>
        <v>0</v>
      </c>
      <c r="AY178" s="26" t="s">
        <v>117</v>
      </c>
      <c r="AZ178" s="26" t="s">
        <v>356</v>
      </c>
      <c r="BA178" s="64" t="s">
        <v>452</v>
      </c>
      <c r="BC178" s="20">
        <f>AW178+AX178</f>
        <v>0</v>
      </c>
      <c r="BD178" s="20">
        <f>I178/(100-BE178)*100</f>
        <v>0</v>
      </c>
      <c r="BE178" s="20">
        <v>0</v>
      </c>
      <c r="BF178" s="20">
        <f>178</f>
        <v>178</v>
      </c>
      <c r="BH178" s="20">
        <f>H178*AO178</f>
        <v>0</v>
      </c>
      <c r="BI178" s="20">
        <f>H178*AP178</f>
        <v>0</v>
      </c>
      <c r="BJ178" s="20">
        <f>H178*I178</f>
        <v>0</v>
      </c>
      <c r="BK178" s="20"/>
      <c r="BL178" s="20">
        <v>776</v>
      </c>
    </row>
    <row r="179" spans="1:13" ht="15" customHeight="1">
      <c r="A179" s="19"/>
      <c r="C179" s="9" t="s">
        <v>371</v>
      </c>
      <c r="F179" s="9" t="s">
        <v>414</v>
      </c>
      <c r="H179" s="58">
        <v>0</v>
      </c>
      <c r="M179" s="36"/>
    </row>
    <row r="180" spans="1:13" ht="15" customHeight="1">
      <c r="A180" s="19"/>
      <c r="C180" s="9" t="s">
        <v>370</v>
      </c>
      <c r="F180" s="9" t="s">
        <v>414</v>
      </c>
      <c r="H180" s="58">
        <v>5.36</v>
      </c>
      <c r="M180" s="36"/>
    </row>
    <row r="181" spans="1:13" ht="15" customHeight="1">
      <c r="A181" s="19"/>
      <c r="C181" s="9" t="s">
        <v>184</v>
      </c>
      <c r="F181" s="9" t="s">
        <v>414</v>
      </c>
      <c r="H181" s="58">
        <v>0</v>
      </c>
      <c r="M181" s="36"/>
    </row>
    <row r="182" spans="1:13" ht="15" customHeight="1">
      <c r="A182" s="19"/>
      <c r="C182" s="9" t="s">
        <v>262</v>
      </c>
      <c r="F182" s="9" t="s">
        <v>414</v>
      </c>
      <c r="H182" s="58">
        <v>11.55</v>
      </c>
      <c r="M182" s="36"/>
    </row>
    <row r="183" spans="1:13" ht="15" customHeight="1">
      <c r="A183" s="19"/>
      <c r="C183" s="9" t="s">
        <v>192</v>
      </c>
      <c r="F183" s="9" t="s">
        <v>414</v>
      </c>
      <c r="H183" s="58">
        <v>0</v>
      </c>
      <c r="M183" s="36"/>
    </row>
    <row r="184" spans="1:13" ht="15" customHeight="1">
      <c r="A184" s="19"/>
      <c r="C184" s="9" t="s">
        <v>170</v>
      </c>
      <c r="F184" s="9" t="s">
        <v>414</v>
      </c>
      <c r="H184" s="58">
        <v>15.040000000000001</v>
      </c>
      <c r="M184" s="36"/>
    </row>
    <row r="185" spans="1:64" ht="15" customHeight="1">
      <c r="A185" s="4" t="s">
        <v>293</v>
      </c>
      <c r="B185" s="17" t="s">
        <v>181</v>
      </c>
      <c r="C185" s="113" t="s">
        <v>162</v>
      </c>
      <c r="D185" s="113"/>
      <c r="E185" s="113"/>
      <c r="F185" s="113"/>
      <c r="G185" s="17" t="s">
        <v>587</v>
      </c>
      <c r="H185" s="20">
        <v>27.3</v>
      </c>
      <c r="I185" s="20">
        <v>0</v>
      </c>
      <c r="J185" s="20">
        <f>H185*AO185</f>
        <v>0</v>
      </c>
      <c r="K185" s="20">
        <f>H185*AP185</f>
        <v>0</v>
      </c>
      <c r="L185" s="20">
        <f>H185*I185</f>
        <v>0</v>
      </c>
      <c r="M185" s="31" t="s">
        <v>496</v>
      </c>
      <c r="Z185" s="20">
        <f>IF(AQ185="5",BJ185,0)</f>
        <v>0</v>
      </c>
      <c r="AB185" s="20">
        <f>IF(AQ185="1",BH185,0)</f>
        <v>0</v>
      </c>
      <c r="AC185" s="20">
        <f>IF(AQ185="1",BI185,0)</f>
        <v>0</v>
      </c>
      <c r="AD185" s="20">
        <f>IF(AQ185="7",BH185,0)</f>
        <v>0</v>
      </c>
      <c r="AE185" s="20">
        <f>IF(AQ185="7",BI185,0)</f>
        <v>0</v>
      </c>
      <c r="AF185" s="20">
        <f>IF(AQ185="2",BH185,0)</f>
        <v>0</v>
      </c>
      <c r="AG185" s="20">
        <f>IF(AQ185="2",BI185,0)</f>
        <v>0</v>
      </c>
      <c r="AH185" s="20">
        <f>IF(AQ185="0",BJ185,0)</f>
        <v>0</v>
      </c>
      <c r="AI185" s="64" t="s">
        <v>414</v>
      </c>
      <c r="AJ185" s="20">
        <f>IF(AN185=0,L185,0)</f>
        <v>0</v>
      </c>
      <c r="AK185" s="20">
        <f>IF(AN185=15,L185,0)</f>
        <v>0</v>
      </c>
      <c r="AL185" s="20">
        <f>IF(AN185=21,L185,0)</f>
        <v>0</v>
      </c>
      <c r="AN185" s="20">
        <v>15</v>
      </c>
      <c r="AO185" s="20">
        <f>I185*0.727823880079241</f>
        <v>0</v>
      </c>
      <c r="AP185" s="20">
        <f>I185*(1-0.727823880079241)</f>
        <v>0</v>
      </c>
      <c r="AQ185" s="26" t="s">
        <v>598</v>
      </c>
      <c r="AV185" s="20">
        <f>AW185+AX185</f>
        <v>0</v>
      </c>
      <c r="AW185" s="20">
        <f>H185*AO185</f>
        <v>0</v>
      </c>
      <c r="AX185" s="20">
        <f>H185*AP185</f>
        <v>0</v>
      </c>
      <c r="AY185" s="26" t="s">
        <v>117</v>
      </c>
      <c r="AZ185" s="26" t="s">
        <v>356</v>
      </c>
      <c r="BA185" s="64" t="s">
        <v>452</v>
      </c>
      <c r="BC185" s="20">
        <f>AW185+AX185</f>
        <v>0</v>
      </c>
      <c r="BD185" s="20">
        <f>I185/(100-BE185)*100</f>
        <v>0</v>
      </c>
      <c r="BE185" s="20">
        <v>0</v>
      </c>
      <c r="BF185" s="20">
        <f>185</f>
        <v>185</v>
      </c>
      <c r="BH185" s="20">
        <f>H185*AO185</f>
        <v>0</v>
      </c>
      <c r="BI185" s="20">
        <f>H185*AP185</f>
        <v>0</v>
      </c>
      <c r="BJ185" s="20">
        <f>H185*I185</f>
        <v>0</v>
      </c>
      <c r="BK185" s="20"/>
      <c r="BL185" s="20">
        <v>776</v>
      </c>
    </row>
    <row r="186" spans="1:64" ht="15" customHeight="1">
      <c r="A186" s="4" t="s">
        <v>488</v>
      </c>
      <c r="B186" s="17" t="s">
        <v>335</v>
      </c>
      <c r="C186" s="113" t="s">
        <v>34</v>
      </c>
      <c r="D186" s="113"/>
      <c r="E186" s="113"/>
      <c r="F186" s="113"/>
      <c r="G186" s="17" t="s">
        <v>587</v>
      </c>
      <c r="H186" s="20">
        <v>27.3085</v>
      </c>
      <c r="I186" s="20">
        <v>0</v>
      </c>
      <c r="J186" s="20">
        <f>H186*AO186</f>
        <v>0</v>
      </c>
      <c r="K186" s="20">
        <f>H186*AP186</f>
        <v>0</v>
      </c>
      <c r="L186" s="20">
        <f>H186*I186</f>
        <v>0</v>
      </c>
      <c r="M186" s="31" t="s">
        <v>496</v>
      </c>
      <c r="Z186" s="20">
        <f>IF(AQ186="5",BJ186,0)</f>
        <v>0</v>
      </c>
      <c r="AB186" s="20">
        <f>IF(AQ186="1",BH186,0)</f>
        <v>0</v>
      </c>
      <c r="AC186" s="20">
        <f>IF(AQ186="1",BI186,0)</f>
        <v>0</v>
      </c>
      <c r="AD186" s="20">
        <f>IF(AQ186="7",BH186,0)</f>
        <v>0</v>
      </c>
      <c r="AE186" s="20">
        <f>IF(AQ186="7",BI186,0)</f>
        <v>0</v>
      </c>
      <c r="AF186" s="20">
        <f>IF(AQ186="2",BH186,0)</f>
        <v>0</v>
      </c>
      <c r="AG186" s="20">
        <f>IF(AQ186="2",BI186,0)</f>
        <v>0</v>
      </c>
      <c r="AH186" s="20">
        <f>IF(AQ186="0",BJ186,0)</f>
        <v>0</v>
      </c>
      <c r="AI186" s="64" t="s">
        <v>414</v>
      </c>
      <c r="AJ186" s="20">
        <f>IF(AN186=0,L186,0)</f>
        <v>0</v>
      </c>
      <c r="AK186" s="20">
        <f>IF(AN186=15,L186,0)</f>
        <v>0</v>
      </c>
      <c r="AL186" s="20">
        <f>IF(AN186=21,L186,0)</f>
        <v>0</v>
      </c>
      <c r="AN186" s="20">
        <v>15</v>
      </c>
      <c r="AO186" s="20">
        <f>I186*0.446657515281728</f>
        <v>0</v>
      </c>
      <c r="AP186" s="20">
        <f>I186*(1-0.446657515281728)</f>
        <v>0</v>
      </c>
      <c r="AQ186" s="26" t="s">
        <v>598</v>
      </c>
      <c r="AV186" s="20">
        <f>AW186+AX186</f>
        <v>0</v>
      </c>
      <c r="AW186" s="20">
        <f>H186*AO186</f>
        <v>0</v>
      </c>
      <c r="AX186" s="20">
        <f>H186*AP186</f>
        <v>0</v>
      </c>
      <c r="AY186" s="26" t="s">
        <v>117</v>
      </c>
      <c r="AZ186" s="26" t="s">
        <v>356</v>
      </c>
      <c r="BA186" s="64" t="s">
        <v>452</v>
      </c>
      <c r="BC186" s="20">
        <f>AW186+AX186</f>
        <v>0</v>
      </c>
      <c r="BD186" s="20">
        <f>I186/(100-BE186)*100</f>
        <v>0</v>
      </c>
      <c r="BE186" s="20">
        <v>0</v>
      </c>
      <c r="BF186" s="20">
        <f>186</f>
        <v>186</v>
      </c>
      <c r="BH186" s="20">
        <f>H186*AO186</f>
        <v>0</v>
      </c>
      <c r="BI186" s="20">
        <f>H186*AP186</f>
        <v>0</v>
      </c>
      <c r="BJ186" s="20">
        <f>H186*I186</f>
        <v>0</v>
      </c>
      <c r="BK186" s="20"/>
      <c r="BL186" s="20">
        <v>776</v>
      </c>
    </row>
    <row r="187" spans="1:13" ht="15" customHeight="1">
      <c r="A187" s="19"/>
      <c r="C187" s="9" t="s">
        <v>371</v>
      </c>
      <c r="F187" s="9" t="s">
        <v>414</v>
      </c>
      <c r="H187" s="58">
        <v>0</v>
      </c>
      <c r="M187" s="36"/>
    </row>
    <row r="188" spans="1:13" ht="15" customHeight="1">
      <c r="A188" s="19"/>
      <c r="C188" s="9" t="s">
        <v>347</v>
      </c>
      <c r="F188" s="9" t="s">
        <v>414</v>
      </c>
      <c r="H188" s="58">
        <v>3.322</v>
      </c>
      <c r="M188" s="36"/>
    </row>
    <row r="189" spans="1:13" ht="15" customHeight="1">
      <c r="A189" s="19"/>
      <c r="C189" s="9" t="s">
        <v>363</v>
      </c>
      <c r="F189" s="9" t="s">
        <v>414</v>
      </c>
      <c r="H189" s="58">
        <v>0</v>
      </c>
      <c r="M189" s="36"/>
    </row>
    <row r="190" spans="1:13" ht="15" customHeight="1">
      <c r="A190" s="19"/>
      <c r="C190" s="9" t="s">
        <v>267</v>
      </c>
      <c r="F190" s="9" t="s">
        <v>414</v>
      </c>
      <c r="H190" s="58">
        <v>8.932500000000001</v>
      </c>
      <c r="M190" s="36"/>
    </row>
    <row r="191" spans="1:13" ht="15" customHeight="1">
      <c r="A191" s="19"/>
      <c r="C191" s="9" t="s">
        <v>192</v>
      </c>
      <c r="F191" s="9" t="s">
        <v>414</v>
      </c>
      <c r="H191" s="58">
        <v>0</v>
      </c>
      <c r="M191" s="36"/>
    </row>
    <row r="192" spans="1:13" ht="15" customHeight="1">
      <c r="A192" s="19"/>
      <c r="C192" s="9" t="s">
        <v>422</v>
      </c>
      <c r="F192" s="9" t="s">
        <v>414</v>
      </c>
      <c r="H192" s="58">
        <v>15.054000000000002</v>
      </c>
      <c r="M192" s="36"/>
    </row>
    <row r="193" spans="1:64" ht="15" customHeight="1">
      <c r="A193" s="4" t="s">
        <v>283</v>
      </c>
      <c r="B193" s="17" t="s">
        <v>564</v>
      </c>
      <c r="C193" s="113" t="s">
        <v>485</v>
      </c>
      <c r="D193" s="113"/>
      <c r="E193" s="113"/>
      <c r="F193" s="113"/>
      <c r="G193" s="17" t="s">
        <v>587</v>
      </c>
      <c r="H193" s="20">
        <v>30.03</v>
      </c>
      <c r="I193" s="20">
        <v>0</v>
      </c>
      <c r="J193" s="20">
        <f>H193*AO193</f>
        <v>0</v>
      </c>
      <c r="K193" s="20">
        <f>H193*AP193</f>
        <v>0</v>
      </c>
      <c r="L193" s="20">
        <f>H193*I193</f>
        <v>0</v>
      </c>
      <c r="M193" s="31" t="s">
        <v>496</v>
      </c>
      <c r="Z193" s="20">
        <f>IF(AQ193="5",BJ193,0)</f>
        <v>0</v>
      </c>
      <c r="AB193" s="20">
        <f>IF(AQ193="1",BH193,0)</f>
        <v>0</v>
      </c>
      <c r="AC193" s="20">
        <f>IF(AQ193="1",BI193,0)</f>
        <v>0</v>
      </c>
      <c r="AD193" s="20">
        <f>IF(AQ193="7",BH193,0)</f>
        <v>0</v>
      </c>
      <c r="AE193" s="20">
        <f>IF(AQ193="7",BI193,0)</f>
        <v>0</v>
      </c>
      <c r="AF193" s="20">
        <f>IF(AQ193="2",BH193,0)</f>
        <v>0</v>
      </c>
      <c r="AG193" s="20">
        <f>IF(AQ193="2",BI193,0)</f>
        <v>0</v>
      </c>
      <c r="AH193" s="20">
        <f>IF(AQ193="0",BJ193,0)</f>
        <v>0</v>
      </c>
      <c r="AI193" s="64" t="s">
        <v>414</v>
      </c>
      <c r="AJ193" s="20">
        <f>IF(AN193=0,L193,0)</f>
        <v>0</v>
      </c>
      <c r="AK193" s="20">
        <f>IF(AN193=15,L193,0)</f>
        <v>0</v>
      </c>
      <c r="AL193" s="20">
        <f>IF(AN193=21,L193,0)</f>
        <v>0</v>
      </c>
      <c r="AN193" s="20">
        <v>15</v>
      </c>
      <c r="AO193" s="20">
        <f>I193*1</f>
        <v>0</v>
      </c>
      <c r="AP193" s="20">
        <f>I193*(1-1)</f>
        <v>0</v>
      </c>
      <c r="AQ193" s="26" t="s">
        <v>598</v>
      </c>
      <c r="AV193" s="20">
        <f>AW193+AX193</f>
        <v>0</v>
      </c>
      <c r="AW193" s="20">
        <f>H193*AO193</f>
        <v>0</v>
      </c>
      <c r="AX193" s="20">
        <f>H193*AP193</f>
        <v>0</v>
      </c>
      <c r="AY193" s="26" t="s">
        <v>117</v>
      </c>
      <c r="AZ193" s="26" t="s">
        <v>356</v>
      </c>
      <c r="BA193" s="64" t="s">
        <v>452</v>
      </c>
      <c r="BC193" s="20">
        <f>AW193+AX193</f>
        <v>0</v>
      </c>
      <c r="BD193" s="20">
        <f>I193/(100-BE193)*100</f>
        <v>0</v>
      </c>
      <c r="BE193" s="20">
        <v>0</v>
      </c>
      <c r="BF193" s="20">
        <f>193</f>
        <v>193</v>
      </c>
      <c r="BH193" s="20">
        <f>H193*AO193</f>
        <v>0</v>
      </c>
      <c r="BI193" s="20">
        <f>H193*AP193</f>
        <v>0</v>
      </c>
      <c r="BJ193" s="20">
        <f>H193*I193</f>
        <v>0</v>
      </c>
      <c r="BK193" s="20"/>
      <c r="BL193" s="20">
        <v>776</v>
      </c>
    </row>
    <row r="194" spans="1:13" ht="15" customHeight="1">
      <c r="A194" s="19"/>
      <c r="C194" s="9" t="s">
        <v>627</v>
      </c>
      <c r="F194" s="9" t="s">
        <v>414</v>
      </c>
      <c r="H194" s="58">
        <v>30.03</v>
      </c>
      <c r="M194" s="36"/>
    </row>
    <row r="195" spans="1:64" ht="15" customHeight="1">
      <c r="A195" s="4" t="s">
        <v>390</v>
      </c>
      <c r="B195" s="17" t="s">
        <v>90</v>
      </c>
      <c r="C195" s="113" t="s">
        <v>69</v>
      </c>
      <c r="D195" s="113"/>
      <c r="E195" s="113"/>
      <c r="F195" s="113"/>
      <c r="G195" s="17" t="s">
        <v>284</v>
      </c>
      <c r="H195" s="20">
        <v>0.346</v>
      </c>
      <c r="I195" s="20">
        <v>0</v>
      </c>
      <c r="J195" s="20">
        <f>H195*AO195</f>
        <v>0</v>
      </c>
      <c r="K195" s="20">
        <f>H195*AP195</f>
        <v>0</v>
      </c>
      <c r="L195" s="20">
        <f>H195*I195</f>
        <v>0</v>
      </c>
      <c r="M195" s="31" t="s">
        <v>496</v>
      </c>
      <c r="Z195" s="20">
        <f>IF(AQ195="5",BJ195,0)</f>
        <v>0</v>
      </c>
      <c r="AB195" s="20">
        <f>IF(AQ195="1",BH195,0)</f>
        <v>0</v>
      </c>
      <c r="AC195" s="20">
        <f>IF(AQ195="1",BI195,0)</f>
        <v>0</v>
      </c>
      <c r="AD195" s="20">
        <f>IF(AQ195="7",BH195,0)</f>
        <v>0</v>
      </c>
      <c r="AE195" s="20">
        <f>IF(AQ195="7",BI195,0)</f>
        <v>0</v>
      </c>
      <c r="AF195" s="20">
        <f>IF(AQ195="2",BH195,0)</f>
        <v>0</v>
      </c>
      <c r="AG195" s="20">
        <f>IF(AQ195="2",BI195,0)</f>
        <v>0</v>
      </c>
      <c r="AH195" s="20">
        <f>IF(AQ195="0",BJ195,0)</f>
        <v>0</v>
      </c>
      <c r="AI195" s="64" t="s">
        <v>414</v>
      </c>
      <c r="AJ195" s="20">
        <f>IF(AN195=0,L195,0)</f>
        <v>0</v>
      </c>
      <c r="AK195" s="20">
        <f>IF(AN195=15,L195,0)</f>
        <v>0</v>
      </c>
      <c r="AL195" s="20">
        <f>IF(AN195=21,L195,0)</f>
        <v>0</v>
      </c>
      <c r="AN195" s="20">
        <v>15</v>
      </c>
      <c r="AO195" s="20">
        <f>I195*0</f>
        <v>0</v>
      </c>
      <c r="AP195" s="20">
        <f>I195*(1-0)</f>
        <v>0</v>
      </c>
      <c r="AQ195" s="26" t="s">
        <v>322</v>
      </c>
      <c r="AV195" s="20">
        <f>AW195+AX195</f>
        <v>0</v>
      </c>
      <c r="AW195" s="20">
        <f>H195*AO195</f>
        <v>0</v>
      </c>
      <c r="AX195" s="20">
        <f>H195*AP195</f>
        <v>0</v>
      </c>
      <c r="AY195" s="26" t="s">
        <v>117</v>
      </c>
      <c r="AZ195" s="26" t="s">
        <v>356</v>
      </c>
      <c r="BA195" s="64" t="s">
        <v>452</v>
      </c>
      <c r="BC195" s="20">
        <f>AW195+AX195</f>
        <v>0</v>
      </c>
      <c r="BD195" s="20">
        <f>I195/(100-BE195)*100</f>
        <v>0</v>
      </c>
      <c r="BE195" s="20">
        <v>0</v>
      </c>
      <c r="BF195" s="20">
        <f>195</f>
        <v>195</v>
      </c>
      <c r="BH195" s="20">
        <f>H195*AO195</f>
        <v>0</v>
      </c>
      <c r="BI195" s="20">
        <f>H195*AP195</f>
        <v>0</v>
      </c>
      <c r="BJ195" s="20">
        <f>H195*I195</f>
        <v>0</v>
      </c>
      <c r="BK195" s="20"/>
      <c r="BL195" s="20">
        <v>776</v>
      </c>
    </row>
    <row r="196" spans="1:47" ht="15" customHeight="1">
      <c r="A196" s="51" t="s">
        <v>414</v>
      </c>
      <c r="B196" s="50" t="s">
        <v>478</v>
      </c>
      <c r="C196" s="166" t="s">
        <v>265</v>
      </c>
      <c r="D196" s="166"/>
      <c r="E196" s="166"/>
      <c r="F196" s="166"/>
      <c r="G196" s="48" t="s">
        <v>546</v>
      </c>
      <c r="H196" s="48" t="s">
        <v>546</v>
      </c>
      <c r="I196" s="48" t="s">
        <v>546</v>
      </c>
      <c r="J196" s="76">
        <f>SUM(J197:J217)</f>
        <v>0</v>
      </c>
      <c r="K196" s="76">
        <f>SUM(K197:K217)</f>
        <v>0</v>
      </c>
      <c r="L196" s="76">
        <f>SUM(L197:L217)</f>
        <v>0</v>
      </c>
      <c r="M196" s="55" t="s">
        <v>414</v>
      </c>
      <c r="AI196" s="64" t="s">
        <v>414</v>
      </c>
      <c r="AS196" s="76">
        <f>SUM(AJ197:AJ217)</f>
        <v>0</v>
      </c>
      <c r="AT196" s="76">
        <f>SUM(AK197:AK217)</f>
        <v>0</v>
      </c>
      <c r="AU196" s="76">
        <f>SUM(AL197:AL217)</f>
        <v>0</v>
      </c>
    </row>
    <row r="197" spans="1:64" ht="15" customHeight="1">
      <c r="A197" s="4" t="s">
        <v>653</v>
      </c>
      <c r="B197" s="17" t="s">
        <v>578</v>
      </c>
      <c r="C197" s="113" t="s">
        <v>609</v>
      </c>
      <c r="D197" s="113"/>
      <c r="E197" s="113"/>
      <c r="F197" s="113"/>
      <c r="G197" s="17" t="s">
        <v>587</v>
      </c>
      <c r="H197" s="20">
        <v>16.07</v>
      </c>
      <c r="I197" s="20">
        <v>0</v>
      </c>
      <c r="J197" s="20">
        <f>H197*AO197</f>
        <v>0</v>
      </c>
      <c r="K197" s="20">
        <f>H197*AP197</f>
        <v>0</v>
      </c>
      <c r="L197" s="20">
        <f>H197*I197</f>
        <v>0</v>
      </c>
      <c r="M197" s="31" t="s">
        <v>496</v>
      </c>
      <c r="Z197" s="20">
        <f>IF(AQ197="5",BJ197,0)</f>
        <v>0</v>
      </c>
      <c r="AB197" s="20">
        <f>IF(AQ197="1",BH197,0)</f>
        <v>0</v>
      </c>
      <c r="AC197" s="20">
        <f>IF(AQ197="1",BI197,0)</f>
        <v>0</v>
      </c>
      <c r="AD197" s="20">
        <f>IF(AQ197="7",BH197,0)</f>
        <v>0</v>
      </c>
      <c r="AE197" s="20">
        <f>IF(AQ197="7",BI197,0)</f>
        <v>0</v>
      </c>
      <c r="AF197" s="20">
        <f>IF(AQ197="2",BH197,0)</f>
        <v>0</v>
      </c>
      <c r="AG197" s="20">
        <f>IF(AQ197="2",BI197,0)</f>
        <v>0</v>
      </c>
      <c r="AH197" s="20">
        <f>IF(AQ197="0",BJ197,0)</f>
        <v>0</v>
      </c>
      <c r="AI197" s="64" t="s">
        <v>414</v>
      </c>
      <c r="AJ197" s="20">
        <f>IF(AN197=0,L197,0)</f>
        <v>0</v>
      </c>
      <c r="AK197" s="20">
        <f>IF(AN197=15,L197,0)</f>
        <v>0</v>
      </c>
      <c r="AL197" s="20">
        <f>IF(AN197=21,L197,0)</f>
        <v>0</v>
      </c>
      <c r="AN197" s="20">
        <v>15</v>
      </c>
      <c r="AO197" s="20">
        <f>I197*0.110863351020889</f>
        <v>0</v>
      </c>
      <c r="AP197" s="20">
        <f>I197*(1-0.110863351020889)</f>
        <v>0</v>
      </c>
      <c r="AQ197" s="26" t="s">
        <v>598</v>
      </c>
      <c r="AV197" s="20">
        <f>AW197+AX197</f>
        <v>0</v>
      </c>
      <c r="AW197" s="20">
        <f>H197*AO197</f>
        <v>0</v>
      </c>
      <c r="AX197" s="20">
        <f>H197*AP197</f>
        <v>0</v>
      </c>
      <c r="AY197" s="26" t="s">
        <v>276</v>
      </c>
      <c r="AZ197" s="26" t="s">
        <v>143</v>
      </c>
      <c r="BA197" s="64" t="s">
        <v>452</v>
      </c>
      <c r="BC197" s="20">
        <f>AW197+AX197</f>
        <v>0</v>
      </c>
      <c r="BD197" s="20">
        <f>I197/(100-BE197)*100</f>
        <v>0</v>
      </c>
      <c r="BE197" s="20">
        <v>0</v>
      </c>
      <c r="BF197" s="20">
        <f>197</f>
        <v>197</v>
      </c>
      <c r="BH197" s="20">
        <f>H197*AO197</f>
        <v>0</v>
      </c>
      <c r="BI197" s="20">
        <f>H197*AP197</f>
        <v>0</v>
      </c>
      <c r="BJ197" s="20">
        <f>H197*I197</f>
        <v>0</v>
      </c>
      <c r="BK197" s="20"/>
      <c r="BL197" s="20">
        <v>781</v>
      </c>
    </row>
    <row r="198" spans="1:13" ht="15" customHeight="1">
      <c r="A198" s="19"/>
      <c r="C198" s="9" t="s">
        <v>22</v>
      </c>
      <c r="F198" s="9" t="s">
        <v>414</v>
      </c>
      <c r="H198" s="58">
        <v>0</v>
      </c>
      <c r="M198" s="36"/>
    </row>
    <row r="199" spans="1:13" ht="15" customHeight="1">
      <c r="A199" s="19"/>
      <c r="C199" s="9" t="s">
        <v>289</v>
      </c>
      <c r="F199" s="9" t="s">
        <v>414</v>
      </c>
      <c r="H199" s="58">
        <v>7.5600000000000005</v>
      </c>
      <c r="M199" s="36"/>
    </row>
    <row r="200" spans="1:13" ht="15" customHeight="1">
      <c r="A200" s="19"/>
      <c r="C200" s="9" t="s">
        <v>20</v>
      </c>
      <c r="F200" s="9" t="s">
        <v>414</v>
      </c>
      <c r="H200" s="58">
        <v>3.7800000000000002</v>
      </c>
      <c r="M200" s="36"/>
    </row>
    <row r="201" spans="1:13" ht="15" customHeight="1">
      <c r="A201" s="19"/>
      <c r="C201" s="9" t="s">
        <v>184</v>
      </c>
      <c r="F201" s="9" t="s">
        <v>414</v>
      </c>
      <c r="H201" s="58">
        <v>0</v>
      </c>
      <c r="M201" s="36"/>
    </row>
    <row r="202" spans="1:13" ht="15" customHeight="1">
      <c r="A202" s="19"/>
      <c r="C202" s="9" t="s">
        <v>147</v>
      </c>
      <c r="F202" s="9" t="s">
        <v>414</v>
      </c>
      <c r="H202" s="58">
        <v>4.23</v>
      </c>
      <c r="M202" s="36"/>
    </row>
    <row r="203" spans="1:13" ht="15" customHeight="1">
      <c r="A203" s="19"/>
      <c r="C203" s="9" t="s">
        <v>134</v>
      </c>
      <c r="F203" s="9" t="s">
        <v>414</v>
      </c>
      <c r="H203" s="58">
        <v>0</v>
      </c>
      <c r="M203" s="36"/>
    </row>
    <row r="204" spans="1:13" ht="15" customHeight="1">
      <c r="A204" s="19"/>
      <c r="C204" s="9" t="s">
        <v>670</v>
      </c>
      <c r="F204" s="9" t="s">
        <v>414</v>
      </c>
      <c r="H204" s="58">
        <v>0.5</v>
      </c>
      <c r="M204" s="36"/>
    </row>
    <row r="205" spans="1:64" ht="15" customHeight="1">
      <c r="A205" s="4" t="s">
        <v>419</v>
      </c>
      <c r="B205" s="17" t="s">
        <v>25</v>
      </c>
      <c r="C205" s="113" t="s">
        <v>554</v>
      </c>
      <c r="D205" s="113"/>
      <c r="E205" s="113"/>
      <c r="F205" s="113"/>
      <c r="G205" s="17" t="s">
        <v>587</v>
      </c>
      <c r="H205" s="20">
        <v>16.07</v>
      </c>
      <c r="I205" s="20">
        <v>0</v>
      </c>
      <c r="J205" s="20">
        <f>H205*AO205</f>
        <v>0</v>
      </c>
      <c r="K205" s="20">
        <f>H205*AP205</f>
        <v>0</v>
      </c>
      <c r="L205" s="20">
        <f>H205*I205</f>
        <v>0</v>
      </c>
      <c r="M205" s="31" t="s">
        <v>496</v>
      </c>
      <c r="Z205" s="20">
        <f>IF(AQ205="5",BJ205,0)</f>
        <v>0</v>
      </c>
      <c r="AB205" s="20">
        <f>IF(AQ205="1",BH205,0)</f>
        <v>0</v>
      </c>
      <c r="AC205" s="20">
        <f>IF(AQ205="1",BI205,0)</f>
        <v>0</v>
      </c>
      <c r="AD205" s="20">
        <f>IF(AQ205="7",BH205,0)</f>
        <v>0</v>
      </c>
      <c r="AE205" s="20">
        <f>IF(AQ205="7",BI205,0)</f>
        <v>0</v>
      </c>
      <c r="AF205" s="20">
        <f>IF(AQ205="2",BH205,0)</f>
        <v>0</v>
      </c>
      <c r="AG205" s="20">
        <f>IF(AQ205="2",BI205,0)</f>
        <v>0</v>
      </c>
      <c r="AH205" s="20">
        <f>IF(AQ205="0",BJ205,0)</f>
        <v>0</v>
      </c>
      <c r="AI205" s="64" t="s">
        <v>414</v>
      </c>
      <c r="AJ205" s="20">
        <f>IF(AN205=0,L205,0)</f>
        <v>0</v>
      </c>
      <c r="AK205" s="20">
        <f>IF(AN205=15,L205,0)</f>
        <v>0</v>
      </c>
      <c r="AL205" s="20">
        <f>IF(AN205=21,L205,0)</f>
        <v>0</v>
      </c>
      <c r="AN205" s="20">
        <v>15</v>
      </c>
      <c r="AO205" s="20">
        <f>I205*0</f>
        <v>0</v>
      </c>
      <c r="AP205" s="20">
        <f>I205*(1-0)</f>
        <v>0</v>
      </c>
      <c r="AQ205" s="26" t="s">
        <v>598</v>
      </c>
      <c r="AV205" s="20">
        <f>AW205+AX205</f>
        <v>0</v>
      </c>
      <c r="AW205" s="20">
        <f>H205*AO205</f>
        <v>0</v>
      </c>
      <c r="AX205" s="20">
        <f>H205*AP205</f>
        <v>0</v>
      </c>
      <c r="AY205" s="26" t="s">
        <v>276</v>
      </c>
      <c r="AZ205" s="26" t="s">
        <v>143</v>
      </c>
      <c r="BA205" s="64" t="s">
        <v>452</v>
      </c>
      <c r="BC205" s="20">
        <f>AW205+AX205</f>
        <v>0</v>
      </c>
      <c r="BD205" s="20">
        <f>I205/(100-BE205)*100</f>
        <v>0</v>
      </c>
      <c r="BE205" s="20">
        <v>0</v>
      </c>
      <c r="BF205" s="20">
        <f>205</f>
        <v>205</v>
      </c>
      <c r="BH205" s="20">
        <f>H205*AO205</f>
        <v>0</v>
      </c>
      <c r="BI205" s="20">
        <f>H205*AP205</f>
        <v>0</v>
      </c>
      <c r="BJ205" s="20">
        <f>H205*I205</f>
        <v>0</v>
      </c>
      <c r="BK205" s="20"/>
      <c r="BL205" s="20">
        <v>781</v>
      </c>
    </row>
    <row r="206" spans="1:64" ht="15" customHeight="1">
      <c r="A206" s="4" t="s">
        <v>659</v>
      </c>
      <c r="B206" s="17" t="s">
        <v>282</v>
      </c>
      <c r="C206" s="113" t="s">
        <v>329</v>
      </c>
      <c r="D206" s="113"/>
      <c r="E206" s="113"/>
      <c r="F206" s="113"/>
      <c r="G206" s="17" t="s">
        <v>587</v>
      </c>
      <c r="H206" s="20">
        <v>16.07</v>
      </c>
      <c r="I206" s="20">
        <v>0</v>
      </c>
      <c r="J206" s="20">
        <f>H206*AO206</f>
        <v>0</v>
      </c>
      <c r="K206" s="20">
        <f>H206*AP206</f>
        <v>0</v>
      </c>
      <c r="L206" s="20">
        <f>H206*I206</f>
        <v>0</v>
      </c>
      <c r="M206" s="31" t="s">
        <v>496</v>
      </c>
      <c r="Z206" s="20">
        <f>IF(AQ206="5",BJ206,0)</f>
        <v>0</v>
      </c>
      <c r="AB206" s="20">
        <f>IF(AQ206="1",BH206,0)</f>
        <v>0</v>
      </c>
      <c r="AC206" s="20">
        <f>IF(AQ206="1",BI206,0)</f>
        <v>0</v>
      </c>
      <c r="AD206" s="20">
        <f>IF(AQ206="7",BH206,0)</f>
        <v>0</v>
      </c>
      <c r="AE206" s="20">
        <f>IF(AQ206="7",BI206,0)</f>
        <v>0</v>
      </c>
      <c r="AF206" s="20">
        <f>IF(AQ206="2",BH206,0)</f>
        <v>0</v>
      </c>
      <c r="AG206" s="20">
        <f>IF(AQ206="2",BI206,0)</f>
        <v>0</v>
      </c>
      <c r="AH206" s="20">
        <f>IF(AQ206="0",BJ206,0)</f>
        <v>0</v>
      </c>
      <c r="AI206" s="64" t="s">
        <v>414</v>
      </c>
      <c r="AJ206" s="20">
        <f>IF(AN206=0,L206,0)</f>
        <v>0</v>
      </c>
      <c r="AK206" s="20">
        <f>IF(AN206=15,L206,0)</f>
        <v>0</v>
      </c>
      <c r="AL206" s="20">
        <f>IF(AN206=21,L206,0)</f>
        <v>0</v>
      </c>
      <c r="AN206" s="20">
        <v>15</v>
      </c>
      <c r="AO206" s="20">
        <f>I206*0</f>
        <v>0</v>
      </c>
      <c r="AP206" s="20">
        <f>I206*(1-0)</f>
        <v>0</v>
      </c>
      <c r="AQ206" s="26" t="s">
        <v>598</v>
      </c>
      <c r="AV206" s="20">
        <f>AW206+AX206</f>
        <v>0</v>
      </c>
      <c r="AW206" s="20">
        <f>H206*AO206</f>
        <v>0</v>
      </c>
      <c r="AX206" s="20">
        <f>H206*AP206</f>
        <v>0</v>
      </c>
      <c r="AY206" s="26" t="s">
        <v>276</v>
      </c>
      <c r="AZ206" s="26" t="s">
        <v>143</v>
      </c>
      <c r="BA206" s="64" t="s">
        <v>452</v>
      </c>
      <c r="BC206" s="20">
        <f>AW206+AX206</f>
        <v>0</v>
      </c>
      <c r="BD206" s="20">
        <f>I206/(100-BE206)*100</f>
        <v>0</v>
      </c>
      <c r="BE206" s="20">
        <v>0</v>
      </c>
      <c r="BF206" s="20">
        <f>206</f>
        <v>206</v>
      </c>
      <c r="BH206" s="20">
        <f>H206*AO206</f>
        <v>0</v>
      </c>
      <c r="BI206" s="20">
        <f>H206*AP206</f>
        <v>0</v>
      </c>
      <c r="BJ206" s="20">
        <f>H206*I206</f>
        <v>0</v>
      </c>
      <c r="BK206" s="20"/>
      <c r="BL206" s="20">
        <v>781</v>
      </c>
    </row>
    <row r="207" spans="1:64" ht="15" customHeight="1">
      <c r="A207" s="4" t="s">
        <v>617</v>
      </c>
      <c r="B207" s="17" t="s">
        <v>171</v>
      </c>
      <c r="C207" s="113" t="s">
        <v>239</v>
      </c>
      <c r="D207" s="113"/>
      <c r="E207" s="113"/>
      <c r="F207" s="113"/>
      <c r="G207" s="17" t="s">
        <v>154</v>
      </c>
      <c r="H207" s="20">
        <v>5</v>
      </c>
      <c r="I207" s="20">
        <v>0</v>
      </c>
      <c r="J207" s="20">
        <f>H207*AO207</f>
        <v>0</v>
      </c>
      <c r="K207" s="20">
        <f>H207*AP207</f>
        <v>0</v>
      </c>
      <c r="L207" s="20">
        <f>H207*I207</f>
        <v>0</v>
      </c>
      <c r="M207" s="31" t="s">
        <v>496</v>
      </c>
      <c r="Z207" s="20">
        <f>IF(AQ207="5",BJ207,0)</f>
        <v>0</v>
      </c>
      <c r="AB207" s="20">
        <f>IF(AQ207="1",BH207,0)</f>
        <v>0</v>
      </c>
      <c r="AC207" s="20">
        <f>IF(AQ207="1",BI207,0)</f>
        <v>0</v>
      </c>
      <c r="AD207" s="20">
        <f>IF(AQ207="7",BH207,0)</f>
        <v>0</v>
      </c>
      <c r="AE207" s="20">
        <f>IF(AQ207="7",BI207,0)</f>
        <v>0</v>
      </c>
      <c r="AF207" s="20">
        <f>IF(AQ207="2",BH207,0)</f>
        <v>0</v>
      </c>
      <c r="AG207" s="20">
        <f>IF(AQ207="2",BI207,0)</f>
        <v>0</v>
      </c>
      <c r="AH207" s="20">
        <f>IF(AQ207="0",BJ207,0)</f>
        <v>0</v>
      </c>
      <c r="AI207" s="64" t="s">
        <v>414</v>
      </c>
      <c r="AJ207" s="20">
        <f>IF(AN207=0,L207,0)</f>
        <v>0</v>
      </c>
      <c r="AK207" s="20">
        <f>IF(AN207=15,L207,0)</f>
        <v>0</v>
      </c>
      <c r="AL207" s="20">
        <f>IF(AN207=21,L207,0)</f>
        <v>0</v>
      </c>
      <c r="AN207" s="20">
        <v>15</v>
      </c>
      <c r="AO207" s="20">
        <f>I207*0.0186346863468635</f>
        <v>0</v>
      </c>
      <c r="AP207" s="20">
        <f>I207*(1-0.0186346863468635)</f>
        <v>0</v>
      </c>
      <c r="AQ207" s="26" t="s">
        <v>598</v>
      </c>
      <c r="AV207" s="20">
        <f>AW207+AX207</f>
        <v>0</v>
      </c>
      <c r="AW207" s="20">
        <f>H207*AO207</f>
        <v>0</v>
      </c>
      <c r="AX207" s="20">
        <f>H207*AP207</f>
        <v>0</v>
      </c>
      <c r="AY207" s="26" t="s">
        <v>276</v>
      </c>
      <c r="AZ207" s="26" t="s">
        <v>143</v>
      </c>
      <c r="BA207" s="64" t="s">
        <v>452</v>
      </c>
      <c r="BC207" s="20">
        <f>AW207+AX207</f>
        <v>0</v>
      </c>
      <c r="BD207" s="20">
        <f>I207/(100-BE207)*100</f>
        <v>0</v>
      </c>
      <c r="BE207" s="20">
        <v>0</v>
      </c>
      <c r="BF207" s="20">
        <f>207</f>
        <v>207</v>
      </c>
      <c r="BH207" s="20">
        <f>H207*AO207</f>
        <v>0</v>
      </c>
      <c r="BI207" s="20">
        <f>H207*AP207</f>
        <v>0</v>
      </c>
      <c r="BJ207" s="20">
        <f>H207*I207</f>
        <v>0</v>
      </c>
      <c r="BK207" s="20"/>
      <c r="BL207" s="20">
        <v>781</v>
      </c>
    </row>
    <row r="208" spans="1:64" ht="15" customHeight="1">
      <c r="A208" s="4" t="s">
        <v>567</v>
      </c>
      <c r="B208" s="17" t="s">
        <v>529</v>
      </c>
      <c r="C208" s="113" t="s">
        <v>159</v>
      </c>
      <c r="D208" s="113"/>
      <c r="E208" s="113"/>
      <c r="F208" s="113"/>
      <c r="G208" s="17" t="s">
        <v>154</v>
      </c>
      <c r="H208" s="20">
        <v>2</v>
      </c>
      <c r="I208" s="20">
        <v>0</v>
      </c>
      <c r="J208" s="20">
        <f>H208*AO208</f>
        <v>0</v>
      </c>
      <c r="K208" s="20">
        <f>H208*AP208</f>
        <v>0</v>
      </c>
      <c r="L208" s="20">
        <f>H208*I208</f>
        <v>0</v>
      </c>
      <c r="M208" s="31" t="s">
        <v>496</v>
      </c>
      <c r="Z208" s="20">
        <f>IF(AQ208="5",BJ208,0)</f>
        <v>0</v>
      </c>
      <c r="AB208" s="20">
        <f>IF(AQ208="1",BH208,0)</f>
        <v>0</v>
      </c>
      <c r="AC208" s="20">
        <f>IF(AQ208="1",BI208,0)</f>
        <v>0</v>
      </c>
      <c r="AD208" s="20">
        <f>IF(AQ208="7",BH208,0)</f>
        <v>0</v>
      </c>
      <c r="AE208" s="20">
        <f>IF(AQ208="7",BI208,0)</f>
        <v>0</v>
      </c>
      <c r="AF208" s="20">
        <f>IF(AQ208="2",BH208,0)</f>
        <v>0</v>
      </c>
      <c r="AG208" s="20">
        <f>IF(AQ208="2",BI208,0)</f>
        <v>0</v>
      </c>
      <c r="AH208" s="20">
        <f>IF(AQ208="0",BJ208,0)</f>
        <v>0</v>
      </c>
      <c r="AI208" s="64" t="s">
        <v>414</v>
      </c>
      <c r="AJ208" s="20">
        <f>IF(AN208=0,L208,0)</f>
        <v>0</v>
      </c>
      <c r="AK208" s="20">
        <f>IF(AN208=15,L208,0)</f>
        <v>0</v>
      </c>
      <c r="AL208" s="20">
        <f>IF(AN208=21,L208,0)</f>
        <v>0</v>
      </c>
      <c r="AN208" s="20">
        <v>15</v>
      </c>
      <c r="AO208" s="20">
        <f>I208*0.0613162118780096</f>
        <v>0</v>
      </c>
      <c r="AP208" s="20">
        <f>I208*(1-0.0613162118780096)</f>
        <v>0</v>
      </c>
      <c r="AQ208" s="26" t="s">
        <v>598</v>
      </c>
      <c r="AV208" s="20">
        <f>AW208+AX208</f>
        <v>0</v>
      </c>
      <c r="AW208" s="20">
        <f>H208*AO208</f>
        <v>0</v>
      </c>
      <c r="AX208" s="20">
        <f>H208*AP208</f>
        <v>0</v>
      </c>
      <c r="AY208" s="26" t="s">
        <v>276</v>
      </c>
      <c r="AZ208" s="26" t="s">
        <v>143</v>
      </c>
      <c r="BA208" s="64" t="s">
        <v>452</v>
      </c>
      <c r="BC208" s="20">
        <f>AW208+AX208</f>
        <v>0</v>
      </c>
      <c r="BD208" s="20">
        <f>I208/(100-BE208)*100</f>
        <v>0</v>
      </c>
      <c r="BE208" s="20">
        <v>0</v>
      </c>
      <c r="BF208" s="20">
        <f>208</f>
        <v>208</v>
      </c>
      <c r="BH208" s="20">
        <f>H208*AO208</f>
        <v>0</v>
      </c>
      <c r="BI208" s="20">
        <f>H208*AP208</f>
        <v>0</v>
      </c>
      <c r="BJ208" s="20">
        <f>H208*I208</f>
        <v>0</v>
      </c>
      <c r="BK208" s="20"/>
      <c r="BL208" s="20">
        <v>781</v>
      </c>
    </row>
    <row r="209" spans="1:64" ht="15" customHeight="1">
      <c r="A209" s="4" t="s">
        <v>315</v>
      </c>
      <c r="B209" s="17" t="s">
        <v>555</v>
      </c>
      <c r="C209" s="113" t="s">
        <v>254</v>
      </c>
      <c r="D209" s="113"/>
      <c r="E209" s="113"/>
      <c r="F209" s="113"/>
      <c r="G209" s="17" t="s">
        <v>494</v>
      </c>
      <c r="H209" s="20">
        <v>17.5</v>
      </c>
      <c r="I209" s="20">
        <v>0</v>
      </c>
      <c r="J209" s="20">
        <f>H209*AO209</f>
        <v>0</v>
      </c>
      <c r="K209" s="20">
        <f>H209*AP209</f>
        <v>0</v>
      </c>
      <c r="L209" s="20">
        <f>H209*I209</f>
        <v>0</v>
      </c>
      <c r="M209" s="31" t="s">
        <v>496</v>
      </c>
      <c r="Z209" s="20">
        <f>IF(AQ209="5",BJ209,0)</f>
        <v>0</v>
      </c>
      <c r="AB209" s="20">
        <f>IF(AQ209="1",BH209,0)</f>
        <v>0</v>
      </c>
      <c r="AC209" s="20">
        <f>IF(AQ209="1",BI209,0)</f>
        <v>0</v>
      </c>
      <c r="AD209" s="20">
        <f>IF(AQ209="7",BH209,0)</f>
        <v>0</v>
      </c>
      <c r="AE209" s="20">
        <f>IF(AQ209="7",BI209,0)</f>
        <v>0</v>
      </c>
      <c r="AF209" s="20">
        <f>IF(AQ209="2",BH209,0)</f>
        <v>0</v>
      </c>
      <c r="AG209" s="20">
        <f>IF(AQ209="2",BI209,0)</f>
        <v>0</v>
      </c>
      <c r="AH209" s="20">
        <f>IF(AQ209="0",BJ209,0)</f>
        <v>0</v>
      </c>
      <c r="AI209" s="64" t="s">
        <v>414</v>
      </c>
      <c r="AJ209" s="20">
        <f>IF(AN209=0,L209,0)</f>
        <v>0</v>
      </c>
      <c r="AK209" s="20">
        <f>IF(AN209=15,L209,0)</f>
        <v>0</v>
      </c>
      <c r="AL209" s="20">
        <f>IF(AN209=21,L209,0)</f>
        <v>0</v>
      </c>
      <c r="AN209" s="20">
        <v>15</v>
      </c>
      <c r="AO209" s="20">
        <f>I209*0</f>
        <v>0</v>
      </c>
      <c r="AP209" s="20">
        <f>I209*(1-0)</f>
        <v>0</v>
      </c>
      <c r="AQ209" s="26" t="s">
        <v>598</v>
      </c>
      <c r="AV209" s="20">
        <f>AW209+AX209</f>
        <v>0</v>
      </c>
      <c r="AW209" s="20">
        <f>H209*AO209</f>
        <v>0</v>
      </c>
      <c r="AX209" s="20">
        <f>H209*AP209</f>
        <v>0</v>
      </c>
      <c r="AY209" s="26" t="s">
        <v>276</v>
      </c>
      <c r="AZ209" s="26" t="s">
        <v>143</v>
      </c>
      <c r="BA209" s="64" t="s">
        <v>452</v>
      </c>
      <c r="BC209" s="20">
        <f>AW209+AX209</f>
        <v>0</v>
      </c>
      <c r="BD209" s="20">
        <f>I209/(100-BE209)*100</f>
        <v>0</v>
      </c>
      <c r="BE209" s="20">
        <v>0</v>
      </c>
      <c r="BF209" s="20">
        <f>209</f>
        <v>209</v>
      </c>
      <c r="BH209" s="20">
        <f>H209*AO209</f>
        <v>0</v>
      </c>
      <c r="BI209" s="20">
        <f>H209*AP209</f>
        <v>0</v>
      </c>
      <c r="BJ209" s="20">
        <f>H209*I209</f>
        <v>0</v>
      </c>
      <c r="BK209" s="20"/>
      <c r="BL209" s="20">
        <v>781</v>
      </c>
    </row>
    <row r="210" spans="1:13" ht="15" customHeight="1">
      <c r="A210" s="19"/>
      <c r="C210" s="9" t="s">
        <v>24</v>
      </c>
      <c r="F210" s="9" t="s">
        <v>414</v>
      </c>
      <c r="H210" s="58">
        <v>17.5</v>
      </c>
      <c r="M210" s="36"/>
    </row>
    <row r="211" spans="1:64" ht="15" customHeight="1">
      <c r="A211" s="4" t="s">
        <v>285</v>
      </c>
      <c r="B211" s="17" t="s">
        <v>433</v>
      </c>
      <c r="C211" s="113" t="s">
        <v>95</v>
      </c>
      <c r="D211" s="113"/>
      <c r="E211" s="113"/>
      <c r="F211" s="113"/>
      <c r="G211" s="17" t="s">
        <v>494</v>
      </c>
      <c r="H211" s="20">
        <v>5</v>
      </c>
      <c r="I211" s="20">
        <v>0</v>
      </c>
      <c r="J211" s="20">
        <f>H211*AO211</f>
        <v>0</v>
      </c>
      <c r="K211" s="20">
        <f>H211*AP211</f>
        <v>0</v>
      </c>
      <c r="L211" s="20">
        <f>H211*I211</f>
        <v>0</v>
      </c>
      <c r="M211" s="31" t="s">
        <v>496</v>
      </c>
      <c r="Z211" s="20">
        <f>IF(AQ211="5",BJ211,0)</f>
        <v>0</v>
      </c>
      <c r="AB211" s="20">
        <f>IF(AQ211="1",BH211,0)</f>
        <v>0</v>
      </c>
      <c r="AC211" s="20">
        <f>IF(AQ211="1",BI211,0)</f>
        <v>0</v>
      </c>
      <c r="AD211" s="20">
        <f>IF(AQ211="7",BH211,0)</f>
        <v>0</v>
      </c>
      <c r="AE211" s="20">
        <f>IF(AQ211="7",BI211,0)</f>
        <v>0</v>
      </c>
      <c r="AF211" s="20">
        <f>IF(AQ211="2",BH211,0)</f>
        <v>0</v>
      </c>
      <c r="AG211" s="20">
        <f>IF(AQ211="2",BI211,0)</f>
        <v>0</v>
      </c>
      <c r="AH211" s="20">
        <f>IF(AQ211="0",BJ211,0)</f>
        <v>0</v>
      </c>
      <c r="AI211" s="64" t="s">
        <v>414</v>
      </c>
      <c r="AJ211" s="20">
        <f>IF(AN211=0,L211,0)</f>
        <v>0</v>
      </c>
      <c r="AK211" s="20">
        <f>IF(AN211=15,L211,0)</f>
        <v>0</v>
      </c>
      <c r="AL211" s="20">
        <f>IF(AN211=21,L211,0)</f>
        <v>0</v>
      </c>
      <c r="AN211" s="20">
        <v>15</v>
      </c>
      <c r="AO211" s="20">
        <f>I211*0.0542542542542543</f>
        <v>0</v>
      </c>
      <c r="AP211" s="20">
        <f>I211*(1-0.0542542542542543)</f>
        <v>0</v>
      </c>
      <c r="AQ211" s="26" t="s">
        <v>598</v>
      </c>
      <c r="AV211" s="20">
        <f>AW211+AX211</f>
        <v>0</v>
      </c>
      <c r="AW211" s="20">
        <f>H211*AO211</f>
        <v>0</v>
      </c>
      <c r="AX211" s="20">
        <f>H211*AP211</f>
        <v>0</v>
      </c>
      <c r="AY211" s="26" t="s">
        <v>276</v>
      </c>
      <c r="AZ211" s="26" t="s">
        <v>143</v>
      </c>
      <c r="BA211" s="64" t="s">
        <v>452</v>
      </c>
      <c r="BC211" s="20">
        <f>AW211+AX211</f>
        <v>0</v>
      </c>
      <c r="BD211" s="20">
        <f>I211/(100-BE211)*100</f>
        <v>0</v>
      </c>
      <c r="BE211" s="20">
        <v>0</v>
      </c>
      <c r="BF211" s="20">
        <f>211</f>
        <v>211</v>
      </c>
      <c r="BH211" s="20">
        <f>H211*AO211</f>
        <v>0</v>
      </c>
      <c r="BI211" s="20">
        <f>H211*AP211</f>
        <v>0</v>
      </c>
      <c r="BJ211" s="20">
        <f>H211*I211</f>
        <v>0</v>
      </c>
      <c r="BK211" s="20"/>
      <c r="BL211" s="20">
        <v>781</v>
      </c>
    </row>
    <row r="212" spans="1:64" ht="15" customHeight="1">
      <c r="A212" s="4" t="s">
        <v>257</v>
      </c>
      <c r="B212" s="17" t="s">
        <v>319</v>
      </c>
      <c r="C212" s="113" t="s">
        <v>232</v>
      </c>
      <c r="D212" s="113"/>
      <c r="E212" s="113"/>
      <c r="F212" s="113"/>
      <c r="G212" s="17" t="s">
        <v>494</v>
      </c>
      <c r="H212" s="20">
        <v>3</v>
      </c>
      <c r="I212" s="20">
        <v>0</v>
      </c>
      <c r="J212" s="20">
        <f>H212*AO212</f>
        <v>0</v>
      </c>
      <c r="K212" s="20">
        <f>H212*AP212</f>
        <v>0</v>
      </c>
      <c r="L212" s="20">
        <f>H212*I212</f>
        <v>0</v>
      </c>
      <c r="M212" s="31" t="s">
        <v>496</v>
      </c>
      <c r="Z212" s="20">
        <f>IF(AQ212="5",BJ212,0)</f>
        <v>0</v>
      </c>
      <c r="AB212" s="20">
        <f>IF(AQ212="1",BH212,0)</f>
        <v>0</v>
      </c>
      <c r="AC212" s="20">
        <f>IF(AQ212="1",BI212,0)</f>
        <v>0</v>
      </c>
      <c r="AD212" s="20">
        <f>IF(AQ212="7",BH212,0)</f>
        <v>0</v>
      </c>
      <c r="AE212" s="20">
        <f>IF(AQ212="7",BI212,0)</f>
        <v>0</v>
      </c>
      <c r="AF212" s="20">
        <f>IF(AQ212="2",BH212,0)</f>
        <v>0</v>
      </c>
      <c r="AG212" s="20">
        <f>IF(AQ212="2",BI212,0)</f>
        <v>0</v>
      </c>
      <c r="AH212" s="20">
        <f>IF(AQ212="0",BJ212,0)</f>
        <v>0</v>
      </c>
      <c r="AI212" s="64" t="s">
        <v>414</v>
      </c>
      <c r="AJ212" s="20">
        <f>IF(AN212=0,L212,0)</f>
        <v>0</v>
      </c>
      <c r="AK212" s="20">
        <f>IF(AN212=15,L212,0)</f>
        <v>0</v>
      </c>
      <c r="AL212" s="20">
        <f>IF(AN212=21,L212,0)</f>
        <v>0</v>
      </c>
      <c r="AN212" s="20">
        <v>15</v>
      </c>
      <c r="AO212" s="20">
        <f>I212*1</f>
        <v>0</v>
      </c>
      <c r="AP212" s="20">
        <f>I212*(1-1)</f>
        <v>0</v>
      </c>
      <c r="AQ212" s="26" t="s">
        <v>598</v>
      </c>
      <c r="AV212" s="20">
        <f>AW212+AX212</f>
        <v>0</v>
      </c>
      <c r="AW212" s="20">
        <f>H212*AO212</f>
        <v>0</v>
      </c>
      <c r="AX212" s="20">
        <f>H212*AP212</f>
        <v>0</v>
      </c>
      <c r="AY212" s="26" t="s">
        <v>276</v>
      </c>
      <c r="AZ212" s="26" t="s">
        <v>143</v>
      </c>
      <c r="BA212" s="64" t="s">
        <v>452</v>
      </c>
      <c r="BC212" s="20">
        <f>AW212+AX212</f>
        <v>0</v>
      </c>
      <c r="BD212" s="20">
        <f>I212/(100-BE212)*100</f>
        <v>0</v>
      </c>
      <c r="BE212" s="20">
        <v>0</v>
      </c>
      <c r="BF212" s="20">
        <f>212</f>
        <v>212</v>
      </c>
      <c r="BH212" s="20">
        <f>H212*AO212</f>
        <v>0</v>
      </c>
      <c r="BI212" s="20">
        <f>H212*AP212</f>
        <v>0</v>
      </c>
      <c r="BJ212" s="20">
        <f>H212*I212</f>
        <v>0</v>
      </c>
      <c r="BK212" s="20"/>
      <c r="BL212" s="20">
        <v>781</v>
      </c>
    </row>
    <row r="213" spans="1:64" ht="15" customHeight="1">
      <c r="A213" s="4" t="s">
        <v>109</v>
      </c>
      <c r="B213" s="17" t="s">
        <v>658</v>
      </c>
      <c r="C213" s="113" t="s">
        <v>241</v>
      </c>
      <c r="D213" s="113"/>
      <c r="E213" s="113"/>
      <c r="F213" s="113"/>
      <c r="G213" s="17" t="s">
        <v>494</v>
      </c>
      <c r="H213" s="20">
        <v>19.25</v>
      </c>
      <c r="I213" s="20">
        <v>0</v>
      </c>
      <c r="J213" s="20">
        <f>H213*AO213</f>
        <v>0</v>
      </c>
      <c r="K213" s="20">
        <f>H213*AP213</f>
        <v>0</v>
      </c>
      <c r="L213" s="20">
        <f>H213*I213</f>
        <v>0</v>
      </c>
      <c r="M213" s="31" t="s">
        <v>496</v>
      </c>
      <c r="Z213" s="20">
        <f>IF(AQ213="5",BJ213,0)</f>
        <v>0</v>
      </c>
      <c r="AB213" s="20">
        <f>IF(AQ213="1",BH213,0)</f>
        <v>0</v>
      </c>
      <c r="AC213" s="20">
        <f>IF(AQ213="1",BI213,0)</f>
        <v>0</v>
      </c>
      <c r="AD213" s="20">
        <f>IF(AQ213="7",BH213,0)</f>
        <v>0</v>
      </c>
      <c r="AE213" s="20">
        <f>IF(AQ213="7",BI213,0)</f>
        <v>0</v>
      </c>
      <c r="AF213" s="20">
        <f>IF(AQ213="2",BH213,0)</f>
        <v>0</v>
      </c>
      <c r="AG213" s="20">
        <f>IF(AQ213="2",BI213,0)</f>
        <v>0</v>
      </c>
      <c r="AH213" s="20">
        <f>IF(AQ213="0",BJ213,0)</f>
        <v>0</v>
      </c>
      <c r="AI213" s="64" t="s">
        <v>414</v>
      </c>
      <c r="AJ213" s="20">
        <f>IF(AN213=0,L213,0)</f>
        <v>0</v>
      </c>
      <c r="AK213" s="20">
        <f>IF(AN213=15,L213,0)</f>
        <v>0</v>
      </c>
      <c r="AL213" s="20">
        <f>IF(AN213=21,L213,0)</f>
        <v>0</v>
      </c>
      <c r="AN213" s="20">
        <v>15</v>
      </c>
      <c r="AO213" s="20">
        <f>I213*1</f>
        <v>0</v>
      </c>
      <c r="AP213" s="20">
        <f>I213*(1-1)</f>
        <v>0</v>
      </c>
      <c r="AQ213" s="26" t="s">
        <v>598</v>
      </c>
      <c r="AV213" s="20">
        <f>AW213+AX213</f>
        <v>0</v>
      </c>
      <c r="AW213" s="20">
        <f>H213*AO213</f>
        <v>0</v>
      </c>
      <c r="AX213" s="20">
        <f>H213*AP213</f>
        <v>0</v>
      </c>
      <c r="AY213" s="26" t="s">
        <v>276</v>
      </c>
      <c r="AZ213" s="26" t="s">
        <v>143</v>
      </c>
      <c r="BA213" s="64" t="s">
        <v>452</v>
      </c>
      <c r="BC213" s="20">
        <f>AW213+AX213</f>
        <v>0</v>
      </c>
      <c r="BD213" s="20">
        <f>I213/(100-BE213)*100</f>
        <v>0</v>
      </c>
      <c r="BE213" s="20">
        <v>0</v>
      </c>
      <c r="BF213" s="20">
        <f>213</f>
        <v>213</v>
      </c>
      <c r="BH213" s="20">
        <f>H213*AO213</f>
        <v>0</v>
      </c>
      <c r="BI213" s="20">
        <f>H213*AP213</f>
        <v>0</v>
      </c>
      <c r="BJ213" s="20">
        <f>H213*I213</f>
        <v>0</v>
      </c>
      <c r="BK213" s="20"/>
      <c r="BL213" s="20">
        <v>781</v>
      </c>
    </row>
    <row r="214" spans="1:13" ht="15" customHeight="1">
      <c r="A214" s="19"/>
      <c r="C214" s="9" t="s">
        <v>278</v>
      </c>
      <c r="F214" s="9" t="s">
        <v>414</v>
      </c>
      <c r="H214" s="58">
        <v>19.25</v>
      </c>
      <c r="M214" s="36"/>
    </row>
    <row r="215" spans="1:64" ht="15" customHeight="1">
      <c r="A215" s="4" t="s">
        <v>140</v>
      </c>
      <c r="B215" s="17" t="s">
        <v>464</v>
      </c>
      <c r="C215" s="113" t="s">
        <v>260</v>
      </c>
      <c r="D215" s="113"/>
      <c r="E215" s="113"/>
      <c r="F215" s="113"/>
      <c r="G215" s="17" t="s">
        <v>587</v>
      </c>
      <c r="H215" s="20">
        <v>17.677</v>
      </c>
      <c r="I215" s="20">
        <v>0</v>
      </c>
      <c r="J215" s="20">
        <f>H215*AO215</f>
        <v>0</v>
      </c>
      <c r="K215" s="20">
        <f>H215*AP215</f>
        <v>0</v>
      </c>
      <c r="L215" s="20">
        <f>H215*I215</f>
        <v>0</v>
      </c>
      <c r="M215" s="31" t="s">
        <v>496</v>
      </c>
      <c r="Z215" s="20">
        <f>IF(AQ215="5",BJ215,0)</f>
        <v>0</v>
      </c>
      <c r="AB215" s="20">
        <f>IF(AQ215="1",BH215,0)</f>
        <v>0</v>
      </c>
      <c r="AC215" s="20">
        <f>IF(AQ215="1",BI215,0)</f>
        <v>0</v>
      </c>
      <c r="AD215" s="20">
        <f>IF(AQ215="7",BH215,0)</f>
        <v>0</v>
      </c>
      <c r="AE215" s="20">
        <f>IF(AQ215="7",BI215,0)</f>
        <v>0</v>
      </c>
      <c r="AF215" s="20">
        <f>IF(AQ215="2",BH215,0)</f>
        <v>0</v>
      </c>
      <c r="AG215" s="20">
        <f>IF(AQ215="2",BI215,0)</f>
        <v>0</v>
      </c>
      <c r="AH215" s="20">
        <f>IF(AQ215="0",BJ215,0)</f>
        <v>0</v>
      </c>
      <c r="AI215" s="64" t="s">
        <v>414</v>
      </c>
      <c r="AJ215" s="20">
        <f>IF(AN215=0,L215,0)</f>
        <v>0</v>
      </c>
      <c r="AK215" s="20">
        <f>IF(AN215=15,L215,0)</f>
        <v>0</v>
      </c>
      <c r="AL215" s="20">
        <f>IF(AN215=21,L215,0)</f>
        <v>0</v>
      </c>
      <c r="AN215" s="20">
        <v>15</v>
      </c>
      <c r="AO215" s="20">
        <f>I215*1</f>
        <v>0</v>
      </c>
      <c r="AP215" s="20">
        <f>I215*(1-1)</f>
        <v>0</v>
      </c>
      <c r="AQ215" s="26" t="s">
        <v>598</v>
      </c>
      <c r="AV215" s="20">
        <f>AW215+AX215</f>
        <v>0</v>
      </c>
      <c r="AW215" s="20">
        <f>H215*AO215</f>
        <v>0</v>
      </c>
      <c r="AX215" s="20">
        <f>H215*AP215</f>
        <v>0</v>
      </c>
      <c r="AY215" s="26" t="s">
        <v>276</v>
      </c>
      <c r="AZ215" s="26" t="s">
        <v>143</v>
      </c>
      <c r="BA215" s="64" t="s">
        <v>452</v>
      </c>
      <c r="BC215" s="20">
        <f>AW215+AX215</f>
        <v>0</v>
      </c>
      <c r="BD215" s="20">
        <f>I215/(100-BE215)*100</f>
        <v>0</v>
      </c>
      <c r="BE215" s="20">
        <v>0</v>
      </c>
      <c r="BF215" s="20">
        <f>215</f>
        <v>215</v>
      </c>
      <c r="BH215" s="20">
        <f>H215*AO215</f>
        <v>0</v>
      </c>
      <c r="BI215" s="20">
        <f>H215*AP215</f>
        <v>0</v>
      </c>
      <c r="BJ215" s="20">
        <f>H215*I215</f>
        <v>0</v>
      </c>
      <c r="BK215" s="20"/>
      <c r="BL215" s="20">
        <v>781</v>
      </c>
    </row>
    <row r="216" spans="1:13" ht="15" customHeight="1">
      <c r="A216" s="19"/>
      <c r="C216" s="9" t="s">
        <v>447</v>
      </c>
      <c r="F216" s="9" t="s">
        <v>414</v>
      </c>
      <c r="H216" s="58">
        <v>17.677000000000003</v>
      </c>
      <c r="M216" s="36"/>
    </row>
    <row r="217" spans="1:64" ht="15" customHeight="1">
      <c r="A217" s="4" t="s">
        <v>76</v>
      </c>
      <c r="B217" s="17" t="s">
        <v>38</v>
      </c>
      <c r="C217" s="113" t="s">
        <v>40</v>
      </c>
      <c r="D217" s="113"/>
      <c r="E217" s="113"/>
      <c r="F217" s="113"/>
      <c r="G217" s="17" t="s">
        <v>284</v>
      </c>
      <c r="H217" s="20">
        <v>0.2711</v>
      </c>
      <c r="I217" s="20">
        <v>0</v>
      </c>
      <c r="J217" s="20">
        <f>H217*AO217</f>
        <v>0</v>
      </c>
      <c r="K217" s="20">
        <f>H217*AP217</f>
        <v>0</v>
      </c>
      <c r="L217" s="20">
        <f>H217*I217</f>
        <v>0</v>
      </c>
      <c r="M217" s="31" t="s">
        <v>496</v>
      </c>
      <c r="Z217" s="20">
        <f>IF(AQ217="5",BJ217,0)</f>
        <v>0</v>
      </c>
      <c r="AB217" s="20">
        <f>IF(AQ217="1",BH217,0)</f>
        <v>0</v>
      </c>
      <c r="AC217" s="20">
        <f>IF(AQ217="1",BI217,0)</f>
        <v>0</v>
      </c>
      <c r="AD217" s="20">
        <f>IF(AQ217="7",BH217,0)</f>
        <v>0</v>
      </c>
      <c r="AE217" s="20">
        <f>IF(AQ217="7",BI217,0)</f>
        <v>0</v>
      </c>
      <c r="AF217" s="20">
        <f>IF(AQ217="2",BH217,0)</f>
        <v>0</v>
      </c>
      <c r="AG217" s="20">
        <f>IF(AQ217="2",BI217,0)</f>
        <v>0</v>
      </c>
      <c r="AH217" s="20">
        <f>IF(AQ217="0",BJ217,0)</f>
        <v>0</v>
      </c>
      <c r="AI217" s="64" t="s">
        <v>414</v>
      </c>
      <c r="AJ217" s="20">
        <f>IF(AN217=0,L217,0)</f>
        <v>0</v>
      </c>
      <c r="AK217" s="20">
        <f>IF(AN217=15,L217,0)</f>
        <v>0</v>
      </c>
      <c r="AL217" s="20">
        <f>IF(AN217=21,L217,0)</f>
        <v>0</v>
      </c>
      <c r="AN217" s="20">
        <v>15</v>
      </c>
      <c r="AO217" s="20">
        <f>I217*0</f>
        <v>0</v>
      </c>
      <c r="AP217" s="20">
        <f>I217*(1-0)</f>
        <v>0</v>
      </c>
      <c r="AQ217" s="26" t="s">
        <v>322</v>
      </c>
      <c r="AV217" s="20">
        <f>AW217+AX217</f>
        <v>0</v>
      </c>
      <c r="AW217" s="20">
        <f>H217*AO217</f>
        <v>0</v>
      </c>
      <c r="AX217" s="20">
        <f>H217*AP217</f>
        <v>0</v>
      </c>
      <c r="AY217" s="26" t="s">
        <v>276</v>
      </c>
      <c r="AZ217" s="26" t="s">
        <v>143</v>
      </c>
      <c r="BA217" s="64" t="s">
        <v>452</v>
      </c>
      <c r="BC217" s="20">
        <f>AW217+AX217</f>
        <v>0</v>
      </c>
      <c r="BD217" s="20">
        <f>I217/(100-BE217)*100</f>
        <v>0</v>
      </c>
      <c r="BE217" s="20">
        <v>0</v>
      </c>
      <c r="BF217" s="20">
        <f>217</f>
        <v>217</v>
      </c>
      <c r="BH217" s="20">
        <f>H217*AO217</f>
        <v>0</v>
      </c>
      <c r="BI217" s="20">
        <f>H217*AP217</f>
        <v>0</v>
      </c>
      <c r="BJ217" s="20">
        <f>H217*I217</f>
        <v>0</v>
      </c>
      <c r="BK217" s="20"/>
      <c r="BL217" s="20">
        <v>781</v>
      </c>
    </row>
    <row r="218" spans="1:47" ht="15" customHeight="1">
      <c r="A218" s="96" t="s">
        <v>414</v>
      </c>
      <c r="B218" s="28" t="s">
        <v>346</v>
      </c>
      <c r="C218" s="168" t="s">
        <v>472</v>
      </c>
      <c r="D218" s="166"/>
      <c r="E218" s="166"/>
      <c r="F218" s="168"/>
      <c r="G218" s="85" t="s">
        <v>546</v>
      </c>
      <c r="H218" s="85" t="s">
        <v>546</v>
      </c>
      <c r="I218" s="85" t="s">
        <v>546</v>
      </c>
      <c r="J218" s="56">
        <f>SUM(J219:J223)</f>
        <v>0</v>
      </c>
      <c r="K218" s="56">
        <f>SUM(K219:K223)</f>
        <v>0</v>
      </c>
      <c r="L218" s="56">
        <f>SUM(L219:L223)</f>
        <v>0</v>
      </c>
      <c r="M218" s="102" t="s">
        <v>414</v>
      </c>
      <c r="AI218" s="64" t="s">
        <v>414</v>
      </c>
      <c r="AS218" s="76">
        <f>SUM(AJ219:AJ223)</f>
        <v>0</v>
      </c>
      <c r="AT218" s="76">
        <f>SUM(AK219:AK223)</f>
        <v>0</v>
      </c>
      <c r="AU218" s="76">
        <f>SUM(AL219:AL223)</f>
        <v>0</v>
      </c>
    </row>
    <row r="219" spans="1:64" ht="15" customHeight="1">
      <c r="A219" s="86" t="s">
        <v>89</v>
      </c>
      <c r="B219" s="69" t="s">
        <v>156</v>
      </c>
      <c r="C219" s="165" t="s">
        <v>385</v>
      </c>
      <c r="D219" s="113"/>
      <c r="E219" s="113"/>
      <c r="F219" s="165"/>
      <c r="G219" s="69" t="s">
        <v>587</v>
      </c>
      <c r="H219" s="100">
        <v>5.91</v>
      </c>
      <c r="I219" s="100">
        <v>0</v>
      </c>
      <c r="J219" s="100">
        <f>H219*AO219</f>
        <v>0</v>
      </c>
      <c r="K219" s="100">
        <f>H219*AP219</f>
        <v>0</v>
      </c>
      <c r="L219" s="100">
        <f>H219*I219</f>
        <v>0</v>
      </c>
      <c r="M219" s="29" t="s">
        <v>496</v>
      </c>
      <c r="Z219" s="20">
        <f>IF(AQ219="5",BJ219,0)</f>
        <v>0</v>
      </c>
      <c r="AB219" s="20">
        <f>IF(AQ219="1",BH219,0)</f>
        <v>0</v>
      </c>
      <c r="AC219" s="20">
        <f>IF(AQ219="1",BI219,0)</f>
        <v>0</v>
      </c>
      <c r="AD219" s="20">
        <f>IF(AQ219="7",BH219,0)</f>
        <v>0</v>
      </c>
      <c r="AE219" s="20">
        <f>IF(AQ219="7",BI219,0)</f>
        <v>0</v>
      </c>
      <c r="AF219" s="20">
        <f>IF(AQ219="2",BH219,0)</f>
        <v>0</v>
      </c>
      <c r="AG219" s="20">
        <f>IF(AQ219="2",BI219,0)</f>
        <v>0</v>
      </c>
      <c r="AH219" s="20">
        <f>IF(AQ219="0",BJ219,0)</f>
        <v>0</v>
      </c>
      <c r="AI219" s="64" t="s">
        <v>414</v>
      </c>
      <c r="AJ219" s="20">
        <f>IF(AN219=0,L219,0)</f>
        <v>0</v>
      </c>
      <c r="AK219" s="20">
        <f>IF(AN219=15,L219,0)</f>
        <v>0</v>
      </c>
      <c r="AL219" s="20">
        <f>IF(AN219=21,L219,0)</f>
        <v>0</v>
      </c>
      <c r="AN219" s="20">
        <v>15</v>
      </c>
      <c r="AO219" s="20">
        <f>I219*0.187707509881423</f>
        <v>0</v>
      </c>
      <c r="AP219" s="20">
        <f>I219*(1-0.187707509881423)</f>
        <v>0</v>
      </c>
      <c r="AQ219" s="26" t="s">
        <v>598</v>
      </c>
      <c r="AV219" s="20">
        <f>AW219+AX219</f>
        <v>0</v>
      </c>
      <c r="AW219" s="20">
        <f>H219*AO219</f>
        <v>0</v>
      </c>
      <c r="AX219" s="20">
        <f>H219*AP219</f>
        <v>0</v>
      </c>
      <c r="AY219" s="26" t="s">
        <v>144</v>
      </c>
      <c r="AZ219" s="26" t="s">
        <v>143</v>
      </c>
      <c r="BA219" s="64" t="s">
        <v>452</v>
      </c>
      <c r="BC219" s="20">
        <f>AW219+AX219</f>
        <v>0</v>
      </c>
      <c r="BD219" s="20">
        <f>I219/(100-BE219)*100</f>
        <v>0</v>
      </c>
      <c r="BE219" s="20">
        <v>0</v>
      </c>
      <c r="BF219" s="20">
        <f>219</f>
        <v>219</v>
      </c>
      <c r="BH219" s="20">
        <f>H219*AO219</f>
        <v>0</v>
      </c>
      <c r="BI219" s="20">
        <f>H219*AP219</f>
        <v>0</v>
      </c>
      <c r="BJ219" s="20">
        <f>H219*I219</f>
        <v>0</v>
      </c>
      <c r="BK219" s="20"/>
      <c r="BL219" s="20">
        <v>783</v>
      </c>
    </row>
    <row r="220" spans="1:13" ht="15" customHeight="1">
      <c r="A220" s="32"/>
      <c r="B220" s="54"/>
      <c r="C220" s="95" t="s">
        <v>49</v>
      </c>
      <c r="F220" s="105" t="s">
        <v>414</v>
      </c>
      <c r="G220" s="54"/>
      <c r="H220" s="40">
        <v>5.91</v>
      </c>
      <c r="I220" s="54"/>
      <c r="J220" s="54"/>
      <c r="K220" s="54"/>
      <c r="L220" s="54"/>
      <c r="M220" s="23"/>
    </row>
    <row r="221" spans="1:64" ht="15" customHeight="1">
      <c r="A221" s="86" t="s">
        <v>553</v>
      </c>
      <c r="B221" s="69" t="s">
        <v>185</v>
      </c>
      <c r="C221" s="165" t="s">
        <v>639</v>
      </c>
      <c r="D221" s="113"/>
      <c r="E221" s="113"/>
      <c r="F221" s="165"/>
      <c r="G221" s="69" t="s">
        <v>587</v>
      </c>
      <c r="H221" s="100">
        <v>5.91</v>
      </c>
      <c r="I221" s="100">
        <v>0</v>
      </c>
      <c r="J221" s="100">
        <f>H221*AO221</f>
        <v>0</v>
      </c>
      <c r="K221" s="100">
        <f>H221*AP221</f>
        <v>0</v>
      </c>
      <c r="L221" s="100">
        <f>H221*I221</f>
        <v>0</v>
      </c>
      <c r="M221" s="29" t="s">
        <v>496</v>
      </c>
      <c r="Z221" s="20">
        <f>IF(AQ221="5",BJ221,0)</f>
        <v>0</v>
      </c>
      <c r="AB221" s="20">
        <f>IF(AQ221="1",BH221,0)</f>
        <v>0</v>
      </c>
      <c r="AC221" s="20">
        <f>IF(AQ221="1",BI221,0)</f>
        <v>0</v>
      </c>
      <c r="AD221" s="20">
        <f>IF(AQ221="7",BH221,0)</f>
        <v>0</v>
      </c>
      <c r="AE221" s="20">
        <f>IF(AQ221="7",BI221,0)</f>
        <v>0</v>
      </c>
      <c r="AF221" s="20">
        <f>IF(AQ221="2",BH221,0)</f>
        <v>0</v>
      </c>
      <c r="AG221" s="20">
        <f>IF(AQ221="2",BI221,0)</f>
        <v>0</v>
      </c>
      <c r="AH221" s="20">
        <f>IF(AQ221="0",BJ221,0)</f>
        <v>0</v>
      </c>
      <c r="AI221" s="64" t="s">
        <v>414</v>
      </c>
      <c r="AJ221" s="20">
        <f>IF(AN221=0,L221,0)</f>
        <v>0</v>
      </c>
      <c r="AK221" s="20">
        <f>IF(AN221=15,L221,0)</f>
        <v>0</v>
      </c>
      <c r="AL221" s="20">
        <f>IF(AN221=21,L221,0)</f>
        <v>0</v>
      </c>
      <c r="AN221" s="20">
        <v>15</v>
      </c>
      <c r="AO221" s="20">
        <f>I221*0.0280780616160509</f>
        <v>0</v>
      </c>
      <c r="AP221" s="20">
        <f>I221*(1-0.0280780616160509)</f>
        <v>0</v>
      </c>
      <c r="AQ221" s="26" t="s">
        <v>598</v>
      </c>
      <c r="AV221" s="20">
        <f>AW221+AX221</f>
        <v>0</v>
      </c>
      <c r="AW221" s="20">
        <f>H221*AO221</f>
        <v>0</v>
      </c>
      <c r="AX221" s="20">
        <f>H221*AP221</f>
        <v>0</v>
      </c>
      <c r="AY221" s="26" t="s">
        <v>144</v>
      </c>
      <c r="AZ221" s="26" t="s">
        <v>143</v>
      </c>
      <c r="BA221" s="64" t="s">
        <v>452</v>
      </c>
      <c r="BC221" s="20">
        <f>AW221+AX221</f>
        <v>0</v>
      </c>
      <c r="BD221" s="20">
        <f>I221/(100-BE221)*100</f>
        <v>0</v>
      </c>
      <c r="BE221" s="20">
        <v>0</v>
      </c>
      <c r="BF221" s="20">
        <f>221</f>
        <v>221</v>
      </c>
      <c r="BH221" s="20">
        <f>H221*AO221</f>
        <v>0</v>
      </c>
      <c r="BI221" s="20">
        <f>H221*AP221</f>
        <v>0</v>
      </c>
      <c r="BJ221" s="20">
        <f>H221*I221</f>
        <v>0</v>
      </c>
      <c r="BK221" s="20"/>
      <c r="BL221" s="20">
        <v>783</v>
      </c>
    </row>
    <row r="222" spans="1:64" ht="15" customHeight="1">
      <c r="A222" s="86" t="s">
        <v>431</v>
      </c>
      <c r="B222" s="69" t="s">
        <v>327</v>
      </c>
      <c r="C222" s="165" t="s">
        <v>264</v>
      </c>
      <c r="D222" s="113"/>
      <c r="E222" s="113"/>
      <c r="F222" s="165"/>
      <c r="G222" s="69" t="s">
        <v>587</v>
      </c>
      <c r="H222" s="100">
        <v>4</v>
      </c>
      <c r="I222" s="100">
        <v>0</v>
      </c>
      <c r="J222" s="100">
        <f>H222*AO222</f>
        <v>0</v>
      </c>
      <c r="K222" s="100">
        <f>H222*AP222</f>
        <v>0</v>
      </c>
      <c r="L222" s="100">
        <f>H222*I222</f>
        <v>0</v>
      </c>
      <c r="M222" s="29" t="s">
        <v>496</v>
      </c>
      <c r="Z222" s="20">
        <f>IF(AQ222="5",BJ222,0)</f>
        <v>0</v>
      </c>
      <c r="AB222" s="20">
        <f>IF(AQ222="1",BH222,0)</f>
        <v>0</v>
      </c>
      <c r="AC222" s="20">
        <f>IF(AQ222="1",BI222,0)</f>
        <v>0</v>
      </c>
      <c r="AD222" s="20">
        <f>IF(AQ222="7",BH222,0)</f>
        <v>0</v>
      </c>
      <c r="AE222" s="20">
        <f>IF(AQ222="7",BI222,0)</f>
        <v>0</v>
      </c>
      <c r="AF222" s="20">
        <f>IF(AQ222="2",BH222,0)</f>
        <v>0</v>
      </c>
      <c r="AG222" s="20">
        <f>IF(AQ222="2",BI222,0)</f>
        <v>0</v>
      </c>
      <c r="AH222" s="20">
        <f>IF(AQ222="0",BJ222,0)</f>
        <v>0</v>
      </c>
      <c r="AI222" s="64" t="s">
        <v>414</v>
      </c>
      <c r="AJ222" s="20">
        <f>IF(AN222=0,L222,0)</f>
        <v>0</v>
      </c>
      <c r="AK222" s="20">
        <f>IF(AN222=15,L222,0)</f>
        <v>0</v>
      </c>
      <c r="AL222" s="20">
        <f>IF(AN222=21,L222,0)</f>
        <v>0</v>
      </c>
      <c r="AN222" s="20">
        <v>15</v>
      </c>
      <c r="AO222" s="20">
        <f>I222*0.395852842809365</f>
        <v>0</v>
      </c>
      <c r="AP222" s="20">
        <f>I222*(1-0.395852842809365)</f>
        <v>0</v>
      </c>
      <c r="AQ222" s="26" t="s">
        <v>598</v>
      </c>
      <c r="AV222" s="20">
        <f>AW222+AX222</f>
        <v>0</v>
      </c>
      <c r="AW222" s="20">
        <f>H222*AO222</f>
        <v>0</v>
      </c>
      <c r="AX222" s="20">
        <f>H222*AP222</f>
        <v>0</v>
      </c>
      <c r="AY222" s="26" t="s">
        <v>144</v>
      </c>
      <c r="AZ222" s="26" t="s">
        <v>143</v>
      </c>
      <c r="BA222" s="64" t="s">
        <v>452</v>
      </c>
      <c r="BC222" s="20">
        <f>AW222+AX222</f>
        <v>0</v>
      </c>
      <c r="BD222" s="20">
        <f>I222/(100-BE222)*100</f>
        <v>0</v>
      </c>
      <c r="BE222" s="20">
        <v>0</v>
      </c>
      <c r="BF222" s="20">
        <f>222</f>
        <v>222</v>
      </c>
      <c r="BH222" s="20">
        <f>H222*AO222</f>
        <v>0</v>
      </c>
      <c r="BI222" s="20">
        <f>H222*AP222</f>
        <v>0</v>
      </c>
      <c r="BJ222" s="20">
        <f>H222*I222</f>
        <v>0</v>
      </c>
      <c r="BK222" s="20"/>
      <c r="BL222" s="20">
        <v>783</v>
      </c>
    </row>
    <row r="223" spans="1:64" ht="15" customHeight="1">
      <c r="A223" s="86" t="s">
        <v>298</v>
      </c>
      <c r="B223" s="69" t="s">
        <v>185</v>
      </c>
      <c r="C223" s="165" t="s">
        <v>386</v>
      </c>
      <c r="D223" s="113"/>
      <c r="E223" s="113"/>
      <c r="F223" s="165"/>
      <c r="G223" s="69" t="s">
        <v>587</v>
      </c>
      <c r="H223" s="100">
        <v>4</v>
      </c>
      <c r="I223" s="100">
        <v>0</v>
      </c>
      <c r="J223" s="100">
        <f>H223*AO223</f>
        <v>0</v>
      </c>
      <c r="K223" s="100">
        <f>H223*AP223</f>
        <v>0</v>
      </c>
      <c r="L223" s="100">
        <f>H223*I223</f>
        <v>0</v>
      </c>
      <c r="M223" s="29" t="s">
        <v>496</v>
      </c>
      <c r="Z223" s="20">
        <f>IF(AQ223="5",BJ223,0)</f>
        <v>0</v>
      </c>
      <c r="AB223" s="20">
        <f>IF(AQ223="1",BH223,0)</f>
        <v>0</v>
      </c>
      <c r="AC223" s="20">
        <f>IF(AQ223="1",BI223,0)</f>
        <v>0</v>
      </c>
      <c r="AD223" s="20">
        <f>IF(AQ223="7",BH223,0)</f>
        <v>0</v>
      </c>
      <c r="AE223" s="20">
        <f>IF(AQ223="7",BI223,0)</f>
        <v>0</v>
      </c>
      <c r="AF223" s="20">
        <f>IF(AQ223="2",BH223,0)</f>
        <v>0</v>
      </c>
      <c r="AG223" s="20">
        <f>IF(AQ223="2",BI223,0)</f>
        <v>0</v>
      </c>
      <c r="AH223" s="20">
        <f>IF(AQ223="0",BJ223,0)</f>
        <v>0</v>
      </c>
      <c r="AI223" s="64" t="s">
        <v>414</v>
      </c>
      <c r="AJ223" s="20">
        <f>IF(AN223=0,L223,0)</f>
        <v>0</v>
      </c>
      <c r="AK223" s="20">
        <f>IF(AN223=15,L223,0)</f>
        <v>0</v>
      </c>
      <c r="AL223" s="20">
        <f>IF(AN223=21,L223,0)</f>
        <v>0</v>
      </c>
      <c r="AN223" s="20">
        <v>15</v>
      </c>
      <c r="AO223" s="20">
        <f>I223*0.0280777537796976</f>
        <v>0</v>
      </c>
      <c r="AP223" s="20">
        <f>I223*(1-0.0280777537796976)</f>
        <v>0</v>
      </c>
      <c r="AQ223" s="26" t="s">
        <v>598</v>
      </c>
      <c r="AV223" s="20">
        <f>AW223+AX223</f>
        <v>0</v>
      </c>
      <c r="AW223" s="20">
        <f>H223*AO223</f>
        <v>0</v>
      </c>
      <c r="AX223" s="20">
        <f>H223*AP223</f>
        <v>0</v>
      </c>
      <c r="AY223" s="26" t="s">
        <v>144</v>
      </c>
      <c r="AZ223" s="26" t="s">
        <v>143</v>
      </c>
      <c r="BA223" s="64" t="s">
        <v>452</v>
      </c>
      <c r="BC223" s="20">
        <f>AW223+AX223</f>
        <v>0</v>
      </c>
      <c r="BD223" s="20">
        <f>I223/(100-BE223)*100</f>
        <v>0</v>
      </c>
      <c r="BE223" s="20">
        <v>0</v>
      </c>
      <c r="BF223" s="20">
        <f>223</f>
        <v>223</v>
      </c>
      <c r="BH223" s="20">
        <f>H223*AO223</f>
        <v>0</v>
      </c>
      <c r="BI223" s="20">
        <f>H223*AP223</f>
        <v>0</v>
      </c>
      <c r="BJ223" s="20">
        <f>H223*I223</f>
        <v>0</v>
      </c>
      <c r="BK223" s="20"/>
      <c r="BL223" s="20">
        <v>783</v>
      </c>
    </row>
    <row r="224" spans="1:47" ht="15" customHeight="1">
      <c r="A224" s="70" t="s">
        <v>414</v>
      </c>
      <c r="B224" s="90" t="s">
        <v>339</v>
      </c>
      <c r="C224" s="168" t="s">
        <v>17</v>
      </c>
      <c r="D224" s="166"/>
      <c r="E224" s="166"/>
      <c r="F224" s="168"/>
      <c r="G224" s="66" t="s">
        <v>546</v>
      </c>
      <c r="H224" s="66" t="s">
        <v>546</v>
      </c>
      <c r="I224" s="66" t="s">
        <v>546</v>
      </c>
      <c r="J224" s="89">
        <f>SUM(J225:J227)</f>
        <v>0</v>
      </c>
      <c r="K224" s="89">
        <f>SUM(K225:K227)</f>
        <v>0</v>
      </c>
      <c r="L224" s="89">
        <f>SUM(L225:L227)</f>
        <v>0</v>
      </c>
      <c r="M224" s="98" t="s">
        <v>414</v>
      </c>
      <c r="AI224" s="64" t="s">
        <v>414</v>
      </c>
      <c r="AS224" s="76">
        <f>SUM(AJ225:AJ227)</f>
        <v>0</v>
      </c>
      <c r="AT224" s="76">
        <f>SUM(AK225:AK227)</f>
        <v>0</v>
      </c>
      <c r="AU224" s="76">
        <f>SUM(AL225:AL227)</f>
        <v>0</v>
      </c>
    </row>
    <row r="225" spans="1:64" ht="15" customHeight="1">
      <c r="A225" s="86" t="s">
        <v>430</v>
      </c>
      <c r="B225" s="69" t="s">
        <v>597</v>
      </c>
      <c r="C225" s="165" t="s">
        <v>379</v>
      </c>
      <c r="D225" s="113"/>
      <c r="E225" s="113"/>
      <c r="F225" s="165"/>
      <c r="G225" s="69" t="s">
        <v>587</v>
      </c>
      <c r="H225" s="100">
        <v>115.232</v>
      </c>
      <c r="I225" s="100">
        <v>0</v>
      </c>
      <c r="J225" s="100">
        <f>H225*AO225</f>
        <v>0</v>
      </c>
      <c r="K225" s="100">
        <f>H225*AP225</f>
        <v>0</v>
      </c>
      <c r="L225" s="100">
        <f>H225*I225</f>
        <v>0</v>
      </c>
      <c r="M225" s="29" t="s">
        <v>496</v>
      </c>
      <c r="Z225" s="20">
        <f>IF(AQ225="5",BJ225,0)</f>
        <v>0</v>
      </c>
      <c r="AB225" s="20">
        <f>IF(AQ225="1",BH225,0)</f>
        <v>0</v>
      </c>
      <c r="AC225" s="20">
        <f>IF(AQ225="1",BI225,0)</f>
        <v>0</v>
      </c>
      <c r="AD225" s="20">
        <f>IF(AQ225="7",BH225,0)</f>
        <v>0</v>
      </c>
      <c r="AE225" s="20">
        <f>IF(AQ225="7",BI225,0)</f>
        <v>0</v>
      </c>
      <c r="AF225" s="20">
        <f>IF(AQ225="2",BH225,0)</f>
        <v>0</v>
      </c>
      <c r="AG225" s="20">
        <f>IF(AQ225="2",BI225,0)</f>
        <v>0</v>
      </c>
      <c r="AH225" s="20">
        <f>IF(AQ225="0",BJ225,0)</f>
        <v>0</v>
      </c>
      <c r="AI225" s="64" t="s">
        <v>414</v>
      </c>
      <c r="AJ225" s="20">
        <f>IF(AN225=0,L225,0)</f>
        <v>0</v>
      </c>
      <c r="AK225" s="20">
        <f>IF(AN225=15,L225,0)</f>
        <v>0</v>
      </c>
      <c r="AL225" s="20">
        <f>IF(AN225=21,L225,0)</f>
        <v>0</v>
      </c>
      <c r="AN225" s="20">
        <v>15</v>
      </c>
      <c r="AO225" s="20">
        <f>I225*0.00276451446866794</f>
        <v>0</v>
      </c>
      <c r="AP225" s="20">
        <f>I225*(1-0.00276451446866794)</f>
        <v>0</v>
      </c>
      <c r="AQ225" s="26" t="s">
        <v>598</v>
      </c>
      <c r="AV225" s="20">
        <f>AW225+AX225</f>
        <v>0</v>
      </c>
      <c r="AW225" s="20">
        <f>H225*AO225</f>
        <v>0</v>
      </c>
      <c r="AX225" s="20">
        <f>H225*AP225</f>
        <v>0</v>
      </c>
      <c r="AY225" s="26" t="s">
        <v>525</v>
      </c>
      <c r="AZ225" s="26" t="s">
        <v>143</v>
      </c>
      <c r="BA225" s="64" t="s">
        <v>452</v>
      </c>
      <c r="BC225" s="20">
        <f>AW225+AX225</f>
        <v>0</v>
      </c>
      <c r="BD225" s="20">
        <f>I225/(100-BE225)*100</f>
        <v>0</v>
      </c>
      <c r="BE225" s="20">
        <v>0</v>
      </c>
      <c r="BF225" s="20">
        <f>225</f>
        <v>225</v>
      </c>
      <c r="BH225" s="20">
        <f>H225*AO225</f>
        <v>0</v>
      </c>
      <c r="BI225" s="20">
        <f>H225*AP225</f>
        <v>0</v>
      </c>
      <c r="BJ225" s="20">
        <f>H225*I225</f>
        <v>0</v>
      </c>
      <c r="BK225" s="20"/>
      <c r="BL225" s="20">
        <v>784</v>
      </c>
    </row>
    <row r="226" spans="1:64" ht="15" customHeight="1">
      <c r="A226" s="86" t="s">
        <v>205</v>
      </c>
      <c r="B226" s="69" t="s">
        <v>374</v>
      </c>
      <c r="C226" s="165" t="s">
        <v>372</v>
      </c>
      <c r="D226" s="113"/>
      <c r="E226" s="113"/>
      <c r="F226" s="165"/>
      <c r="G226" s="69" t="s">
        <v>587</v>
      </c>
      <c r="H226" s="100">
        <v>115.232</v>
      </c>
      <c r="I226" s="100">
        <v>0</v>
      </c>
      <c r="J226" s="100">
        <f>H226*AO226</f>
        <v>0</v>
      </c>
      <c r="K226" s="100">
        <f>H226*AP226</f>
        <v>0</v>
      </c>
      <c r="L226" s="100">
        <f>H226*I226</f>
        <v>0</v>
      </c>
      <c r="M226" s="29" t="s">
        <v>496</v>
      </c>
      <c r="Z226" s="20">
        <f>IF(AQ226="5",BJ226,0)</f>
        <v>0</v>
      </c>
      <c r="AB226" s="20">
        <f>IF(AQ226="1",BH226,0)</f>
        <v>0</v>
      </c>
      <c r="AC226" s="20">
        <f>IF(AQ226="1",BI226,0)</f>
        <v>0</v>
      </c>
      <c r="AD226" s="20">
        <f>IF(AQ226="7",BH226,0)</f>
        <v>0</v>
      </c>
      <c r="AE226" s="20">
        <f>IF(AQ226="7",BI226,0)</f>
        <v>0</v>
      </c>
      <c r="AF226" s="20">
        <f>IF(AQ226="2",BH226,0)</f>
        <v>0</v>
      </c>
      <c r="AG226" s="20">
        <f>IF(AQ226="2",BI226,0)</f>
        <v>0</v>
      </c>
      <c r="AH226" s="20">
        <f>IF(AQ226="0",BJ226,0)</f>
        <v>0</v>
      </c>
      <c r="AI226" s="64" t="s">
        <v>414</v>
      </c>
      <c r="AJ226" s="20">
        <f>IF(AN226=0,L226,0)</f>
        <v>0</v>
      </c>
      <c r="AK226" s="20">
        <f>IF(AN226=15,L226,0)</f>
        <v>0</v>
      </c>
      <c r="AL226" s="20">
        <f>IF(AN226=21,L226,0)</f>
        <v>0</v>
      </c>
      <c r="AN226" s="20">
        <v>15</v>
      </c>
      <c r="AO226" s="20">
        <f>I226*0.0926702075940625</f>
        <v>0</v>
      </c>
      <c r="AP226" s="20">
        <f>I226*(1-0.0926702075940625)</f>
        <v>0</v>
      </c>
      <c r="AQ226" s="26" t="s">
        <v>598</v>
      </c>
      <c r="AV226" s="20">
        <f>AW226+AX226</f>
        <v>0</v>
      </c>
      <c r="AW226" s="20">
        <f>H226*AO226</f>
        <v>0</v>
      </c>
      <c r="AX226" s="20">
        <f>H226*AP226</f>
        <v>0</v>
      </c>
      <c r="AY226" s="26" t="s">
        <v>525</v>
      </c>
      <c r="AZ226" s="26" t="s">
        <v>143</v>
      </c>
      <c r="BA226" s="64" t="s">
        <v>452</v>
      </c>
      <c r="BC226" s="20">
        <f>AW226+AX226</f>
        <v>0</v>
      </c>
      <c r="BD226" s="20">
        <f>I226/(100-BE226)*100</f>
        <v>0</v>
      </c>
      <c r="BE226" s="20">
        <v>0</v>
      </c>
      <c r="BF226" s="20">
        <f>226</f>
        <v>226</v>
      </c>
      <c r="BH226" s="20">
        <f>H226*AO226</f>
        <v>0</v>
      </c>
      <c r="BI226" s="20">
        <f>H226*AP226</f>
        <v>0</v>
      </c>
      <c r="BJ226" s="20">
        <f>H226*I226</f>
        <v>0</v>
      </c>
      <c r="BK226" s="20"/>
      <c r="BL226" s="20">
        <v>784</v>
      </c>
    </row>
    <row r="227" spans="1:64" ht="15" customHeight="1">
      <c r="A227" s="86" t="s">
        <v>277</v>
      </c>
      <c r="B227" s="69" t="s">
        <v>209</v>
      </c>
      <c r="C227" s="165" t="s">
        <v>643</v>
      </c>
      <c r="D227" s="113"/>
      <c r="E227" s="113"/>
      <c r="F227" s="165"/>
      <c r="G227" s="69" t="s">
        <v>587</v>
      </c>
      <c r="H227" s="100">
        <v>115.232</v>
      </c>
      <c r="I227" s="100">
        <v>0</v>
      </c>
      <c r="J227" s="100">
        <f>H227*AO227</f>
        <v>0</v>
      </c>
      <c r="K227" s="100">
        <f>H227*AP227</f>
        <v>0</v>
      </c>
      <c r="L227" s="100">
        <f>H227*I227</f>
        <v>0</v>
      </c>
      <c r="M227" s="29" t="s">
        <v>496</v>
      </c>
      <c r="Z227" s="20">
        <f>IF(AQ227="5",BJ227,0)</f>
        <v>0</v>
      </c>
      <c r="AB227" s="20">
        <f>IF(AQ227="1",BH227,0)</f>
        <v>0</v>
      </c>
      <c r="AC227" s="20">
        <f>IF(AQ227="1",BI227,0)</f>
        <v>0</v>
      </c>
      <c r="AD227" s="20">
        <f>IF(AQ227="7",BH227,0)</f>
        <v>0</v>
      </c>
      <c r="AE227" s="20">
        <f>IF(AQ227="7",BI227,0)</f>
        <v>0</v>
      </c>
      <c r="AF227" s="20">
        <f>IF(AQ227="2",BH227,0)</f>
        <v>0</v>
      </c>
      <c r="AG227" s="20">
        <f>IF(AQ227="2",BI227,0)</f>
        <v>0</v>
      </c>
      <c r="AH227" s="20">
        <f>IF(AQ227="0",BJ227,0)</f>
        <v>0</v>
      </c>
      <c r="AI227" s="64" t="s">
        <v>414</v>
      </c>
      <c r="AJ227" s="20">
        <f>IF(AN227=0,L227,0)</f>
        <v>0</v>
      </c>
      <c r="AK227" s="20">
        <f>IF(AN227=15,L227,0)</f>
        <v>0</v>
      </c>
      <c r="AL227" s="20">
        <f>IF(AN227=21,L227,0)</f>
        <v>0</v>
      </c>
      <c r="AN227" s="20">
        <v>15</v>
      </c>
      <c r="AO227" s="20">
        <f>I227*0.0839397391123004</f>
        <v>0</v>
      </c>
      <c r="AP227" s="20">
        <f>I227*(1-0.0839397391123004)</f>
        <v>0</v>
      </c>
      <c r="AQ227" s="26" t="s">
        <v>598</v>
      </c>
      <c r="AV227" s="20">
        <f>AW227+AX227</f>
        <v>0</v>
      </c>
      <c r="AW227" s="20">
        <f>H227*AO227</f>
        <v>0</v>
      </c>
      <c r="AX227" s="20">
        <f>H227*AP227</f>
        <v>0</v>
      </c>
      <c r="AY227" s="26" t="s">
        <v>525</v>
      </c>
      <c r="AZ227" s="26" t="s">
        <v>143</v>
      </c>
      <c r="BA227" s="64" t="s">
        <v>452</v>
      </c>
      <c r="BC227" s="20">
        <f>AW227+AX227</f>
        <v>0</v>
      </c>
      <c r="BD227" s="20">
        <f>I227/(100-BE227)*100</f>
        <v>0</v>
      </c>
      <c r="BE227" s="20">
        <v>0</v>
      </c>
      <c r="BF227" s="20">
        <f>227</f>
        <v>227</v>
      </c>
      <c r="BH227" s="20">
        <f>H227*AO227</f>
        <v>0</v>
      </c>
      <c r="BI227" s="20">
        <f>H227*AP227</f>
        <v>0</v>
      </c>
      <c r="BJ227" s="20">
        <f>H227*I227</f>
        <v>0</v>
      </c>
      <c r="BK227" s="20"/>
      <c r="BL227" s="20">
        <v>784</v>
      </c>
    </row>
    <row r="228" spans="1:13" ht="15" customHeight="1">
      <c r="A228" s="32"/>
      <c r="B228" s="54"/>
      <c r="C228" s="95" t="s">
        <v>120</v>
      </c>
      <c r="F228" s="105" t="s">
        <v>414</v>
      </c>
      <c r="G228" s="54"/>
      <c r="H228" s="40">
        <v>0</v>
      </c>
      <c r="I228" s="54"/>
      <c r="J228" s="54"/>
      <c r="K228" s="54"/>
      <c r="L228" s="54"/>
      <c r="M228" s="23"/>
    </row>
    <row r="229" spans="1:13" ht="15" customHeight="1">
      <c r="A229" s="32"/>
      <c r="B229" s="54"/>
      <c r="C229" s="95" t="s">
        <v>326</v>
      </c>
      <c r="F229" s="105" t="s">
        <v>414</v>
      </c>
      <c r="G229" s="54"/>
      <c r="H229" s="40">
        <v>29.028000000000002</v>
      </c>
      <c r="I229" s="54"/>
      <c r="J229" s="54"/>
      <c r="K229" s="54"/>
      <c r="L229" s="54"/>
      <c r="M229" s="23"/>
    </row>
    <row r="230" spans="1:13" ht="15" customHeight="1">
      <c r="A230" s="32"/>
      <c r="B230" s="54"/>
      <c r="C230" s="95" t="s">
        <v>306</v>
      </c>
      <c r="F230" s="105" t="s">
        <v>414</v>
      </c>
      <c r="G230" s="54"/>
      <c r="H230" s="40">
        <v>0</v>
      </c>
      <c r="I230" s="54"/>
      <c r="J230" s="54"/>
      <c r="K230" s="54"/>
      <c r="L230" s="54"/>
      <c r="M230" s="23"/>
    </row>
    <row r="231" spans="1:13" ht="15" customHeight="1">
      <c r="A231" s="32"/>
      <c r="B231" s="54"/>
      <c r="C231" s="95" t="s">
        <v>164</v>
      </c>
      <c r="F231" s="105" t="s">
        <v>414</v>
      </c>
      <c r="G231" s="54"/>
      <c r="H231" s="40">
        <v>86.20400000000001</v>
      </c>
      <c r="I231" s="54"/>
      <c r="J231" s="54"/>
      <c r="K231" s="54"/>
      <c r="L231" s="54"/>
      <c r="M231" s="23"/>
    </row>
    <row r="232" spans="1:47" ht="15" customHeight="1">
      <c r="A232" s="5" t="s">
        <v>414</v>
      </c>
      <c r="B232" s="24" t="s">
        <v>635</v>
      </c>
      <c r="C232" s="166" t="s">
        <v>203</v>
      </c>
      <c r="D232" s="166"/>
      <c r="E232" s="166"/>
      <c r="F232" s="166"/>
      <c r="G232" s="30" t="s">
        <v>546</v>
      </c>
      <c r="H232" s="30" t="s">
        <v>546</v>
      </c>
      <c r="I232" s="30" t="s">
        <v>546</v>
      </c>
      <c r="J232" s="63">
        <f>SUM(J233:J233)</f>
        <v>0</v>
      </c>
      <c r="K232" s="63">
        <f>SUM(K233:K233)</f>
        <v>0</v>
      </c>
      <c r="L232" s="63">
        <f>SUM(L233:L233)</f>
        <v>0</v>
      </c>
      <c r="M232" s="87" t="s">
        <v>414</v>
      </c>
      <c r="AI232" s="64" t="s">
        <v>414</v>
      </c>
      <c r="AS232" s="76">
        <f>SUM(AJ233:AJ233)</f>
        <v>0</v>
      </c>
      <c r="AT232" s="76">
        <f>SUM(AK233:AK233)</f>
        <v>0</v>
      </c>
      <c r="AU232" s="76">
        <f>SUM(AL233:AL233)</f>
        <v>0</v>
      </c>
    </row>
    <row r="233" spans="1:64" ht="15" customHeight="1">
      <c r="A233" s="4" t="s">
        <v>182</v>
      </c>
      <c r="B233" s="17" t="s">
        <v>350</v>
      </c>
      <c r="C233" s="113" t="s">
        <v>675</v>
      </c>
      <c r="D233" s="113"/>
      <c r="E233" s="113"/>
      <c r="F233" s="113"/>
      <c r="G233" s="17" t="s">
        <v>271</v>
      </c>
      <c r="H233" s="20">
        <v>2.5</v>
      </c>
      <c r="I233" s="20">
        <v>0</v>
      </c>
      <c r="J233" s="20">
        <f>H233*AO233</f>
        <v>0</v>
      </c>
      <c r="K233" s="20">
        <f>H233*AP233</f>
        <v>0</v>
      </c>
      <c r="L233" s="20">
        <f>H233*I233</f>
        <v>0</v>
      </c>
      <c r="M233" s="31" t="s">
        <v>496</v>
      </c>
      <c r="Z233" s="20">
        <f>IF(AQ233="5",BJ233,0)</f>
        <v>0</v>
      </c>
      <c r="AB233" s="20">
        <f>IF(AQ233="1",BH233,0)</f>
        <v>0</v>
      </c>
      <c r="AC233" s="20">
        <f>IF(AQ233="1",BI233,0)</f>
        <v>0</v>
      </c>
      <c r="AD233" s="20">
        <f>IF(AQ233="7",BH233,0)</f>
        <v>0</v>
      </c>
      <c r="AE233" s="20">
        <f>IF(AQ233="7",BI233,0)</f>
        <v>0</v>
      </c>
      <c r="AF233" s="20">
        <f>IF(AQ233="2",BH233,0)</f>
        <v>0</v>
      </c>
      <c r="AG233" s="20">
        <f>IF(AQ233="2",BI233,0)</f>
        <v>0</v>
      </c>
      <c r="AH233" s="20">
        <f>IF(AQ233="0",BJ233,0)</f>
        <v>0</v>
      </c>
      <c r="AI233" s="64" t="s">
        <v>414</v>
      </c>
      <c r="AJ233" s="20">
        <f>IF(AN233=0,L233,0)</f>
        <v>0</v>
      </c>
      <c r="AK233" s="20">
        <f>IF(AN233=15,L233,0)</f>
        <v>0</v>
      </c>
      <c r="AL233" s="20">
        <f>IF(AN233=21,L233,0)</f>
        <v>0</v>
      </c>
      <c r="AN233" s="20">
        <v>15</v>
      </c>
      <c r="AO233" s="20">
        <f>I233*0</f>
        <v>0</v>
      </c>
      <c r="AP233" s="20">
        <f>I233*(1-0)</f>
        <v>0</v>
      </c>
      <c r="AQ233" s="26" t="s">
        <v>595</v>
      </c>
      <c r="AV233" s="20">
        <f>AW233+AX233</f>
        <v>0</v>
      </c>
      <c r="AW233" s="20">
        <f>H233*AO233</f>
        <v>0</v>
      </c>
      <c r="AX233" s="20">
        <f>H233*AP233</f>
        <v>0</v>
      </c>
      <c r="AY233" s="26" t="s">
        <v>177</v>
      </c>
      <c r="AZ233" s="26" t="s">
        <v>9</v>
      </c>
      <c r="BA233" s="64" t="s">
        <v>452</v>
      </c>
      <c r="BC233" s="20">
        <f>AW233+AX233</f>
        <v>0</v>
      </c>
      <c r="BD233" s="20">
        <f>I233/(100-BE233)*100</f>
        <v>0</v>
      </c>
      <c r="BE233" s="20">
        <v>0</v>
      </c>
      <c r="BF233" s="20">
        <f>233</f>
        <v>233</v>
      </c>
      <c r="BH233" s="20">
        <f>H233*AO233</f>
        <v>0</v>
      </c>
      <c r="BI233" s="20">
        <f>H233*AP233</f>
        <v>0</v>
      </c>
      <c r="BJ233" s="20">
        <f>H233*I233</f>
        <v>0</v>
      </c>
      <c r="BK233" s="20"/>
      <c r="BL233" s="20">
        <v>90</v>
      </c>
    </row>
    <row r="234" spans="1:47" ht="15" customHeight="1">
      <c r="A234" s="96" t="s">
        <v>414</v>
      </c>
      <c r="B234" s="28" t="s">
        <v>77</v>
      </c>
      <c r="C234" s="168" t="s">
        <v>420</v>
      </c>
      <c r="D234" s="166"/>
      <c r="E234" s="166"/>
      <c r="F234" s="168"/>
      <c r="G234" s="85" t="s">
        <v>546</v>
      </c>
      <c r="H234" s="85" t="s">
        <v>546</v>
      </c>
      <c r="I234" s="85" t="s">
        <v>546</v>
      </c>
      <c r="J234" s="56">
        <f>SUM(J235:J235)</f>
        <v>0</v>
      </c>
      <c r="K234" s="56">
        <f>SUM(K235:K235)</f>
        <v>0</v>
      </c>
      <c r="L234" s="56">
        <f>SUM(L235:L235)</f>
        <v>0</v>
      </c>
      <c r="M234" s="102" t="s">
        <v>414</v>
      </c>
      <c r="AI234" s="64" t="s">
        <v>414</v>
      </c>
      <c r="AS234" s="76">
        <f>SUM(AJ235:AJ235)</f>
        <v>0</v>
      </c>
      <c r="AT234" s="76">
        <f>SUM(AK235:AK235)</f>
        <v>0</v>
      </c>
      <c r="AU234" s="76">
        <f>SUM(AL235:AL235)</f>
        <v>0</v>
      </c>
    </row>
    <row r="235" spans="1:64" ht="15" customHeight="1">
      <c r="A235" s="86" t="s">
        <v>166</v>
      </c>
      <c r="B235" s="69" t="s">
        <v>620</v>
      </c>
      <c r="C235" s="165" t="s">
        <v>476</v>
      </c>
      <c r="D235" s="113"/>
      <c r="E235" s="113"/>
      <c r="F235" s="165"/>
      <c r="G235" s="69" t="s">
        <v>587</v>
      </c>
      <c r="H235" s="100">
        <v>29.028</v>
      </c>
      <c r="I235" s="100">
        <v>0</v>
      </c>
      <c r="J235" s="100">
        <f>H235*AO235</f>
        <v>0</v>
      </c>
      <c r="K235" s="100">
        <f>H235*AP235</f>
        <v>0</v>
      </c>
      <c r="L235" s="100">
        <f>H235*I235</f>
        <v>0</v>
      </c>
      <c r="M235" s="29" t="s">
        <v>496</v>
      </c>
      <c r="Z235" s="20">
        <f>IF(AQ235="5",BJ235,0)</f>
        <v>0</v>
      </c>
      <c r="AB235" s="20">
        <f>IF(AQ235="1",BH235,0)</f>
        <v>0</v>
      </c>
      <c r="AC235" s="20">
        <f>IF(AQ235="1",BI235,0)</f>
        <v>0</v>
      </c>
      <c r="AD235" s="20">
        <f>IF(AQ235="7",BH235,0)</f>
        <v>0</v>
      </c>
      <c r="AE235" s="20">
        <f>IF(AQ235="7",BI235,0)</f>
        <v>0</v>
      </c>
      <c r="AF235" s="20">
        <f>IF(AQ235="2",BH235,0)</f>
        <v>0</v>
      </c>
      <c r="AG235" s="20">
        <f>IF(AQ235="2",BI235,0)</f>
        <v>0</v>
      </c>
      <c r="AH235" s="20">
        <f>IF(AQ235="0",BJ235,0)</f>
        <v>0</v>
      </c>
      <c r="AI235" s="64" t="s">
        <v>414</v>
      </c>
      <c r="AJ235" s="20">
        <f>IF(AN235=0,L235,0)</f>
        <v>0</v>
      </c>
      <c r="AK235" s="20">
        <f>IF(AN235=15,L235,0)</f>
        <v>0</v>
      </c>
      <c r="AL235" s="20">
        <f>IF(AN235=21,L235,0)</f>
        <v>0</v>
      </c>
      <c r="AN235" s="20">
        <v>15</v>
      </c>
      <c r="AO235" s="20">
        <f>I235*0.422332531185344</f>
        <v>0</v>
      </c>
      <c r="AP235" s="20">
        <f>I235*(1-0.422332531185344)</f>
        <v>0</v>
      </c>
      <c r="AQ235" s="26" t="s">
        <v>595</v>
      </c>
      <c r="AV235" s="20">
        <f>AW235+AX235</f>
        <v>0</v>
      </c>
      <c r="AW235" s="20">
        <f>H235*AO235</f>
        <v>0</v>
      </c>
      <c r="AX235" s="20">
        <f>H235*AP235</f>
        <v>0</v>
      </c>
      <c r="AY235" s="26" t="s">
        <v>662</v>
      </c>
      <c r="AZ235" s="26" t="s">
        <v>9</v>
      </c>
      <c r="BA235" s="64" t="s">
        <v>452</v>
      </c>
      <c r="BC235" s="20">
        <f>AW235+AX235</f>
        <v>0</v>
      </c>
      <c r="BD235" s="20">
        <f>I235/(100-BE235)*100</f>
        <v>0</v>
      </c>
      <c r="BE235" s="20">
        <v>0</v>
      </c>
      <c r="BF235" s="20">
        <f>235</f>
        <v>235</v>
      </c>
      <c r="BH235" s="20">
        <f>H235*AO235</f>
        <v>0</v>
      </c>
      <c r="BI235" s="20">
        <f>H235*AP235</f>
        <v>0</v>
      </c>
      <c r="BJ235" s="20">
        <f>H235*I235</f>
        <v>0</v>
      </c>
      <c r="BK235" s="20"/>
      <c r="BL235" s="20">
        <v>94</v>
      </c>
    </row>
    <row r="236" spans="1:47" ht="15" customHeight="1">
      <c r="A236" s="70" t="s">
        <v>414</v>
      </c>
      <c r="B236" s="90" t="s">
        <v>238</v>
      </c>
      <c r="C236" s="168" t="s">
        <v>97</v>
      </c>
      <c r="D236" s="166"/>
      <c r="E236" s="166"/>
      <c r="F236" s="168"/>
      <c r="G236" s="66" t="s">
        <v>546</v>
      </c>
      <c r="H236" s="66" t="s">
        <v>546</v>
      </c>
      <c r="I236" s="66" t="s">
        <v>546</v>
      </c>
      <c r="J236" s="89">
        <f>SUM(J237:J237)</f>
        <v>0</v>
      </c>
      <c r="K236" s="89">
        <f>SUM(K237:K237)</f>
        <v>0</v>
      </c>
      <c r="L236" s="89">
        <f>SUM(L237:L237)</f>
        <v>0</v>
      </c>
      <c r="M236" s="98" t="s">
        <v>414</v>
      </c>
      <c r="AI236" s="64" t="s">
        <v>414</v>
      </c>
      <c r="AS236" s="76">
        <f>SUM(AJ237:AJ237)</f>
        <v>0</v>
      </c>
      <c r="AT236" s="76">
        <f>SUM(AK237:AK237)</f>
        <v>0</v>
      </c>
      <c r="AU236" s="76">
        <f>SUM(AL237:AL237)</f>
        <v>0</v>
      </c>
    </row>
    <row r="237" spans="1:64" ht="15" customHeight="1">
      <c r="A237" s="86" t="s">
        <v>608</v>
      </c>
      <c r="B237" s="69" t="s">
        <v>524</v>
      </c>
      <c r="C237" s="165" t="s">
        <v>200</v>
      </c>
      <c r="D237" s="113"/>
      <c r="E237" s="113"/>
      <c r="F237" s="165"/>
      <c r="G237" s="69" t="s">
        <v>587</v>
      </c>
      <c r="H237" s="100">
        <v>29.028</v>
      </c>
      <c r="I237" s="100">
        <v>0</v>
      </c>
      <c r="J237" s="100">
        <f>H237*AO237</f>
        <v>0</v>
      </c>
      <c r="K237" s="100">
        <f>H237*AP237</f>
        <v>0</v>
      </c>
      <c r="L237" s="100">
        <f>H237*I237</f>
        <v>0</v>
      </c>
      <c r="M237" s="29" t="s">
        <v>496</v>
      </c>
      <c r="Z237" s="20">
        <f>IF(AQ237="5",BJ237,0)</f>
        <v>0</v>
      </c>
      <c r="AB237" s="20">
        <f>IF(AQ237="1",BH237,0)</f>
        <v>0</v>
      </c>
      <c r="AC237" s="20">
        <f>IF(AQ237="1",BI237,0)</f>
        <v>0</v>
      </c>
      <c r="AD237" s="20">
        <f>IF(AQ237="7",BH237,0)</f>
        <v>0</v>
      </c>
      <c r="AE237" s="20">
        <f>IF(AQ237="7",BI237,0)</f>
        <v>0</v>
      </c>
      <c r="AF237" s="20">
        <f>IF(AQ237="2",BH237,0)</f>
        <v>0</v>
      </c>
      <c r="AG237" s="20">
        <f>IF(AQ237="2",BI237,0)</f>
        <v>0</v>
      </c>
      <c r="AH237" s="20">
        <f>IF(AQ237="0",BJ237,0)</f>
        <v>0</v>
      </c>
      <c r="AI237" s="64" t="s">
        <v>414</v>
      </c>
      <c r="AJ237" s="20">
        <f>IF(AN237=0,L237,0)</f>
        <v>0</v>
      </c>
      <c r="AK237" s="20">
        <f>IF(AN237=15,L237,0)</f>
        <v>0</v>
      </c>
      <c r="AL237" s="20">
        <f>IF(AN237=21,L237,0)</f>
        <v>0</v>
      </c>
      <c r="AN237" s="20">
        <v>15</v>
      </c>
      <c r="AO237" s="20">
        <f>I237*0.0121373981965303</f>
        <v>0</v>
      </c>
      <c r="AP237" s="20">
        <f>I237*(1-0.0121373981965303)</f>
        <v>0</v>
      </c>
      <c r="AQ237" s="26" t="s">
        <v>595</v>
      </c>
      <c r="AV237" s="20">
        <f>AW237+AX237</f>
        <v>0</v>
      </c>
      <c r="AW237" s="20">
        <f>H237*AO237</f>
        <v>0</v>
      </c>
      <c r="AX237" s="20">
        <f>H237*AP237</f>
        <v>0</v>
      </c>
      <c r="AY237" s="26" t="s">
        <v>362</v>
      </c>
      <c r="AZ237" s="26" t="s">
        <v>9</v>
      </c>
      <c r="BA237" s="64" t="s">
        <v>452</v>
      </c>
      <c r="BC237" s="20">
        <f>AW237+AX237</f>
        <v>0</v>
      </c>
      <c r="BD237" s="20">
        <f>I237/(100-BE237)*100</f>
        <v>0</v>
      </c>
      <c r="BE237" s="20">
        <v>0</v>
      </c>
      <c r="BF237" s="20">
        <f>237</f>
        <v>237</v>
      </c>
      <c r="BH237" s="20">
        <f>H237*AO237</f>
        <v>0</v>
      </c>
      <c r="BI237" s="20">
        <f>H237*AP237</f>
        <v>0</v>
      </c>
      <c r="BJ237" s="20">
        <f>H237*I237</f>
        <v>0</v>
      </c>
      <c r="BK237" s="20"/>
      <c r="BL237" s="20">
        <v>95</v>
      </c>
    </row>
    <row r="238" spans="1:47" ht="15" customHeight="1">
      <c r="A238" s="70" t="s">
        <v>414</v>
      </c>
      <c r="B238" s="90" t="s">
        <v>340</v>
      </c>
      <c r="C238" s="168" t="s">
        <v>439</v>
      </c>
      <c r="D238" s="166"/>
      <c r="E238" s="166"/>
      <c r="F238" s="168"/>
      <c r="G238" s="66" t="s">
        <v>546</v>
      </c>
      <c r="H238" s="66" t="s">
        <v>546</v>
      </c>
      <c r="I238" s="66" t="s">
        <v>546</v>
      </c>
      <c r="J238" s="89">
        <f>SUM(J239:J250)</f>
        <v>0</v>
      </c>
      <c r="K238" s="89">
        <f>SUM(K239:K250)</f>
        <v>0</v>
      </c>
      <c r="L238" s="89">
        <f>SUM(L239:L250)</f>
        <v>0</v>
      </c>
      <c r="M238" s="98" t="s">
        <v>414</v>
      </c>
      <c r="AI238" s="64" t="s">
        <v>414</v>
      </c>
      <c r="AS238" s="76">
        <f>SUM(AJ239:AJ250)</f>
        <v>0</v>
      </c>
      <c r="AT238" s="76">
        <f>SUM(AK239:AK250)</f>
        <v>0</v>
      </c>
      <c r="AU238" s="76">
        <f>SUM(AL239:AL250)</f>
        <v>0</v>
      </c>
    </row>
    <row r="239" spans="1:64" ht="15" customHeight="1">
      <c r="A239" s="86" t="s">
        <v>227</v>
      </c>
      <c r="B239" s="69" t="s">
        <v>445</v>
      </c>
      <c r="C239" s="165" t="s">
        <v>570</v>
      </c>
      <c r="D239" s="113"/>
      <c r="E239" s="113"/>
      <c r="F239" s="165"/>
      <c r="G239" s="69" t="s">
        <v>154</v>
      </c>
      <c r="H239" s="100">
        <v>4</v>
      </c>
      <c r="I239" s="100">
        <v>0</v>
      </c>
      <c r="J239" s="100">
        <f>H239*AO239</f>
        <v>0</v>
      </c>
      <c r="K239" s="100">
        <f>H239*AP239</f>
        <v>0</v>
      </c>
      <c r="L239" s="100">
        <f>H239*I239</f>
        <v>0</v>
      </c>
      <c r="M239" s="29" t="s">
        <v>496</v>
      </c>
      <c r="Z239" s="20">
        <f>IF(AQ239="5",BJ239,0)</f>
        <v>0</v>
      </c>
      <c r="AB239" s="20">
        <f>IF(AQ239="1",BH239,0)</f>
        <v>0</v>
      </c>
      <c r="AC239" s="20">
        <f>IF(AQ239="1",BI239,0)</f>
        <v>0</v>
      </c>
      <c r="AD239" s="20">
        <f>IF(AQ239="7",BH239,0)</f>
        <v>0</v>
      </c>
      <c r="AE239" s="20">
        <f>IF(AQ239="7",BI239,0)</f>
        <v>0</v>
      </c>
      <c r="AF239" s="20">
        <f>IF(AQ239="2",BH239,0)</f>
        <v>0</v>
      </c>
      <c r="AG239" s="20">
        <f>IF(AQ239="2",BI239,0)</f>
        <v>0</v>
      </c>
      <c r="AH239" s="20">
        <f>IF(AQ239="0",BJ239,0)</f>
        <v>0</v>
      </c>
      <c r="AI239" s="64" t="s">
        <v>414</v>
      </c>
      <c r="AJ239" s="20">
        <f>IF(AN239=0,L239,0)</f>
        <v>0</v>
      </c>
      <c r="AK239" s="20">
        <f>IF(AN239=15,L239,0)</f>
        <v>0</v>
      </c>
      <c r="AL239" s="20">
        <f>IF(AN239=21,L239,0)</f>
        <v>0</v>
      </c>
      <c r="AN239" s="20">
        <v>15</v>
      </c>
      <c r="AO239" s="20">
        <f>I239*0</f>
        <v>0</v>
      </c>
      <c r="AP239" s="20">
        <f>I239*(1-0)</f>
        <v>0</v>
      </c>
      <c r="AQ239" s="26" t="s">
        <v>595</v>
      </c>
      <c r="AV239" s="20">
        <f>AW239+AX239</f>
        <v>0</v>
      </c>
      <c r="AW239" s="20">
        <f>H239*AO239</f>
        <v>0</v>
      </c>
      <c r="AX239" s="20">
        <f>H239*AP239</f>
        <v>0</v>
      </c>
      <c r="AY239" s="26" t="s">
        <v>523</v>
      </c>
      <c r="AZ239" s="26" t="s">
        <v>9</v>
      </c>
      <c r="BA239" s="64" t="s">
        <v>452</v>
      </c>
      <c r="BC239" s="20">
        <f>AW239+AX239</f>
        <v>0</v>
      </c>
      <c r="BD239" s="20">
        <f>I239/(100-BE239)*100</f>
        <v>0</v>
      </c>
      <c r="BE239" s="20">
        <v>0</v>
      </c>
      <c r="BF239" s="20">
        <f>239</f>
        <v>239</v>
      </c>
      <c r="BH239" s="20">
        <f>H239*AO239</f>
        <v>0</v>
      </c>
      <c r="BI239" s="20">
        <f>H239*AP239</f>
        <v>0</v>
      </c>
      <c r="BJ239" s="20">
        <f>H239*I239</f>
        <v>0</v>
      </c>
      <c r="BK239" s="20"/>
      <c r="BL239" s="20">
        <v>96</v>
      </c>
    </row>
    <row r="240" spans="1:64" ht="15" customHeight="1">
      <c r="A240" s="4" t="s">
        <v>172</v>
      </c>
      <c r="B240" s="17" t="s">
        <v>131</v>
      </c>
      <c r="C240" s="113" t="s">
        <v>268</v>
      </c>
      <c r="D240" s="113"/>
      <c r="E240" s="113"/>
      <c r="F240" s="113"/>
      <c r="G240" s="17" t="s">
        <v>587</v>
      </c>
      <c r="H240" s="20">
        <v>2.59875</v>
      </c>
      <c r="I240" s="20">
        <v>0</v>
      </c>
      <c r="J240" s="20">
        <f>H240*AO240</f>
        <v>0</v>
      </c>
      <c r="K240" s="20">
        <f>H240*AP240</f>
        <v>0</v>
      </c>
      <c r="L240" s="20">
        <f>H240*I240</f>
        <v>0</v>
      </c>
      <c r="M240" s="31" t="s">
        <v>496</v>
      </c>
      <c r="Z240" s="20">
        <f>IF(AQ240="5",BJ240,0)</f>
        <v>0</v>
      </c>
      <c r="AB240" s="20">
        <f>IF(AQ240="1",BH240,0)</f>
        <v>0</v>
      </c>
      <c r="AC240" s="20">
        <f>IF(AQ240="1",BI240,0)</f>
        <v>0</v>
      </c>
      <c r="AD240" s="20">
        <f>IF(AQ240="7",BH240,0)</f>
        <v>0</v>
      </c>
      <c r="AE240" s="20">
        <f>IF(AQ240="7",BI240,0)</f>
        <v>0</v>
      </c>
      <c r="AF240" s="20">
        <f>IF(AQ240="2",BH240,0)</f>
        <v>0</v>
      </c>
      <c r="AG240" s="20">
        <f>IF(AQ240="2",BI240,0)</f>
        <v>0</v>
      </c>
      <c r="AH240" s="20">
        <f>IF(AQ240="0",BJ240,0)</f>
        <v>0</v>
      </c>
      <c r="AI240" s="64" t="s">
        <v>414</v>
      </c>
      <c r="AJ240" s="20">
        <f>IF(AN240=0,L240,0)</f>
        <v>0</v>
      </c>
      <c r="AK240" s="20">
        <f>IF(AN240=15,L240,0)</f>
        <v>0</v>
      </c>
      <c r="AL240" s="20">
        <f>IF(AN240=21,L240,0)</f>
        <v>0</v>
      </c>
      <c r="AN240" s="20">
        <v>15</v>
      </c>
      <c r="AO240" s="20">
        <f>I240*0</f>
        <v>0</v>
      </c>
      <c r="AP240" s="20">
        <f>I240*(1-0)</f>
        <v>0</v>
      </c>
      <c r="AQ240" s="26" t="s">
        <v>595</v>
      </c>
      <c r="AV240" s="20">
        <f>AW240+AX240</f>
        <v>0</v>
      </c>
      <c r="AW240" s="20">
        <f>H240*AO240</f>
        <v>0</v>
      </c>
      <c r="AX240" s="20">
        <f>H240*AP240</f>
        <v>0</v>
      </c>
      <c r="AY240" s="26" t="s">
        <v>523</v>
      </c>
      <c r="AZ240" s="26" t="s">
        <v>9</v>
      </c>
      <c r="BA240" s="64" t="s">
        <v>452</v>
      </c>
      <c r="BC240" s="20">
        <f>AW240+AX240</f>
        <v>0</v>
      </c>
      <c r="BD240" s="20">
        <f>I240/(100-BE240)*100</f>
        <v>0</v>
      </c>
      <c r="BE240" s="20">
        <v>0</v>
      </c>
      <c r="BF240" s="20">
        <f>240</f>
        <v>240</v>
      </c>
      <c r="BH240" s="20">
        <f>H240*AO240</f>
        <v>0</v>
      </c>
      <c r="BI240" s="20">
        <f>H240*AP240</f>
        <v>0</v>
      </c>
      <c r="BJ240" s="20">
        <f>H240*I240</f>
        <v>0</v>
      </c>
      <c r="BK240" s="20"/>
      <c r="BL240" s="20">
        <v>96</v>
      </c>
    </row>
    <row r="241" spans="1:13" ht="15" customHeight="1">
      <c r="A241" s="19"/>
      <c r="C241" s="9" t="s">
        <v>22</v>
      </c>
      <c r="F241" s="9" t="s">
        <v>414</v>
      </c>
      <c r="H241" s="58">
        <v>0</v>
      </c>
      <c r="M241" s="36"/>
    </row>
    <row r="242" spans="1:13" ht="15" customHeight="1">
      <c r="A242" s="19"/>
      <c r="C242" s="9" t="s">
        <v>198</v>
      </c>
      <c r="F242" s="9" t="s">
        <v>414</v>
      </c>
      <c r="H242" s="58">
        <v>2.5987500000000003</v>
      </c>
      <c r="M242" s="36"/>
    </row>
    <row r="243" spans="1:64" ht="15" customHeight="1">
      <c r="A243" s="4" t="s">
        <v>446</v>
      </c>
      <c r="B243" s="17" t="s">
        <v>33</v>
      </c>
      <c r="C243" s="113" t="s">
        <v>654</v>
      </c>
      <c r="D243" s="113"/>
      <c r="E243" s="113"/>
      <c r="F243" s="113"/>
      <c r="G243" s="17" t="s">
        <v>573</v>
      </c>
      <c r="H243" s="20">
        <v>0.13</v>
      </c>
      <c r="I243" s="20">
        <v>0</v>
      </c>
      <c r="J243" s="20">
        <f>H243*AO243</f>
        <v>0</v>
      </c>
      <c r="K243" s="20">
        <f>H243*AP243</f>
        <v>0</v>
      </c>
      <c r="L243" s="20">
        <f>H243*I243</f>
        <v>0</v>
      </c>
      <c r="M243" s="31" t="s">
        <v>496</v>
      </c>
      <c r="Z243" s="20">
        <f>IF(AQ243="5",BJ243,0)</f>
        <v>0</v>
      </c>
      <c r="AB243" s="20">
        <f>IF(AQ243="1",BH243,0)</f>
        <v>0</v>
      </c>
      <c r="AC243" s="20">
        <f>IF(AQ243="1",BI243,0)</f>
        <v>0</v>
      </c>
      <c r="AD243" s="20">
        <f>IF(AQ243="7",BH243,0)</f>
        <v>0</v>
      </c>
      <c r="AE243" s="20">
        <f>IF(AQ243="7",BI243,0)</f>
        <v>0</v>
      </c>
      <c r="AF243" s="20">
        <f>IF(AQ243="2",BH243,0)</f>
        <v>0</v>
      </c>
      <c r="AG243" s="20">
        <f>IF(AQ243="2",BI243,0)</f>
        <v>0</v>
      </c>
      <c r="AH243" s="20">
        <f>IF(AQ243="0",BJ243,0)</f>
        <v>0</v>
      </c>
      <c r="AI243" s="64" t="s">
        <v>414</v>
      </c>
      <c r="AJ243" s="20">
        <f>IF(AN243=0,L243,0)</f>
        <v>0</v>
      </c>
      <c r="AK243" s="20">
        <f>IF(AN243=15,L243,0)</f>
        <v>0</v>
      </c>
      <c r="AL243" s="20">
        <f>IF(AN243=21,L243,0)</f>
        <v>0</v>
      </c>
      <c r="AN243" s="20">
        <v>15</v>
      </c>
      <c r="AO243" s="20">
        <f>I243*0</f>
        <v>0</v>
      </c>
      <c r="AP243" s="20">
        <f>I243*(1-0)</f>
        <v>0</v>
      </c>
      <c r="AQ243" s="26" t="s">
        <v>595</v>
      </c>
      <c r="AV243" s="20">
        <f>AW243+AX243</f>
        <v>0</v>
      </c>
      <c r="AW243" s="20">
        <f>H243*AO243</f>
        <v>0</v>
      </c>
      <c r="AX243" s="20">
        <f>H243*AP243</f>
        <v>0</v>
      </c>
      <c r="AY243" s="26" t="s">
        <v>523</v>
      </c>
      <c r="AZ243" s="26" t="s">
        <v>9</v>
      </c>
      <c r="BA243" s="64" t="s">
        <v>452</v>
      </c>
      <c r="BC243" s="20">
        <f>AW243+AX243</f>
        <v>0</v>
      </c>
      <c r="BD243" s="20">
        <f>I243/(100-BE243)*100</f>
        <v>0</v>
      </c>
      <c r="BE243" s="20">
        <v>0</v>
      </c>
      <c r="BF243" s="20">
        <f>243</f>
        <v>243</v>
      </c>
      <c r="BH243" s="20">
        <f>H243*AO243</f>
        <v>0</v>
      </c>
      <c r="BI243" s="20">
        <f>H243*AP243</f>
        <v>0</v>
      </c>
      <c r="BJ243" s="20">
        <f>H243*I243</f>
        <v>0</v>
      </c>
      <c r="BK243" s="20"/>
      <c r="BL243" s="20">
        <v>96</v>
      </c>
    </row>
    <row r="244" spans="1:13" ht="15" customHeight="1">
      <c r="A244" s="19"/>
      <c r="C244" s="9" t="s">
        <v>22</v>
      </c>
      <c r="F244" s="9" t="s">
        <v>414</v>
      </c>
      <c r="H244" s="58">
        <v>0</v>
      </c>
      <c r="M244" s="36"/>
    </row>
    <row r="245" spans="1:13" ht="15" customHeight="1">
      <c r="A245" s="19"/>
      <c r="C245" s="9" t="s">
        <v>93</v>
      </c>
      <c r="F245" s="9" t="s">
        <v>414</v>
      </c>
      <c r="H245" s="58">
        <v>0.13</v>
      </c>
      <c r="M245" s="36"/>
    </row>
    <row r="246" spans="1:64" ht="15" customHeight="1">
      <c r="A246" s="4" t="s">
        <v>85</v>
      </c>
      <c r="B246" s="17" t="s">
        <v>39</v>
      </c>
      <c r="C246" s="113" t="s">
        <v>146</v>
      </c>
      <c r="D246" s="113"/>
      <c r="E246" s="113"/>
      <c r="F246" s="113"/>
      <c r="G246" s="17" t="s">
        <v>587</v>
      </c>
      <c r="H246" s="20">
        <v>23.9965</v>
      </c>
      <c r="I246" s="20">
        <v>0</v>
      </c>
      <c r="J246" s="20">
        <f>H246*AO246</f>
        <v>0</v>
      </c>
      <c r="K246" s="20">
        <f>H246*AP246</f>
        <v>0</v>
      </c>
      <c r="L246" s="20">
        <f>H246*I246</f>
        <v>0</v>
      </c>
      <c r="M246" s="31" t="s">
        <v>496</v>
      </c>
      <c r="Z246" s="20">
        <f>IF(AQ246="5",BJ246,0)</f>
        <v>0</v>
      </c>
      <c r="AB246" s="20">
        <f>IF(AQ246="1",BH246,0)</f>
        <v>0</v>
      </c>
      <c r="AC246" s="20">
        <f>IF(AQ246="1",BI246,0)</f>
        <v>0</v>
      </c>
      <c r="AD246" s="20">
        <f>IF(AQ246="7",BH246,0)</f>
        <v>0</v>
      </c>
      <c r="AE246" s="20">
        <f>IF(AQ246="7",BI246,0)</f>
        <v>0</v>
      </c>
      <c r="AF246" s="20">
        <f>IF(AQ246="2",BH246,0)</f>
        <v>0</v>
      </c>
      <c r="AG246" s="20">
        <f>IF(AQ246="2",BI246,0)</f>
        <v>0</v>
      </c>
      <c r="AH246" s="20">
        <f>IF(AQ246="0",BJ246,0)</f>
        <v>0</v>
      </c>
      <c r="AI246" s="64" t="s">
        <v>414</v>
      </c>
      <c r="AJ246" s="20">
        <f>IF(AN246=0,L246,0)</f>
        <v>0</v>
      </c>
      <c r="AK246" s="20">
        <f>IF(AN246=15,L246,0)</f>
        <v>0</v>
      </c>
      <c r="AL246" s="20">
        <f>IF(AN246=21,L246,0)</f>
        <v>0</v>
      </c>
      <c r="AN246" s="20">
        <v>15</v>
      </c>
      <c r="AO246" s="20">
        <f>I246*0</f>
        <v>0</v>
      </c>
      <c r="AP246" s="20">
        <f>I246*(1-0)</f>
        <v>0</v>
      </c>
      <c r="AQ246" s="26" t="s">
        <v>595</v>
      </c>
      <c r="AV246" s="20">
        <f>AW246+AX246</f>
        <v>0</v>
      </c>
      <c r="AW246" s="20">
        <f>H246*AO246</f>
        <v>0</v>
      </c>
      <c r="AX246" s="20">
        <f>H246*AP246</f>
        <v>0</v>
      </c>
      <c r="AY246" s="26" t="s">
        <v>523</v>
      </c>
      <c r="AZ246" s="26" t="s">
        <v>9</v>
      </c>
      <c r="BA246" s="64" t="s">
        <v>452</v>
      </c>
      <c r="BC246" s="20">
        <f>AW246+AX246</f>
        <v>0</v>
      </c>
      <c r="BD246" s="20">
        <f>I246/(100-BE246)*100</f>
        <v>0</v>
      </c>
      <c r="BE246" s="20">
        <v>0</v>
      </c>
      <c r="BF246" s="20">
        <f>246</f>
        <v>246</v>
      </c>
      <c r="BH246" s="20">
        <f>H246*AO246</f>
        <v>0</v>
      </c>
      <c r="BI246" s="20">
        <f>H246*AP246</f>
        <v>0</v>
      </c>
      <c r="BJ246" s="20">
        <f>H246*I246</f>
        <v>0</v>
      </c>
      <c r="BK246" s="20"/>
      <c r="BL246" s="20">
        <v>96</v>
      </c>
    </row>
    <row r="247" spans="1:13" ht="15" customHeight="1">
      <c r="A247" s="19"/>
      <c r="C247" s="9" t="s">
        <v>4</v>
      </c>
      <c r="F247" s="9" t="s">
        <v>414</v>
      </c>
      <c r="H247" s="58">
        <v>0</v>
      </c>
      <c r="M247" s="36"/>
    </row>
    <row r="248" spans="1:13" ht="15" customHeight="1">
      <c r="A248" s="19"/>
      <c r="C248" s="9" t="s">
        <v>99</v>
      </c>
      <c r="F248" s="9" t="s">
        <v>414</v>
      </c>
      <c r="H248" s="58">
        <v>23.9965</v>
      </c>
      <c r="M248" s="36"/>
    </row>
    <row r="249" spans="1:64" ht="15" customHeight="1">
      <c r="A249" s="4" t="s">
        <v>548</v>
      </c>
      <c r="B249" s="17" t="s">
        <v>167</v>
      </c>
      <c r="C249" s="113" t="s">
        <v>223</v>
      </c>
      <c r="D249" s="113"/>
      <c r="E249" s="113"/>
      <c r="F249" s="113"/>
      <c r="G249" s="17" t="s">
        <v>494</v>
      </c>
      <c r="H249" s="20">
        <v>3</v>
      </c>
      <c r="I249" s="20">
        <v>0</v>
      </c>
      <c r="J249" s="20">
        <f>H249*AO249</f>
        <v>0</v>
      </c>
      <c r="K249" s="20">
        <f>H249*AP249</f>
        <v>0</v>
      </c>
      <c r="L249" s="20">
        <f>H249*I249</f>
        <v>0</v>
      </c>
      <c r="M249" s="31" t="s">
        <v>496</v>
      </c>
      <c r="Z249" s="20">
        <f>IF(AQ249="5",BJ249,0)</f>
        <v>0</v>
      </c>
      <c r="AB249" s="20">
        <f>IF(AQ249="1",BH249,0)</f>
        <v>0</v>
      </c>
      <c r="AC249" s="20">
        <f>IF(AQ249="1",BI249,0)</f>
        <v>0</v>
      </c>
      <c r="AD249" s="20">
        <f>IF(AQ249="7",BH249,0)</f>
        <v>0</v>
      </c>
      <c r="AE249" s="20">
        <f>IF(AQ249="7",BI249,0)</f>
        <v>0</v>
      </c>
      <c r="AF249" s="20">
        <f>IF(AQ249="2",BH249,0)</f>
        <v>0</v>
      </c>
      <c r="AG249" s="20">
        <f>IF(AQ249="2",BI249,0)</f>
        <v>0</v>
      </c>
      <c r="AH249" s="20">
        <f>IF(AQ249="0",BJ249,0)</f>
        <v>0</v>
      </c>
      <c r="AI249" s="64" t="s">
        <v>414</v>
      </c>
      <c r="AJ249" s="20">
        <f>IF(AN249=0,L249,0)</f>
        <v>0</v>
      </c>
      <c r="AK249" s="20">
        <f>IF(AN249=15,L249,0)</f>
        <v>0</v>
      </c>
      <c r="AL249" s="20">
        <f>IF(AN249=21,L249,0)</f>
        <v>0</v>
      </c>
      <c r="AN249" s="20">
        <v>15</v>
      </c>
      <c r="AO249" s="20">
        <f>I249*0.0836185819070905</f>
        <v>0</v>
      </c>
      <c r="AP249" s="20">
        <f>I249*(1-0.0836185819070905)</f>
        <v>0</v>
      </c>
      <c r="AQ249" s="26" t="s">
        <v>595</v>
      </c>
      <c r="AV249" s="20">
        <f>AW249+AX249</f>
        <v>0</v>
      </c>
      <c r="AW249" s="20">
        <f>H249*AO249</f>
        <v>0</v>
      </c>
      <c r="AX249" s="20">
        <f>H249*AP249</f>
        <v>0</v>
      </c>
      <c r="AY249" s="26" t="s">
        <v>523</v>
      </c>
      <c r="AZ249" s="26" t="s">
        <v>9</v>
      </c>
      <c r="BA249" s="64" t="s">
        <v>452</v>
      </c>
      <c r="BC249" s="20">
        <f>AW249+AX249</f>
        <v>0</v>
      </c>
      <c r="BD249" s="20">
        <f>I249/(100-BE249)*100</f>
        <v>0</v>
      </c>
      <c r="BE249" s="20">
        <v>0</v>
      </c>
      <c r="BF249" s="20">
        <f>249</f>
        <v>249</v>
      </c>
      <c r="BH249" s="20">
        <f>H249*AO249</f>
        <v>0</v>
      </c>
      <c r="BI249" s="20">
        <f>H249*AP249</f>
        <v>0</v>
      </c>
      <c r="BJ249" s="20">
        <f>H249*I249</f>
        <v>0</v>
      </c>
      <c r="BK249" s="20"/>
      <c r="BL249" s="20">
        <v>96</v>
      </c>
    </row>
    <row r="250" spans="1:64" ht="15" customHeight="1">
      <c r="A250" s="4" t="s">
        <v>149</v>
      </c>
      <c r="B250" s="17" t="s">
        <v>318</v>
      </c>
      <c r="C250" s="113" t="s">
        <v>633</v>
      </c>
      <c r="D250" s="113"/>
      <c r="E250" s="113"/>
      <c r="F250" s="113"/>
      <c r="G250" s="17" t="s">
        <v>494</v>
      </c>
      <c r="H250" s="20">
        <v>4.5</v>
      </c>
      <c r="I250" s="20">
        <v>0</v>
      </c>
      <c r="J250" s="20">
        <f>H250*AO250</f>
        <v>0</v>
      </c>
      <c r="K250" s="20">
        <f>H250*AP250</f>
        <v>0</v>
      </c>
      <c r="L250" s="20">
        <f>H250*I250</f>
        <v>0</v>
      </c>
      <c r="M250" s="31" t="s">
        <v>496</v>
      </c>
      <c r="Z250" s="20">
        <f>IF(AQ250="5",BJ250,0)</f>
        <v>0</v>
      </c>
      <c r="AB250" s="20">
        <f>IF(AQ250="1",BH250,0)</f>
        <v>0</v>
      </c>
      <c r="AC250" s="20">
        <f>IF(AQ250="1",BI250,0)</f>
        <v>0</v>
      </c>
      <c r="AD250" s="20">
        <f>IF(AQ250="7",BH250,0)</f>
        <v>0</v>
      </c>
      <c r="AE250" s="20">
        <f>IF(AQ250="7",BI250,0)</f>
        <v>0</v>
      </c>
      <c r="AF250" s="20">
        <f>IF(AQ250="2",BH250,0)</f>
        <v>0</v>
      </c>
      <c r="AG250" s="20">
        <f>IF(AQ250="2",BI250,0)</f>
        <v>0</v>
      </c>
      <c r="AH250" s="20">
        <f>IF(AQ250="0",BJ250,0)</f>
        <v>0</v>
      </c>
      <c r="AI250" s="64" t="s">
        <v>414</v>
      </c>
      <c r="AJ250" s="20">
        <f>IF(AN250=0,L250,0)</f>
        <v>0</v>
      </c>
      <c r="AK250" s="20">
        <f>IF(AN250=15,L250,0)</f>
        <v>0</v>
      </c>
      <c r="AL250" s="20">
        <f>IF(AN250=21,L250,0)</f>
        <v>0</v>
      </c>
      <c r="AN250" s="20">
        <v>15</v>
      </c>
      <c r="AO250" s="20">
        <f>I250*0.205152167729877</f>
        <v>0</v>
      </c>
      <c r="AP250" s="20">
        <f>I250*(1-0.205152167729877)</f>
        <v>0</v>
      </c>
      <c r="AQ250" s="26" t="s">
        <v>595</v>
      </c>
      <c r="AV250" s="20">
        <f>AW250+AX250</f>
        <v>0</v>
      </c>
      <c r="AW250" s="20">
        <f>H250*AO250</f>
        <v>0</v>
      </c>
      <c r="AX250" s="20">
        <f>H250*AP250</f>
        <v>0</v>
      </c>
      <c r="AY250" s="26" t="s">
        <v>523</v>
      </c>
      <c r="AZ250" s="26" t="s">
        <v>9</v>
      </c>
      <c r="BA250" s="64" t="s">
        <v>452</v>
      </c>
      <c r="BC250" s="20">
        <f>AW250+AX250</f>
        <v>0</v>
      </c>
      <c r="BD250" s="20">
        <f>I250/(100-BE250)*100</f>
        <v>0</v>
      </c>
      <c r="BE250" s="20">
        <v>0</v>
      </c>
      <c r="BF250" s="20">
        <f>250</f>
        <v>250</v>
      </c>
      <c r="BH250" s="20">
        <f>H250*AO250</f>
        <v>0</v>
      </c>
      <c r="BI250" s="20">
        <f>H250*AP250</f>
        <v>0</v>
      </c>
      <c r="BJ250" s="20">
        <f>H250*I250</f>
        <v>0</v>
      </c>
      <c r="BK250" s="20"/>
      <c r="BL250" s="20">
        <v>96</v>
      </c>
    </row>
    <row r="251" spans="1:47" ht="15" customHeight="1">
      <c r="A251" s="51" t="s">
        <v>414</v>
      </c>
      <c r="B251" s="50" t="s">
        <v>75</v>
      </c>
      <c r="C251" s="166" t="s">
        <v>666</v>
      </c>
      <c r="D251" s="166"/>
      <c r="E251" s="166"/>
      <c r="F251" s="166"/>
      <c r="G251" s="48" t="s">
        <v>546</v>
      </c>
      <c r="H251" s="48" t="s">
        <v>546</v>
      </c>
      <c r="I251" s="48" t="s">
        <v>546</v>
      </c>
      <c r="J251" s="76">
        <f>SUM(J252:J252)</f>
        <v>0</v>
      </c>
      <c r="K251" s="76">
        <f>SUM(K252:K252)</f>
        <v>0</v>
      </c>
      <c r="L251" s="76">
        <f>SUM(L252:L252)</f>
        <v>0</v>
      </c>
      <c r="M251" s="55" t="s">
        <v>414</v>
      </c>
      <c r="AI251" s="64" t="s">
        <v>414</v>
      </c>
      <c r="AS251" s="76">
        <f>SUM(AJ252:AJ252)</f>
        <v>0</v>
      </c>
      <c r="AT251" s="76">
        <f>SUM(AK252:AK252)</f>
        <v>0</v>
      </c>
      <c r="AU251" s="76">
        <f>SUM(AL252:AL252)</f>
        <v>0</v>
      </c>
    </row>
    <row r="252" spans="1:64" ht="15" customHeight="1">
      <c r="A252" s="4" t="s">
        <v>92</v>
      </c>
      <c r="B252" s="17" t="s">
        <v>226</v>
      </c>
      <c r="C252" s="113" t="s">
        <v>506</v>
      </c>
      <c r="D252" s="113"/>
      <c r="E252" s="113"/>
      <c r="F252" s="113"/>
      <c r="G252" s="17" t="s">
        <v>587</v>
      </c>
      <c r="H252" s="20">
        <v>11.34</v>
      </c>
      <c r="I252" s="20">
        <v>0</v>
      </c>
      <c r="J252" s="20">
        <f>H252*AO252</f>
        <v>0</v>
      </c>
      <c r="K252" s="20">
        <f>H252*AP252</f>
        <v>0</v>
      </c>
      <c r="L252" s="20">
        <f>H252*I252</f>
        <v>0</v>
      </c>
      <c r="M252" s="31" t="s">
        <v>496</v>
      </c>
      <c r="Z252" s="20">
        <f>IF(AQ252="5",BJ252,0)</f>
        <v>0</v>
      </c>
      <c r="AB252" s="20">
        <f>IF(AQ252="1",BH252,0)</f>
        <v>0</v>
      </c>
      <c r="AC252" s="20">
        <f>IF(AQ252="1",BI252,0)</f>
        <v>0</v>
      </c>
      <c r="AD252" s="20">
        <f>IF(AQ252="7",BH252,0)</f>
        <v>0</v>
      </c>
      <c r="AE252" s="20">
        <f>IF(AQ252="7",BI252,0)</f>
        <v>0</v>
      </c>
      <c r="AF252" s="20">
        <f>IF(AQ252="2",BH252,0)</f>
        <v>0</v>
      </c>
      <c r="AG252" s="20">
        <f>IF(AQ252="2",BI252,0)</f>
        <v>0</v>
      </c>
      <c r="AH252" s="20">
        <f>IF(AQ252="0",BJ252,0)</f>
        <v>0</v>
      </c>
      <c r="AI252" s="64" t="s">
        <v>414</v>
      </c>
      <c r="AJ252" s="20">
        <f>IF(AN252=0,L252,0)</f>
        <v>0</v>
      </c>
      <c r="AK252" s="20">
        <f>IF(AN252=15,L252,0)</f>
        <v>0</v>
      </c>
      <c r="AL252" s="20">
        <f>IF(AN252=21,L252,0)</f>
        <v>0</v>
      </c>
      <c r="AN252" s="20">
        <v>15</v>
      </c>
      <c r="AO252" s="20">
        <f>I252*0</f>
        <v>0</v>
      </c>
      <c r="AP252" s="20">
        <f>I252*(1-0)</f>
        <v>0</v>
      </c>
      <c r="AQ252" s="26" t="s">
        <v>595</v>
      </c>
      <c r="AV252" s="20">
        <f>AW252+AX252</f>
        <v>0</v>
      </c>
      <c r="AW252" s="20">
        <f>H252*AO252</f>
        <v>0</v>
      </c>
      <c r="AX252" s="20">
        <f>H252*AP252</f>
        <v>0</v>
      </c>
      <c r="AY252" s="26" t="s">
        <v>197</v>
      </c>
      <c r="AZ252" s="26" t="s">
        <v>9</v>
      </c>
      <c r="BA252" s="64" t="s">
        <v>452</v>
      </c>
      <c r="BC252" s="20">
        <f>AW252+AX252</f>
        <v>0</v>
      </c>
      <c r="BD252" s="20">
        <f>I252/(100-BE252)*100</f>
        <v>0</v>
      </c>
      <c r="BE252" s="20">
        <v>0</v>
      </c>
      <c r="BF252" s="20">
        <f>252</f>
        <v>252</v>
      </c>
      <c r="BH252" s="20">
        <f>H252*AO252</f>
        <v>0</v>
      </c>
      <c r="BI252" s="20">
        <f>H252*AP252</f>
        <v>0</v>
      </c>
      <c r="BJ252" s="20">
        <f>H252*I252</f>
        <v>0</v>
      </c>
      <c r="BK252" s="20"/>
      <c r="BL252" s="20">
        <v>97</v>
      </c>
    </row>
    <row r="253" spans="1:13" ht="15" customHeight="1">
      <c r="A253" s="19"/>
      <c r="C253" s="9" t="s">
        <v>530</v>
      </c>
      <c r="F253" s="9" t="s">
        <v>414</v>
      </c>
      <c r="H253" s="58">
        <v>0</v>
      </c>
      <c r="M253" s="36"/>
    </row>
    <row r="254" spans="1:13" ht="15" customHeight="1">
      <c r="A254" s="19"/>
      <c r="C254" s="9" t="s">
        <v>160</v>
      </c>
      <c r="F254" s="9" t="s">
        <v>414</v>
      </c>
      <c r="H254" s="58">
        <v>11.340000000000002</v>
      </c>
      <c r="M254" s="36"/>
    </row>
    <row r="255" spans="1:47" ht="15" customHeight="1">
      <c r="A255" s="96" t="s">
        <v>414</v>
      </c>
      <c r="B255" s="28" t="s">
        <v>634</v>
      </c>
      <c r="C255" s="168" t="s">
        <v>214</v>
      </c>
      <c r="D255" s="166"/>
      <c r="E255" s="166"/>
      <c r="F255" s="168"/>
      <c r="G255" s="85" t="s">
        <v>546</v>
      </c>
      <c r="H255" s="85" t="s">
        <v>546</v>
      </c>
      <c r="I255" s="85" t="s">
        <v>546</v>
      </c>
      <c r="J255" s="56">
        <f>SUM(J256:J256)</f>
        <v>0</v>
      </c>
      <c r="K255" s="56">
        <f>SUM(K256:K256)</f>
        <v>0</v>
      </c>
      <c r="L255" s="56">
        <f>SUM(L256:L256)</f>
        <v>0</v>
      </c>
      <c r="M255" s="102" t="s">
        <v>414</v>
      </c>
      <c r="AI255" s="64" t="s">
        <v>414</v>
      </c>
      <c r="AS255" s="76">
        <f>SUM(AJ256:AJ256)</f>
        <v>0</v>
      </c>
      <c r="AT255" s="76">
        <f>SUM(AK256:AK256)</f>
        <v>0</v>
      </c>
      <c r="AU255" s="76">
        <f>SUM(AL256:AL256)</f>
        <v>0</v>
      </c>
    </row>
    <row r="256" spans="1:64" ht="15" customHeight="1">
      <c r="A256" s="86" t="s">
        <v>180</v>
      </c>
      <c r="B256" s="69" t="s">
        <v>245</v>
      </c>
      <c r="C256" s="165" t="s">
        <v>638</v>
      </c>
      <c r="D256" s="113"/>
      <c r="E256" s="113"/>
      <c r="F256" s="165"/>
      <c r="G256" s="69" t="s">
        <v>284</v>
      </c>
      <c r="H256" s="100">
        <v>3.15375</v>
      </c>
      <c r="I256" s="100">
        <v>0</v>
      </c>
      <c r="J256" s="100">
        <f>H256*AO256</f>
        <v>0</v>
      </c>
      <c r="K256" s="100">
        <f>H256*AP256</f>
        <v>0</v>
      </c>
      <c r="L256" s="100">
        <f>H256*I256</f>
        <v>0</v>
      </c>
      <c r="M256" s="29" t="s">
        <v>496</v>
      </c>
      <c r="Z256" s="20">
        <f>IF(AQ256="5",BJ256,0)</f>
        <v>0</v>
      </c>
      <c r="AB256" s="20">
        <f>IF(AQ256="1",BH256,0)</f>
        <v>0</v>
      </c>
      <c r="AC256" s="20">
        <f>IF(AQ256="1",BI256,0)</f>
        <v>0</v>
      </c>
      <c r="AD256" s="20">
        <f>IF(AQ256="7",BH256,0)</f>
        <v>0</v>
      </c>
      <c r="AE256" s="20">
        <f>IF(AQ256="7",BI256,0)</f>
        <v>0</v>
      </c>
      <c r="AF256" s="20">
        <f>IF(AQ256="2",BH256,0)</f>
        <v>0</v>
      </c>
      <c r="AG256" s="20">
        <f>IF(AQ256="2",BI256,0)</f>
        <v>0</v>
      </c>
      <c r="AH256" s="20">
        <f>IF(AQ256="0",BJ256,0)</f>
        <v>0</v>
      </c>
      <c r="AI256" s="64" t="s">
        <v>414</v>
      </c>
      <c r="AJ256" s="20">
        <f>IF(AN256=0,L256,0)</f>
        <v>0</v>
      </c>
      <c r="AK256" s="20">
        <f>IF(AN256=15,L256,0)</f>
        <v>0</v>
      </c>
      <c r="AL256" s="20">
        <f>IF(AN256=21,L256,0)</f>
        <v>0</v>
      </c>
      <c r="AN256" s="20">
        <v>15</v>
      </c>
      <c r="AO256" s="20">
        <f>I256*0</f>
        <v>0</v>
      </c>
      <c r="AP256" s="20">
        <f>I256*(1-0)</f>
        <v>0</v>
      </c>
      <c r="AQ256" s="26" t="s">
        <v>322</v>
      </c>
      <c r="AV256" s="20">
        <f>AW256+AX256</f>
        <v>0</v>
      </c>
      <c r="AW256" s="20">
        <f>H256*AO256</f>
        <v>0</v>
      </c>
      <c r="AX256" s="20">
        <f>H256*AP256</f>
        <v>0</v>
      </c>
      <c r="AY256" s="26" t="s">
        <v>311</v>
      </c>
      <c r="AZ256" s="26" t="s">
        <v>9</v>
      </c>
      <c r="BA256" s="64" t="s">
        <v>452</v>
      </c>
      <c r="BC256" s="20">
        <f>AW256+AX256</f>
        <v>0</v>
      </c>
      <c r="BD256" s="20">
        <f>I256/(100-BE256)*100</f>
        <v>0</v>
      </c>
      <c r="BE256" s="20">
        <v>0</v>
      </c>
      <c r="BF256" s="20">
        <f>256</f>
        <v>256</v>
      </c>
      <c r="BH256" s="20">
        <f>H256*AO256</f>
        <v>0</v>
      </c>
      <c r="BI256" s="20">
        <f>H256*AP256</f>
        <v>0</v>
      </c>
      <c r="BJ256" s="20">
        <f>H256*I256</f>
        <v>0</v>
      </c>
      <c r="BK256" s="20"/>
      <c r="BL256" s="20"/>
    </row>
    <row r="257" spans="1:47" ht="15" customHeight="1">
      <c r="A257" s="5" t="s">
        <v>414</v>
      </c>
      <c r="B257" s="24" t="s">
        <v>78</v>
      </c>
      <c r="C257" s="166" t="s">
        <v>212</v>
      </c>
      <c r="D257" s="166"/>
      <c r="E257" s="166"/>
      <c r="F257" s="166"/>
      <c r="G257" s="30" t="s">
        <v>546</v>
      </c>
      <c r="H257" s="30" t="s">
        <v>546</v>
      </c>
      <c r="I257" s="30" t="s">
        <v>546</v>
      </c>
      <c r="J257" s="63">
        <f>SUM(J258:J258)</f>
        <v>0</v>
      </c>
      <c r="K257" s="63">
        <f>SUM(K258:K258)</f>
        <v>0</v>
      </c>
      <c r="L257" s="63">
        <f>SUM(L258:L258)</f>
        <v>0</v>
      </c>
      <c r="M257" s="87" t="s">
        <v>414</v>
      </c>
      <c r="AI257" s="64" t="s">
        <v>414</v>
      </c>
      <c r="AS257" s="76">
        <f>SUM(AJ258:AJ258)</f>
        <v>0</v>
      </c>
      <c r="AT257" s="76">
        <f>SUM(AK258:AK258)</f>
        <v>0</v>
      </c>
      <c r="AU257" s="76">
        <f>SUM(AL258:AL258)</f>
        <v>0</v>
      </c>
    </row>
    <row r="258" spans="1:64" ht="15" customHeight="1">
      <c r="A258" s="77" t="s">
        <v>196</v>
      </c>
      <c r="B258" s="71" t="s">
        <v>13</v>
      </c>
      <c r="C258" s="167" t="s">
        <v>312</v>
      </c>
      <c r="D258" s="113"/>
      <c r="E258" s="113"/>
      <c r="F258" s="167"/>
      <c r="G258" s="71" t="s">
        <v>154</v>
      </c>
      <c r="H258" s="43">
        <v>1</v>
      </c>
      <c r="I258" s="43">
        <v>0</v>
      </c>
      <c r="J258" s="43">
        <f>H258*AO258</f>
        <v>0</v>
      </c>
      <c r="K258" s="43">
        <f>H258*AP258</f>
        <v>0</v>
      </c>
      <c r="L258" s="43">
        <f>H258*I258</f>
        <v>0</v>
      </c>
      <c r="M258" s="73" t="s">
        <v>13</v>
      </c>
      <c r="Z258" s="20">
        <f>IF(AQ258="5",BJ258,0)</f>
        <v>0</v>
      </c>
      <c r="AB258" s="20">
        <f>IF(AQ258="1",BH258,0)</f>
        <v>0</v>
      </c>
      <c r="AC258" s="20">
        <f>IF(AQ258="1",BI258,0)</f>
        <v>0</v>
      </c>
      <c r="AD258" s="20">
        <f>IF(AQ258="7",BH258,0)</f>
        <v>0</v>
      </c>
      <c r="AE258" s="20">
        <f>IF(AQ258="7",BI258,0)</f>
        <v>0</v>
      </c>
      <c r="AF258" s="20">
        <f>IF(AQ258="2",BH258,0)</f>
        <v>0</v>
      </c>
      <c r="AG258" s="20">
        <f>IF(AQ258="2",BI258,0)</f>
        <v>0</v>
      </c>
      <c r="AH258" s="20">
        <f>IF(AQ258="0",BJ258,0)</f>
        <v>0</v>
      </c>
      <c r="AI258" s="64" t="s">
        <v>414</v>
      </c>
      <c r="AJ258" s="20">
        <f>IF(AN258=0,L258,0)</f>
        <v>0</v>
      </c>
      <c r="AK258" s="20">
        <f>IF(AN258=15,L258,0)</f>
        <v>0</v>
      </c>
      <c r="AL258" s="20">
        <f>IF(AN258=21,L258,0)</f>
        <v>0</v>
      </c>
      <c r="AN258" s="20">
        <v>15</v>
      </c>
      <c r="AO258" s="20">
        <f>I258*0</f>
        <v>0</v>
      </c>
      <c r="AP258" s="20">
        <f>I258*(1-0)</f>
        <v>0</v>
      </c>
      <c r="AQ258" s="26" t="s">
        <v>411</v>
      </c>
      <c r="AV258" s="20">
        <f>AW258+AX258</f>
        <v>0</v>
      </c>
      <c r="AW258" s="20">
        <f>H258*AO258</f>
        <v>0</v>
      </c>
      <c r="AX258" s="20">
        <f>H258*AP258</f>
        <v>0</v>
      </c>
      <c r="AY258" s="26" t="s">
        <v>270</v>
      </c>
      <c r="AZ258" s="26" t="s">
        <v>9</v>
      </c>
      <c r="BA258" s="64" t="s">
        <v>452</v>
      </c>
      <c r="BC258" s="20">
        <f>AW258+AX258</f>
        <v>0</v>
      </c>
      <c r="BD258" s="20">
        <f>I258/(100-BE258)*100</f>
        <v>0</v>
      </c>
      <c r="BE258" s="20">
        <v>0</v>
      </c>
      <c r="BF258" s="20">
        <f>258</f>
        <v>258</v>
      </c>
      <c r="BH258" s="20">
        <f>H258*AO258</f>
        <v>0</v>
      </c>
      <c r="BI258" s="20">
        <f>H258*AP258</f>
        <v>0</v>
      </c>
      <c r="BJ258" s="20">
        <f>H258*I258</f>
        <v>0</v>
      </c>
      <c r="BK258" s="20"/>
      <c r="BL258" s="20"/>
    </row>
    <row r="259" spans="1:47" ht="15" customHeight="1">
      <c r="A259" s="96" t="s">
        <v>414</v>
      </c>
      <c r="B259" s="28" t="s">
        <v>86</v>
      </c>
      <c r="C259" s="168" t="s">
        <v>261</v>
      </c>
      <c r="D259" s="166"/>
      <c r="E259" s="166"/>
      <c r="F259" s="168"/>
      <c r="G259" s="85" t="s">
        <v>546</v>
      </c>
      <c r="H259" s="85" t="s">
        <v>546</v>
      </c>
      <c r="I259" s="85" t="s">
        <v>546</v>
      </c>
      <c r="J259" s="56">
        <f>SUM(J260:J268)</f>
        <v>0</v>
      </c>
      <c r="K259" s="56">
        <f>SUM(K260:K268)</f>
        <v>0</v>
      </c>
      <c r="L259" s="56">
        <f>SUM(L260:L268)</f>
        <v>0</v>
      </c>
      <c r="M259" s="102" t="s">
        <v>414</v>
      </c>
      <c r="AI259" s="64" t="s">
        <v>414</v>
      </c>
      <c r="AS259" s="76">
        <f>SUM(AJ260:AJ268)</f>
        <v>0</v>
      </c>
      <c r="AT259" s="76">
        <f>SUM(AK260:AK268)</f>
        <v>0</v>
      </c>
      <c r="AU259" s="76">
        <f>SUM(AL260:AL268)</f>
        <v>0</v>
      </c>
    </row>
    <row r="260" spans="1:64" ht="15" customHeight="1">
      <c r="A260" s="86" t="s">
        <v>129</v>
      </c>
      <c r="B260" s="69" t="s">
        <v>610</v>
      </c>
      <c r="C260" s="165" t="s">
        <v>551</v>
      </c>
      <c r="D260" s="113"/>
      <c r="E260" s="113"/>
      <c r="F260" s="165"/>
      <c r="G260" s="69" t="s">
        <v>284</v>
      </c>
      <c r="H260" s="100">
        <v>2.47693</v>
      </c>
      <c r="I260" s="100">
        <v>0</v>
      </c>
      <c r="J260" s="100">
        <f>H260*AO260</f>
        <v>0</v>
      </c>
      <c r="K260" s="100">
        <f>H260*AP260</f>
        <v>0</v>
      </c>
      <c r="L260" s="100">
        <f>H260*I260</f>
        <v>0</v>
      </c>
      <c r="M260" s="29" t="s">
        <v>496</v>
      </c>
      <c r="Z260" s="20">
        <f>IF(AQ260="5",BJ260,0)</f>
        <v>0</v>
      </c>
      <c r="AB260" s="20">
        <f>IF(AQ260="1",BH260,0)</f>
        <v>0</v>
      </c>
      <c r="AC260" s="20">
        <f>IF(AQ260="1",BI260,0)</f>
        <v>0</v>
      </c>
      <c r="AD260" s="20">
        <f>IF(AQ260="7",BH260,0)</f>
        <v>0</v>
      </c>
      <c r="AE260" s="20">
        <f>IF(AQ260="7",BI260,0)</f>
        <v>0</v>
      </c>
      <c r="AF260" s="20">
        <f>IF(AQ260="2",BH260,0)</f>
        <v>0</v>
      </c>
      <c r="AG260" s="20">
        <f>IF(AQ260="2",BI260,0)</f>
        <v>0</v>
      </c>
      <c r="AH260" s="20">
        <f>IF(AQ260="0",BJ260,0)</f>
        <v>0</v>
      </c>
      <c r="AI260" s="64" t="s">
        <v>414</v>
      </c>
      <c r="AJ260" s="20">
        <f>IF(AN260=0,L260,0)</f>
        <v>0</v>
      </c>
      <c r="AK260" s="20">
        <f>IF(AN260=15,L260,0)</f>
        <v>0</v>
      </c>
      <c r="AL260" s="20">
        <f>IF(AN260=21,L260,0)</f>
        <v>0</v>
      </c>
      <c r="AN260" s="20">
        <v>15</v>
      </c>
      <c r="AO260" s="20">
        <f>I260*0</f>
        <v>0</v>
      </c>
      <c r="AP260" s="20">
        <f>I260*(1-0)</f>
        <v>0</v>
      </c>
      <c r="AQ260" s="26" t="s">
        <v>322</v>
      </c>
      <c r="AV260" s="20">
        <f>AW260+AX260</f>
        <v>0</v>
      </c>
      <c r="AW260" s="20">
        <f>H260*AO260</f>
        <v>0</v>
      </c>
      <c r="AX260" s="20">
        <f>H260*AP260</f>
        <v>0</v>
      </c>
      <c r="AY260" s="26" t="s">
        <v>557</v>
      </c>
      <c r="AZ260" s="26" t="s">
        <v>9</v>
      </c>
      <c r="BA260" s="64" t="s">
        <v>452</v>
      </c>
      <c r="BC260" s="20">
        <f>AW260+AX260</f>
        <v>0</v>
      </c>
      <c r="BD260" s="20">
        <f>I260/(100-BE260)*100</f>
        <v>0</v>
      </c>
      <c r="BE260" s="20">
        <v>0</v>
      </c>
      <c r="BF260" s="20">
        <f>260</f>
        <v>260</v>
      </c>
      <c r="BH260" s="20">
        <f>H260*AO260</f>
        <v>0</v>
      </c>
      <c r="BI260" s="20">
        <f>H260*AP260</f>
        <v>0</v>
      </c>
      <c r="BJ260" s="20">
        <f>H260*I260</f>
        <v>0</v>
      </c>
      <c r="BK260" s="20"/>
      <c r="BL260" s="20"/>
    </row>
    <row r="261" spans="1:64" ht="15" customHeight="1">
      <c r="A261" s="86" t="s">
        <v>246</v>
      </c>
      <c r="B261" s="69" t="s">
        <v>640</v>
      </c>
      <c r="C261" s="165" t="s">
        <v>519</v>
      </c>
      <c r="D261" s="113"/>
      <c r="E261" s="113"/>
      <c r="F261" s="165"/>
      <c r="G261" s="69" t="s">
        <v>284</v>
      </c>
      <c r="H261" s="100">
        <v>2.47</v>
      </c>
      <c r="I261" s="100">
        <v>0</v>
      </c>
      <c r="J261" s="100">
        <f>H261*AO261</f>
        <v>0</v>
      </c>
      <c r="K261" s="100">
        <f>H261*AP261</f>
        <v>0</v>
      </c>
      <c r="L261" s="100">
        <f>H261*I261</f>
        <v>0</v>
      </c>
      <c r="M261" s="29" t="s">
        <v>496</v>
      </c>
      <c r="Z261" s="20">
        <f>IF(AQ261="5",BJ261,0)</f>
        <v>0</v>
      </c>
      <c r="AB261" s="20">
        <f>IF(AQ261="1",BH261,0)</f>
        <v>0</v>
      </c>
      <c r="AC261" s="20">
        <f>IF(AQ261="1",BI261,0)</f>
        <v>0</v>
      </c>
      <c r="AD261" s="20">
        <f>IF(AQ261="7",BH261,0)</f>
        <v>0</v>
      </c>
      <c r="AE261" s="20">
        <f>IF(AQ261="7",BI261,0)</f>
        <v>0</v>
      </c>
      <c r="AF261" s="20">
        <f>IF(AQ261="2",BH261,0)</f>
        <v>0</v>
      </c>
      <c r="AG261" s="20">
        <f>IF(AQ261="2",BI261,0)</f>
        <v>0</v>
      </c>
      <c r="AH261" s="20">
        <f>IF(AQ261="0",BJ261,0)</f>
        <v>0</v>
      </c>
      <c r="AI261" s="64" t="s">
        <v>414</v>
      </c>
      <c r="AJ261" s="20">
        <f>IF(AN261=0,L261,0)</f>
        <v>0</v>
      </c>
      <c r="AK261" s="20">
        <f>IF(AN261=15,L261,0)</f>
        <v>0</v>
      </c>
      <c r="AL261" s="20">
        <f>IF(AN261=21,L261,0)</f>
        <v>0</v>
      </c>
      <c r="AN261" s="20">
        <v>15</v>
      </c>
      <c r="AO261" s="20">
        <f>I261*0</f>
        <v>0</v>
      </c>
      <c r="AP261" s="20">
        <f>I261*(1-0)</f>
        <v>0</v>
      </c>
      <c r="AQ261" s="26" t="s">
        <v>322</v>
      </c>
      <c r="AV261" s="20">
        <f>AW261+AX261</f>
        <v>0</v>
      </c>
      <c r="AW261" s="20">
        <f>H261*AO261</f>
        <v>0</v>
      </c>
      <c r="AX261" s="20">
        <f>H261*AP261</f>
        <v>0</v>
      </c>
      <c r="AY261" s="26" t="s">
        <v>557</v>
      </c>
      <c r="AZ261" s="26" t="s">
        <v>9</v>
      </c>
      <c r="BA261" s="64" t="s">
        <v>452</v>
      </c>
      <c r="BC261" s="20">
        <f>AW261+AX261</f>
        <v>0</v>
      </c>
      <c r="BD261" s="20">
        <f>I261/(100-BE261)*100</f>
        <v>0</v>
      </c>
      <c r="BE261" s="20">
        <v>0</v>
      </c>
      <c r="BF261" s="20">
        <f>261</f>
        <v>261</v>
      </c>
      <c r="BH261" s="20">
        <f>H261*AO261</f>
        <v>0</v>
      </c>
      <c r="BI261" s="20">
        <f>H261*AP261</f>
        <v>0</v>
      </c>
      <c r="BJ261" s="20">
        <f>H261*I261</f>
        <v>0</v>
      </c>
      <c r="BK261" s="20"/>
      <c r="BL261" s="20"/>
    </row>
    <row r="262" spans="1:64" ht="15" customHeight="1">
      <c r="A262" s="86" t="s">
        <v>235</v>
      </c>
      <c r="B262" s="69" t="s">
        <v>425</v>
      </c>
      <c r="C262" s="165" t="s">
        <v>438</v>
      </c>
      <c r="D262" s="113"/>
      <c r="E262" s="113"/>
      <c r="F262" s="165"/>
      <c r="G262" s="69" t="s">
        <v>284</v>
      </c>
      <c r="H262" s="100">
        <v>2.47</v>
      </c>
      <c r="I262" s="100">
        <v>0</v>
      </c>
      <c r="J262" s="100">
        <f>H262*AO262</f>
        <v>0</v>
      </c>
      <c r="K262" s="100">
        <f>H262*AP262</f>
        <v>0</v>
      </c>
      <c r="L262" s="100">
        <f>H262*I262</f>
        <v>0</v>
      </c>
      <c r="M262" s="29" t="s">
        <v>496</v>
      </c>
      <c r="Z262" s="20">
        <f>IF(AQ262="5",BJ262,0)</f>
        <v>0</v>
      </c>
      <c r="AB262" s="20">
        <f>IF(AQ262="1",BH262,0)</f>
        <v>0</v>
      </c>
      <c r="AC262" s="20">
        <f>IF(AQ262="1",BI262,0)</f>
        <v>0</v>
      </c>
      <c r="AD262" s="20">
        <f>IF(AQ262="7",BH262,0)</f>
        <v>0</v>
      </c>
      <c r="AE262" s="20">
        <f>IF(AQ262="7",BI262,0)</f>
        <v>0</v>
      </c>
      <c r="AF262" s="20">
        <f>IF(AQ262="2",BH262,0)</f>
        <v>0</v>
      </c>
      <c r="AG262" s="20">
        <f>IF(AQ262="2",BI262,0)</f>
        <v>0</v>
      </c>
      <c r="AH262" s="20">
        <f>IF(AQ262="0",BJ262,0)</f>
        <v>0</v>
      </c>
      <c r="AI262" s="64" t="s">
        <v>414</v>
      </c>
      <c r="AJ262" s="20">
        <f>IF(AN262=0,L262,0)</f>
        <v>0</v>
      </c>
      <c r="AK262" s="20">
        <f>IF(AN262=15,L262,0)</f>
        <v>0</v>
      </c>
      <c r="AL262" s="20">
        <f>IF(AN262=21,L262,0)</f>
        <v>0</v>
      </c>
      <c r="AN262" s="20">
        <v>15</v>
      </c>
      <c r="AO262" s="20">
        <f>I262*0</f>
        <v>0</v>
      </c>
      <c r="AP262" s="20">
        <f>I262*(1-0)</f>
        <v>0</v>
      </c>
      <c r="AQ262" s="26" t="s">
        <v>322</v>
      </c>
      <c r="AV262" s="20">
        <f>AW262+AX262</f>
        <v>0</v>
      </c>
      <c r="AW262" s="20">
        <f>H262*AO262</f>
        <v>0</v>
      </c>
      <c r="AX262" s="20">
        <f>H262*AP262</f>
        <v>0</v>
      </c>
      <c r="AY262" s="26" t="s">
        <v>557</v>
      </c>
      <c r="AZ262" s="26" t="s">
        <v>9</v>
      </c>
      <c r="BA262" s="64" t="s">
        <v>452</v>
      </c>
      <c r="BC262" s="20">
        <f>AW262+AX262</f>
        <v>0</v>
      </c>
      <c r="BD262" s="20">
        <f>I262/(100-BE262)*100</f>
        <v>0</v>
      </c>
      <c r="BE262" s="20">
        <v>0</v>
      </c>
      <c r="BF262" s="20">
        <f>262</f>
        <v>262</v>
      </c>
      <c r="BH262" s="20">
        <f>H262*AO262</f>
        <v>0</v>
      </c>
      <c r="BI262" s="20">
        <f>H262*AP262</f>
        <v>0</v>
      </c>
      <c r="BJ262" s="20">
        <f>H262*I262</f>
        <v>0</v>
      </c>
      <c r="BK262" s="20"/>
      <c r="BL262" s="20"/>
    </row>
    <row r="263" spans="1:64" ht="15" customHeight="1">
      <c r="A263" s="4" t="s">
        <v>332</v>
      </c>
      <c r="B263" s="17" t="s">
        <v>123</v>
      </c>
      <c r="C263" s="113" t="s">
        <v>305</v>
      </c>
      <c r="D263" s="113"/>
      <c r="E263" s="113"/>
      <c r="F263" s="113"/>
      <c r="G263" s="17" t="s">
        <v>284</v>
      </c>
      <c r="H263" s="20">
        <v>2.47</v>
      </c>
      <c r="I263" s="20">
        <v>0</v>
      </c>
      <c r="J263" s="20">
        <f>H263*AO263</f>
        <v>0</v>
      </c>
      <c r="K263" s="20">
        <f>H263*AP263</f>
        <v>0</v>
      </c>
      <c r="L263" s="20">
        <f>H263*I263</f>
        <v>0</v>
      </c>
      <c r="M263" s="31" t="s">
        <v>233</v>
      </c>
      <c r="Z263" s="20">
        <f>IF(AQ263="5",BJ263,0)</f>
        <v>0</v>
      </c>
      <c r="AB263" s="20">
        <f>IF(AQ263="1",BH263,0)</f>
        <v>0</v>
      </c>
      <c r="AC263" s="20">
        <f>IF(AQ263="1",BI263,0)</f>
        <v>0</v>
      </c>
      <c r="AD263" s="20">
        <f>IF(AQ263="7",BH263,0)</f>
        <v>0</v>
      </c>
      <c r="AE263" s="20">
        <f>IF(AQ263="7",BI263,0)</f>
        <v>0</v>
      </c>
      <c r="AF263" s="20">
        <f>IF(AQ263="2",BH263,0)</f>
        <v>0</v>
      </c>
      <c r="AG263" s="20">
        <f>IF(AQ263="2",BI263,0)</f>
        <v>0</v>
      </c>
      <c r="AH263" s="20">
        <f>IF(AQ263="0",BJ263,0)</f>
        <v>0</v>
      </c>
      <c r="AI263" s="64" t="s">
        <v>414</v>
      </c>
      <c r="AJ263" s="20">
        <f>IF(AN263=0,L263,0)</f>
        <v>0</v>
      </c>
      <c r="AK263" s="20">
        <f>IF(AN263=15,L263,0)</f>
        <v>0</v>
      </c>
      <c r="AL263" s="20">
        <f>IF(AN263=21,L263,0)</f>
        <v>0</v>
      </c>
      <c r="AN263" s="20">
        <v>15</v>
      </c>
      <c r="AO263" s="20">
        <f>I263*0</f>
        <v>0</v>
      </c>
      <c r="AP263" s="20">
        <f>I263*(1-0)</f>
        <v>0</v>
      </c>
      <c r="AQ263" s="26" t="s">
        <v>322</v>
      </c>
      <c r="AV263" s="20">
        <f>AW263+AX263</f>
        <v>0</v>
      </c>
      <c r="AW263" s="20">
        <f>H263*AO263</f>
        <v>0</v>
      </c>
      <c r="AX263" s="20">
        <f>H263*AP263</f>
        <v>0</v>
      </c>
      <c r="AY263" s="26" t="s">
        <v>557</v>
      </c>
      <c r="AZ263" s="26" t="s">
        <v>9</v>
      </c>
      <c r="BA263" s="64" t="s">
        <v>452</v>
      </c>
      <c r="BC263" s="20">
        <f>AW263+AX263</f>
        <v>0</v>
      </c>
      <c r="BD263" s="20">
        <f>I263/(100-BE263)*100</f>
        <v>0</v>
      </c>
      <c r="BE263" s="20">
        <v>0</v>
      </c>
      <c r="BF263" s="20">
        <f>263</f>
        <v>263</v>
      </c>
      <c r="BH263" s="20">
        <f>H263*AO263</f>
        <v>0</v>
      </c>
      <c r="BI263" s="20">
        <f>H263*AP263</f>
        <v>0</v>
      </c>
      <c r="BJ263" s="20">
        <f>H263*I263</f>
        <v>0</v>
      </c>
      <c r="BK263" s="20"/>
      <c r="BL263" s="20"/>
    </row>
    <row r="264" spans="1:64" ht="15" customHeight="1">
      <c r="A264" s="46" t="s">
        <v>79</v>
      </c>
      <c r="B264" s="44" t="s">
        <v>399</v>
      </c>
      <c r="C264" s="165" t="s">
        <v>130</v>
      </c>
      <c r="D264" s="113"/>
      <c r="E264" s="113"/>
      <c r="F264" s="165"/>
      <c r="G264" s="44" t="s">
        <v>284</v>
      </c>
      <c r="H264" s="1">
        <v>12.35</v>
      </c>
      <c r="I264" s="1">
        <v>0</v>
      </c>
      <c r="J264" s="1">
        <f>H264*AO264</f>
        <v>0</v>
      </c>
      <c r="K264" s="1">
        <f>H264*AP264</f>
        <v>0</v>
      </c>
      <c r="L264" s="1">
        <f>H264*I264</f>
        <v>0</v>
      </c>
      <c r="M264" s="27" t="s">
        <v>496</v>
      </c>
      <c r="Z264" s="20">
        <f>IF(AQ264="5",BJ264,0)</f>
        <v>0</v>
      </c>
      <c r="AB264" s="20">
        <f>IF(AQ264="1",BH264,0)</f>
        <v>0</v>
      </c>
      <c r="AC264" s="20">
        <f>IF(AQ264="1",BI264,0)</f>
        <v>0</v>
      </c>
      <c r="AD264" s="20">
        <f>IF(AQ264="7",BH264,0)</f>
        <v>0</v>
      </c>
      <c r="AE264" s="20">
        <f>IF(AQ264="7",BI264,0)</f>
        <v>0</v>
      </c>
      <c r="AF264" s="20">
        <f>IF(AQ264="2",BH264,0)</f>
        <v>0</v>
      </c>
      <c r="AG264" s="20">
        <f>IF(AQ264="2",BI264,0)</f>
        <v>0</v>
      </c>
      <c r="AH264" s="20">
        <f>IF(AQ264="0",BJ264,0)</f>
        <v>0</v>
      </c>
      <c r="AI264" s="64" t="s">
        <v>414</v>
      </c>
      <c r="AJ264" s="20">
        <f>IF(AN264=0,L264,0)</f>
        <v>0</v>
      </c>
      <c r="AK264" s="20">
        <f>IF(AN264=15,L264,0)</f>
        <v>0</v>
      </c>
      <c r="AL264" s="20">
        <f>IF(AN264=21,L264,0)</f>
        <v>0</v>
      </c>
      <c r="AN264" s="20">
        <v>15</v>
      </c>
      <c r="AO264" s="20">
        <f>I264*0</f>
        <v>0</v>
      </c>
      <c r="AP264" s="20">
        <f>I264*(1-0)</f>
        <v>0</v>
      </c>
      <c r="AQ264" s="26" t="s">
        <v>322</v>
      </c>
      <c r="AV264" s="20">
        <f>AW264+AX264</f>
        <v>0</v>
      </c>
      <c r="AW264" s="20">
        <f>H264*AO264</f>
        <v>0</v>
      </c>
      <c r="AX264" s="20">
        <f>H264*AP264</f>
        <v>0</v>
      </c>
      <c r="AY264" s="26" t="s">
        <v>557</v>
      </c>
      <c r="AZ264" s="26" t="s">
        <v>9</v>
      </c>
      <c r="BA264" s="64" t="s">
        <v>452</v>
      </c>
      <c r="BC264" s="20">
        <f>AW264+AX264</f>
        <v>0</v>
      </c>
      <c r="BD264" s="20">
        <f>I264/(100-BE264)*100</f>
        <v>0</v>
      </c>
      <c r="BE264" s="20">
        <v>0</v>
      </c>
      <c r="BF264" s="20">
        <f>264</f>
        <v>264</v>
      </c>
      <c r="BH264" s="20">
        <f>H264*AO264</f>
        <v>0</v>
      </c>
      <c r="BI264" s="20">
        <f>H264*AP264</f>
        <v>0</v>
      </c>
      <c r="BJ264" s="20">
        <f>H264*I264</f>
        <v>0</v>
      </c>
      <c r="BK264" s="20"/>
      <c r="BL264" s="20"/>
    </row>
    <row r="265" spans="1:13" ht="15" customHeight="1">
      <c r="A265" s="32"/>
      <c r="B265" s="54"/>
      <c r="C265" s="95" t="s">
        <v>549</v>
      </c>
      <c r="F265" s="105" t="s">
        <v>414</v>
      </c>
      <c r="G265" s="54"/>
      <c r="H265" s="40">
        <v>12.350000000000001</v>
      </c>
      <c r="I265" s="54"/>
      <c r="J265" s="54"/>
      <c r="K265" s="54"/>
      <c r="L265" s="54"/>
      <c r="M265" s="23"/>
    </row>
    <row r="266" spans="1:64" ht="15" customHeight="1">
      <c r="A266" s="4" t="s">
        <v>317</v>
      </c>
      <c r="B266" s="17" t="s">
        <v>365</v>
      </c>
      <c r="C266" s="113" t="s">
        <v>628</v>
      </c>
      <c r="D266" s="113"/>
      <c r="E266" s="113"/>
      <c r="F266" s="113"/>
      <c r="G266" s="17" t="s">
        <v>284</v>
      </c>
      <c r="H266" s="20">
        <v>2.44753</v>
      </c>
      <c r="I266" s="20">
        <v>0</v>
      </c>
      <c r="J266" s="20">
        <f>H266*AO266</f>
        <v>0</v>
      </c>
      <c r="K266" s="20">
        <f>H266*AP266</f>
        <v>0</v>
      </c>
      <c r="L266" s="20">
        <f>H266*I266</f>
        <v>0</v>
      </c>
      <c r="M266" s="31" t="s">
        <v>496</v>
      </c>
      <c r="Z266" s="20">
        <f>IF(AQ266="5",BJ266,0)</f>
        <v>0</v>
      </c>
      <c r="AB266" s="20">
        <f>IF(AQ266="1",BH266,0)</f>
        <v>0</v>
      </c>
      <c r="AC266" s="20">
        <f>IF(AQ266="1",BI266,0)</f>
        <v>0</v>
      </c>
      <c r="AD266" s="20">
        <f>IF(AQ266="7",BH266,0)</f>
        <v>0</v>
      </c>
      <c r="AE266" s="20">
        <f>IF(AQ266="7",BI266,0)</f>
        <v>0</v>
      </c>
      <c r="AF266" s="20">
        <f>IF(AQ266="2",BH266,0)</f>
        <v>0</v>
      </c>
      <c r="AG266" s="20">
        <f>IF(AQ266="2",BI266,0)</f>
        <v>0</v>
      </c>
      <c r="AH266" s="20">
        <f>IF(AQ266="0",BJ266,0)</f>
        <v>0</v>
      </c>
      <c r="AI266" s="64" t="s">
        <v>414</v>
      </c>
      <c r="AJ266" s="20">
        <f>IF(AN266=0,L266,0)</f>
        <v>0</v>
      </c>
      <c r="AK266" s="20">
        <f>IF(AN266=15,L266,0)</f>
        <v>0</v>
      </c>
      <c r="AL266" s="20">
        <f>IF(AN266=21,L266,0)</f>
        <v>0</v>
      </c>
      <c r="AN266" s="20">
        <v>15</v>
      </c>
      <c r="AO266" s="20">
        <f>I266*0</f>
        <v>0</v>
      </c>
      <c r="AP266" s="20">
        <f>I266*(1-0)</f>
        <v>0</v>
      </c>
      <c r="AQ266" s="26" t="s">
        <v>322</v>
      </c>
      <c r="AV266" s="20">
        <f>AW266+AX266</f>
        <v>0</v>
      </c>
      <c r="AW266" s="20">
        <f>H266*AO266</f>
        <v>0</v>
      </c>
      <c r="AX266" s="20">
        <f>H266*AP266</f>
        <v>0</v>
      </c>
      <c r="AY266" s="26" t="s">
        <v>557</v>
      </c>
      <c r="AZ266" s="26" t="s">
        <v>9</v>
      </c>
      <c r="BA266" s="64" t="s">
        <v>452</v>
      </c>
      <c r="BC266" s="20">
        <f>AW266+AX266</f>
        <v>0</v>
      </c>
      <c r="BD266" s="20">
        <f>I266/(100-BE266)*100</f>
        <v>0</v>
      </c>
      <c r="BE266" s="20">
        <v>0</v>
      </c>
      <c r="BF266" s="20">
        <f>266</f>
        <v>266</v>
      </c>
      <c r="BH266" s="20">
        <f>H266*AO266</f>
        <v>0</v>
      </c>
      <c r="BI266" s="20">
        <f>H266*AP266</f>
        <v>0</v>
      </c>
      <c r="BJ266" s="20">
        <f>H266*I266</f>
        <v>0</v>
      </c>
      <c r="BK266" s="20"/>
      <c r="BL266" s="20"/>
    </row>
    <row r="267" spans="1:13" ht="15" customHeight="1">
      <c r="A267" s="19"/>
      <c r="C267" s="9" t="s">
        <v>547</v>
      </c>
      <c r="F267" s="9" t="s">
        <v>414</v>
      </c>
      <c r="H267" s="58">
        <v>2.44753</v>
      </c>
      <c r="M267" s="36"/>
    </row>
    <row r="268" spans="1:64" ht="15" customHeight="1">
      <c r="A268" s="2" t="s">
        <v>50</v>
      </c>
      <c r="B268" s="22" t="s">
        <v>450</v>
      </c>
      <c r="C268" s="142" t="s">
        <v>105</v>
      </c>
      <c r="D268" s="142"/>
      <c r="E268" s="142"/>
      <c r="F268" s="142"/>
      <c r="G268" s="22" t="s">
        <v>284</v>
      </c>
      <c r="H268" s="33">
        <v>0.0294</v>
      </c>
      <c r="I268" s="33">
        <v>0</v>
      </c>
      <c r="J268" s="33">
        <f>H268*AO268</f>
        <v>0</v>
      </c>
      <c r="K268" s="33">
        <f>H268*AP268</f>
        <v>0</v>
      </c>
      <c r="L268" s="33">
        <f>H268*I268</f>
        <v>0</v>
      </c>
      <c r="M268" s="101" t="s">
        <v>496</v>
      </c>
      <c r="Z268" s="20">
        <f>IF(AQ268="5",BJ268,0)</f>
        <v>0</v>
      </c>
      <c r="AB268" s="20">
        <f>IF(AQ268="1",BH268,0)</f>
        <v>0</v>
      </c>
      <c r="AC268" s="20">
        <f>IF(AQ268="1",BI268,0)</f>
        <v>0</v>
      </c>
      <c r="AD268" s="20">
        <f>IF(AQ268="7",BH268,0)</f>
        <v>0</v>
      </c>
      <c r="AE268" s="20">
        <f>IF(AQ268="7",BI268,0)</f>
        <v>0</v>
      </c>
      <c r="AF268" s="20">
        <f>IF(AQ268="2",BH268,0)</f>
        <v>0</v>
      </c>
      <c r="AG268" s="20">
        <f>IF(AQ268="2",BI268,0)</f>
        <v>0</v>
      </c>
      <c r="AH268" s="20">
        <f>IF(AQ268="0",BJ268,0)</f>
        <v>0</v>
      </c>
      <c r="AI268" s="64" t="s">
        <v>414</v>
      </c>
      <c r="AJ268" s="20">
        <f>IF(AN268=0,L268,0)</f>
        <v>0</v>
      </c>
      <c r="AK268" s="20">
        <f>IF(AN268=15,L268,0)</f>
        <v>0</v>
      </c>
      <c r="AL268" s="20">
        <f>IF(AN268=21,L268,0)</f>
        <v>0</v>
      </c>
      <c r="AN268" s="20">
        <v>15</v>
      </c>
      <c r="AO268" s="20">
        <f>I268*0</f>
        <v>0</v>
      </c>
      <c r="AP268" s="20">
        <f>I268*(1-0)</f>
        <v>0</v>
      </c>
      <c r="AQ268" s="26" t="s">
        <v>322</v>
      </c>
      <c r="AV268" s="20">
        <f>AW268+AX268</f>
        <v>0</v>
      </c>
      <c r="AW268" s="20">
        <f>H268*AO268</f>
        <v>0</v>
      </c>
      <c r="AX268" s="20">
        <f>H268*AP268</f>
        <v>0</v>
      </c>
      <c r="AY268" s="26" t="s">
        <v>557</v>
      </c>
      <c r="AZ268" s="26" t="s">
        <v>9</v>
      </c>
      <c r="BA268" s="64" t="s">
        <v>452</v>
      </c>
      <c r="BC268" s="20">
        <f>AW268+AX268</f>
        <v>0</v>
      </c>
      <c r="BD268" s="20">
        <f>I268/(100-BE268)*100</f>
        <v>0</v>
      </c>
      <c r="BE268" s="20">
        <v>0</v>
      </c>
      <c r="BF268" s="20">
        <f>268</f>
        <v>268</v>
      </c>
      <c r="BH268" s="20">
        <f>H268*AO268</f>
        <v>0</v>
      </c>
      <c r="BI268" s="20">
        <f>H268*AP268</f>
        <v>0</v>
      </c>
      <c r="BJ268" s="20">
        <f>H268*I268</f>
        <v>0</v>
      </c>
      <c r="BK268" s="20"/>
      <c r="BL268" s="20"/>
    </row>
    <row r="269" spans="10:12" ht="15" customHeight="1">
      <c r="J269" s="145" t="s">
        <v>466</v>
      </c>
      <c r="K269" s="145"/>
      <c r="L269" s="68">
        <f>L13+L42+L55+L58+L69+L84+L96+L127+L133+L146+L161+L196+L218+L224+L232+L234+L236+L238+L251+L255+L257+L259</f>
        <v>0</v>
      </c>
    </row>
    <row r="270" ht="15" customHeight="1">
      <c r="A270" s="52" t="s">
        <v>58</v>
      </c>
    </row>
    <row r="271" spans="1:13" ht="12.75" customHeight="1">
      <c r="A271" s="112" t="s">
        <v>414</v>
      </c>
      <c r="B271" s="113"/>
      <c r="C271" s="113"/>
      <c r="D271" s="113"/>
      <c r="E271" s="113"/>
      <c r="F271" s="113"/>
      <c r="G271" s="113"/>
      <c r="H271" s="113"/>
      <c r="I271" s="113"/>
      <c r="J271" s="113"/>
      <c r="K271" s="113"/>
      <c r="L271" s="113"/>
      <c r="M271" s="113"/>
    </row>
  </sheetData>
  <sheetProtection/>
  <mergeCells count="200"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J3"/>
    <mergeCell ref="C4:D5"/>
    <mergeCell ref="C6:D7"/>
    <mergeCell ref="C8:D9"/>
    <mergeCell ref="G2:H3"/>
    <mergeCell ref="G4:H5"/>
    <mergeCell ref="G6:H7"/>
    <mergeCell ref="G8:H9"/>
    <mergeCell ref="K2:M3"/>
    <mergeCell ref="K4:M5"/>
    <mergeCell ref="K6:M7"/>
    <mergeCell ref="K8:M9"/>
    <mergeCell ref="C10:F10"/>
    <mergeCell ref="I4:J5"/>
    <mergeCell ref="I6:J7"/>
    <mergeCell ref="I8:J9"/>
    <mergeCell ref="C2:D3"/>
    <mergeCell ref="C11:F11"/>
    <mergeCell ref="J10:L10"/>
    <mergeCell ref="C12:F12"/>
    <mergeCell ref="C13:F13"/>
    <mergeCell ref="C14:F14"/>
    <mergeCell ref="C15:F15"/>
    <mergeCell ref="C17:F17"/>
    <mergeCell ref="C21:F21"/>
    <mergeCell ref="C22:F22"/>
    <mergeCell ref="C34:F34"/>
    <mergeCell ref="C35:F35"/>
    <mergeCell ref="C36:F36"/>
    <mergeCell ref="C38:F38"/>
    <mergeCell ref="C40:F40"/>
    <mergeCell ref="C41:F41"/>
    <mergeCell ref="C42:F42"/>
    <mergeCell ref="C43:F43"/>
    <mergeCell ref="C46:F46"/>
    <mergeCell ref="C49:F49"/>
    <mergeCell ref="C52:F52"/>
    <mergeCell ref="C55:F55"/>
    <mergeCell ref="C56:F56"/>
    <mergeCell ref="C57:F57"/>
    <mergeCell ref="C58:F58"/>
    <mergeCell ref="C59:F59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7:F137"/>
    <mergeCell ref="C138:F138"/>
    <mergeCell ref="C139:F139"/>
    <mergeCell ref="C140:F140"/>
    <mergeCell ref="C141:F141"/>
    <mergeCell ref="C143:F143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9:F169"/>
    <mergeCell ref="C176:F176"/>
    <mergeCell ref="C177:F177"/>
    <mergeCell ref="C178:F178"/>
    <mergeCell ref="C185:F185"/>
    <mergeCell ref="C186:F186"/>
    <mergeCell ref="C193:F193"/>
    <mergeCell ref="C195:F195"/>
    <mergeCell ref="C196:F196"/>
    <mergeCell ref="C197:F197"/>
    <mergeCell ref="C205:F205"/>
    <mergeCell ref="C206:F206"/>
    <mergeCell ref="C207:F207"/>
    <mergeCell ref="C208:F208"/>
    <mergeCell ref="C209:F209"/>
    <mergeCell ref="C211:F211"/>
    <mergeCell ref="C212:F212"/>
    <mergeCell ref="C213:F213"/>
    <mergeCell ref="C215:F215"/>
    <mergeCell ref="C217:F217"/>
    <mergeCell ref="C218:F218"/>
    <mergeCell ref="C219:F219"/>
    <mergeCell ref="C221:F221"/>
    <mergeCell ref="C222:F222"/>
    <mergeCell ref="C223:F223"/>
    <mergeCell ref="C224:F224"/>
    <mergeCell ref="C225:F225"/>
    <mergeCell ref="C226:F226"/>
    <mergeCell ref="C227:F227"/>
    <mergeCell ref="C232:F232"/>
    <mergeCell ref="C233:F233"/>
    <mergeCell ref="C234:F234"/>
    <mergeCell ref="C235:F235"/>
    <mergeCell ref="C236:F236"/>
    <mergeCell ref="C237:F237"/>
    <mergeCell ref="C238:F238"/>
    <mergeCell ref="C239:F239"/>
    <mergeCell ref="C240:F240"/>
    <mergeCell ref="C243:F243"/>
    <mergeCell ref="C246:F246"/>
    <mergeCell ref="C249:F249"/>
    <mergeCell ref="C250:F250"/>
    <mergeCell ref="C251:F251"/>
    <mergeCell ref="C252:F252"/>
    <mergeCell ref="C255:F255"/>
    <mergeCell ref="C256:F256"/>
    <mergeCell ref="C257:F257"/>
    <mergeCell ref="C258:F258"/>
    <mergeCell ref="C259:F259"/>
    <mergeCell ref="C260:F260"/>
    <mergeCell ref="C261:F261"/>
    <mergeCell ref="C262:F262"/>
    <mergeCell ref="C263:F263"/>
    <mergeCell ref="C264:F264"/>
    <mergeCell ref="C266:F266"/>
    <mergeCell ref="C268:F268"/>
    <mergeCell ref="J269:K269"/>
    <mergeCell ref="A271:M271"/>
  </mergeCells>
  <printOptions/>
  <pageMargins left="0.394" right="0.394" top="0.591" bottom="0.591" header="0" footer="0"/>
  <pageSetup firstPageNumber="0" useFirstPageNumber="1"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Popelková Marcela</cp:lastModifiedBy>
  <dcterms:created xsi:type="dcterms:W3CDTF">2021-06-10T20:06:38Z</dcterms:created>
  <dcterms:modified xsi:type="dcterms:W3CDTF">2024-01-24T17:09:53Z</dcterms:modified>
  <cp:category/>
  <cp:version/>
  <cp:contentType/>
  <cp:contentStatus/>
</cp:coreProperties>
</file>