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VORN!$I$45</definedName>
  </definedNames>
  <calcPr calcId="124519"/>
</workbook>
</file>

<file path=xl/calcChain.xml><?xml version="1.0" encoding="utf-8"?>
<calcChain xmlns="http://schemas.openxmlformats.org/spreadsheetml/2006/main">
  <c r="BR296" i="3"/>
  <c r="BJ296"/>
  <c r="BF296"/>
  <c r="BD296"/>
  <c r="AW296"/>
  <c r="AP296"/>
  <c r="BI296" s="1"/>
  <c r="AO296"/>
  <c r="BH296" s="1"/>
  <c r="AL296"/>
  <c r="AK296"/>
  <c r="AJ296"/>
  <c r="AH296"/>
  <c r="AG296"/>
  <c r="AF296"/>
  <c r="AE296"/>
  <c r="AD296"/>
  <c r="AC296"/>
  <c r="AB296"/>
  <c r="Z296"/>
  <c r="H296"/>
  <c r="AU295"/>
  <c r="AT295"/>
  <c r="AS295"/>
  <c r="H295"/>
  <c r="BO294"/>
  <c r="BJ294"/>
  <c r="BF294"/>
  <c r="BD294"/>
  <c r="AW294"/>
  <c r="AP294"/>
  <c r="BI294" s="1"/>
  <c r="AO294"/>
  <c r="BH294" s="1"/>
  <c r="AL294"/>
  <c r="AJ294"/>
  <c r="AH294"/>
  <c r="AG294"/>
  <c r="AF294"/>
  <c r="AE294"/>
  <c r="AD294"/>
  <c r="AC294"/>
  <c r="AB294"/>
  <c r="Z294"/>
  <c r="H294"/>
  <c r="AK294" s="1"/>
  <c r="AT293" s="1"/>
  <c r="AU293"/>
  <c r="AS293"/>
  <c r="H293"/>
  <c r="H292"/>
  <c r="BJ291"/>
  <c r="BF291"/>
  <c r="BD291"/>
  <c r="AW291"/>
  <c r="AP291"/>
  <c r="BI291" s="1"/>
  <c r="AG291" s="1"/>
  <c r="AO291"/>
  <c r="BH291" s="1"/>
  <c r="AF291" s="1"/>
  <c r="AL291"/>
  <c r="AJ291"/>
  <c r="AH291"/>
  <c r="AE291"/>
  <c r="AD291"/>
  <c r="AC291"/>
  <c r="AB291"/>
  <c r="Z291"/>
  <c r="H291"/>
  <c r="AK291" s="1"/>
  <c r="BJ290"/>
  <c r="BF290"/>
  <c r="BD290"/>
  <c r="AX290"/>
  <c r="AP290"/>
  <c r="BI290" s="1"/>
  <c r="AG290" s="1"/>
  <c r="AO290"/>
  <c r="BH290" s="1"/>
  <c r="AF290" s="1"/>
  <c r="AL290"/>
  <c r="AK290"/>
  <c r="AJ290"/>
  <c r="AH290"/>
  <c r="AE290"/>
  <c r="AD290"/>
  <c r="AC290"/>
  <c r="AB290"/>
  <c r="Z290"/>
  <c r="H290"/>
  <c r="BJ289"/>
  <c r="BF289"/>
  <c r="BD289"/>
  <c r="AW289"/>
  <c r="AP289"/>
  <c r="AX289" s="1"/>
  <c r="BC289" s="1"/>
  <c r="AO289"/>
  <c r="BH289" s="1"/>
  <c r="AF289" s="1"/>
  <c r="AL289"/>
  <c r="AJ289"/>
  <c r="AH289"/>
  <c r="AE289"/>
  <c r="AD289"/>
  <c r="AC289"/>
  <c r="AB289"/>
  <c r="Z289"/>
  <c r="H289"/>
  <c r="AK289" s="1"/>
  <c r="BJ288"/>
  <c r="BF288"/>
  <c r="BD288"/>
  <c r="AX288"/>
  <c r="AP288"/>
  <c r="BI288" s="1"/>
  <c r="AG288" s="1"/>
  <c r="AO288"/>
  <c r="AW288" s="1"/>
  <c r="AL288"/>
  <c r="AJ288"/>
  <c r="AH288"/>
  <c r="AE288"/>
  <c r="AD288"/>
  <c r="AC288"/>
  <c r="AB288"/>
  <c r="Z288"/>
  <c r="H288"/>
  <c r="AK288" s="1"/>
  <c r="BJ287"/>
  <c r="BF287"/>
  <c r="BD287"/>
  <c r="AW287"/>
  <c r="AP287"/>
  <c r="BI287" s="1"/>
  <c r="AG287" s="1"/>
  <c r="AO287"/>
  <c r="BH287" s="1"/>
  <c r="AF287" s="1"/>
  <c r="AL287"/>
  <c r="AJ287"/>
  <c r="AH287"/>
  <c r="AE287"/>
  <c r="AD287"/>
  <c r="AC287"/>
  <c r="AB287"/>
  <c r="Z287"/>
  <c r="H287"/>
  <c r="AK287" s="1"/>
  <c r="AT286" s="1"/>
  <c r="AU286"/>
  <c r="AS286"/>
  <c r="BJ284"/>
  <c r="BF284"/>
  <c r="BD284"/>
  <c r="AX284"/>
  <c r="AP284"/>
  <c r="BI284" s="1"/>
  <c r="AE284" s="1"/>
  <c r="AO284"/>
  <c r="BH284" s="1"/>
  <c r="AD284" s="1"/>
  <c r="AL284"/>
  <c r="AK284"/>
  <c r="AJ284"/>
  <c r="AH284"/>
  <c r="AG284"/>
  <c r="AF284"/>
  <c r="AC284"/>
  <c r="AB284"/>
  <c r="Z284"/>
  <c r="H284"/>
  <c r="H282" s="1"/>
  <c r="BJ283"/>
  <c r="BF283"/>
  <c r="BD283"/>
  <c r="AW283"/>
  <c r="AV283" s="1"/>
  <c r="AP283"/>
  <c r="AX283" s="1"/>
  <c r="BC283" s="1"/>
  <c r="AO283"/>
  <c r="BH283" s="1"/>
  <c r="AD283" s="1"/>
  <c r="AL283"/>
  <c r="AJ283"/>
  <c r="AH283"/>
  <c r="AG283"/>
  <c r="AF283"/>
  <c r="AC283"/>
  <c r="AB283"/>
  <c r="Z283"/>
  <c r="H283"/>
  <c r="AK283" s="1"/>
  <c r="AT282" s="1"/>
  <c r="AU282"/>
  <c r="AS282"/>
  <c r="BJ280"/>
  <c r="BF280"/>
  <c r="BD280"/>
  <c r="AX280"/>
  <c r="AP280"/>
  <c r="BI280" s="1"/>
  <c r="AE280" s="1"/>
  <c r="AO280"/>
  <c r="AW280" s="1"/>
  <c r="AL280"/>
  <c r="AJ280"/>
  <c r="AH280"/>
  <c r="AG280"/>
  <c r="AF280"/>
  <c r="AC280"/>
  <c r="AB280"/>
  <c r="Z280"/>
  <c r="H280"/>
  <c r="AK280" s="1"/>
  <c r="AT279" s="1"/>
  <c r="AU279"/>
  <c r="AS279"/>
  <c r="H279"/>
  <c r="BJ278"/>
  <c r="BF278"/>
  <c r="BD278"/>
  <c r="AW278"/>
  <c r="AP278"/>
  <c r="BI278" s="1"/>
  <c r="AO278"/>
  <c r="BH278" s="1"/>
  <c r="AL278"/>
  <c r="AJ278"/>
  <c r="AH278"/>
  <c r="AG278"/>
  <c r="AF278"/>
  <c r="AE278"/>
  <c r="AD278"/>
  <c r="AC278"/>
  <c r="AB278"/>
  <c r="Z278"/>
  <c r="H278"/>
  <c r="AK278" s="1"/>
  <c r="BJ276"/>
  <c r="BF276"/>
  <c r="BD276"/>
  <c r="AX276"/>
  <c r="AP276"/>
  <c r="BI276" s="1"/>
  <c r="AE276" s="1"/>
  <c r="AO276"/>
  <c r="BH276" s="1"/>
  <c r="AD276" s="1"/>
  <c r="AL276"/>
  <c r="AK276"/>
  <c r="AJ276"/>
  <c r="AH276"/>
  <c r="AG276"/>
  <c r="AF276"/>
  <c r="AC276"/>
  <c r="AB276"/>
  <c r="Z276"/>
  <c r="H276"/>
  <c r="BJ275"/>
  <c r="BF275"/>
  <c r="BD275"/>
  <c r="AW275"/>
  <c r="AP275"/>
  <c r="AX275" s="1"/>
  <c r="BC275" s="1"/>
  <c r="AO275"/>
  <c r="BH275" s="1"/>
  <c r="AD275" s="1"/>
  <c r="AL275"/>
  <c r="AJ275"/>
  <c r="AH275"/>
  <c r="AG275"/>
  <c r="AF275"/>
  <c r="AC275"/>
  <c r="AB275"/>
  <c r="Z275"/>
  <c r="H275"/>
  <c r="AK275" s="1"/>
  <c r="BJ273"/>
  <c r="BF273"/>
  <c r="BD273"/>
  <c r="AX273"/>
  <c r="AP273"/>
  <c r="BI273" s="1"/>
  <c r="AE273" s="1"/>
  <c r="AO273"/>
  <c r="AW273" s="1"/>
  <c r="AL273"/>
  <c r="AJ273"/>
  <c r="AH273"/>
  <c r="AG273"/>
  <c r="AF273"/>
  <c r="AC273"/>
  <c r="AB273"/>
  <c r="Z273"/>
  <c r="H273"/>
  <c r="AK273" s="1"/>
  <c r="BJ272"/>
  <c r="BF272"/>
  <c r="BD272"/>
  <c r="AW272"/>
  <c r="AP272"/>
  <c r="BI272" s="1"/>
  <c r="AE272" s="1"/>
  <c r="AO272"/>
  <c r="BH272" s="1"/>
  <c r="AD272" s="1"/>
  <c r="AL272"/>
  <c r="AU266" s="1"/>
  <c r="AJ272"/>
  <c r="AH272"/>
  <c r="AG272"/>
  <c r="AF272"/>
  <c r="AC272"/>
  <c r="AB272"/>
  <c r="Z272"/>
  <c r="H272"/>
  <c r="AK272" s="1"/>
  <c r="BJ267"/>
  <c r="BF267"/>
  <c r="BD267"/>
  <c r="AX267"/>
  <c r="AP267"/>
  <c r="BI267" s="1"/>
  <c r="AE267" s="1"/>
  <c r="AO267"/>
  <c r="BH267" s="1"/>
  <c r="AD267" s="1"/>
  <c r="AL267"/>
  <c r="AK267"/>
  <c r="AJ267"/>
  <c r="AH267"/>
  <c r="AG267"/>
  <c r="AF267"/>
  <c r="AC267"/>
  <c r="AB267"/>
  <c r="Z267"/>
  <c r="H267"/>
  <c r="AS266"/>
  <c r="H266"/>
  <c r="BJ265"/>
  <c r="BF265"/>
  <c r="BD265"/>
  <c r="AW265"/>
  <c r="AV265" s="1"/>
  <c r="AP265"/>
  <c r="AX265" s="1"/>
  <c r="BC265" s="1"/>
  <c r="AO265"/>
  <c r="BH265" s="1"/>
  <c r="AL265"/>
  <c r="AJ265"/>
  <c r="AH265"/>
  <c r="AG265"/>
  <c r="AF265"/>
  <c r="AE265"/>
  <c r="AD265"/>
  <c r="AC265"/>
  <c r="AB265"/>
  <c r="Z265"/>
  <c r="H265"/>
  <c r="AK265" s="1"/>
  <c r="BJ264"/>
  <c r="BF264"/>
  <c r="BD264"/>
  <c r="AX264"/>
  <c r="AP264"/>
  <c r="BI264" s="1"/>
  <c r="AE264" s="1"/>
  <c r="AO264"/>
  <c r="AW264" s="1"/>
  <c r="AL264"/>
  <c r="AJ264"/>
  <c r="AH264"/>
  <c r="AG264"/>
  <c r="AF264"/>
  <c r="AC264"/>
  <c r="AB264"/>
  <c r="Z264"/>
  <c r="H264"/>
  <c r="AK264" s="1"/>
  <c r="BJ260"/>
  <c r="BF260"/>
  <c r="BD260"/>
  <c r="AW260"/>
  <c r="AP260"/>
  <c r="BI260" s="1"/>
  <c r="AE260" s="1"/>
  <c r="AO260"/>
  <c r="BH260" s="1"/>
  <c r="AD260" s="1"/>
  <c r="AL260"/>
  <c r="AJ260"/>
  <c r="AH260"/>
  <c r="AG260"/>
  <c r="AF260"/>
  <c r="AC260"/>
  <c r="AB260"/>
  <c r="Z260"/>
  <c r="H260"/>
  <c r="AK260" s="1"/>
  <c r="AT259" s="1"/>
  <c r="AU259"/>
  <c r="AS259"/>
  <c r="BJ258"/>
  <c r="Z258" s="1"/>
  <c r="BF258"/>
  <c r="BD258"/>
  <c r="AX258"/>
  <c r="AP258"/>
  <c r="BI258" s="1"/>
  <c r="AO258"/>
  <c r="BH258" s="1"/>
  <c r="AL258"/>
  <c r="AK258"/>
  <c r="AJ258"/>
  <c r="AH258"/>
  <c r="AG258"/>
  <c r="AF258"/>
  <c r="AE258"/>
  <c r="AD258"/>
  <c r="AC258"/>
  <c r="AB258"/>
  <c r="H258"/>
  <c r="BJ256"/>
  <c r="BF256"/>
  <c r="BD256"/>
  <c r="AW256"/>
  <c r="AP256"/>
  <c r="AX256" s="1"/>
  <c r="BC256" s="1"/>
  <c r="AO256"/>
  <c r="BH256" s="1"/>
  <c r="AD256" s="1"/>
  <c r="AL256"/>
  <c r="AJ256"/>
  <c r="AH256"/>
  <c r="AG256"/>
  <c r="AF256"/>
  <c r="AC256"/>
  <c r="AB256"/>
  <c r="Z256"/>
  <c r="H256"/>
  <c r="AK256" s="1"/>
  <c r="BJ255"/>
  <c r="BF255"/>
  <c r="BD255"/>
  <c r="AX255"/>
  <c r="AP255"/>
  <c r="BI255" s="1"/>
  <c r="AE255" s="1"/>
  <c r="AO255"/>
  <c r="AW255" s="1"/>
  <c r="AL255"/>
  <c r="AJ255"/>
  <c r="AH255"/>
  <c r="AG255"/>
  <c r="AF255"/>
  <c r="AC255"/>
  <c r="AB255"/>
  <c r="Z255"/>
  <c r="H255"/>
  <c r="AK255" s="1"/>
  <c r="BJ254"/>
  <c r="BF254"/>
  <c r="BD254"/>
  <c r="AW254"/>
  <c r="AP254"/>
  <c r="BI254" s="1"/>
  <c r="AE254" s="1"/>
  <c r="AO254"/>
  <c r="BH254" s="1"/>
  <c r="AD254" s="1"/>
  <c r="AL254"/>
  <c r="AJ254"/>
  <c r="AH254"/>
  <c r="AG254"/>
  <c r="AF254"/>
  <c r="AC254"/>
  <c r="AB254"/>
  <c r="Z254"/>
  <c r="H254"/>
  <c r="AK254" s="1"/>
  <c r="BJ249"/>
  <c r="BF249"/>
  <c r="BD249"/>
  <c r="AX249"/>
  <c r="AP249"/>
  <c r="BI249" s="1"/>
  <c r="AE249" s="1"/>
  <c r="AO249"/>
  <c r="BH249" s="1"/>
  <c r="AD249" s="1"/>
  <c r="AL249"/>
  <c r="AK249"/>
  <c r="AJ249"/>
  <c r="AH249"/>
  <c r="AG249"/>
  <c r="AF249"/>
  <c r="AC249"/>
  <c r="AB249"/>
  <c r="Z249"/>
  <c r="H249"/>
  <c r="BJ245"/>
  <c r="BF245"/>
  <c r="BD245"/>
  <c r="AW245"/>
  <c r="AV245" s="1"/>
  <c r="AP245"/>
  <c r="AX245" s="1"/>
  <c r="BC245" s="1"/>
  <c r="AO245"/>
  <c r="BH245" s="1"/>
  <c r="AD245" s="1"/>
  <c r="AL245"/>
  <c r="AU240" s="1"/>
  <c r="AJ245"/>
  <c r="AS240" s="1"/>
  <c r="AH245"/>
  <c r="AG245"/>
  <c r="AF245"/>
  <c r="AC245"/>
  <c r="AB245"/>
  <c r="Z245"/>
  <c r="H245"/>
  <c r="AK245" s="1"/>
  <c r="BJ241"/>
  <c r="BF241"/>
  <c r="BD241"/>
  <c r="AX241"/>
  <c r="AP241"/>
  <c r="BI241" s="1"/>
  <c r="AE241" s="1"/>
  <c r="AO241"/>
  <c r="AW241" s="1"/>
  <c r="AL241"/>
  <c r="AJ241"/>
  <c r="AH241"/>
  <c r="AG241"/>
  <c r="AF241"/>
  <c r="AC241"/>
  <c r="AB241"/>
  <c r="Z241"/>
  <c r="H241"/>
  <c r="AK241" s="1"/>
  <c r="H240"/>
  <c r="BJ239"/>
  <c r="BF239"/>
  <c r="BD239"/>
  <c r="AW239"/>
  <c r="AP239"/>
  <c r="BI239" s="1"/>
  <c r="AO239"/>
  <c r="BH239" s="1"/>
  <c r="AL239"/>
  <c r="AJ239"/>
  <c r="AH239"/>
  <c r="AG239"/>
  <c r="AF239"/>
  <c r="AE239"/>
  <c r="AD239"/>
  <c r="AC239"/>
  <c r="AB239"/>
  <c r="Z239"/>
  <c r="H239"/>
  <c r="AK239" s="1"/>
  <c r="BJ238"/>
  <c r="BF238"/>
  <c r="BD238"/>
  <c r="AX238"/>
  <c r="AP238"/>
  <c r="BI238" s="1"/>
  <c r="AE238" s="1"/>
  <c r="AO238"/>
  <c r="BH238" s="1"/>
  <c r="AD238" s="1"/>
  <c r="AL238"/>
  <c r="AK238"/>
  <c r="AJ238"/>
  <c r="AH238"/>
  <c r="AG238"/>
  <c r="AF238"/>
  <c r="AC238"/>
  <c r="AB238"/>
  <c r="Z238"/>
  <c r="H238"/>
  <c r="BJ234"/>
  <c r="BF234"/>
  <c r="BD234"/>
  <c r="AW234"/>
  <c r="AV234" s="1"/>
  <c r="AP234"/>
  <c r="AX234" s="1"/>
  <c r="BC234" s="1"/>
  <c r="AO234"/>
  <c r="BH234" s="1"/>
  <c r="AD234" s="1"/>
  <c r="AL234"/>
  <c r="AJ234"/>
  <c r="AH234"/>
  <c r="AG234"/>
  <c r="AF234"/>
  <c r="AC234"/>
  <c r="AB234"/>
  <c r="Z234"/>
  <c r="H234"/>
  <c r="AK234" s="1"/>
  <c r="BJ233"/>
  <c r="BF233"/>
  <c r="BD233"/>
  <c r="AX233"/>
  <c r="AP233"/>
  <c r="BI233" s="1"/>
  <c r="AE233" s="1"/>
  <c r="AO233"/>
  <c r="AW233" s="1"/>
  <c r="AL233"/>
  <c r="AJ233"/>
  <c r="AH233"/>
  <c r="AG233"/>
  <c r="AF233"/>
  <c r="AC233"/>
  <c r="AB233"/>
  <c r="Z233"/>
  <c r="H233"/>
  <c r="AK233" s="1"/>
  <c r="BJ231"/>
  <c r="BF231"/>
  <c r="BD231"/>
  <c r="AW231"/>
  <c r="AP231"/>
  <c r="BI231" s="1"/>
  <c r="AE231" s="1"/>
  <c r="AO231"/>
  <c r="BH231" s="1"/>
  <c r="AD231" s="1"/>
  <c r="AL231"/>
  <c r="AU229" s="1"/>
  <c r="AJ231"/>
  <c r="AS229" s="1"/>
  <c r="AH231"/>
  <c r="AG231"/>
  <c r="AF231"/>
  <c r="AC231"/>
  <c r="AB231"/>
  <c r="Z231"/>
  <c r="H231"/>
  <c r="AK231" s="1"/>
  <c r="BJ230"/>
  <c r="BF230"/>
  <c r="BD230"/>
  <c r="AX230"/>
  <c r="AP230"/>
  <c r="BI230" s="1"/>
  <c r="AE230" s="1"/>
  <c r="AO230"/>
  <c r="BH230" s="1"/>
  <c r="AD230" s="1"/>
  <c r="AL230"/>
  <c r="AK230"/>
  <c r="AJ230"/>
  <c r="AH230"/>
  <c r="AG230"/>
  <c r="AF230"/>
  <c r="AC230"/>
  <c r="AB230"/>
  <c r="Z230"/>
  <c r="H230"/>
  <c r="H229"/>
  <c r="BJ228"/>
  <c r="BF228"/>
  <c r="BD228"/>
  <c r="AW228"/>
  <c r="AV228" s="1"/>
  <c r="AP228"/>
  <c r="AX228" s="1"/>
  <c r="BC228" s="1"/>
  <c r="AO228"/>
  <c r="BH228" s="1"/>
  <c r="AL228"/>
  <c r="AJ228"/>
  <c r="AH228"/>
  <c r="AG228"/>
  <c r="AF228"/>
  <c r="AE228"/>
  <c r="AD228"/>
  <c r="AC228"/>
  <c r="AB228"/>
  <c r="Z228"/>
  <c r="H228"/>
  <c r="AK228" s="1"/>
  <c r="BJ227"/>
  <c r="BF227"/>
  <c r="BD227"/>
  <c r="AX227"/>
  <c r="AP227"/>
  <c r="BI227" s="1"/>
  <c r="AE227" s="1"/>
  <c r="AO227"/>
  <c r="AW227" s="1"/>
  <c r="AL227"/>
  <c r="AJ227"/>
  <c r="AH227"/>
  <c r="AG227"/>
  <c r="AF227"/>
  <c r="AC227"/>
  <c r="AB227"/>
  <c r="Z227"/>
  <c r="H227"/>
  <c r="AK227" s="1"/>
  <c r="BJ226"/>
  <c r="BF226"/>
  <c r="BD226"/>
  <c r="AW226"/>
  <c r="AP226"/>
  <c r="BI226" s="1"/>
  <c r="AE226" s="1"/>
  <c r="AO226"/>
  <c r="BH226" s="1"/>
  <c r="AD226" s="1"/>
  <c r="AL226"/>
  <c r="AJ226"/>
  <c r="AH226"/>
  <c r="AG226"/>
  <c r="AF226"/>
  <c r="AC226"/>
  <c r="AB226"/>
  <c r="Z226"/>
  <c r="H226"/>
  <c r="AK226" s="1"/>
  <c r="BJ225"/>
  <c r="BF225"/>
  <c r="BD225"/>
  <c r="AX225"/>
  <c r="AP225"/>
  <c r="BI225" s="1"/>
  <c r="AE225" s="1"/>
  <c r="AO225"/>
  <c r="BH225" s="1"/>
  <c r="AD225" s="1"/>
  <c r="AL225"/>
  <c r="AK225"/>
  <c r="AJ225"/>
  <c r="AH225"/>
  <c r="AG225"/>
  <c r="AF225"/>
  <c r="AC225"/>
  <c r="AB225"/>
  <c r="Z225"/>
  <c r="H225"/>
  <c r="BJ224"/>
  <c r="BF224"/>
  <c r="BD224"/>
  <c r="AW224"/>
  <c r="AV224" s="1"/>
  <c r="AP224"/>
  <c r="AX224" s="1"/>
  <c r="BC224" s="1"/>
  <c r="AO224"/>
  <c r="BH224" s="1"/>
  <c r="AD224" s="1"/>
  <c r="AL224"/>
  <c r="AJ224"/>
  <c r="AH224"/>
  <c r="AG224"/>
  <c r="AF224"/>
  <c r="AC224"/>
  <c r="AB224"/>
  <c r="Z224"/>
  <c r="H224"/>
  <c r="AK224" s="1"/>
  <c r="BJ222"/>
  <c r="BF222"/>
  <c r="BD222"/>
  <c r="AX222"/>
  <c r="AP222"/>
  <c r="BI222" s="1"/>
  <c r="AE222" s="1"/>
  <c r="AO222"/>
  <c r="AW222" s="1"/>
  <c r="AL222"/>
  <c r="AJ222"/>
  <c r="AH222"/>
  <c r="AG222"/>
  <c r="AF222"/>
  <c r="AC222"/>
  <c r="AB222"/>
  <c r="Z222"/>
  <c r="H222"/>
  <c r="AK222" s="1"/>
  <c r="BJ221"/>
  <c r="BF221"/>
  <c r="BD221"/>
  <c r="AW221"/>
  <c r="AP221"/>
  <c r="BI221" s="1"/>
  <c r="AE221" s="1"/>
  <c r="AO221"/>
  <c r="BH221" s="1"/>
  <c r="AD221" s="1"/>
  <c r="AL221"/>
  <c r="AJ221"/>
  <c r="AH221"/>
  <c r="AG221"/>
  <c r="AF221"/>
  <c r="AC221"/>
  <c r="AB221"/>
  <c r="Z221"/>
  <c r="H221"/>
  <c r="AK221" s="1"/>
  <c r="BJ220"/>
  <c r="BF220"/>
  <c r="BD220"/>
  <c r="AX220"/>
  <c r="AP220"/>
  <c r="BI220" s="1"/>
  <c r="AE220" s="1"/>
  <c r="AO220"/>
  <c r="BH220" s="1"/>
  <c r="AD220" s="1"/>
  <c r="AL220"/>
  <c r="AK220"/>
  <c r="AJ220"/>
  <c r="AH220"/>
  <c r="AG220"/>
  <c r="AF220"/>
  <c r="AC220"/>
  <c r="AB220"/>
  <c r="Z220"/>
  <c r="H220"/>
  <c r="BJ219"/>
  <c r="BF219"/>
  <c r="BD219"/>
  <c r="AW219"/>
  <c r="AP219"/>
  <c r="AX219" s="1"/>
  <c r="BC219" s="1"/>
  <c r="AO219"/>
  <c r="BH219" s="1"/>
  <c r="AD219" s="1"/>
  <c r="AL219"/>
  <c r="AJ219"/>
  <c r="AH219"/>
  <c r="AG219"/>
  <c r="AF219"/>
  <c r="AC219"/>
  <c r="AB219"/>
  <c r="Z219"/>
  <c r="H219"/>
  <c r="AK219" s="1"/>
  <c r="BJ218"/>
  <c r="BF218"/>
  <c r="BD218"/>
  <c r="AX218"/>
  <c r="AP218"/>
  <c r="BI218" s="1"/>
  <c r="AE218" s="1"/>
  <c r="AO218"/>
  <c r="AW218" s="1"/>
  <c r="AL218"/>
  <c r="AJ218"/>
  <c r="AH218"/>
  <c r="AG218"/>
  <c r="AF218"/>
  <c r="AC218"/>
  <c r="AB218"/>
  <c r="Z218"/>
  <c r="H218"/>
  <c r="AK218" s="1"/>
  <c r="BJ217"/>
  <c r="BF217"/>
  <c r="BD217"/>
  <c r="AW217"/>
  <c r="AP217"/>
  <c r="BI217" s="1"/>
  <c r="AE217" s="1"/>
  <c r="AO217"/>
  <c r="BH217" s="1"/>
  <c r="AD217" s="1"/>
  <c r="AL217"/>
  <c r="AJ217"/>
  <c r="AH217"/>
  <c r="AG217"/>
  <c r="AF217"/>
  <c r="AC217"/>
  <c r="AB217"/>
  <c r="Z217"/>
  <c r="H217"/>
  <c r="AK217" s="1"/>
  <c r="BJ216"/>
  <c r="BF216"/>
  <c r="BD216"/>
  <c r="AX216"/>
  <c r="AP216"/>
  <c r="BI216" s="1"/>
  <c r="AE216" s="1"/>
  <c r="AO216"/>
  <c r="BH216" s="1"/>
  <c r="AD216" s="1"/>
  <c r="AL216"/>
  <c r="AK216"/>
  <c r="AJ216"/>
  <c r="AH216"/>
  <c r="AG216"/>
  <c r="AF216"/>
  <c r="AC216"/>
  <c r="AB216"/>
  <c r="Z216"/>
  <c r="H216"/>
  <c r="BJ215"/>
  <c r="BF215"/>
  <c r="BD215"/>
  <c r="AW215"/>
  <c r="AP215"/>
  <c r="AX215" s="1"/>
  <c r="BC215" s="1"/>
  <c r="AO215"/>
  <c r="BH215" s="1"/>
  <c r="AD215" s="1"/>
  <c r="AL215"/>
  <c r="AJ215"/>
  <c r="AH215"/>
  <c r="AG215"/>
  <c r="AF215"/>
  <c r="AC215"/>
  <c r="AB215"/>
  <c r="Z215"/>
  <c r="H215"/>
  <c r="AK215" s="1"/>
  <c r="BJ214"/>
  <c r="BF214"/>
  <c r="BD214"/>
  <c r="AX214"/>
  <c r="AP214"/>
  <c r="BI214" s="1"/>
  <c r="AE214" s="1"/>
  <c r="AO214"/>
  <c r="AW214" s="1"/>
  <c r="AL214"/>
  <c r="AJ214"/>
  <c r="AH214"/>
  <c r="AG214"/>
  <c r="AF214"/>
  <c r="AC214"/>
  <c r="AB214"/>
  <c r="Z214"/>
  <c r="H214"/>
  <c r="AK214" s="1"/>
  <c r="BJ213"/>
  <c r="BF213"/>
  <c r="BD213"/>
  <c r="AW213"/>
  <c r="AP213"/>
  <c r="BI213" s="1"/>
  <c r="AE213" s="1"/>
  <c r="AO213"/>
  <c r="BH213" s="1"/>
  <c r="AD213" s="1"/>
  <c r="AL213"/>
  <c r="AJ213"/>
  <c r="AH213"/>
  <c r="AG213"/>
  <c r="AF213"/>
  <c r="AC213"/>
  <c r="AB213"/>
  <c r="Z213"/>
  <c r="H213"/>
  <c r="AK213" s="1"/>
  <c r="AT212" s="1"/>
  <c r="AU212"/>
  <c r="AS212"/>
  <c r="BJ211"/>
  <c r="BF211"/>
  <c r="BD211"/>
  <c r="AX211"/>
  <c r="AP211"/>
  <c r="BI211" s="1"/>
  <c r="AE211" s="1"/>
  <c r="AO211"/>
  <c r="BH211" s="1"/>
  <c r="AD211" s="1"/>
  <c r="AL211"/>
  <c r="AK211"/>
  <c r="AJ211"/>
  <c r="AH211"/>
  <c r="AG211"/>
  <c r="AF211"/>
  <c r="AC211"/>
  <c r="AB211"/>
  <c r="Z211"/>
  <c r="H211"/>
  <c r="H209" s="1"/>
  <c r="BJ210"/>
  <c r="BF210"/>
  <c r="BD210"/>
  <c r="AW210"/>
  <c r="AP210"/>
  <c r="AX210" s="1"/>
  <c r="BC210" s="1"/>
  <c r="AO210"/>
  <c r="BH210" s="1"/>
  <c r="AD210" s="1"/>
  <c r="AL210"/>
  <c r="AJ210"/>
  <c r="AH210"/>
  <c r="AG210"/>
  <c r="AF210"/>
  <c r="AC210"/>
  <c r="AB210"/>
  <c r="Z210"/>
  <c r="H210"/>
  <c r="AK210" s="1"/>
  <c r="AT209" s="1"/>
  <c r="AU209"/>
  <c r="AS209"/>
  <c r="BJ208"/>
  <c r="Z208" s="1"/>
  <c r="BF208"/>
  <c r="BD208"/>
  <c r="AX208"/>
  <c r="AP208"/>
  <c r="BI208" s="1"/>
  <c r="AO208"/>
  <c r="AW208" s="1"/>
  <c r="AL208"/>
  <c r="AJ208"/>
  <c r="AH208"/>
  <c r="AG208"/>
  <c r="AF208"/>
  <c r="AE208"/>
  <c r="AD208"/>
  <c r="AC208"/>
  <c r="AB208"/>
  <c r="H208"/>
  <c r="AK208" s="1"/>
  <c r="BJ207"/>
  <c r="BF207"/>
  <c r="BD207"/>
  <c r="AW207"/>
  <c r="AP207"/>
  <c r="BI207" s="1"/>
  <c r="AE207" s="1"/>
  <c r="AO207"/>
  <c r="BH207" s="1"/>
  <c r="AD207" s="1"/>
  <c r="AL207"/>
  <c r="AJ207"/>
  <c r="AH207"/>
  <c r="AG207"/>
  <c r="AF207"/>
  <c r="AC207"/>
  <c r="AB207"/>
  <c r="Z207"/>
  <c r="H207"/>
  <c r="AK207" s="1"/>
  <c r="BJ206"/>
  <c r="BF206"/>
  <c r="BD206"/>
  <c r="AX206"/>
  <c r="AP206"/>
  <c r="BI206" s="1"/>
  <c r="AE206" s="1"/>
  <c r="AO206"/>
  <c r="BH206" s="1"/>
  <c r="AD206" s="1"/>
  <c r="AL206"/>
  <c r="AK206"/>
  <c r="AJ206"/>
  <c r="AH206"/>
  <c r="AG206"/>
  <c r="AF206"/>
  <c r="AC206"/>
  <c r="AB206"/>
  <c r="Z206"/>
  <c r="H206"/>
  <c r="BJ205"/>
  <c r="BF205"/>
  <c r="BD205"/>
  <c r="AW205"/>
  <c r="AP205"/>
  <c r="AX205" s="1"/>
  <c r="BC205" s="1"/>
  <c r="AO205"/>
  <c r="BH205" s="1"/>
  <c r="AD205" s="1"/>
  <c r="AL205"/>
  <c r="AJ205"/>
  <c r="AH205"/>
  <c r="AG205"/>
  <c r="AF205"/>
  <c r="AC205"/>
  <c r="AB205"/>
  <c r="Z205"/>
  <c r="H205"/>
  <c r="AK205" s="1"/>
  <c r="BJ204"/>
  <c r="BF204"/>
  <c r="BD204"/>
  <c r="AX204"/>
  <c r="AP204"/>
  <c r="BI204" s="1"/>
  <c r="AE204" s="1"/>
  <c r="AO204"/>
  <c r="AW204" s="1"/>
  <c r="AL204"/>
  <c r="AJ204"/>
  <c r="AH204"/>
  <c r="AG204"/>
  <c r="AF204"/>
  <c r="AC204"/>
  <c r="AB204"/>
  <c r="Z204"/>
  <c r="H204"/>
  <c r="AK204" s="1"/>
  <c r="BJ203"/>
  <c r="BF203"/>
  <c r="BD203"/>
  <c r="AW203"/>
  <c r="AP203"/>
  <c r="BI203" s="1"/>
  <c r="AE203" s="1"/>
  <c r="AO203"/>
  <c r="BH203" s="1"/>
  <c r="AD203" s="1"/>
  <c r="AL203"/>
  <c r="AJ203"/>
  <c r="AH203"/>
  <c r="AG203"/>
  <c r="AF203"/>
  <c r="AC203"/>
  <c r="AB203"/>
  <c r="Z203"/>
  <c r="H203"/>
  <c r="AK203" s="1"/>
  <c r="BJ202"/>
  <c r="BF202"/>
  <c r="BD202"/>
  <c r="AX202"/>
  <c r="AP202"/>
  <c r="BI202" s="1"/>
  <c r="AE202" s="1"/>
  <c r="AO202"/>
  <c r="BH202" s="1"/>
  <c r="AD202" s="1"/>
  <c r="AL202"/>
  <c r="AK202"/>
  <c r="AJ202"/>
  <c r="AH202"/>
  <c r="AG202"/>
  <c r="AF202"/>
  <c r="AC202"/>
  <c r="AB202"/>
  <c r="Z202"/>
  <c r="H202"/>
  <c r="BJ201"/>
  <c r="BF201"/>
  <c r="BD201"/>
  <c r="AW201"/>
  <c r="AP201"/>
  <c r="AX201" s="1"/>
  <c r="BC201" s="1"/>
  <c r="AO201"/>
  <c r="BH201" s="1"/>
  <c r="AD201" s="1"/>
  <c r="AL201"/>
  <c r="AJ201"/>
  <c r="AH201"/>
  <c r="AG201"/>
  <c r="AF201"/>
  <c r="AC201"/>
  <c r="AB201"/>
  <c r="Z201"/>
  <c r="H201"/>
  <c r="AK201" s="1"/>
  <c r="BJ200"/>
  <c r="BF200"/>
  <c r="BD200"/>
  <c r="AX200"/>
  <c r="AP200"/>
  <c r="BI200" s="1"/>
  <c r="AE200" s="1"/>
  <c r="AO200"/>
  <c r="AW200" s="1"/>
  <c r="AL200"/>
  <c r="AJ200"/>
  <c r="AH200"/>
  <c r="AG200"/>
  <c r="AF200"/>
  <c r="AC200"/>
  <c r="AB200"/>
  <c r="Z200"/>
  <c r="H200"/>
  <c r="AK200" s="1"/>
  <c r="BJ199"/>
  <c r="BF199"/>
  <c r="BD199"/>
  <c r="AW199"/>
  <c r="AP199"/>
  <c r="BI199" s="1"/>
  <c r="AE199" s="1"/>
  <c r="AO199"/>
  <c r="BH199" s="1"/>
  <c r="AD199" s="1"/>
  <c r="AL199"/>
  <c r="AJ199"/>
  <c r="AH199"/>
  <c r="AG199"/>
  <c r="AF199"/>
  <c r="AC199"/>
  <c r="AB199"/>
  <c r="Z199"/>
  <c r="H199"/>
  <c r="AK199" s="1"/>
  <c r="BJ198"/>
  <c r="BF198"/>
  <c r="BD198"/>
  <c r="AX198"/>
  <c r="AP198"/>
  <c r="BI198" s="1"/>
  <c r="AE198" s="1"/>
  <c r="AO198"/>
  <c r="BH198" s="1"/>
  <c r="AD198" s="1"/>
  <c r="AL198"/>
  <c r="AK198"/>
  <c r="AJ198"/>
  <c r="AH198"/>
  <c r="AG198"/>
  <c r="AF198"/>
  <c r="AC198"/>
  <c r="AB198"/>
  <c r="Z198"/>
  <c r="H198"/>
  <c r="BJ197"/>
  <c r="BF197"/>
  <c r="BD197"/>
  <c r="AW197"/>
  <c r="AV197" s="1"/>
  <c r="AP197"/>
  <c r="AX197" s="1"/>
  <c r="BC197" s="1"/>
  <c r="AO197"/>
  <c r="BH197" s="1"/>
  <c r="AD197" s="1"/>
  <c r="AL197"/>
  <c r="AJ197"/>
  <c r="AH197"/>
  <c r="AG197"/>
  <c r="AF197"/>
  <c r="AC197"/>
  <c r="AB197"/>
  <c r="Z197"/>
  <c r="H197"/>
  <c r="AK197" s="1"/>
  <c r="BJ196"/>
  <c r="BF196"/>
  <c r="BD196"/>
  <c r="AX196"/>
  <c r="AP196"/>
  <c r="BI196" s="1"/>
  <c r="AE196" s="1"/>
  <c r="AO196"/>
  <c r="AW196" s="1"/>
  <c r="AL196"/>
  <c r="AJ196"/>
  <c r="AH196"/>
  <c r="AG196"/>
  <c r="AF196"/>
  <c r="AC196"/>
  <c r="AB196"/>
  <c r="Z196"/>
  <c r="H196"/>
  <c r="AK196" s="1"/>
  <c r="BJ195"/>
  <c r="BF195"/>
  <c r="BD195"/>
  <c r="AW195"/>
  <c r="AP195"/>
  <c r="BI195" s="1"/>
  <c r="AE195" s="1"/>
  <c r="AO195"/>
  <c r="BH195" s="1"/>
  <c r="AD195" s="1"/>
  <c r="AL195"/>
  <c r="AJ195"/>
  <c r="AH195"/>
  <c r="AG195"/>
  <c r="AF195"/>
  <c r="AC195"/>
  <c r="AB195"/>
  <c r="Z195"/>
  <c r="H195"/>
  <c r="AK195" s="1"/>
  <c r="BJ194"/>
  <c r="BF194"/>
  <c r="BD194"/>
  <c r="AX194"/>
  <c r="AP194"/>
  <c r="BI194" s="1"/>
  <c r="AE194" s="1"/>
  <c r="AO194"/>
  <c r="BH194" s="1"/>
  <c r="AD194" s="1"/>
  <c r="AL194"/>
  <c r="AK194"/>
  <c r="AJ194"/>
  <c r="AH194"/>
  <c r="AG194"/>
  <c r="AF194"/>
  <c r="AC194"/>
  <c r="AB194"/>
  <c r="Z194"/>
  <c r="H194"/>
  <c r="BJ193"/>
  <c r="BF193"/>
  <c r="BD193"/>
  <c r="AW193"/>
  <c r="AV193" s="1"/>
  <c r="AP193"/>
  <c r="AX193" s="1"/>
  <c r="BC193" s="1"/>
  <c r="AO193"/>
  <c r="BH193" s="1"/>
  <c r="AD193" s="1"/>
  <c r="AL193"/>
  <c r="AJ193"/>
  <c r="AH193"/>
  <c r="AG193"/>
  <c r="AF193"/>
  <c r="AC193"/>
  <c r="AB193"/>
  <c r="Z193"/>
  <c r="H193"/>
  <c r="AK193" s="1"/>
  <c r="BJ192"/>
  <c r="BF192"/>
  <c r="BD192"/>
  <c r="AX192"/>
  <c r="AP192"/>
  <c r="BI192" s="1"/>
  <c r="AE192" s="1"/>
  <c r="AO192"/>
  <c r="AW192" s="1"/>
  <c r="AL192"/>
  <c r="AJ192"/>
  <c r="AH192"/>
  <c r="AG192"/>
  <c r="AF192"/>
  <c r="AC192"/>
  <c r="AB192"/>
  <c r="Z192"/>
  <c r="H192"/>
  <c r="AK192" s="1"/>
  <c r="BJ191"/>
  <c r="BF191"/>
  <c r="BD191"/>
  <c r="AW191"/>
  <c r="AP191"/>
  <c r="BI191" s="1"/>
  <c r="AE191" s="1"/>
  <c r="AO191"/>
  <c r="BH191" s="1"/>
  <c r="AD191" s="1"/>
  <c r="AL191"/>
  <c r="AJ191"/>
  <c r="AH191"/>
  <c r="AG191"/>
  <c r="AF191"/>
  <c r="AC191"/>
  <c r="AB191"/>
  <c r="Z191"/>
  <c r="H191"/>
  <c r="AK191" s="1"/>
  <c r="BJ190"/>
  <c r="BF190"/>
  <c r="BD190"/>
  <c r="AX190"/>
  <c r="AP190"/>
  <c r="BI190" s="1"/>
  <c r="AE190" s="1"/>
  <c r="AO190"/>
  <c r="BH190" s="1"/>
  <c r="AD190" s="1"/>
  <c r="AL190"/>
  <c r="AK190"/>
  <c r="AJ190"/>
  <c r="AH190"/>
  <c r="AG190"/>
  <c r="AF190"/>
  <c r="AC190"/>
  <c r="AB190"/>
  <c r="Z190"/>
  <c r="H190"/>
  <c r="BJ188"/>
  <c r="BF188"/>
  <c r="BD188"/>
  <c r="AW188"/>
  <c r="AP188"/>
  <c r="AX188" s="1"/>
  <c r="BC188" s="1"/>
  <c r="AO188"/>
  <c r="BH188" s="1"/>
  <c r="AD188" s="1"/>
  <c r="AL188"/>
  <c r="AJ188"/>
  <c r="AH188"/>
  <c r="AG188"/>
  <c r="AF188"/>
  <c r="AC188"/>
  <c r="AB188"/>
  <c r="Z188"/>
  <c r="H188"/>
  <c r="AK188" s="1"/>
  <c r="BJ187"/>
  <c r="BF187"/>
  <c r="BD187"/>
  <c r="AX187"/>
  <c r="AP187"/>
  <c r="BI187" s="1"/>
  <c r="AE187" s="1"/>
  <c r="AO187"/>
  <c r="AW187" s="1"/>
  <c r="AL187"/>
  <c r="AJ187"/>
  <c r="AH187"/>
  <c r="AG187"/>
  <c r="AF187"/>
  <c r="AC187"/>
  <c r="AB187"/>
  <c r="Z187"/>
  <c r="H187"/>
  <c r="AK187" s="1"/>
  <c r="BJ186"/>
  <c r="BF186"/>
  <c r="BD186"/>
  <c r="AW186"/>
  <c r="AP186"/>
  <c r="BI186" s="1"/>
  <c r="AE186" s="1"/>
  <c r="AO186"/>
  <c r="BH186" s="1"/>
  <c r="AD186" s="1"/>
  <c r="AL186"/>
  <c r="AJ186"/>
  <c r="AH186"/>
  <c r="AG186"/>
  <c r="AF186"/>
  <c r="AC186"/>
  <c r="AB186"/>
  <c r="Z186"/>
  <c r="H186"/>
  <c r="AK186" s="1"/>
  <c r="BJ185"/>
  <c r="BF185"/>
  <c r="BD185"/>
  <c r="AX185"/>
  <c r="AP185"/>
  <c r="BI185" s="1"/>
  <c r="AE185" s="1"/>
  <c r="AO185"/>
  <c r="BH185" s="1"/>
  <c r="AD185" s="1"/>
  <c r="AL185"/>
  <c r="AK185"/>
  <c r="AJ185"/>
  <c r="AH185"/>
  <c r="AG185"/>
  <c r="AF185"/>
  <c r="AC185"/>
  <c r="AB185"/>
  <c r="Z185"/>
  <c r="H185"/>
  <c r="BJ184"/>
  <c r="BF184"/>
  <c r="BD184"/>
  <c r="AW184"/>
  <c r="AP184"/>
  <c r="AX184" s="1"/>
  <c r="BC184" s="1"/>
  <c r="AO184"/>
  <c r="BH184" s="1"/>
  <c r="AD184" s="1"/>
  <c r="AL184"/>
  <c r="AJ184"/>
  <c r="AH184"/>
  <c r="AG184"/>
  <c r="AF184"/>
  <c r="AC184"/>
  <c r="AB184"/>
  <c r="Z184"/>
  <c r="H184"/>
  <c r="AK184" s="1"/>
  <c r="BJ183"/>
  <c r="BF183"/>
  <c r="BD183"/>
  <c r="AX183"/>
  <c r="AP183"/>
  <c r="BI183" s="1"/>
  <c r="AE183" s="1"/>
  <c r="AO183"/>
  <c r="AW183" s="1"/>
  <c r="AL183"/>
  <c r="AJ183"/>
  <c r="AH183"/>
  <c r="AG183"/>
  <c r="AF183"/>
  <c r="AC183"/>
  <c r="AB183"/>
  <c r="Z183"/>
  <c r="H183"/>
  <c r="AK183" s="1"/>
  <c r="BJ182"/>
  <c r="BF182"/>
  <c r="BD182"/>
  <c r="AW182"/>
  <c r="AP182"/>
  <c r="BI182" s="1"/>
  <c r="AE182" s="1"/>
  <c r="AO182"/>
  <c r="BH182" s="1"/>
  <c r="AD182" s="1"/>
  <c r="AL182"/>
  <c r="AJ182"/>
  <c r="AH182"/>
  <c r="AG182"/>
  <c r="AF182"/>
  <c r="AC182"/>
  <c r="AB182"/>
  <c r="Z182"/>
  <c r="H182"/>
  <c r="AK182" s="1"/>
  <c r="BJ181"/>
  <c r="BF181"/>
  <c r="BD181"/>
  <c r="AX181"/>
  <c r="AP181"/>
  <c r="BI181" s="1"/>
  <c r="AE181" s="1"/>
  <c r="AO181"/>
  <c r="BH181" s="1"/>
  <c r="AD181" s="1"/>
  <c r="AL181"/>
  <c r="AK181"/>
  <c r="AJ181"/>
  <c r="AH181"/>
  <c r="AG181"/>
  <c r="AF181"/>
  <c r="AC181"/>
  <c r="AB181"/>
  <c r="Z181"/>
  <c r="H181"/>
  <c r="H179" s="1"/>
  <c r="BJ180"/>
  <c r="BF180"/>
  <c r="BD180"/>
  <c r="AW180"/>
  <c r="AV180" s="1"/>
  <c r="AP180"/>
  <c r="AX180" s="1"/>
  <c r="BC180" s="1"/>
  <c r="AO180"/>
  <c r="BH180" s="1"/>
  <c r="AD180" s="1"/>
  <c r="AL180"/>
  <c r="AJ180"/>
  <c r="AH180"/>
  <c r="AG180"/>
  <c r="AF180"/>
  <c r="AC180"/>
  <c r="AB180"/>
  <c r="Z180"/>
  <c r="H180"/>
  <c r="AK180" s="1"/>
  <c r="AU179"/>
  <c r="AS179"/>
  <c r="BJ178"/>
  <c r="Z178" s="1"/>
  <c r="BF178"/>
  <c r="BD178"/>
  <c r="AX178"/>
  <c r="AP178"/>
  <c r="BI178" s="1"/>
  <c r="AO178"/>
  <c r="AW178" s="1"/>
  <c r="AL178"/>
  <c r="AJ178"/>
  <c r="AH178"/>
  <c r="AG178"/>
  <c r="AF178"/>
  <c r="AE178"/>
  <c r="AD178"/>
  <c r="AC178"/>
  <c r="AB178"/>
  <c r="H178"/>
  <c r="AK178" s="1"/>
  <c r="BJ177"/>
  <c r="BF177"/>
  <c r="BD177"/>
  <c r="AW177"/>
  <c r="AP177"/>
  <c r="BI177" s="1"/>
  <c r="AE177" s="1"/>
  <c r="AO177"/>
  <c r="BH177" s="1"/>
  <c r="AD177" s="1"/>
  <c r="AL177"/>
  <c r="AJ177"/>
  <c r="AH177"/>
  <c r="AG177"/>
  <c r="AF177"/>
  <c r="AC177"/>
  <c r="AB177"/>
  <c r="Z177"/>
  <c r="H177"/>
  <c r="AK177" s="1"/>
  <c r="BJ176"/>
  <c r="BF176"/>
  <c r="BD176"/>
  <c r="AX176"/>
  <c r="AP176"/>
  <c r="BI176" s="1"/>
  <c r="AE176" s="1"/>
  <c r="AO176"/>
  <c r="BH176" s="1"/>
  <c r="AD176" s="1"/>
  <c r="AL176"/>
  <c r="AK176"/>
  <c r="AJ176"/>
  <c r="AH176"/>
  <c r="AG176"/>
  <c r="AF176"/>
  <c r="AC176"/>
  <c r="AB176"/>
  <c r="Z176"/>
  <c r="H176"/>
  <c r="BJ175"/>
  <c r="BF175"/>
  <c r="BD175"/>
  <c r="AW175"/>
  <c r="AV175" s="1"/>
  <c r="AP175"/>
  <c r="AX175" s="1"/>
  <c r="BC175" s="1"/>
  <c r="AO175"/>
  <c r="BH175" s="1"/>
  <c r="AD175" s="1"/>
  <c r="AL175"/>
  <c r="AJ175"/>
  <c r="AH175"/>
  <c r="AG175"/>
  <c r="AF175"/>
  <c r="AC175"/>
  <c r="AB175"/>
  <c r="Z175"/>
  <c r="H175"/>
  <c r="AK175" s="1"/>
  <c r="BJ174"/>
  <c r="BF174"/>
  <c r="BD174"/>
  <c r="AX174"/>
  <c r="AP174"/>
  <c r="BI174" s="1"/>
  <c r="AE174" s="1"/>
  <c r="AO174"/>
  <c r="AW174" s="1"/>
  <c r="AL174"/>
  <c r="AJ174"/>
  <c r="AH174"/>
  <c r="AG174"/>
  <c r="AF174"/>
  <c r="AC174"/>
  <c r="AB174"/>
  <c r="Z174"/>
  <c r="H174"/>
  <c r="AK174" s="1"/>
  <c r="BJ173"/>
  <c r="BF173"/>
  <c r="BD173"/>
  <c r="AW173"/>
  <c r="AP173"/>
  <c r="BI173" s="1"/>
  <c r="AE173" s="1"/>
  <c r="AO173"/>
  <c r="BH173" s="1"/>
  <c r="AD173" s="1"/>
  <c r="AL173"/>
  <c r="AJ173"/>
  <c r="AH173"/>
  <c r="AG173"/>
  <c r="AF173"/>
  <c r="AC173"/>
  <c r="AB173"/>
  <c r="Z173"/>
  <c r="H173"/>
  <c r="AK173" s="1"/>
  <c r="BJ172"/>
  <c r="BF172"/>
  <c r="BD172"/>
  <c r="AX172"/>
  <c r="AP172"/>
  <c r="BI172" s="1"/>
  <c r="AE172" s="1"/>
  <c r="AO172"/>
  <c r="BH172" s="1"/>
  <c r="AD172" s="1"/>
  <c r="AL172"/>
  <c r="AK172"/>
  <c r="AJ172"/>
  <c r="AH172"/>
  <c r="AG172"/>
  <c r="AF172"/>
  <c r="AC172"/>
  <c r="AB172"/>
  <c r="Z172"/>
  <c r="H172"/>
  <c r="BJ171"/>
  <c r="BF171"/>
  <c r="BD171"/>
  <c r="AW171"/>
  <c r="AV171" s="1"/>
  <c r="AP171"/>
  <c r="AX171" s="1"/>
  <c r="BC171" s="1"/>
  <c r="AO171"/>
  <c r="BH171" s="1"/>
  <c r="AD171" s="1"/>
  <c r="AL171"/>
  <c r="AJ171"/>
  <c r="AH171"/>
  <c r="AG171"/>
  <c r="AF171"/>
  <c r="AC171"/>
  <c r="AB171"/>
  <c r="Z171"/>
  <c r="H171"/>
  <c r="AK171" s="1"/>
  <c r="BJ170"/>
  <c r="BF170"/>
  <c r="BD170"/>
  <c r="AX170"/>
  <c r="AP170"/>
  <c r="BI170" s="1"/>
  <c r="AE170" s="1"/>
  <c r="AO170"/>
  <c r="AW170" s="1"/>
  <c r="AL170"/>
  <c r="AJ170"/>
  <c r="AH170"/>
  <c r="AG170"/>
  <c r="AF170"/>
  <c r="AC170"/>
  <c r="AB170"/>
  <c r="Z170"/>
  <c r="H170"/>
  <c r="AK170" s="1"/>
  <c r="BJ169"/>
  <c r="BF169"/>
  <c r="BD169"/>
  <c r="AW169"/>
  <c r="AP169"/>
  <c r="BI169" s="1"/>
  <c r="AE169" s="1"/>
  <c r="AO169"/>
  <c r="BH169" s="1"/>
  <c r="AD169" s="1"/>
  <c r="AL169"/>
  <c r="AU167" s="1"/>
  <c r="AJ169"/>
  <c r="AS167" s="1"/>
  <c r="AH169"/>
  <c r="AG169"/>
  <c r="AF169"/>
  <c r="AC169"/>
  <c r="AB169"/>
  <c r="Z169"/>
  <c r="H169"/>
  <c r="AK169" s="1"/>
  <c r="BJ168"/>
  <c r="BF168"/>
  <c r="BD168"/>
  <c r="AX168"/>
  <c r="AP168"/>
  <c r="BI168" s="1"/>
  <c r="AE168" s="1"/>
  <c r="AO168"/>
  <c r="BH168" s="1"/>
  <c r="AD168" s="1"/>
  <c r="AL168"/>
  <c r="AK168"/>
  <c r="AJ168"/>
  <c r="AH168"/>
  <c r="AG168"/>
  <c r="AF168"/>
  <c r="AC168"/>
  <c r="AB168"/>
  <c r="Z168"/>
  <c r="H168"/>
  <c r="H167"/>
  <c r="BJ166"/>
  <c r="BF166"/>
  <c r="BD166"/>
  <c r="AW166"/>
  <c r="AP166"/>
  <c r="AX166" s="1"/>
  <c r="BC166" s="1"/>
  <c r="AO166"/>
  <c r="BH166" s="1"/>
  <c r="AL166"/>
  <c r="AJ166"/>
  <c r="AH166"/>
  <c r="AG166"/>
  <c r="AF166"/>
  <c r="AE166"/>
  <c r="AD166"/>
  <c r="AC166"/>
  <c r="AB166"/>
  <c r="Z166"/>
  <c r="H166"/>
  <c r="AK166" s="1"/>
  <c r="BJ165"/>
  <c r="BF165"/>
  <c r="BD165"/>
  <c r="AX165"/>
  <c r="AP165"/>
  <c r="BI165" s="1"/>
  <c r="AE165" s="1"/>
  <c r="AO165"/>
  <c r="AW165" s="1"/>
  <c r="AL165"/>
  <c r="AJ165"/>
  <c r="AH165"/>
  <c r="AG165"/>
  <c r="AF165"/>
  <c r="AC165"/>
  <c r="AB165"/>
  <c r="Z165"/>
  <c r="H165"/>
  <c r="AK165" s="1"/>
  <c r="BJ164"/>
  <c r="BF164"/>
  <c r="BD164"/>
  <c r="AW164"/>
  <c r="AP164"/>
  <c r="BI164" s="1"/>
  <c r="AE164" s="1"/>
  <c r="AO164"/>
  <c r="BH164" s="1"/>
  <c r="AD164" s="1"/>
  <c r="AL164"/>
  <c r="AJ164"/>
  <c r="AH164"/>
  <c r="AG164"/>
  <c r="AF164"/>
  <c r="AC164"/>
  <c r="AB164"/>
  <c r="Z164"/>
  <c r="H164"/>
  <c r="AK164" s="1"/>
  <c r="BJ162"/>
  <c r="BF162"/>
  <c r="BD162"/>
  <c r="AX162"/>
  <c r="AP162"/>
  <c r="BI162" s="1"/>
  <c r="AG162" s="1"/>
  <c r="AO162"/>
  <c r="BH162" s="1"/>
  <c r="AF162" s="1"/>
  <c r="AL162"/>
  <c r="AK162"/>
  <c r="AJ162"/>
  <c r="AH162"/>
  <c r="AE162"/>
  <c r="AD162"/>
  <c r="AC162"/>
  <c r="AB162"/>
  <c r="Z162"/>
  <c r="H162"/>
  <c r="BJ161"/>
  <c r="BF161"/>
  <c r="BD161"/>
  <c r="AW161"/>
  <c r="AP161"/>
  <c r="AX161" s="1"/>
  <c r="BC161" s="1"/>
  <c r="AO161"/>
  <c r="BH161" s="1"/>
  <c r="AD161" s="1"/>
  <c r="AL161"/>
  <c r="AJ161"/>
  <c r="AH161"/>
  <c r="AG161"/>
  <c r="AF161"/>
  <c r="AC161"/>
  <c r="AB161"/>
  <c r="Z161"/>
  <c r="H161"/>
  <c r="AK161" s="1"/>
  <c r="BJ160"/>
  <c r="BF160"/>
  <c r="BD160"/>
  <c r="AX160"/>
  <c r="AP160"/>
  <c r="BI160" s="1"/>
  <c r="AE160" s="1"/>
  <c r="AO160"/>
  <c r="AW160" s="1"/>
  <c r="AL160"/>
  <c r="AJ160"/>
  <c r="AH160"/>
  <c r="AG160"/>
  <c r="AF160"/>
  <c r="AC160"/>
  <c r="AB160"/>
  <c r="Z160"/>
  <c r="H160"/>
  <c r="AK160" s="1"/>
  <c r="BJ159"/>
  <c r="BF159"/>
  <c r="BD159"/>
  <c r="AW159"/>
  <c r="AP159"/>
  <c r="BI159" s="1"/>
  <c r="AE159" s="1"/>
  <c r="AO159"/>
  <c r="BH159" s="1"/>
  <c r="AD159" s="1"/>
  <c r="AL159"/>
  <c r="AJ159"/>
  <c r="AH159"/>
  <c r="AG159"/>
  <c r="AF159"/>
  <c r="AC159"/>
  <c r="AB159"/>
  <c r="Z159"/>
  <c r="H159"/>
  <c r="AK159" s="1"/>
  <c r="BJ158"/>
  <c r="BF158"/>
  <c r="BD158"/>
  <c r="AX158"/>
  <c r="AP158"/>
  <c r="BI158" s="1"/>
  <c r="AE158" s="1"/>
  <c r="AO158"/>
  <c r="BH158" s="1"/>
  <c r="AD158" s="1"/>
  <c r="AL158"/>
  <c r="AK158"/>
  <c r="AJ158"/>
  <c r="AH158"/>
  <c r="AG158"/>
  <c r="AF158"/>
  <c r="AC158"/>
  <c r="AB158"/>
  <c r="Z158"/>
  <c r="H158"/>
  <c r="BJ157"/>
  <c r="BF157"/>
  <c r="BD157"/>
  <c r="AW157"/>
  <c r="AP157"/>
  <c r="AX157" s="1"/>
  <c r="BC157" s="1"/>
  <c r="AO157"/>
  <c r="BH157" s="1"/>
  <c r="AD157" s="1"/>
  <c r="AL157"/>
  <c r="AJ157"/>
  <c r="AH157"/>
  <c r="AG157"/>
  <c r="AF157"/>
  <c r="AC157"/>
  <c r="AB157"/>
  <c r="Z157"/>
  <c r="H157"/>
  <c r="AK157" s="1"/>
  <c r="BJ156"/>
  <c r="BF156"/>
  <c r="BD156"/>
  <c r="AX156"/>
  <c r="AP156"/>
  <c r="BI156" s="1"/>
  <c r="AE156" s="1"/>
  <c r="AO156"/>
  <c r="AW156" s="1"/>
  <c r="AL156"/>
  <c r="AJ156"/>
  <c r="AH156"/>
  <c r="AG156"/>
  <c r="AF156"/>
  <c r="AC156"/>
  <c r="AB156"/>
  <c r="Z156"/>
  <c r="H156"/>
  <c r="AK156" s="1"/>
  <c r="BJ155"/>
  <c r="BF155"/>
  <c r="BD155"/>
  <c r="AW155"/>
  <c r="AP155"/>
  <c r="BI155" s="1"/>
  <c r="AE155" s="1"/>
  <c r="AO155"/>
  <c r="BH155" s="1"/>
  <c r="AD155" s="1"/>
  <c r="AL155"/>
  <c r="AJ155"/>
  <c r="AH155"/>
  <c r="AG155"/>
  <c r="AF155"/>
  <c r="AC155"/>
  <c r="AB155"/>
  <c r="Z155"/>
  <c r="H155"/>
  <c r="AK155" s="1"/>
  <c r="BJ154"/>
  <c r="BF154"/>
  <c r="BD154"/>
  <c r="AX154"/>
  <c r="AP154"/>
  <c r="BI154" s="1"/>
  <c r="AE154" s="1"/>
  <c r="AO154"/>
  <c r="BH154" s="1"/>
  <c r="AD154" s="1"/>
  <c r="AL154"/>
  <c r="AK154"/>
  <c r="AJ154"/>
  <c r="AH154"/>
  <c r="AG154"/>
  <c r="AF154"/>
  <c r="AC154"/>
  <c r="AB154"/>
  <c r="Z154"/>
  <c r="H154"/>
  <c r="H152" s="1"/>
  <c r="BJ153"/>
  <c r="BF153"/>
  <c r="BD153"/>
  <c r="AW153"/>
  <c r="AV153" s="1"/>
  <c r="AP153"/>
  <c r="AX153" s="1"/>
  <c r="BC153" s="1"/>
  <c r="AO153"/>
  <c r="BH153" s="1"/>
  <c r="AD153" s="1"/>
  <c r="AL153"/>
  <c r="AJ153"/>
  <c r="AH153"/>
  <c r="AG153"/>
  <c r="AF153"/>
  <c r="AC153"/>
  <c r="AB153"/>
  <c r="Z153"/>
  <c r="H153"/>
  <c r="AK153" s="1"/>
  <c r="AU152"/>
  <c r="AS152"/>
  <c r="BJ151"/>
  <c r="Z151" s="1"/>
  <c r="BF151"/>
  <c r="BD151"/>
  <c r="AX151"/>
  <c r="AP151"/>
  <c r="BI151" s="1"/>
  <c r="AO151"/>
  <c r="AW151" s="1"/>
  <c r="AL151"/>
  <c r="AJ151"/>
  <c r="AH151"/>
  <c r="AG151"/>
  <c r="AF151"/>
  <c r="AE151"/>
  <c r="AD151"/>
  <c r="AC151"/>
  <c r="AB151"/>
  <c r="H151"/>
  <c r="AK151" s="1"/>
  <c r="BJ147"/>
  <c r="BF147"/>
  <c r="BD147"/>
  <c r="AW147"/>
  <c r="AP147"/>
  <c r="BI147" s="1"/>
  <c r="AE147" s="1"/>
  <c r="AO147"/>
  <c r="BH147" s="1"/>
  <c r="AD147" s="1"/>
  <c r="AL147"/>
  <c r="AJ147"/>
  <c r="AH147"/>
  <c r="AG147"/>
  <c r="AF147"/>
  <c r="AC147"/>
  <c r="AB147"/>
  <c r="Z147"/>
  <c r="H147"/>
  <c r="AK147" s="1"/>
  <c r="BJ142"/>
  <c r="BF142"/>
  <c r="BD142"/>
  <c r="AX142"/>
  <c r="AP142"/>
  <c r="BI142" s="1"/>
  <c r="AE142" s="1"/>
  <c r="AO142"/>
  <c r="BH142" s="1"/>
  <c r="AD142" s="1"/>
  <c r="AL142"/>
  <c r="AK142"/>
  <c r="AJ142"/>
  <c r="AH142"/>
  <c r="AG142"/>
  <c r="AF142"/>
  <c r="AC142"/>
  <c r="AB142"/>
  <c r="Z142"/>
  <c r="H142"/>
  <c r="H140" s="1"/>
  <c r="BJ141"/>
  <c r="BF141"/>
  <c r="BD141"/>
  <c r="AW141"/>
  <c r="AP141"/>
  <c r="AX141" s="1"/>
  <c r="BC141" s="1"/>
  <c r="AO141"/>
  <c r="BH141" s="1"/>
  <c r="AD141" s="1"/>
  <c r="AL141"/>
  <c r="AJ141"/>
  <c r="AH141"/>
  <c r="AG141"/>
  <c r="AF141"/>
  <c r="AC141"/>
  <c r="AB141"/>
  <c r="Z141"/>
  <c r="H141"/>
  <c r="AK141" s="1"/>
  <c r="AU140"/>
  <c r="AS140"/>
  <c r="BJ139"/>
  <c r="Z139" s="1"/>
  <c r="BF139"/>
  <c r="BD139"/>
  <c r="AX139"/>
  <c r="AP139"/>
  <c r="BI139" s="1"/>
  <c r="AO139"/>
  <c r="AW139" s="1"/>
  <c r="BC139" s="1"/>
  <c r="AL139"/>
  <c r="AJ139"/>
  <c r="AH139"/>
  <c r="AG139"/>
  <c r="AF139"/>
  <c r="AE139"/>
  <c r="AD139"/>
  <c r="AC139"/>
  <c r="AB139"/>
  <c r="H139"/>
  <c r="AK139" s="1"/>
  <c r="AT138" s="1"/>
  <c r="AU138"/>
  <c r="AS138"/>
  <c r="BJ135"/>
  <c r="BF135"/>
  <c r="BD135"/>
  <c r="BC135"/>
  <c r="AW135"/>
  <c r="AP135"/>
  <c r="AX135" s="1"/>
  <c r="AO135"/>
  <c r="BH135" s="1"/>
  <c r="AL135"/>
  <c r="AJ135"/>
  <c r="AH135"/>
  <c r="AG135"/>
  <c r="AF135"/>
  <c r="AE135"/>
  <c r="AD135"/>
  <c r="AC135"/>
  <c r="AB135"/>
  <c r="Z135"/>
  <c r="H135"/>
  <c r="AK135" s="1"/>
  <c r="BJ133"/>
  <c r="Z133" s="1"/>
  <c r="BH133"/>
  <c r="BF133"/>
  <c r="BD133"/>
  <c r="AX133"/>
  <c r="AV133" s="1"/>
  <c r="AP133"/>
  <c r="BI133" s="1"/>
  <c r="AO133"/>
  <c r="AW133" s="1"/>
  <c r="AL133"/>
  <c r="AK133"/>
  <c r="AJ133"/>
  <c r="AH133"/>
  <c r="AG133"/>
  <c r="AF133"/>
  <c r="AE133"/>
  <c r="AD133"/>
  <c r="AC133"/>
  <c r="AB133"/>
  <c r="H133"/>
  <c r="BJ131"/>
  <c r="BI131"/>
  <c r="BF131"/>
  <c r="BD131"/>
  <c r="AW131"/>
  <c r="AV131" s="1"/>
  <c r="AP131"/>
  <c r="AX131" s="1"/>
  <c r="AO131"/>
  <c r="BH131" s="1"/>
  <c r="AL131"/>
  <c r="AJ131"/>
  <c r="AH131"/>
  <c r="AG131"/>
  <c r="AF131"/>
  <c r="AE131"/>
  <c r="AD131"/>
  <c r="AC131"/>
  <c r="AB131"/>
  <c r="Z131"/>
  <c r="H131"/>
  <c r="AK131" s="1"/>
  <c r="BJ130"/>
  <c r="BF130"/>
  <c r="BD130"/>
  <c r="AP130"/>
  <c r="BI130" s="1"/>
  <c r="AO130"/>
  <c r="AW130" s="1"/>
  <c r="AL130"/>
  <c r="AJ130"/>
  <c r="AH130"/>
  <c r="AG130"/>
  <c r="AF130"/>
  <c r="AE130"/>
  <c r="AD130"/>
  <c r="AC130"/>
  <c r="AB130"/>
  <c r="Z130"/>
  <c r="H130"/>
  <c r="AK130" s="1"/>
  <c r="BJ128"/>
  <c r="BF128"/>
  <c r="BD128"/>
  <c r="AX128"/>
  <c r="AP128"/>
  <c r="BI128" s="1"/>
  <c r="AO128"/>
  <c r="AW128" s="1"/>
  <c r="AL128"/>
  <c r="AJ128"/>
  <c r="AH128"/>
  <c r="AG128"/>
  <c r="AF128"/>
  <c r="AE128"/>
  <c r="AD128"/>
  <c r="AC128"/>
  <c r="AB128"/>
  <c r="Z128"/>
  <c r="H128"/>
  <c r="AK128" s="1"/>
  <c r="BJ127"/>
  <c r="Z127" s="1"/>
  <c r="BF127"/>
  <c r="BD127"/>
  <c r="AX127"/>
  <c r="AW127"/>
  <c r="AV127" s="1"/>
  <c r="AP127"/>
  <c r="BI127" s="1"/>
  <c r="AO127"/>
  <c r="BH127" s="1"/>
  <c r="AL127"/>
  <c r="AK127"/>
  <c r="AJ127"/>
  <c r="AH127"/>
  <c r="AG127"/>
  <c r="AF127"/>
  <c r="AE127"/>
  <c r="AD127"/>
  <c r="AC127"/>
  <c r="AB127"/>
  <c r="H127"/>
  <c r="BJ125"/>
  <c r="Z125" s="1"/>
  <c r="BF125"/>
  <c r="BD125"/>
  <c r="AW125"/>
  <c r="AP125"/>
  <c r="AX125" s="1"/>
  <c r="AO125"/>
  <c r="BH125" s="1"/>
  <c r="AL125"/>
  <c r="AK125"/>
  <c r="AJ125"/>
  <c r="AH125"/>
  <c r="AG125"/>
  <c r="AF125"/>
  <c r="AE125"/>
  <c r="AD125"/>
  <c r="AC125"/>
  <c r="AB125"/>
  <c r="H125"/>
  <c r="BJ124"/>
  <c r="BF124"/>
  <c r="BD124"/>
  <c r="AP124"/>
  <c r="AX124" s="1"/>
  <c r="AO124"/>
  <c r="AW124" s="1"/>
  <c r="AL124"/>
  <c r="AJ124"/>
  <c r="AH124"/>
  <c r="AG124"/>
  <c r="AF124"/>
  <c r="AE124"/>
  <c r="AD124"/>
  <c r="AC124"/>
  <c r="AB124"/>
  <c r="Z124"/>
  <c r="H124"/>
  <c r="AK124" s="1"/>
  <c r="BJ121"/>
  <c r="BF121"/>
  <c r="BD121"/>
  <c r="AX121"/>
  <c r="AP121"/>
  <c r="BI121" s="1"/>
  <c r="AC121" s="1"/>
  <c r="AO121"/>
  <c r="AW121" s="1"/>
  <c r="AL121"/>
  <c r="AJ121"/>
  <c r="AH121"/>
  <c r="AG121"/>
  <c r="AF121"/>
  <c r="AE121"/>
  <c r="AD121"/>
  <c r="Z121"/>
  <c r="H121"/>
  <c r="AK121" s="1"/>
  <c r="BJ119"/>
  <c r="BF119"/>
  <c r="BD119"/>
  <c r="AX119"/>
  <c r="AW119"/>
  <c r="AV119" s="1"/>
  <c r="AP119"/>
  <c r="BI119" s="1"/>
  <c r="AC119" s="1"/>
  <c r="AO119"/>
  <c r="BH119" s="1"/>
  <c r="AB119" s="1"/>
  <c r="AL119"/>
  <c r="AK119"/>
  <c r="AJ119"/>
  <c r="AH119"/>
  <c r="AG119"/>
  <c r="AF119"/>
  <c r="AE119"/>
  <c r="AD119"/>
  <c r="Z119"/>
  <c r="H119"/>
  <c r="BJ117"/>
  <c r="BF117"/>
  <c r="BD117"/>
  <c r="AW117"/>
  <c r="AP117"/>
  <c r="AX117" s="1"/>
  <c r="AO117"/>
  <c r="BH117" s="1"/>
  <c r="AB117" s="1"/>
  <c r="AL117"/>
  <c r="AK117"/>
  <c r="AJ117"/>
  <c r="AH117"/>
  <c r="AG117"/>
  <c r="AF117"/>
  <c r="AE117"/>
  <c r="AD117"/>
  <c r="Z117"/>
  <c r="H117"/>
  <c r="BJ110"/>
  <c r="BF110"/>
  <c r="BD110"/>
  <c r="AP110"/>
  <c r="AX110" s="1"/>
  <c r="AO110"/>
  <c r="BH110" s="1"/>
  <c r="AB110" s="1"/>
  <c r="AL110"/>
  <c r="AJ110"/>
  <c r="AH110"/>
  <c r="AG110"/>
  <c r="AF110"/>
  <c r="AE110"/>
  <c r="AD110"/>
  <c r="Z110"/>
  <c r="H110"/>
  <c r="AK110" s="1"/>
  <c r="BJ108"/>
  <c r="BF108"/>
  <c r="BD108"/>
  <c r="AX108"/>
  <c r="AP108"/>
  <c r="BI108" s="1"/>
  <c r="AC108" s="1"/>
  <c r="AO108"/>
  <c r="AW108" s="1"/>
  <c r="AL108"/>
  <c r="AJ108"/>
  <c r="AH108"/>
  <c r="AG108"/>
  <c r="AF108"/>
  <c r="AE108"/>
  <c r="AD108"/>
  <c r="Z108"/>
  <c r="H108"/>
  <c r="AK108" s="1"/>
  <c r="BJ106"/>
  <c r="BF106"/>
  <c r="BD106"/>
  <c r="AW106"/>
  <c r="AV106" s="1"/>
  <c r="AP106"/>
  <c r="AX106" s="1"/>
  <c r="AO106"/>
  <c r="BH106" s="1"/>
  <c r="AB106" s="1"/>
  <c r="AL106"/>
  <c r="AK106"/>
  <c r="AJ106"/>
  <c r="AH106"/>
  <c r="AG106"/>
  <c r="AF106"/>
  <c r="AE106"/>
  <c r="AD106"/>
  <c r="Z106"/>
  <c r="H106"/>
  <c r="BJ104"/>
  <c r="BF104"/>
  <c r="BD104"/>
  <c r="AP104"/>
  <c r="AX104" s="1"/>
  <c r="AO104"/>
  <c r="AW104" s="1"/>
  <c r="AL104"/>
  <c r="AK104"/>
  <c r="AJ104"/>
  <c r="AH104"/>
  <c r="AG104"/>
  <c r="AF104"/>
  <c r="AE104"/>
  <c r="AD104"/>
  <c r="Z104"/>
  <c r="H104"/>
  <c r="BJ100"/>
  <c r="BF100"/>
  <c r="BD100"/>
  <c r="AP100"/>
  <c r="AX100" s="1"/>
  <c r="AO100"/>
  <c r="AW100" s="1"/>
  <c r="AL100"/>
  <c r="AJ100"/>
  <c r="AS93" s="1"/>
  <c r="AH100"/>
  <c r="AG100"/>
  <c r="AF100"/>
  <c r="AE100"/>
  <c r="AD100"/>
  <c r="Z100"/>
  <c r="H100"/>
  <c r="AK100" s="1"/>
  <c r="BJ97"/>
  <c r="BF97"/>
  <c r="BD97"/>
  <c r="AX97"/>
  <c r="AP97"/>
  <c r="BI97" s="1"/>
  <c r="AC97" s="1"/>
  <c r="AO97"/>
  <c r="AW97" s="1"/>
  <c r="AL97"/>
  <c r="AJ97"/>
  <c r="AH97"/>
  <c r="AG97"/>
  <c r="AF97"/>
  <c r="AE97"/>
  <c r="AD97"/>
  <c r="Z97"/>
  <c r="H97"/>
  <c r="H93" s="1"/>
  <c r="BJ94"/>
  <c r="BF94"/>
  <c r="BD94"/>
  <c r="AW94"/>
  <c r="AV94" s="1"/>
  <c r="AP94"/>
  <c r="AX94" s="1"/>
  <c r="AO94"/>
  <c r="BH94" s="1"/>
  <c r="AB94" s="1"/>
  <c r="AL94"/>
  <c r="AK94"/>
  <c r="AJ94"/>
  <c r="AH94"/>
  <c r="AG94"/>
  <c r="AF94"/>
  <c r="AE94"/>
  <c r="AD94"/>
  <c r="Z94"/>
  <c r="H94"/>
  <c r="AU93"/>
  <c r="BJ91"/>
  <c r="BF91"/>
  <c r="BD91"/>
  <c r="AP91"/>
  <c r="BI91" s="1"/>
  <c r="AC91" s="1"/>
  <c r="AO91"/>
  <c r="AW91" s="1"/>
  <c r="AL91"/>
  <c r="AK91"/>
  <c r="AJ91"/>
  <c r="AH91"/>
  <c r="AG91"/>
  <c r="AF91"/>
  <c r="AE91"/>
  <c r="AD91"/>
  <c r="Z91"/>
  <c r="H91"/>
  <c r="BJ89"/>
  <c r="BF89"/>
  <c r="BD89"/>
  <c r="AP89"/>
  <c r="AX89" s="1"/>
  <c r="AO89"/>
  <c r="BH89" s="1"/>
  <c r="AB89" s="1"/>
  <c r="AL89"/>
  <c r="AJ89"/>
  <c r="AS84" s="1"/>
  <c r="AH89"/>
  <c r="AG89"/>
  <c r="AF89"/>
  <c r="AE89"/>
  <c r="AD89"/>
  <c r="Z89"/>
  <c r="H89"/>
  <c r="AK89" s="1"/>
  <c r="BJ88"/>
  <c r="BF88"/>
  <c r="BD88"/>
  <c r="AX88"/>
  <c r="AP88"/>
  <c r="BI88" s="1"/>
  <c r="AC88" s="1"/>
  <c r="AO88"/>
  <c r="AW88" s="1"/>
  <c r="AL88"/>
  <c r="AJ88"/>
  <c r="AH88"/>
  <c r="AG88"/>
  <c r="AF88"/>
  <c r="AE88"/>
  <c r="AD88"/>
  <c r="Z88"/>
  <c r="H88"/>
  <c r="AK88" s="1"/>
  <c r="BJ87"/>
  <c r="BF87"/>
  <c r="BD87"/>
  <c r="AW87"/>
  <c r="AP87"/>
  <c r="AX87" s="1"/>
  <c r="AO87"/>
  <c r="BH87" s="1"/>
  <c r="AB87" s="1"/>
  <c r="AL87"/>
  <c r="AU84" s="1"/>
  <c r="AK87"/>
  <c r="AJ87"/>
  <c r="AH87"/>
  <c r="AG87"/>
  <c r="AF87"/>
  <c r="AE87"/>
  <c r="AD87"/>
  <c r="Z87"/>
  <c r="H87"/>
  <c r="BJ85"/>
  <c r="BF85"/>
  <c r="BD85"/>
  <c r="AP85"/>
  <c r="AX85" s="1"/>
  <c r="AO85"/>
  <c r="AW85" s="1"/>
  <c r="AL85"/>
  <c r="AK85"/>
  <c r="AJ85"/>
  <c r="AH85"/>
  <c r="AG85"/>
  <c r="AF85"/>
  <c r="AE85"/>
  <c r="AD85"/>
  <c r="Z85"/>
  <c r="H85"/>
  <c r="BJ83"/>
  <c r="BF83"/>
  <c r="BD83"/>
  <c r="AP83"/>
  <c r="BI83" s="1"/>
  <c r="AC83" s="1"/>
  <c r="AO83"/>
  <c r="BH83" s="1"/>
  <c r="AB83" s="1"/>
  <c r="AL83"/>
  <c r="AJ83"/>
  <c r="AS78" s="1"/>
  <c r="AH83"/>
  <c r="AG83"/>
  <c r="AF83"/>
  <c r="AE83"/>
  <c r="AD83"/>
  <c r="Z83"/>
  <c r="H83"/>
  <c r="AK83" s="1"/>
  <c r="BJ79"/>
  <c r="BF79"/>
  <c r="BD79"/>
  <c r="AX79"/>
  <c r="AP79"/>
  <c r="BI79" s="1"/>
  <c r="AC79" s="1"/>
  <c r="AO79"/>
  <c r="AW79" s="1"/>
  <c r="AL79"/>
  <c r="AJ79"/>
  <c r="AH79"/>
  <c r="AG79"/>
  <c r="AF79"/>
  <c r="AE79"/>
  <c r="AD79"/>
  <c r="Z79"/>
  <c r="H79"/>
  <c r="AK79" s="1"/>
  <c r="AU78"/>
  <c r="H78"/>
  <c r="BJ75"/>
  <c r="BF75"/>
  <c r="BD75"/>
  <c r="AW75"/>
  <c r="BC75" s="1"/>
  <c r="AP75"/>
  <c r="AX75" s="1"/>
  <c r="AO75"/>
  <c r="BH75" s="1"/>
  <c r="AB75" s="1"/>
  <c r="AL75"/>
  <c r="AK75"/>
  <c r="AJ75"/>
  <c r="AH75"/>
  <c r="AG75"/>
  <c r="AF75"/>
  <c r="AE75"/>
  <c r="AD75"/>
  <c r="Z75"/>
  <c r="H75"/>
  <c r="BJ71"/>
  <c r="BF71"/>
  <c r="BD71"/>
  <c r="AP71"/>
  <c r="BI71" s="1"/>
  <c r="AC71" s="1"/>
  <c r="AO71"/>
  <c r="AW71" s="1"/>
  <c r="AL71"/>
  <c r="AK71"/>
  <c r="AJ71"/>
  <c r="AH71"/>
  <c r="AG71"/>
  <c r="AF71"/>
  <c r="AE71"/>
  <c r="AD71"/>
  <c r="Z71"/>
  <c r="H71"/>
  <c r="BJ63"/>
  <c r="BF63"/>
  <c r="BD63"/>
  <c r="AP63"/>
  <c r="AX63" s="1"/>
  <c r="AO63"/>
  <c r="AW63" s="1"/>
  <c r="AL63"/>
  <c r="AJ63"/>
  <c r="AH63"/>
  <c r="AG63"/>
  <c r="AF63"/>
  <c r="AE63"/>
  <c r="AD63"/>
  <c r="Z63"/>
  <c r="H63"/>
  <c r="AK63" s="1"/>
  <c r="BJ60"/>
  <c r="BF60"/>
  <c r="BD60"/>
  <c r="AX60"/>
  <c r="AP60"/>
  <c r="BI60" s="1"/>
  <c r="AC60" s="1"/>
  <c r="AO60"/>
  <c r="AW60" s="1"/>
  <c r="AL60"/>
  <c r="AJ60"/>
  <c r="AH60"/>
  <c r="AG60"/>
  <c r="AF60"/>
  <c r="AE60"/>
  <c r="AD60"/>
  <c r="Z60"/>
  <c r="H60"/>
  <c r="AK60" s="1"/>
  <c r="BJ55"/>
  <c r="BF55"/>
  <c r="BD55"/>
  <c r="AW55"/>
  <c r="AV55" s="1"/>
  <c r="AP55"/>
  <c r="AX55" s="1"/>
  <c r="AO55"/>
  <c r="BH55" s="1"/>
  <c r="AB55" s="1"/>
  <c r="AL55"/>
  <c r="AK55"/>
  <c r="AJ55"/>
  <c r="AH55"/>
  <c r="AG55"/>
  <c r="AF55"/>
  <c r="AE55"/>
  <c r="AD55"/>
  <c r="Z55"/>
  <c r="H55"/>
  <c r="BJ54"/>
  <c r="BF54"/>
  <c r="BD54"/>
  <c r="AP54"/>
  <c r="AX54" s="1"/>
  <c r="AO54"/>
  <c r="AW54" s="1"/>
  <c r="AL54"/>
  <c r="AK54"/>
  <c r="AJ54"/>
  <c r="AH54"/>
  <c r="AG54"/>
  <c r="AF54"/>
  <c r="AE54"/>
  <c r="AD54"/>
  <c r="Z54"/>
  <c r="H54"/>
  <c r="BJ52"/>
  <c r="BF52"/>
  <c r="BD52"/>
  <c r="AP52"/>
  <c r="AX52" s="1"/>
  <c r="AO52"/>
  <c r="AW52" s="1"/>
  <c r="AL52"/>
  <c r="AJ52"/>
  <c r="AH52"/>
  <c r="AG52"/>
  <c r="AF52"/>
  <c r="AE52"/>
  <c r="AD52"/>
  <c r="Z52"/>
  <c r="H52"/>
  <c r="AK52" s="1"/>
  <c r="BJ49"/>
  <c r="BF49"/>
  <c r="BD49"/>
  <c r="AX49"/>
  <c r="AP49"/>
  <c r="BI49" s="1"/>
  <c r="AC49" s="1"/>
  <c r="AO49"/>
  <c r="BH49" s="1"/>
  <c r="AB49" s="1"/>
  <c r="AL49"/>
  <c r="AJ49"/>
  <c r="AH49"/>
  <c r="AG49"/>
  <c r="AF49"/>
  <c r="AE49"/>
  <c r="AD49"/>
  <c r="Z49"/>
  <c r="H49"/>
  <c r="AK49" s="1"/>
  <c r="BJ46"/>
  <c r="BF46"/>
  <c r="BD46"/>
  <c r="AW46"/>
  <c r="AV46" s="1"/>
  <c r="AP46"/>
  <c r="AX46" s="1"/>
  <c r="AO46"/>
  <c r="BH46" s="1"/>
  <c r="AB46" s="1"/>
  <c r="AL46"/>
  <c r="AK46"/>
  <c r="AJ46"/>
  <c r="AH46"/>
  <c r="AG46"/>
  <c r="AF46"/>
  <c r="AE46"/>
  <c r="AD46"/>
  <c r="Z46"/>
  <c r="H46"/>
  <c r="BJ43"/>
  <c r="BF43"/>
  <c r="BD43"/>
  <c r="AP43"/>
  <c r="AX43" s="1"/>
  <c r="AO43"/>
  <c r="AW43" s="1"/>
  <c r="AL43"/>
  <c r="AK43"/>
  <c r="AJ43"/>
  <c r="AH43"/>
  <c r="AG43"/>
  <c r="AF43"/>
  <c r="AE43"/>
  <c r="AD43"/>
  <c r="Z43"/>
  <c r="H43"/>
  <c r="BJ41"/>
  <c r="BF41"/>
  <c r="BD41"/>
  <c r="AP41"/>
  <c r="AX41" s="1"/>
  <c r="AO41"/>
  <c r="AW41" s="1"/>
  <c r="AL41"/>
  <c r="AJ41"/>
  <c r="AH41"/>
  <c r="AG41"/>
  <c r="AF41"/>
  <c r="AE41"/>
  <c r="AD41"/>
  <c r="Z41"/>
  <c r="H41"/>
  <c r="AK41" s="1"/>
  <c r="BJ37"/>
  <c r="BF37"/>
  <c r="BD37"/>
  <c r="AX37"/>
  <c r="AP37"/>
  <c r="BI37" s="1"/>
  <c r="AC37" s="1"/>
  <c r="AO37"/>
  <c r="AW37" s="1"/>
  <c r="AL37"/>
  <c r="AJ37"/>
  <c r="AH37"/>
  <c r="AG37"/>
  <c r="AF37"/>
  <c r="AE37"/>
  <c r="AD37"/>
  <c r="Z37"/>
  <c r="H37"/>
  <c r="AK37" s="1"/>
  <c r="BJ32"/>
  <c r="BF32"/>
  <c r="BD32"/>
  <c r="AW32"/>
  <c r="BC32" s="1"/>
  <c r="AP32"/>
  <c r="AX32" s="1"/>
  <c r="AO32"/>
  <c r="BH32" s="1"/>
  <c r="AB32" s="1"/>
  <c r="AL32"/>
  <c r="AU26" s="1"/>
  <c r="AK32"/>
  <c r="AJ32"/>
  <c r="AH32"/>
  <c r="AG32"/>
  <c r="AF32"/>
  <c r="AE32"/>
  <c r="AD32"/>
  <c r="Z32"/>
  <c r="H32"/>
  <c r="BJ30"/>
  <c r="BF30"/>
  <c r="BD30"/>
  <c r="AP30"/>
  <c r="BI30" s="1"/>
  <c r="AC30" s="1"/>
  <c r="AO30"/>
  <c r="AW30" s="1"/>
  <c r="AL30"/>
  <c r="AK30"/>
  <c r="AJ30"/>
  <c r="AH30"/>
  <c r="AG30"/>
  <c r="AF30"/>
  <c r="AE30"/>
  <c r="AD30"/>
  <c r="Z30"/>
  <c r="H30"/>
  <c r="BJ28"/>
  <c r="BF28"/>
  <c r="BD28"/>
  <c r="AP28"/>
  <c r="AX28" s="1"/>
  <c r="AO28"/>
  <c r="AW28" s="1"/>
  <c r="AL28"/>
  <c r="AJ28"/>
  <c r="AS26" s="1"/>
  <c r="AH28"/>
  <c r="AG28"/>
  <c r="AF28"/>
  <c r="AE28"/>
  <c r="AD28"/>
  <c r="Z28"/>
  <c r="H28"/>
  <c r="AK28" s="1"/>
  <c r="BJ27"/>
  <c r="BF27"/>
  <c r="BD27"/>
  <c r="AX27"/>
  <c r="AP27"/>
  <c r="BI27" s="1"/>
  <c r="AC27" s="1"/>
  <c r="AO27"/>
  <c r="BH27" s="1"/>
  <c r="AB27" s="1"/>
  <c r="AL27"/>
  <c r="AJ27"/>
  <c r="AH27"/>
  <c r="AG27"/>
  <c r="AF27"/>
  <c r="AE27"/>
  <c r="AD27"/>
  <c r="Z27"/>
  <c r="H27"/>
  <c r="H26" s="1"/>
  <c r="BJ24"/>
  <c r="BF24"/>
  <c r="BD24"/>
  <c r="AW24"/>
  <c r="BC24" s="1"/>
  <c r="AP24"/>
  <c r="AX24" s="1"/>
  <c r="AO24"/>
  <c r="BH24" s="1"/>
  <c r="AB24" s="1"/>
  <c r="AL24"/>
  <c r="AK24"/>
  <c r="AJ24"/>
  <c r="AH24"/>
  <c r="AG24"/>
  <c r="AF24"/>
  <c r="AE24"/>
  <c r="AD24"/>
  <c r="Z24"/>
  <c r="H24"/>
  <c r="BJ22"/>
  <c r="BF22"/>
  <c r="BD22"/>
  <c r="AP22"/>
  <c r="AX22" s="1"/>
  <c r="AO22"/>
  <c r="AW22" s="1"/>
  <c r="AL22"/>
  <c r="AK22"/>
  <c r="AJ22"/>
  <c r="AH22"/>
  <c r="AG22"/>
  <c r="AF22"/>
  <c r="AE22"/>
  <c r="AD22"/>
  <c r="Z22"/>
  <c r="H22"/>
  <c r="BJ20"/>
  <c r="BF20"/>
  <c r="BD20"/>
  <c r="AP20"/>
  <c r="AX20" s="1"/>
  <c r="AO20"/>
  <c r="BH20" s="1"/>
  <c r="AB20" s="1"/>
  <c r="AL20"/>
  <c r="AJ20"/>
  <c r="AS13" s="1"/>
  <c r="AH20"/>
  <c r="AG20"/>
  <c r="AF20"/>
  <c r="AE20"/>
  <c r="AD20"/>
  <c r="Z20"/>
  <c r="C21" i="1" s="1"/>
  <c r="H20" i="3"/>
  <c r="AK20" s="1"/>
  <c r="BJ17"/>
  <c r="BF17"/>
  <c r="BD17"/>
  <c r="AX17"/>
  <c r="AP17"/>
  <c r="BI17" s="1"/>
  <c r="AC17" s="1"/>
  <c r="AO17"/>
  <c r="AW17" s="1"/>
  <c r="AL17"/>
  <c r="AJ17"/>
  <c r="AH17"/>
  <c r="AG17"/>
  <c r="AF17"/>
  <c r="AE17"/>
  <c r="AD17"/>
  <c r="Z17"/>
  <c r="H17"/>
  <c r="H13" s="1"/>
  <c r="BJ14"/>
  <c r="BF14"/>
  <c r="BD14"/>
  <c r="AW14"/>
  <c r="BC14" s="1"/>
  <c r="AP14"/>
  <c r="AX14" s="1"/>
  <c r="AO14"/>
  <c r="BH14" s="1"/>
  <c r="AB14" s="1"/>
  <c r="AL14"/>
  <c r="C29" i="1" s="1"/>
  <c r="F29" s="1"/>
  <c r="AK14" i="3"/>
  <c r="AJ14"/>
  <c r="AH14"/>
  <c r="AG14"/>
  <c r="AF14"/>
  <c r="AE14"/>
  <c r="AD14"/>
  <c r="Z14"/>
  <c r="H14"/>
  <c r="AU13"/>
  <c r="AU1"/>
  <c r="AT1"/>
  <c r="AS1"/>
  <c r="I44" i="2"/>
  <c r="F44"/>
  <c r="F43"/>
  <c r="I43" s="1"/>
  <c r="I42"/>
  <c r="F42"/>
  <c r="F41"/>
  <c r="I41" s="1"/>
  <c r="I40"/>
  <c r="F40"/>
  <c r="F39"/>
  <c r="I39" s="1"/>
  <c r="I38"/>
  <c r="F38"/>
  <c r="F37"/>
  <c r="I37" s="1"/>
  <c r="I36"/>
  <c r="F36"/>
  <c r="F35"/>
  <c r="I35" s="1"/>
  <c r="I45" s="1"/>
  <c r="I24" i="1" s="1"/>
  <c r="I26" i="2"/>
  <c r="I25"/>
  <c r="I18" i="1" s="1"/>
  <c r="I24" i="2"/>
  <c r="I23"/>
  <c r="I16" i="1" s="1"/>
  <c r="I22" i="2"/>
  <c r="I21"/>
  <c r="I27" s="1"/>
  <c r="I17"/>
  <c r="I16"/>
  <c r="I15"/>
  <c r="F14" i="1" s="1"/>
  <c r="F22" s="1"/>
  <c r="I10" i="2"/>
  <c r="F10"/>
  <c r="C10"/>
  <c r="F8"/>
  <c r="C8"/>
  <c r="F6"/>
  <c r="C6"/>
  <c r="F4"/>
  <c r="C4"/>
  <c r="F2"/>
  <c r="C2"/>
  <c r="C20" i="1"/>
  <c r="I19"/>
  <c r="I17"/>
  <c r="F16"/>
  <c r="I15"/>
  <c r="F15"/>
  <c r="I10"/>
  <c r="F10"/>
  <c r="C10"/>
  <c r="F8"/>
  <c r="C8"/>
  <c r="F6"/>
  <c r="C6"/>
  <c r="F4"/>
  <c r="C4"/>
  <c r="F2"/>
  <c r="C2"/>
  <c r="BC17" i="3" l="1"/>
  <c r="AV17"/>
  <c r="BC37"/>
  <c r="AV37"/>
  <c r="BC60"/>
  <c r="AV60"/>
  <c r="H297"/>
  <c r="BC97"/>
  <c r="AV97"/>
  <c r="AV22"/>
  <c r="BC22"/>
  <c r="BC43"/>
  <c r="AV43"/>
  <c r="AV54"/>
  <c r="BC54"/>
  <c r="BC71"/>
  <c r="AV71"/>
  <c r="BC79"/>
  <c r="AV79"/>
  <c r="BC88"/>
  <c r="AV88"/>
  <c r="AV100"/>
  <c r="BC100"/>
  <c r="BC117"/>
  <c r="AV117"/>
  <c r="AV124"/>
  <c r="BC124"/>
  <c r="BC85"/>
  <c r="AV85"/>
  <c r="AV28"/>
  <c r="BC28"/>
  <c r="AV41"/>
  <c r="BC41"/>
  <c r="AV52"/>
  <c r="BC52"/>
  <c r="AV63"/>
  <c r="BC63"/>
  <c r="BC108"/>
  <c r="AV108"/>
  <c r="BC125"/>
  <c r="AV125"/>
  <c r="BC104"/>
  <c r="AV104"/>
  <c r="BC121"/>
  <c r="AV121"/>
  <c r="BC128"/>
  <c r="AV128"/>
  <c r="AT78"/>
  <c r="AV87"/>
  <c r="AT84"/>
  <c r="AV183"/>
  <c r="BC183"/>
  <c r="AV255"/>
  <c r="BC255"/>
  <c r="AV264"/>
  <c r="BC264"/>
  <c r="AV288"/>
  <c r="BC288"/>
  <c r="AV208"/>
  <c r="BC208"/>
  <c r="AV227"/>
  <c r="BC227"/>
  <c r="AV241"/>
  <c r="BC241"/>
  <c r="AV165"/>
  <c r="BC165"/>
  <c r="AV170"/>
  <c r="BC170"/>
  <c r="AV192"/>
  <c r="BC192"/>
  <c r="AV222"/>
  <c r="BC222"/>
  <c r="BH17"/>
  <c r="AB17" s="1"/>
  <c r="C14" i="1" s="1"/>
  <c r="BI20" i="3"/>
  <c r="AC20" s="1"/>
  <c r="BI28"/>
  <c r="AC28" s="1"/>
  <c r="BH37"/>
  <c r="AB37" s="1"/>
  <c r="BI41"/>
  <c r="AC41" s="1"/>
  <c r="BI52"/>
  <c r="AC52" s="1"/>
  <c r="BH88"/>
  <c r="AB88" s="1"/>
  <c r="BI89"/>
  <c r="AC89" s="1"/>
  <c r="BI110"/>
  <c r="AC110" s="1"/>
  <c r="BI124"/>
  <c r="BH128"/>
  <c r="BC159"/>
  <c r="AV296"/>
  <c r="I14" i="1"/>
  <c r="I22" s="1"/>
  <c r="I18" i="2"/>
  <c r="F29" s="1"/>
  <c r="AV14" i="3"/>
  <c r="BI22"/>
  <c r="AC22" s="1"/>
  <c r="AV24"/>
  <c r="AW27"/>
  <c r="BH28"/>
  <c r="AB28" s="1"/>
  <c r="AV32"/>
  <c r="BH41"/>
  <c r="AB41" s="1"/>
  <c r="BI43"/>
  <c r="AC43" s="1"/>
  <c r="AW49"/>
  <c r="BH52"/>
  <c r="AB52" s="1"/>
  <c r="BI54"/>
  <c r="AC54" s="1"/>
  <c r="BH63"/>
  <c r="AB63" s="1"/>
  <c r="AV75"/>
  <c r="AX83"/>
  <c r="BI85"/>
  <c r="AC85" s="1"/>
  <c r="BH100"/>
  <c r="AB100" s="1"/>
  <c r="BI104"/>
  <c r="AC104" s="1"/>
  <c r="BI117"/>
  <c r="AC117" s="1"/>
  <c r="BH124"/>
  <c r="BI125"/>
  <c r="BC130"/>
  <c r="BC147"/>
  <c r="C27" i="1"/>
  <c r="BI14" i="3"/>
  <c r="AC14" s="1"/>
  <c r="AK17"/>
  <c r="AW20"/>
  <c r="BH22"/>
  <c r="AB22" s="1"/>
  <c r="BI24"/>
  <c r="AC24" s="1"/>
  <c r="AK27"/>
  <c r="AT26" s="1"/>
  <c r="AX30"/>
  <c r="AV30" s="1"/>
  <c r="BH30"/>
  <c r="AB30" s="1"/>
  <c r="BI32"/>
  <c r="AC32" s="1"/>
  <c r="BH43"/>
  <c r="AB43" s="1"/>
  <c r="BC46"/>
  <c r="BI46"/>
  <c r="AC46" s="1"/>
  <c r="BH54"/>
  <c r="AB54" s="1"/>
  <c r="BC55"/>
  <c r="BI55"/>
  <c r="AC55" s="1"/>
  <c r="AX71"/>
  <c r="BH71"/>
  <c r="AB71" s="1"/>
  <c r="BI75"/>
  <c r="AC75" s="1"/>
  <c r="AW83"/>
  <c r="H84"/>
  <c r="BH85"/>
  <c r="AB85" s="1"/>
  <c r="BC87"/>
  <c r="BI87"/>
  <c r="AC87" s="1"/>
  <c r="AW89"/>
  <c r="AX91"/>
  <c r="AV91" s="1"/>
  <c r="BH91"/>
  <c r="AB91" s="1"/>
  <c r="BC94"/>
  <c r="BI94"/>
  <c r="AC94" s="1"/>
  <c r="AK97"/>
  <c r="AT93" s="1"/>
  <c r="BH104"/>
  <c r="AB104" s="1"/>
  <c r="BC106"/>
  <c r="BI106"/>
  <c r="AC106" s="1"/>
  <c r="AW110"/>
  <c r="BC119"/>
  <c r="BC127"/>
  <c r="AX130"/>
  <c r="AV135"/>
  <c r="BI135"/>
  <c r="AV161"/>
  <c r="AT167"/>
  <c r="BC173"/>
  <c r="AV188"/>
  <c r="AV205"/>
  <c r="AV210"/>
  <c r="AV219"/>
  <c r="AT240"/>
  <c r="AV275"/>
  <c r="AV156"/>
  <c r="BC156"/>
  <c r="AV200"/>
  <c r="BC200"/>
  <c r="AV214"/>
  <c r="BC214"/>
  <c r="AV174"/>
  <c r="BC174"/>
  <c r="AV196"/>
  <c r="BC196"/>
  <c r="AV233"/>
  <c r="BC233"/>
  <c r="AV280"/>
  <c r="BC280"/>
  <c r="AV151"/>
  <c r="BC151"/>
  <c r="AV160"/>
  <c r="BC160"/>
  <c r="AV178"/>
  <c r="BC178"/>
  <c r="AV187"/>
  <c r="BC187"/>
  <c r="AV204"/>
  <c r="BC204"/>
  <c r="AV218"/>
  <c r="BC218"/>
  <c r="AV273"/>
  <c r="BC273"/>
  <c r="BH60"/>
  <c r="AB60" s="1"/>
  <c r="BI63"/>
  <c r="AC63" s="1"/>
  <c r="BH79"/>
  <c r="AB79" s="1"/>
  <c r="BH97"/>
  <c r="AB97" s="1"/>
  <c r="BI100"/>
  <c r="AC100" s="1"/>
  <c r="BH108"/>
  <c r="AB108" s="1"/>
  <c r="BH121"/>
  <c r="AB121" s="1"/>
  <c r="H138"/>
  <c r="H12" s="1"/>
  <c r="BC217"/>
  <c r="BC182"/>
  <c r="AT229"/>
  <c r="AV130"/>
  <c r="BH130"/>
  <c r="BC131"/>
  <c r="BC133"/>
  <c r="AV139"/>
  <c r="BH139"/>
  <c r="AT140"/>
  <c r="AV141"/>
  <c r="BI141"/>
  <c r="AE141" s="1"/>
  <c r="C17" i="1" s="1"/>
  <c r="AT152" i="3"/>
  <c r="AV157"/>
  <c r="AV166"/>
  <c r="BC169"/>
  <c r="AT179"/>
  <c r="AV184"/>
  <c r="BC191"/>
  <c r="AV201"/>
  <c r="AV215"/>
  <c r="BC239"/>
  <c r="AV256"/>
  <c r="AT266"/>
  <c r="AV289"/>
  <c r="AW142"/>
  <c r="AX147"/>
  <c r="AW154"/>
  <c r="AX155"/>
  <c r="BC155" s="1"/>
  <c r="AW158"/>
  <c r="AX159"/>
  <c r="AW162"/>
  <c r="AX164"/>
  <c r="BC164" s="1"/>
  <c r="AW168"/>
  <c r="AX169"/>
  <c r="AW172"/>
  <c r="AX173"/>
  <c r="AV173" s="1"/>
  <c r="AW176"/>
  <c r="AX177"/>
  <c r="BC177" s="1"/>
  <c r="AW181"/>
  <c r="AX182"/>
  <c r="AW185"/>
  <c r="AX186"/>
  <c r="BC186" s="1"/>
  <c r="AW190"/>
  <c r="AX191"/>
  <c r="AV191" s="1"/>
  <c r="AW194"/>
  <c r="AX195"/>
  <c r="BC195" s="1"/>
  <c r="AW198"/>
  <c r="AX199"/>
  <c r="BC199" s="1"/>
  <c r="AW202"/>
  <c r="AX203"/>
  <c r="BC203" s="1"/>
  <c r="AW206"/>
  <c r="AX207"/>
  <c r="BC207" s="1"/>
  <c r="AW211"/>
  <c r="H212"/>
  <c r="AX213"/>
  <c r="AV213" s="1"/>
  <c r="AW216"/>
  <c r="AX217"/>
  <c r="AW220"/>
  <c r="AX221"/>
  <c r="BC221" s="1"/>
  <c r="AW225"/>
  <c r="AX226"/>
  <c r="BC226" s="1"/>
  <c r="AW230"/>
  <c r="AX231"/>
  <c r="BC231" s="1"/>
  <c r="AW238"/>
  <c r="AX239"/>
  <c r="AW249"/>
  <c r="AX254"/>
  <c r="BC254" s="1"/>
  <c r="AW258"/>
  <c r="H259"/>
  <c r="AX260"/>
  <c r="BC260" s="1"/>
  <c r="AW267"/>
  <c r="AX272"/>
  <c r="AV272" s="1"/>
  <c r="AW276"/>
  <c r="AX278"/>
  <c r="BC278" s="1"/>
  <c r="AW284"/>
  <c r="H286"/>
  <c r="AX287"/>
  <c r="BC287" s="1"/>
  <c r="AW290"/>
  <c r="AX291"/>
  <c r="BC291" s="1"/>
  <c r="AX294"/>
  <c r="AV294" s="1"/>
  <c r="AX296"/>
  <c r="BC296" s="1"/>
  <c r="BH151"/>
  <c r="BI153"/>
  <c r="AE153" s="1"/>
  <c r="BH156"/>
  <c r="AD156" s="1"/>
  <c r="C16" i="1" s="1"/>
  <c r="BI157" i="3"/>
  <c r="AE157" s="1"/>
  <c r="BH160"/>
  <c r="AD160" s="1"/>
  <c r="BI161"/>
  <c r="AE161" s="1"/>
  <c r="BH165"/>
  <c r="AD165" s="1"/>
  <c r="BI166"/>
  <c r="BH170"/>
  <c r="AD170" s="1"/>
  <c r="BI171"/>
  <c r="AE171" s="1"/>
  <c r="BH174"/>
  <c r="AD174" s="1"/>
  <c r="BI175"/>
  <c r="AE175" s="1"/>
  <c r="BH178"/>
  <c r="BI180"/>
  <c r="AE180" s="1"/>
  <c r="BH183"/>
  <c r="AD183" s="1"/>
  <c r="BI184"/>
  <c r="AE184" s="1"/>
  <c r="BH187"/>
  <c r="AD187" s="1"/>
  <c r="BI188"/>
  <c r="AE188" s="1"/>
  <c r="BH192"/>
  <c r="AD192" s="1"/>
  <c r="BI193"/>
  <c r="AE193" s="1"/>
  <c r="BH196"/>
  <c r="AD196" s="1"/>
  <c r="BI197"/>
  <c r="AE197" s="1"/>
  <c r="BH200"/>
  <c r="AD200" s="1"/>
  <c r="BI201"/>
  <c r="AE201" s="1"/>
  <c r="BH204"/>
  <c r="AD204" s="1"/>
  <c r="BI205"/>
  <c r="AE205" s="1"/>
  <c r="BH208"/>
  <c r="BI210"/>
  <c r="AE210" s="1"/>
  <c r="BH214"/>
  <c r="AD214" s="1"/>
  <c r="BI215"/>
  <c r="AE215" s="1"/>
  <c r="BH218"/>
  <c r="AD218" s="1"/>
  <c r="BI219"/>
  <c r="AE219" s="1"/>
  <c r="BH222"/>
  <c r="AD222" s="1"/>
  <c r="BI224"/>
  <c r="AE224" s="1"/>
  <c r="BH227"/>
  <c r="AD227" s="1"/>
  <c r="BI228"/>
  <c r="BH233"/>
  <c r="AD233" s="1"/>
  <c r="BI234"/>
  <c r="AE234" s="1"/>
  <c r="BH241"/>
  <c r="AD241" s="1"/>
  <c r="BI245"/>
  <c r="AE245" s="1"/>
  <c r="BH255"/>
  <c r="AD255" s="1"/>
  <c r="BI256"/>
  <c r="AE256" s="1"/>
  <c r="BH264"/>
  <c r="AD264" s="1"/>
  <c r="BI265"/>
  <c r="BH273"/>
  <c r="AD273" s="1"/>
  <c r="BI275"/>
  <c r="AE275" s="1"/>
  <c r="BH280"/>
  <c r="AD280" s="1"/>
  <c r="BI283"/>
  <c r="AE283" s="1"/>
  <c r="BH288"/>
  <c r="AF288" s="1"/>
  <c r="C18" i="1" s="1"/>
  <c r="BI289" i="3"/>
  <c r="AG289" s="1"/>
  <c r="C19" i="1" s="1"/>
  <c r="AV147" i="3"/>
  <c r="AV159"/>
  <c r="AV164"/>
  <c r="AV169"/>
  <c r="AV177"/>
  <c r="AV182"/>
  <c r="AV186"/>
  <c r="AV195"/>
  <c r="AV199"/>
  <c r="AV203"/>
  <c r="AV217"/>
  <c r="AV226"/>
  <c r="AV239"/>
  <c r="AV260"/>
  <c r="AV278"/>
  <c r="AV287"/>
  <c r="BC284" l="1"/>
  <c r="AV284"/>
  <c r="BC267"/>
  <c r="AV267"/>
  <c r="BC206"/>
  <c r="AV206"/>
  <c r="BC190"/>
  <c r="AV190"/>
  <c r="BC172"/>
  <c r="AV172"/>
  <c r="BC154"/>
  <c r="AV154"/>
  <c r="AV110"/>
  <c r="BC110"/>
  <c r="BC49"/>
  <c r="AV49"/>
  <c r="BC258"/>
  <c r="AV258"/>
  <c r="BC225"/>
  <c r="AV225"/>
  <c r="AT13"/>
  <c r="C28" i="1"/>
  <c r="F28" s="1"/>
  <c r="BC276" i="3"/>
  <c r="AV276"/>
  <c r="BC211"/>
  <c r="AV211"/>
  <c r="BC202"/>
  <c r="AV202"/>
  <c r="BC194"/>
  <c r="AV194"/>
  <c r="BC185"/>
  <c r="AV185"/>
  <c r="BC176"/>
  <c r="AV176"/>
  <c r="BC168"/>
  <c r="AV168"/>
  <c r="BC158"/>
  <c r="AV158"/>
  <c r="BC142"/>
  <c r="AV142"/>
  <c r="AV83"/>
  <c r="BC83"/>
  <c r="AV20"/>
  <c r="BC20"/>
  <c r="AV254"/>
  <c r="AV221"/>
  <c r="BC272"/>
  <c r="AV291"/>
  <c r="AV207"/>
  <c r="AV155"/>
  <c r="BC30"/>
  <c r="BC91"/>
  <c r="BC198"/>
  <c r="AV198"/>
  <c r="BC181"/>
  <c r="AV181"/>
  <c r="BC162"/>
  <c r="AV162"/>
  <c r="BC238"/>
  <c r="AV238"/>
  <c r="BC216"/>
  <c r="AV216"/>
  <c r="BC290"/>
  <c r="AV290"/>
  <c r="BC249"/>
  <c r="AV249"/>
  <c r="BC230"/>
  <c r="AV230"/>
  <c r="BC220"/>
  <c r="AV220"/>
  <c r="AV89"/>
  <c r="BC89"/>
  <c r="BC27"/>
  <c r="AV27"/>
  <c r="C15" i="1"/>
  <c r="C22" s="1"/>
  <c r="BC213" i="3"/>
  <c r="BC294"/>
  <c r="AV231"/>
  <c r="I28" i="1"/>
  <c r="I29" s="1"/>
</calcChain>
</file>

<file path=xl/sharedStrings.xml><?xml version="1.0" encoding="utf-8"?>
<sst xmlns="http://schemas.openxmlformats.org/spreadsheetml/2006/main" count="2155" uniqueCount="747">
  <si>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</si>
  <si>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</si>
  <si>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</si>
  <si>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</si>
  <si>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</si>
  <si>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</si>
  <si>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</si>
  <si>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</si>
  <si>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</si>
  <si>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</si>
  <si>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</si>
  <si>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</si>
  <si>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</si>
  <si>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</si>
  <si>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</si>
  <si>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</si>
  <si>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</si>
  <si>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</si>
  <si>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</si>
  <si>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</si>
  <si>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</si>
  <si>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</si>
  <si>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</si>
  <si>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</si>
  <si>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</si>
  <si>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</si>
  <si>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</si>
  <si>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</si>
  <si>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</si>
  <si>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</si>
  <si>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</si>
  <si>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</si>
  <si>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</si>
  <si>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</si>
  <si>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</si>
  <si>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</si>
  <si>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</si>
  <si>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</si>
  <si>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</si>
  <si>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</si>
  <si>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</si>
  <si>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</si>
  <si>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</si>
  <si>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</si>
  <si>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</si>
  <si>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</si>
  <si>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</si>
  <si>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</si>
  <si>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</si>
  <si>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</si>
  <si>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</si>
  <si>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</si>
  <si>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</si>
  <si>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</si>
  <si>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</si>
  <si>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</si>
  <si>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</si>
  <si>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</si>
  <si>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</si>
  <si>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</si>
  <si>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</si>
  <si>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</si>
  <si>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</si>
  <si>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</si>
  <si>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</si>
  <si>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</si>
  <si>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</si>
  <si>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</si>
  <si>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</si>
  <si>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</si>
  <si>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</si>
  <si>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</si>
  <si>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</si>
  <si>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</si>
  <si>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</si>
  <si>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</si>
  <si>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Slepý stavební rozpočet</t>
  </si>
  <si>
    <t>132-2024  Brodská 1876/27 byt č. 36  1+1</t>
  </si>
  <si>
    <t>Doba výstavby:</t>
  </si>
  <si>
    <t xml:space="preserve"> </t>
  </si>
  <si>
    <t> </t>
  </si>
  <si>
    <t>Stavební úpravy bytu 1+1</t>
  </si>
  <si>
    <t>Zpracováno dne: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</si>
  <si>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</si>
  <si>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</si>
  <si>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</si>
  <si>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</si>
  <si>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</si>
  <si>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</si>
  <si>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</si>
  <si>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ISWORK</t>
  </si>
  <si>
    <t>GROUPCODE</t>
  </si>
  <si>
    <t>VATTAX</t>
  </si>
  <si>
    <t>Rozměry</t>
  </si>
  <si>
    <t>(Kč)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</si>
  <si>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</si>
  <si>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</si>
  <si>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</si>
  <si>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</si>
  <si>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</si>
  <si>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</si>
  <si>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</si>
  <si>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</si>
  <si>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</si>
  <si>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</si>
  <si>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</si>
  <si>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</si>
  <si>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</si>
  <si>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</si>
  <si>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34</t>
  </si>
  <si>
    <t>Stěny a příčky</t>
  </si>
  <si>
    <t>1</t>
  </si>
  <si>
    <t>310235251RT2</t>
  </si>
  <si>
    <t>Zazdívka otvorů pl.0,0225 m2 cihlami, tl.zdi 45 cm</t>
  </si>
  <si>
    <t>kus</t>
  </si>
  <si>
    <t>34_</t>
  </si>
  <si>
    <t>_3_</t>
  </si>
  <si>
    <t>_</t>
  </si>
  <si>
    <t>Varianta:</t>
  </si>
  <si>
    <t>s použitím suché maltové směsi</t>
  </si>
  <si>
    <t>2</t>
  </si>
  <si>
    <t>spižní otvory</t>
  </si>
  <si>
    <t>342255024R00</t>
  </si>
  <si>
    <t>Příčky z desek  Pórobetonových  tl. 100 mm</t>
  </si>
  <si>
    <t>m2</t>
  </si>
  <si>
    <t>(4,2+1,795)*2,6</t>
  </si>
  <si>
    <t>-0,8*2*2</t>
  </si>
  <si>
    <t>3</t>
  </si>
  <si>
    <t>317121047RT2</t>
  </si>
  <si>
    <t>Překlad nenosný pórobetonový, světlost otvoru do 1050 mm</t>
  </si>
  <si>
    <t>překlad nenosný  124 x 24,9 x 10 cm</t>
  </si>
  <si>
    <t>4</t>
  </si>
  <si>
    <t>342948111R00</t>
  </si>
  <si>
    <t>Ukotvení příček ke konstrukci kotvami na hmoždinky</t>
  </si>
  <si>
    <t>m</t>
  </si>
  <si>
    <t>2,6*3</t>
  </si>
  <si>
    <t>svisle</t>
  </si>
  <si>
    <t>5</t>
  </si>
  <si>
    <t>342668111R00</t>
  </si>
  <si>
    <t>Těsnění styku příčky se stáv. konstrukcí PU pěnou</t>
  </si>
  <si>
    <t>(4,2+1,795)</t>
  </si>
  <si>
    <t>61</t>
  </si>
  <si>
    <t>Úprava povrchů vnitřní</t>
  </si>
  <si>
    <t>6</t>
  </si>
  <si>
    <t>601016191R00</t>
  </si>
  <si>
    <t>Penetrační nátěr stropů</t>
  </si>
  <si>
    <t>61_</t>
  </si>
  <si>
    <t>_6_</t>
  </si>
  <si>
    <t>7</t>
  </si>
  <si>
    <t>611421133R00</t>
  </si>
  <si>
    <t>Omítka vnitřní stropů rovných, MVC, štuková</t>
  </si>
  <si>
    <t>2,96+2,6+8,66+14,53</t>
  </si>
  <si>
    <t>8</t>
  </si>
  <si>
    <t>620991111R00</t>
  </si>
  <si>
    <t>Zakrývání spár panelů páskou</t>
  </si>
  <si>
    <t>3*4,2</t>
  </si>
  <si>
    <t>9</t>
  </si>
  <si>
    <t>612421615R00</t>
  </si>
  <si>
    <t>Omítka vnitřní zdiva, MVC, hrubá zatřená</t>
  </si>
  <si>
    <t>(0,9+0,9)*2,1</t>
  </si>
  <si>
    <t>koupelna pod obklady</t>
  </si>
  <si>
    <t>(0,675+1,65+1,575+0,75)*1,8-0,8*1,8</t>
  </si>
  <si>
    <t>(0,6+2,475+0,6)*0,6</t>
  </si>
  <si>
    <t>kuchyň linka</t>
  </si>
  <si>
    <t>(0,2*1,45)*2</t>
  </si>
  <si>
    <t>10</t>
  </si>
  <si>
    <t>602016191R00</t>
  </si>
  <si>
    <t>Penetrační nátěr stěn</t>
  </si>
  <si>
    <t>(4,2*2+1,795*2)*2,6</t>
  </si>
  <si>
    <t>nové příčky</t>
  </si>
  <si>
    <t>-(0,8*2)*4</t>
  </si>
  <si>
    <t>67,259</t>
  </si>
  <si>
    <t>stávající stěny</t>
  </si>
  <si>
    <t>11</t>
  </si>
  <si>
    <t>610991111R00</t>
  </si>
  <si>
    <t>Zakrývání výplní vnitřních otvorů</t>
  </si>
  <si>
    <t>1,5*1,35*2</t>
  </si>
  <si>
    <t>okno</t>
  </si>
  <si>
    <t>12</t>
  </si>
  <si>
    <t>648991113RT2</t>
  </si>
  <si>
    <t>Osazení parapet.desek plast. a lamin. š.nad 20cm</t>
  </si>
  <si>
    <t>včetně dodávky plastové parapetní desky š. 250 mm</t>
  </si>
  <si>
    <t>1,5+1,5</t>
  </si>
  <si>
    <t>13</t>
  </si>
  <si>
    <t>642942111RT4</t>
  </si>
  <si>
    <t>Osazení zárubní dveřních ocelových, pl. do 2,5 m2</t>
  </si>
  <si>
    <t>včetně dodávky zárubně 800 x 1970 x 100 mm</t>
  </si>
  <si>
    <t>14</t>
  </si>
  <si>
    <t>642944121RT4</t>
  </si>
  <si>
    <t>Osazení ocelových zárubní dodatečně do 2,5 m2</t>
  </si>
  <si>
    <t>koupelna</t>
  </si>
  <si>
    <t>15</t>
  </si>
  <si>
    <t>642945121R00</t>
  </si>
  <si>
    <t>Osazení zárubní ocel. požár.1křídl., zazděním</t>
  </si>
  <si>
    <t>vstupní dveře</t>
  </si>
  <si>
    <t>16</t>
  </si>
  <si>
    <t>5533301126</t>
  </si>
  <si>
    <t>Zárubeň ocelová  100/1970/800 L, P, EI, EW 30</t>
  </si>
  <si>
    <t>17</t>
  </si>
  <si>
    <t>612481211RT2</t>
  </si>
  <si>
    <t>Montáž výztužné sítě(perlinky)do stěrky-vnit.stěny</t>
  </si>
  <si>
    <t>včetně výztužné sítě a stěrkového tmelu</t>
  </si>
  <si>
    <t>4,2*2,6-0,8*2</t>
  </si>
  <si>
    <t>(2,475+1,83)*2,6-0,8*2*2</t>
  </si>
  <si>
    <t>(1,795+1,65)*2,6-0,8*2</t>
  </si>
  <si>
    <t>18</t>
  </si>
  <si>
    <t>612471411RT2</t>
  </si>
  <si>
    <t>Úprava vnitřních stěn aktivovaným štukem</t>
  </si>
  <si>
    <t>24,67</t>
  </si>
  <si>
    <t>19</t>
  </si>
  <si>
    <t>612474611RT2</t>
  </si>
  <si>
    <t>Omítka stěn vnitřní, VPC jádro, vápen.štuk, ručně</t>
  </si>
  <si>
    <t>na pálené cihly a tvarovky - nové zdivo</t>
  </si>
  <si>
    <t>(1,795+1,65)*2*2,6-0,8*2*3</t>
  </si>
  <si>
    <t>stěny  chodba</t>
  </si>
  <si>
    <t>(0,675+1,65+1,575+0,75)*0,8</t>
  </si>
  <si>
    <t>koupelna nad obklady</t>
  </si>
  <si>
    <t>(0,9+0,9)*0,5</t>
  </si>
  <si>
    <t>(3,5+2,475+1,7)*2,6-1,5*1,35</t>
  </si>
  <si>
    <t>kuchyň</t>
  </si>
  <si>
    <t>-(0,6+2,475+0,6)*0,6</t>
  </si>
  <si>
    <t>(3,525*2+4,2)*2,6-1,5*1,35</t>
  </si>
  <si>
    <t>pokoj</t>
  </si>
  <si>
    <t>20</t>
  </si>
  <si>
    <t>612425931RT2</t>
  </si>
  <si>
    <t>Omítka vápenná vnitřního ostění - štuková</t>
  </si>
  <si>
    <t>(1,5+1,35*2)*0,2*2</t>
  </si>
  <si>
    <t>okna</t>
  </si>
  <si>
    <t>(1+2,2*2)*0,35</t>
  </si>
  <si>
    <t>vstup. dveře</t>
  </si>
  <si>
    <t>21</t>
  </si>
  <si>
    <t>612401391RT2</t>
  </si>
  <si>
    <t>Omítka malých ploch vnitřních stěn do 1 m2</t>
  </si>
  <si>
    <t>vápennou štukovou omítkou</t>
  </si>
  <si>
    <t>vstup. dveře z chodby</t>
  </si>
  <si>
    <t>63</t>
  </si>
  <si>
    <t>Podlahy a podlahové konstrukce</t>
  </si>
  <si>
    <t>22</t>
  </si>
  <si>
    <t>632451441R00</t>
  </si>
  <si>
    <t>Doplnění potěru plochy do 1 m2, tl. 30 - 40 mm</t>
  </si>
  <si>
    <t>63_</t>
  </si>
  <si>
    <t>1,575*1,65</t>
  </si>
  <si>
    <t>14,53</t>
  </si>
  <si>
    <t>8,66</t>
  </si>
  <si>
    <t>23</t>
  </si>
  <si>
    <t>632411904R00</t>
  </si>
  <si>
    <t>Penetrace savých podkladů  0,25 l/m2</t>
  </si>
  <si>
    <t>95</t>
  </si>
  <si>
    <t>Různé dokončovací konstrukce a práce na pozemních stavbách</t>
  </si>
  <si>
    <t>24</t>
  </si>
  <si>
    <t>900      R01</t>
  </si>
  <si>
    <t>HZS - drobné nezměřitelné práce</t>
  </si>
  <si>
    <t>h</t>
  </si>
  <si>
    <t>95_</t>
  </si>
  <si>
    <t>_9_</t>
  </si>
  <si>
    <t>stavební dělník</t>
  </si>
  <si>
    <t>25</t>
  </si>
  <si>
    <t>900      R02</t>
  </si>
  <si>
    <t>HZS - vyklizení, vyčištění, desinfekce, ochranné pomůcky</t>
  </si>
  <si>
    <t>soubor</t>
  </si>
  <si>
    <t>26</t>
  </si>
  <si>
    <t>952901111R00</t>
  </si>
  <si>
    <t>Vyčištění budov o výšce podlaží do 4 m</t>
  </si>
  <si>
    <t>27</t>
  </si>
  <si>
    <t>713582115RT2</t>
  </si>
  <si>
    <t>Revizní dvířka Promat do masivních stěn, 500 x 500 mm</t>
  </si>
  <si>
    <t>typ SP, požární odolnost EI 30</t>
  </si>
  <si>
    <t>28</t>
  </si>
  <si>
    <t>952902110RVV</t>
  </si>
  <si>
    <t>Zametání a vytírání v místnostech, chodbách, na  schodišti</t>
  </si>
  <si>
    <t>KPL.</t>
  </si>
  <si>
    <t xml:space="preserve"> v průběhu rekonstrukce</t>
  </si>
  <si>
    <t>96</t>
  </si>
  <si>
    <t>Bourání konstrukcí</t>
  </si>
  <si>
    <t>29</t>
  </si>
  <si>
    <t>962084131R00</t>
  </si>
  <si>
    <t>Bourání příček deskových  tl.10 cm</t>
  </si>
  <si>
    <t>96_</t>
  </si>
  <si>
    <t>30</t>
  </si>
  <si>
    <t>968061125R00</t>
  </si>
  <si>
    <t>Vyvěšení dřevěných dveřních křídel pl. do 2 m2</t>
  </si>
  <si>
    <t>bytové</t>
  </si>
  <si>
    <t>vstupní</t>
  </si>
  <si>
    <t>31</t>
  </si>
  <si>
    <t>968072455R00</t>
  </si>
  <si>
    <t>Vybourání kovových dveřních zárubní pl. do 2 m2</t>
  </si>
  <si>
    <t>0,8*2*2</t>
  </si>
  <si>
    <t>dřev. příčka</t>
  </si>
  <si>
    <t>0,9*2,1</t>
  </si>
  <si>
    <t>32</t>
  </si>
  <si>
    <t>965081713R00</t>
  </si>
  <si>
    <t>Bourání dlažeb keramických tl.10 mm, nad 1 m2</t>
  </si>
  <si>
    <t>1,575*1</t>
  </si>
  <si>
    <t>33</t>
  </si>
  <si>
    <t>968091001R00</t>
  </si>
  <si>
    <t>Bourání parapetů teracových š. do 30 cm tl.3 cm</t>
  </si>
  <si>
    <t>978011191R00</t>
  </si>
  <si>
    <t>Otlučení omítek vnitřních vápenných stropů do 100%</t>
  </si>
  <si>
    <t>35</t>
  </si>
  <si>
    <t>978013191R00</t>
  </si>
  <si>
    <t>Otlučení omítek vnitřních stěn v rozsahu do 100 %</t>
  </si>
  <si>
    <t>(1,575+1,65)*2*0,8</t>
  </si>
  <si>
    <t>(3,6+2,475+1,7)*2,6-1,5*1,35</t>
  </si>
  <si>
    <t>ostění otvorů</t>
  </si>
  <si>
    <t>36</t>
  </si>
  <si>
    <t>978059521R00</t>
  </si>
  <si>
    <t>Odsekání vnitřních obkladů stěn do 2 m2</t>
  </si>
  <si>
    <t>(1,575+1,65)*2*1,8-0,8*1,8</t>
  </si>
  <si>
    <t>37</t>
  </si>
  <si>
    <t>762522811R00</t>
  </si>
  <si>
    <t>Demontáž podlah s polštáři z prken tl. do 32 mm</t>
  </si>
  <si>
    <t>38</t>
  </si>
  <si>
    <t>775531800RT1</t>
  </si>
  <si>
    <t>Demontáž parketových tabulí lepených včetně lišt</t>
  </si>
  <si>
    <t>včetně uložení suti na hromady</t>
  </si>
  <si>
    <t>39</t>
  </si>
  <si>
    <t>979011111R00</t>
  </si>
  <si>
    <t>Svislá doprava suti a vybour. hmot za 2.NP a 1.PP</t>
  </si>
  <si>
    <t>t</t>
  </si>
  <si>
    <t>40</t>
  </si>
  <si>
    <t>979011121R00</t>
  </si>
  <si>
    <t>Příplatek za každé další podlaží</t>
  </si>
  <si>
    <t>8,223*2</t>
  </si>
  <si>
    <t>41</t>
  </si>
  <si>
    <t>979081111R00</t>
  </si>
  <si>
    <t>Odvoz suti a vybour. hmot na skládku do 1 km</t>
  </si>
  <si>
    <t>42</t>
  </si>
  <si>
    <t>979081121R00</t>
  </si>
  <si>
    <t>Příplatek k odvozu za každý další 1 km</t>
  </si>
  <si>
    <t>8,223*5</t>
  </si>
  <si>
    <t>43</t>
  </si>
  <si>
    <t>979082111R00</t>
  </si>
  <si>
    <t>Vnitrostaveništní doprava suti do 10 m</t>
  </si>
  <si>
    <t>44</t>
  </si>
  <si>
    <t>979082121R00</t>
  </si>
  <si>
    <t>Příplatek k vnitrost. dopravě suti za dalších 5 m</t>
  </si>
  <si>
    <t>8,223*4</t>
  </si>
  <si>
    <t>45</t>
  </si>
  <si>
    <t>979990107R00</t>
  </si>
  <si>
    <t>Poplatek za uložení suti - směs betonu, cihel, dřeva, skupina odpadu 170904</t>
  </si>
  <si>
    <t>8,223-0,117</t>
  </si>
  <si>
    <t>46</t>
  </si>
  <si>
    <t>979990181R00</t>
  </si>
  <si>
    <t>Poplatek za uložení suti - PVC podlahová krytina, skupina odpadu 200307</t>
  </si>
  <si>
    <t>26,429*0,0035</t>
  </si>
  <si>
    <t>PVC</t>
  </si>
  <si>
    <t>30,29*0,0008</t>
  </si>
  <si>
    <t>sokl PVC</t>
  </si>
  <si>
    <t>99</t>
  </si>
  <si>
    <t>Staveništní přesun hmot</t>
  </si>
  <si>
    <t>47</t>
  </si>
  <si>
    <t>999281108R00</t>
  </si>
  <si>
    <t>Přesun hmot pro opravy a údržbu do výšky 12 m</t>
  </si>
  <si>
    <t>99_</t>
  </si>
  <si>
    <t>711</t>
  </si>
  <si>
    <t>Izolace proti vodě</t>
  </si>
  <si>
    <t>48</t>
  </si>
  <si>
    <t>711212000R00</t>
  </si>
  <si>
    <t>Penetrace podkladu pod hydroizolační hmoty, včetně dodávky</t>
  </si>
  <si>
    <t>711_</t>
  </si>
  <si>
    <t>_71_</t>
  </si>
  <si>
    <t>49</t>
  </si>
  <si>
    <t>711212002RT3</t>
  </si>
  <si>
    <t>Stěrka hydroizolační, vč. dodávky HI hmoty</t>
  </si>
  <si>
    <t>, tl. 2 mm</t>
  </si>
  <si>
    <t>koupelna podlaha</t>
  </si>
  <si>
    <t>(1,575+1,65)*2*0,3-0,8*0,3</t>
  </si>
  <si>
    <t>sokl</t>
  </si>
  <si>
    <t>(1+1)*2,1</t>
  </si>
  <si>
    <t>sprcha svisle</t>
  </si>
  <si>
    <t>50</t>
  </si>
  <si>
    <t>711212601RT2</t>
  </si>
  <si>
    <t>Utěsnění detailů při stěrkových hydroizolacích, těsnicí pás do spoje podlaha - stěna</t>
  </si>
  <si>
    <t xml:space="preserve"> šířka 100 mm</t>
  </si>
  <si>
    <t>(1,575+1,65)*2-0,8</t>
  </si>
  <si>
    <t>koupelna sokl</t>
  </si>
  <si>
    <t>2,1</t>
  </si>
  <si>
    <t>svisle sprcha</t>
  </si>
  <si>
    <t>51</t>
  </si>
  <si>
    <t>998711102R00</t>
  </si>
  <si>
    <t>Přesun hmot pro izolace proti vodě, výšky do 12 m</t>
  </si>
  <si>
    <t>721</t>
  </si>
  <si>
    <t>Vnitřní kanalizace</t>
  </si>
  <si>
    <t>52</t>
  </si>
  <si>
    <t>721140935R00</t>
  </si>
  <si>
    <t>Provedení opravy - přechod z plastových trub na litinu,DN 100 mm</t>
  </si>
  <si>
    <t>721_</t>
  </si>
  <si>
    <t>_72_</t>
  </si>
  <si>
    <t>53</t>
  </si>
  <si>
    <t>721140802R00</t>
  </si>
  <si>
    <t>Demontáž potrubí litinového do DN 100 mm</t>
  </si>
  <si>
    <t>54</t>
  </si>
  <si>
    <t>721171803R00</t>
  </si>
  <si>
    <t>Demontáž potrubí z PVC do D 75 mm</t>
  </si>
  <si>
    <t>55</t>
  </si>
  <si>
    <t>721176102R00</t>
  </si>
  <si>
    <t>Potrubí HT připojovací, D 40 x 1,8 mm</t>
  </si>
  <si>
    <t>56</t>
  </si>
  <si>
    <t>721176103R00</t>
  </si>
  <si>
    <t>Potrubí HT připojovací, D 50 x 1,8 mm</t>
  </si>
  <si>
    <t>57</t>
  </si>
  <si>
    <t>721176105R00</t>
  </si>
  <si>
    <t>Potrubí HT připojovací, D 110 x 2,7 mm</t>
  </si>
  <si>
    <t>58</t>
  </si>
  <si>
    <t>721176115R00</t>
  </si>
  <si>
    <t>Potrubí HT odpadní svislé, D 110 x 2,7 mm</t>
  </si>
  <si>
    <t>59</t>
  </si>
  <si>
    <t>721194104R00</t>
  </si>
  <si>
    <t>Vyvedení odpadních výpustek, D 40 x 1,8 mm</t>
  </si>
  <si>
    <t>60</t>
  </si>
  <si>
    <t>721194109R00</t>
  </si>
  <si>
    <t>Vyvedení odpadních výpustek, D 110 x 2,3 mm</t>
  </si>
  <si>
    <t>230120046R00</t>
  </si>
  <si>
    <t>Čištění potrubí profukováním nebo proplach. DN 100</t>
  </si>
  <si>
    <t>1,9+3,2+1</t>
  </si>
  <si>
    <t>62</t>
  </si>
  <si>
    <t>721290111R00</t>
  </si>
  <si>
    <t>Zkouška těsnosti kanalizace vodou DN 125 mm</t>
  </si>
  <si>
    <t>721176212R00</t>
  </si>
  <si>
    <t>Potrubí KG odpadní svislé, D 110 x 3,2 mm</t>
  </si>
  <si>
    <t>64</t>
  </si>
  <si>
    <t>998721102R00</t>
  </si>
  <si>
    <t>Přesun hmot pro vnitřní kanalizaci, výšky do 12 m</t>
  </si>
  <si>
    <t>722</t>
  </si>
  <si>
    <t>Vnitřní vodovod</t>
  </si>
  <si>
    <t>65</t>
  </si>
  <si>
    <t>722130801R00</t>
  </si>
  <si>
    <t>Demontáž potrubí ocelových závitových, DN 25 mm</t>
  </si>
  <si>
    <t>722_</t>
  </si>
  <si>
    <t>66</t>
  </si>
  <si>
    <t>722130913R00</t>
  </si>
  <si>
    <t>Oprava -  přeřezání ocelové trubky do DN 25 mm</t>
  </si>
  <si>
    <t>67</t>
  </si>
  <si>
    <t>722260921R00</t>
  </si>
  <si>
    <t>Zpětná montáž vodoměrů závitových G 1/2"</t>
  </si>
  <si>
    <t>68</t>
  </si>
  <si>
    <t>722172631R00</t>
  </si>
  <si>
    <t>Potrubí plastové PP-R Instaplast, bez zednických výpomocí, D 20 x 3,4 mm, PN 20</t>
  </si>
  <si>
    <t>69</t>
  </si>
  <si>
    <t>722220111R00</t>
  </si>
  <si>
    <t>Nástěnka K 247, pro výtokový ventil G 1/2"</t>
  </si>
  <si>
    <t>70</t>
  </si>
  <si>
    <t>722220121R00</t>
  </si>
  <si>
    <t>Nástěnka K 247, pro baterii G 1/2"</t>
  </si>
  <si>
    <t>pár</t>
  </si>
  <si>
    <t>71</t>
  </si>
  <si>
    <t>722181214RT8</t>
  </si>
  <si>
    <t>Izolace návleková   tl. stěny 20 mm</t>
  </si>
  <si>
    <t>72</t>
  </si>
  <si>
    <t>722190401R00</t>
  </si>
  <si>
    <t>Vyvedení a upevnění výpustek DN 15 mm</t>
  </si>
  <si>
    <t>73</t>
  </si>
  <si>
    <t>722290234R00</t>
  </si>
  <si>
    <t>Proplach a dezinfekce vodovodního potrubí DN 80 mm</t>
  </si>
  <si>
    <t>74</t>
  </si>
  <si>
    <t>722280106R00</t>
  </si>
  <si>
    <t>Tlaková zkouška vodovodního potrubí DN 32 mm</t>
  </si>
  <si>
    <t>75</t>
  </si>
  <si>
    <t>998722102R00</t>
  </si>
  <si>
    <t>Přesun hmot pro vnitřní vodovod, výšky do 12 m</t>
  </si>
  <si>
    <t>725</t>
  </si>
  <si>
    <t>Zařizovací předměty</t>
  </si>
  <si>
    <t>76</t>
  </si>
  <si>
    <t>725110811R00</t>
  </si>
  <si>
    <t>Demontáž klozetů splachovacích</t>
  </si>
  <si>
    <t>725_</t>
  </si>
  <si>
    <t>77</t>
  </si>
  <si>
    <t>725210821R00</t>
  </si>
  <si>
    <t>Demontáž umyvadel bez výtokových armatur</t>
  </si>
  <si>
    <t>78</t>
  </si>
  <si>
    <t>725840850R00</t>
  </si>
  <si>
    <t>Demontáž baterie sprchové diferenciální G 3/4" x 1"</t>
  </si>
  <si>
    <t>79</t>
  </si>
  <si>
    <t>725820802R00</t>
  </si>
  <si>
    <t>Demontáž baterie stojánkové do 1 otvoru</t>
  </si>
  <si>
    <t>80</t>
  </si>
  <si>
    <t>725860811R00</t>
  </si>
  <si>
    <t>Demontáž uzávěrek zápachových jednoduchých</t>
  </si>
  <si>
    <t>81</t>
  </si>
  <si>
    <t>725240812R00</t>
  </si>
  <si>
    <t>Demontáž sprchových mís bez výtokových armatur</t>
  </si>
  <si>
    <t>82</t>
  </si>
  <si>
    <t>725820801R00</t>
  </si>
  <si>
    <t>Demontáž baterie nástěnné do G 3/4"</t>
  </si>
  <si>
    <t>83</t>
  </si>
  <si>
    <t>84</t>
  </si>
  <si>
    <t>725991811R00</t>
  </si>
  <si>
    <t>Demontáž konzol jednoduchých</t>
  </si>
  <si>
    <t>konzola na závěs do sprchy</t>
  </si>
  <si>
    <t>85</t>
  </si>
  <si>
    <t>725219401R00</t>
  </si>
  <si>
    <t>Montáž umyvadel na šrouby do zdiva</t>
  </si>
  <si>
    <t>86</t>
  </si>
  <si>
    <t>725017162R00</t>
  </si>
  <si>
    <t>Umyvadlo na šrouby   550 x 450 mm, bílé</t>
  </si>
  <si>
    <t>87</t>
  </si>
  <si>
    <t>725860213R00</t>
  </si>
  <si>
    <t>Sifon podomítkový umyvadlový HL 132, D32,  40 mm</t>
  </si>
  <si>
    <t>88</t>
  </si>
  <si>
    <t>725860107R00</t>
  </si>
  <si>
    <t>Uzávěrka zápachová umyvadlová T 1015, D 40 mm</t>
  </si>
  <si>
    <t>89</t>
  </si>
  <si>
    <t>725829301R00</t>
  </si>
  <si>
    <t>Montáž baterie nástěnná u umyvadla koupelna</t>
  </si>
  <si>
    <t>90</t>
  </si>
  <si>
    <t>725849201R00</t>
  </si>
  <si>
    <t>Montáž baterií sprchových, pevná výška</t>
  </si>
  <si>
    <t>91</t>
  </si>
  <si>
    <t>725860181RT1</t>
  </si>
  <si>
    <t>Sifon pračkový HL404.1, D 40/50 mm nerezový</t>
  </si>
  <si>
    <t>92</t>
  </si>
  <si>
    <t>725860222R00</t>
  </si>
  <si>
    <t>Sifon sprchový PP HL514SN, D 40/50 mm</t>
  </si>
  <si>
    <t>93</t>
  </si>
  <si>
    <t>725810402R00</t>
  </si>
  <si>
    <t>Ventil rohový bez přípojovací trubičky TE 66 G 1/2"</t>
  </si>
  <si>
    <t>94</t>
  </si>
  <si>
    <t>725249102R00</t>
  </si>
  <si>
    <t>Montáž sprchových mís a vaniček</t>
  </si>
  <si>
    <t>725825111R00</t>
  </si>
  <si>
    <t>Baterie umyvadlová nástěnná ruční</t>
  </si>
  <si>
    <t>725823114R00</t>
  </si>
  <si>
    <t>Baterie dřezová stojánková ruční, bez otvírání odpadu</t>
  </si>
  <si>
    <t>97</t>
  </si>
  <si>
    <t>725845111R00</t>
  </si>
  <si>
    <t>Baterie sprchová nástěnná ruční,</t>
  </si>
  <si>
    <t>98</t>
  </si>
  <si>
    <t>725814125R00</t>
  </si>
  <si>
    <t>Ventil pračkový  DN 20 mm</t>
  </si>
  <si>
    <t>725119305R00</t>
  </si>
  <si>
    <t>Montáž klozetových mís kombinovaných</t>
  </si>
  <si>
    <t>100</t>
  </si>
  <si>
    <t>725013161R00</t>
  </si>
  <si>
    <t>Klozet kombi , nádrž s armaturou, odpad šikmý</t>
  </si>
  <si>
    <t>101</t>
  </si>
  <si>
    <t>55423038.A</t>
  </si>
  <si>
    <t>Sprchová vanička čtvrt kruh  900 x 900 mm  - dle vzorkování</t>
  </si>
  <si>
    <t>102</t>
  </si>
  <si>
    <t>55428097.A</t>
  </si>
  <si>
    <t>Sprchová zástěna čtvrtkruhový , 900 x 900 mm - dle vzorkování</t>
  </si>
  <si>
    <t>103</t>
  </si>
  <si>
    <t>998725102R00</t>
  </si>
  <si>
    <t>Přesun hmot pro zařizovací předměty, výšky do 12 m</t>
  </si>
  <si>
    <t>735</t>
  </si>
  <si>
    <t>Otopná tělesa</t>
  </si>
  <si>
    <t>104</t>
  </si>
  <si>
    <t>730. 1</t>
  </si>
  <si>
    <t>Dodávka a montáž 2x radiatorů ÚT, vč. demontáže stávajících, termoreg. hlavice</t>
  </si>
  <si>
    <t>735_</t>
  </si>
  <si>
    <t>_73_</t>
  </si>
  <si>
    <t>105</t>
  </si>
  <si>
    <t>735. 2</t>
  </si>
  <si>
    <t>Dod + mont topný žebřík, vč. napojení, termoreg. hlavice - dle vzorkování</t>
  </si>
  <si>
    <t>766</t>
  </si>
  <si>
    <t>Konstrukce truhlářské</t>
  </si>
  <si>
    <t>106</t>
  </si>
  <si>
    <t>766662811R00</t>
  </si>
  <si>
    <t>Demontáž prahů dveří 1křídlových</t>
  </si>
  <si>
    <t>766_</t>
  </si>
  <si>
    <t>_76_</t>
  </si>
  <si>
    <t>107</t>
  </si>
  <si>
    <t>766812840R00</t>
  </si>
  <si>
    <t>Demontáž kuchyňských linek do 2,1 m</t>
  </si>
  <si>
    <t>108</t>
  </si>
  <si>
    <t>766825811R00</t>
  </si>
  <si>
    <t>Demontáž vestavěných skříní 1křídlových</t>
  </si>
  <si>
    <t>109</t>
  </si>
  <si>
    <t>766825821R00</t>
  </si>
  <si>
    <t>Demontáž vestavěných skříní 2křídlových</t>
  </si>
  <si>
    <t>110</t>
  </si>
  <si>
    <t>766661112R00</t>
  </si>
  <si>
    <t>Montáž dveří do zárubně,otevíravých 1kř.do 0,8 m</t>
  </si>
  <si>
    <t>111</t>
  </si>
  <si>
    <t>766661412R00</t>
  </si>
  <si>
    <t>Montáž dveří protipožár.1kř.do 80 cm, s kukátkem</t>
  </si>
  <si>
    <t>112</t>
  </si>
  <si>
    <t>766812115R00</t>
  </si>
  <si>
    <t>Montáž kuchyňských linek dřevěných linek š.do 2,4m</t>
  </si>
  <si>
    <t>113</t>
  </si>
  <si>
    <t>766. 1</t>
  </si>
  <si>
    <t>Dodávka kuchyňská linka - dle schématu " kuchyně Brodská "</t>
  </si>
  <si>
    <t>114</t>
  </si>
  <si>
    <t>766. 2</t>
  </si>
  <si>
    <t>Demontáž garnýže, vč. likvidace</t>
  </si>
  <si>
    <t>ks</t>
  </si>
  <si>
    <t>115</t>
  </si>
  <si>
    <t>766695212R00</t>
  </si>
  <si>
    <t>Montáž prahů dveří jednokřídlových š. do 10 cm</t>
  </si>
  <si>
    <t>116</t>
  </si>
  <si>
    <t>6116. 1</t>
  </si>
  <si>
    <t>Dveře vnitřní hladké 1 křídl. bílé, 2/3 sklo 800 x 1970 mm, CPL, DTD výplň, sklo bezpečnostní, kování, zámek - vše dle standarů</t>
  </si>
  <si>
    <t>117</t>
  </si>
  <si>
    <t>6116. 3</t>
  </si>
  <si>
    <t>Dveře vnitřní hladké 1 křídl. bílé, plné  800 x 1970 mm, CPL, DTD , kování, zámek - vše dle standarů</t>
  </si>
  <si>
    <t>118</t>
  </si>
  <si>
    <t>6116. 2</t>
  </si>
  <si>
    <t>Dveře vnitřní vchodové  800 x 1970 mm, EW EI 30 min, bezpeč. kování a zámek, kukátko - vše dle standardů</t>
  </si>
  <si>
    <t>119</t>
  </si>
  <si>
    <t>61187396</t>
  </si>
  <si>
    <t>Prah bukový dl. 800 mm, š. 100 mm, tl. 20 mm, dle standardů</t>
  </si>
  <si>
    <t>120</t>
  </si>
  <si>
    <t>998766102R00</t>
  </si>
  <si>
    <t>Přesun hmot pro truhlářské konstr., výšky do 12 m</t>
  </si>
  <si>
    <t>771</t>
  </si>
  <si>
    <t>Podlahy z dlaždic</t>
  </si>
  <si>
    <t>121</t>
  </si>
  <si>
    <t>771101210R00</t>
  </si>
  <si>
    <t>Penetrace podkladu pod dlažby</t>
  </si>
  <si>
    <t>771_</t>
  </si>
  <si>
    <t>_77_</t>
  </si>
  <si>
    <t>122</t>
  </si>
  <si>
    <t>771575109R00</t>
  </si>
  <si>
    <t>Montáž keramické dlažby, hladké, na tmel, 300 x 300 m</t>
  </si>
  <si>
    <t>2,6</t>
  </si>
  <si>
    <t>123</t>
  </si>
  <si>
    <t>771579791R00</t>
  </si>
  <si>
    <t>Příplatek za plochu podlah keram. do 5 m2 jednotl.</t>
  </si>
  <si>
    <t>124</t>
  </si>
  <si>
    <t>771578011R00</t>
  </si>
  <si>
    <t>Spára podlaha - stěna, silikonem</t>
  </si>
  <si>
    <t>koupelna vodorovně</t>
  </si>
  <si>
    <t>3*1,8+2,1</t>
  </si>
  <si>
    <t>0,6*2</t>
  </si>
  <si>
    <t>kuchyň. linka</t>
  </si>
  <si>
    <t>125</t>
  </si>
  <si>
    <t>59764231</t>
  </si>
  <si>
    <t>Dlažba protiskluzná 300 x 300 x 9 mm, dle vzorkování, dle standardů</t>
  </si>
  <si>
    <t>126</t>
  </si>
  <si>
    <t>998771102R00</t>
  </si>
  <si>
    <t>Přesun hmot pro podlahy z dlaždic, výšky do 12 m</t>
  </si>
  <si>
    <t>776</t>
  </si>
  <si>
    <t>Podlahy povlakové</t>
  </si>
  <si>
    <t>127</t>
  </si>
  <si>
    <t>776401800R00</t>
  </si>
  <si>
    <t>Demontáž soklíků nebo lišt, pryžových nebo z PVC</t>
  </si>
  <si>
    <t>776_</t>
  </si>
  <si>
    <t>(1,795+1,65)*2-0,8*3</t>
  </si>
  <si>
    <t>stávající chodba</t>
  </si>
  <si>
    <t>(3,525+4,2)*2-0,8</t>
  </si>
  <si>
    <t>(3,5+2,475)*2-0,8</t>
  </si>
  <si>
    <t>128</t>
  </si>
  <si>
    <t>776511810R00</t>
  </si>
  <si>
    <t>Odstranění PVC a koberců lepených bez podložky</t>
  </si>
  <si>
    <t>1,795*1,65</t>
  </si>
  <si>
    <t>3,525*4,2</t>
  </si>
  <si>
    <t>3,5*2,475</t>
  </si>
  <si>
    <t>129</t>
  </si>
  <si>
    <t>776421100RU1</t>
  </si>
  <si>
    <t>Lepení podlahových soklíků z PVC a vinylu</t>
  </si>
  <si>
    <t>včetně dodávky soklíku PVC</t>
  </si>
  <si>
    <t>chodba</t>
  </si>
  <si>
    <t>130</t>
  </si>
  <si>
    <t>776521200R00</t>
  </si>
  <si>
    <t>Lepení povlakových podlah z dílců PVC a CV (vinyl)</t>
  </si>
  <si>
    <t>131</t>
  </si>
  <si>
    <t>776. 1</t>
  </si>
  <si>
    <t>Provedení spoje PVC - dlažba bez přechodových lišt</t>
  </si>
  <si>
    <t>132</t>
  </si>
  <si>
    <t>2841</t>
  </si>
  <si>
    <t>Dodávka podlahovina PVC - dle Standardu a vzorkování</t>
  </si>
  <si>
    <t>26,429*1,1</t>
  </si>
  <si>
    <t>133</t>
  </si>
  <si>
    <t>998776102R00</t>
  </si>
  <si>
    <t>Přesun hmot pro podlahy povlakové, výšky do 12 m</t>
  </si>
  <si>
    <t>777</t>
  </si>
  <si>
    <t>Podlahy ze syntetických hmot</t>
  </si>
  <si>
    <t>134</t>
  </si>
  <si>
    <t>777553010R00</t>
  </si>
  <si>
    <t>Penetrace savého podkladu disperzí</t>
  </si>
  <si>
    <t>777_</t>
  </si>
  <si>
    <t>135</t>
  </si>
  <si>
    <t>777553210R00</t>
  </si>
  <si>
    <t>Vyrovnání podlah, samonivel. hmota  tl. 2mm</t>
  </si>
  <si>
    <t>136</t>
  </si>
  <si>
    <t>998777102R00</t>
  </si>
  <si>
    <t>Přesun hmot pro podlahy syntetické, výšky do 12 m</t>
  </si>
  <si>
    <t>781</t>
  </si>
  <si>
    <t>Obklady (keramické)</t>
  </si>
  <si>
    <t>137</t>
  </si>
  <si>
    <t>781475115R00</t>
  </si>
  <si>
    <t>Obklad vnitřní stěn keramický, do tmele, 25x25 cm</t>
  </si>
  <si>
    <t>781_</t>
  </si>
  <si>
    <t>_78_</t>
  </si>
  <si>
    <t>(1+1)*0,3</t>
  </si>
  <si>
    <t>138</t>
  </si>
  <si>
    <t>781419711R00</t>
  </si>
  <si>
    <t>Příplatek k obkladu stěn za plochu do 10 m2 jedntl</t>
  </si>
  <si>
    <t>139</t>
  </si>
  <si>
    <t>781111111R00</t>
  </si>
  <si>
    <t>Řezání obkladaček diamantovým kotoučem</t>
  </si>
  <si>
    <t>140</t>
  </si>
  <si>
    <t>781111116R00</t>
  </si>
  <si>
    <t>Otvor v obkladačce diamant.korunkou prům.do 90 mm</t>
  </si>
  <si>
    <t>141</t>
  </si>
  <si>
    <t>5978</t>
  </si>
  <si>
    <t>Obkládačka  200 x 250 mm, dle vzorkování</t>
  </si>
  <si>
    <t>13,555*1,1</t>
  </si>
  <si>
    <t>142</t>
  </si>
  <si>
    <t>998781102R00</t>
  </si>
  <si>
    <t>Přesun hmot pro obklady keramické, výšky do 12 m</t>
  </si>
  <si>
    <t>783</t>
  </si>
  <si>
    <t>Nátěry</t>
  </si>
  <si>
    <t>143</t>
  </si>
  <si>
    <t>783222100RV1</t>
  </si>
  <si>
    <t>Nátěr syntetický kovových konstrukcí dvojnásobný</t>
  </si>
  <si>
    <t>783_</t>
  </si>
  <si>
    <t>zárubně - dle standardů</t>
  </si>
  <si>
    <t>784</t>
  </si>
  <si>
    <t>Malby</t>
  </si>
  <si>
    <t>144</t>
  </si>
  <si>
    <t>784161401R00</t>
  </si>
  <si>
    <t>Penetrace podkladu nátěrem , 1 x</t>
  </si>
  <si>
    <t>784_</t>
  </si>
  <si>
    <t>145</t>
  </si>
  <si>
    <t>784165512R00</t>
  </si>
  <si>
    <t>Malba bílá, bez penetrace, 2 x - dle standardů</t>
  </si>
  <si>
    <t>29+98</t>
  </si>
  <si>
    <t>M21</t>
  </si>
  <si>
    <t>Elektromontáže</t>
  </si>
  <si>
    <t>146</t>
  </si>
  <si>
    <t>210. 1</t>
  </si>
  <si>
    <t>Montáž sporáku</t>
  </si>
  <si>
    <t>M21_</t>
  </si>
  <si>
    <t>147</t>
  </si>
  <si>
    <t>210. 2</t>
  </si>
  <si>
    <t>Dodávka sporák elektrický</t>
  </si>
  <si>
    <t>148</t>
  </si>
  <si>
    <t>210. 3</t>
  </si>
  <si>
    <t>Dod + montáž digestoře recirkulační</t>
  </si>
  <si>
    <t>149</t>
  </si>
  <si>
    <t>210. 4</t>
  </si>
  <si>
    <t>D + M požární hlásič bateriový - životnost baterie min. 5 let</t>
  </si>
  <si>
    <t>150</t>
  </si>
  <si>
    <t>210. 5</t>
  </si>
  <si>
    <t>D + M elektroinstalace dle PD</t>
  </si>
  <si>
    <t>VORN</t>
  </si>
  <si>
    <t>03VRN</t>
  </si>
  <si>
    <t>151</t>
  </si>
  <si>
    <t>030001VRN</t>
  </si>
  <si>
    <t>Soubor</t>
  </si>
  <si>
    <t>03VRN_</t>
  </si>
  <si>
    <t>_Â _</t>
  </si>
  <si>
    <t>06VRN</t>
  </si>
  <si>
    <t>152</t>
  </si>
  <si>
    <t>065002VRN</t>
  </si>
  <si>
    <t>Mimostaveništní doprava</t>
  </si>
  <si>
    <t>06VRN_</t>
  </si>
</sst>
</file>

<file path=xl/styles.xml><?xml version="1.0" encoding="utf-8"?>
<styleSheet xmlns="http://schemas.openxmlformats.org/spreadsheetml/2006/main">
  <fonts count="15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sz val="10"/>
      <color rgb="FF400040"/>
      <name val="Arial"/>
      <charset val="238"/>
    </font>
    <font>
      <b/>
      <sz val="10"/>
      <color rgb="FF400040"/>
      <name val="Arial"/>
      <charset val="238"/>
    </font>
    <font>
      <i/>
      <sz val="10"/>
      <color rgb="FF000000"/>
      <name val="Arial"/>
      <charset val="238"/>
    </font>
    <font>
      <i/>
      <sz val="10"/>
      <color rgb="FF400040"/>
      <name val="Arial"/>
      <charset val="238"/>
    </font>
    <font>
      <i/>
      <sz val="10"/>
      <color rgb="FF0000FF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EAEAEA"/>
        <bgColor rgb="FFEAEAEA"/>
      </patternFill>
    </fill>
    <fill>
      <patternFill patternType="solid">
        <fgColor rgb="FFCCFFFF"/>
        <bgColor rgb="FFCCFFFF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4" fontId="8" fillId="0" borderId="16" xfId="0" applyNumberFormat="1" applyFont="1" applyFill="1" applyBorder="1" applyAlignment="1" applyProtection="1">
      <alignment horizontal="right" vertical="center"/>
    </xf>
    <xf numFmtId="0" fontId="8" fillId="0" borderId="16" xfId="0" applyNumberFormat="1" applyFont="1" applyFill="1" applyBorder="1" applyAlignment="1" applyProtection="1">
      <alignment horizontal="right" vertical="center"/>
    </xf>
    <xf numFmtId="0" fontId="7" fillId="0" borderId="19" xfId="0" applyNumberFormat="1" applyFont="1" applyFill="1" applyBorder="1" applyAlignment="1" applyProtection="1">
      <alignment horizontal="left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0" fontId="8" fillId="0" borderId="23" xfId="0" applyNumberFormat="1" applyFont="1" applyFill="1" applyBorder="1" applyAlignment="1" applyProtection="1">
      <alignment horizontal="right" vertical="center"/>
    </xf>
    <xf numFmtId="4" fontId="8" fillId="0" borderId="14" xfId="0" applyNumberFormat="1" applyFont="1" applyFill="1" applyBorder="1" applyAlignment="1" applyProtection="1">
      <alignment horizontal="right" vertical="center"/>
    </xf>
    <xf numFmtId="4" fontId="8" fillId="0" borderId="26" xfId="0" applyNumberFormat="1" applyFont="1" applyFill="1" applyBorder="1" applyAlignment="1" applyProtection="1">
      <alignment horizontal="right" vertical="center"/>
    </xf>
    <xf numFmtId="4" fontId="7" fillId="2" borderId="13" xfId="0" applyNumberFormat="1" applyFont="1" applyFill="1" applyBorder="1" applyAlignment="1" applyProtection="1">
      <alignment horizontal="right" vertical="center"/>
    </xf>
    <xf numFmtId="4" fontId="7" fillId="2" borderId="18" xfId="0" applyNumberFormat="1" applyFont="1" applyFill="1" applyBorder="1" applyAlignment="1" applyProtection="1">
      <alignment horizontal="right" vertical="center"/>
    </xf>
    <xf numFmtId="0" fontId="9" fillId="0" borderId="40" xfId="0" applyNumberFormat="1" applyFont="1" applyFill="1" applyBorder="1" applyAlignment="1" applyProtection="1">
      <alignment horizontal="left" vertical="center"/>
    </xf>
    <xf numFmtId="0" fontId="3" fillId="0" borderId="4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" fontId="2" fillId="0" borderId="49" xfId="0" applyNumberFormat="1" applyFont="1" applyFill="1" applyBorder="1" applyAlignment="1" applyProtection="1">
      <alignment horizontal="right" vertical="center"/>
    </xf>
    <xf numFmtId="0" fontId="2" fillId="0" borderId="49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left" vertical="center"/>
    </xf>
    <xf numFmtId="0" fontId="3" fillId="0" borderId="53" xfId="0" applyNumberFormat="1" applyFont="1" applyFill="1" applyBorder="1" applyAlignment="1" applyProtection="1">
      <alignment horizontal="right" vertical="center"/>
    </xf>
    <xf numFmtId="4" fontId="3" fillId="0" borderId="53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56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center" vertical="center"/>
    </xf>
    <xf numFmtId="0" fontId="3" fillId="3" borderId="60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0" fillId="0" borderId="62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63" xfId="0" applyNumberFormat="1" applyFont="1" applyFill="1" applyBorder="1" applyAlignment="1" applyProtection="1">
      <alignment horizontal="left" vertical="center"/>
    </xf>
    <xf numFmtId="0" fontId="2" fillId="0" borderId="64" xfId="0" applyNumberFormat="1" applyFont="1" applyFill="1" applyBorder="1" applyAlignment="1" applyProtection="1">
      <alignment horizontal="left" vertical="center"/>
    </xf>
    <xf numFmtId="0" fontId="3" fillId="3" borderId="64" xfId="0" applyNumberFormat="1" applyFont="1" applyFill="1" applyBorder="1" applyAlignment="1" applyProtection="1">
      <alignment horizontal="center" vertical="center"/>
      <protection locked="0"/>
    </xf>
    <xf numFmtId="0" fontId="3" fillId="0" borderId="67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/>
    <xf numFmtId="0" fontId="10" fillId="4" borderId="68" xfId="0" applyNumberFormat="1" applyFont="1" applyFill="1" applyBorder="1" applyAlignment="1" applyProtection="1">
      <alignment horizontal="left" vertical="center"/>
    </xf>
    <xf numFmtId="0" fontId="11" fillId="4" borderId="40" xfId="0" applyNumberFormat="1" applyFont="1" applyFill="1" applyBorder="1" applyAlignment="1" applyProtection="1">
      <alignment horizontal="left" vertical="center"/>
    </xf>
    <xf numFmtId="0" fontId="10" fillId="4" borderId="40" xfId="0" applyNumberFormat="1" applyFont="1" applyFill="1" applyBorder="1" applyAlignment="1" applyProtection="1">
      <alignment horizontal="left" vertical="center"/>
    </xf>
    <xf numFmtId="0" fontId="10" fillId="5" borderId="40" xfId="0" applyNumberFormat="1" applyFont="1" applyFill="1" applyBorder="1" applyAlignment="1" applyProtection="1">
      <alignment horizontal="left" vertical="center"/>
      <protection locked="0"/>
    </xf>
    <xf numFmtId="4" fontId="11" fillId="4" borderId="40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2" fillId="5" borderId="0" xfId="0" applyNumberFormat="1" applyFont="1" applyFill="1" applyBorder="1" applyAlignment="1" applyProtection="1">
      <alignment horizontal="left" vertical="center"/>
      <protection locked="0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righ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4" fontId="2" fillId="3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4" fontId="3" fillId="0" borderId="69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left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7" fillId="0" borderId="20" xfId="0" applyNumberFormat="1" applyFont="1" applyFill="1" applyBorder="1" applyAlignment="1" applyProtection="1">
      <alignment horizontal="left" vertical="center"/>
    </xf>
    <xf numFmtId="0" fontId="7" fillId="0" borderId="18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7" fillId="0" borderId="25" xfId="0" applyNumberFormat="1" applyFont="1" applyFill="1" applyBorder="1" applyAlignment="1" applyProtection="1">
      <alignment horizontal="left" vertical="center"/>
    </xf>
    <xf numFmtId="0" fontId="7" fillId="0" borderId="13" xfId="0" applyNumberFormat="1" applyFont="1" applyFill="1" applyBorder="1" applyAlignment="1" applyProtection="1">
      <alignment horizontal="left" vertical="center"/>
    </xf>
    <xf numFmtId="0" fontId="8" fillId="0" borderId="17" xfId="0" applyNumberFormat="1" applyFont="1" applyFill="1" applyBorder="1" applyAlignment="1" applyProtection="1">
      <alignment horizontal="left" vertical="center"/>
    </xf>
    <xf numFmtId="0" fontId="8" fillId="0" borderId="18" xfId="0" applyNumberFormat="1" applyFont="1" applyFill="1" applyBorder="1" applyAlignment="1" applyProtection="1">
      <alignment horizontal="left" vertical="center"/>
    </xf>
    <xf numFmtId="0" fontId="8" fillId="0" borderId="24" xfId="0" applyNumberFormat="1" applyFont="1" applyFill="1" applyBorder="1" applyAlignment="1" applyProtection="1">
      <alignment horizontal="left" vertical="center"/>
    </xf>
    <xf numFmtId="0" fontId="8" fillId="0" borderId="22" xfId="0" applyNumberFormat="1" applyFont="1" applyFill="1" applyBorder="1" applyAlignment="1" applyProtection="1">
      <alignment horizontal="left" vertical="center"/>
    </xf>
    <xf numFmtId="0" fontId="7" fillId="0" borderId="12" xfId="0" applyNumberFormat="1" applyFont="1" applyFill="1" applyBorder="1" applyAlignment="1" applyProtection="1">
      <alignment horizontal="left" vertical="center"/>
    </xf>
    <xf numFmtId="0" fontId="7" fillId="0" borderId="17" xfId="0" applyNumberFormat="1" applyFont="1" applyFill="1" applyBorder="1" applyAlignment="1" applyProtection="1">
      <alignment horizontal="left" vertical="center"/>
    </xf>
    <xf numFmtId="0" fontId="7" fillId="2" borderId="25" xfId="0" applyNumberFormat="1" applyFont="1" applyFill="1" applyBorder="1" applyAlignment="1" applyProtection="1">
      <alignment horizontal="left" vertical="center"/>
    </xf>
    <xf numFmtId="0" fontId="7" fillId="2" borderId="27" xfId="0" applyNumberFormat="1" applyFont="1" applyFill="1" applyBorder="1" applyAlignment="1" applyProtection="1">
      <alignment horizontal="left" vertical="center"/>
    </xf>
    <xf numFmtId="0" fontId="7" fillId="2" borderId="20" xfId="0" applyNumberFormat="1" applyFont="1" applyFill="1" applyBorder="1" applyAlignment="1" applyProtection="1">
      <alignment horizontal="left" vertical="center"/>
    </xf>
    <xf numFmtId="0" fontId="7" fillId="2" borderId="28" xfId="0" applyNumberFormat="1" applyFont="1" applyFill="1" applyBorder="1" applyAlignment="1" applyProtection="1">
      <alignment horizontal="left" vertical="center"/>
    </xf>
    <xf numFmtId="0" fontId="7" fillId="2" borderId="12" xfId="0" applyNumberFormat="1" applyFont="1" applyFill="1" applyBorder="1" applyAlignment="1" applyProtection="1">
      <alignment horizontal="left" vertical="center"/>
    </xf>
    <xf numFmtId="0" fontId="7" fillId="2" borderId="17" xfId="0" applyNumberFormat="1" applyFont="1" applyFill="1" applyBorder="1" applyAlignment="1" applyProtection="1">
      <alignment horizontal="left" vertical="center"/>
    </xf>
    <xf numFmtId="0" fontId="8" fillId="0" borderId="29" xfId="0" applyNumberFormat="1" applyFont="1" applyFill="1" applyBorder="1" applyAlignment="1" applyProtection="1">
      <alignment horizontal="left" vertical="center"/>
    </xf>
    <xf numFmtId="0" fontId="8" fillId="0" borderId="30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34" xfId="0" applyNumberFormat="1" applyFont="1" applyFill="1" applyBorder="1" applyAlignment="1" applyProtection="1">
      <alignment horizontal="left" vertical="center"/>
    </xf>
    <xf numFmtId="0" fontId="8" fillId="0" borderId="36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32" xfId="0" applyNumberFormat="1" applyFont="1" applyFill="1" applyBorder="1" applyAlignment="1" applyProtection="1">
      <alignment horizontal="lef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7" fillId="0" borderId="41" xfId="0" applyNumberFormat="1" applyFont="1" applyFill="1" applyBorder="1" applyAlignment="1" applyProtection="1">
      <alignment horizontal="left" vertical="center"/>
    </xf>
    <xf numFmtId="0" fontId="3" fillId="0" borderId="42" xfId="0" applyNumberFormat="1" applyFont="1" applyFill="1" applyBorder="1" applyAlignment="1" applyProtection="1">
      <alignment horizontal="left" vertical="center"/>
    </xf>
    <xf numFmtId="0" fontId="3" fillId="0" borderId="43" xfId="0" applyNumberFormat="1" applyFont="1" applyFill="1" applyBorder="1" applyAlignment="1" applyProtection="1">
      <alignment horizontal="left" vertical="center"/>
    </xf>
    <xf numFmtId="0" fontId="3" fillId="0" borderId="44" xfId="0" applyNumberFormat="1" applyFont="1" applyFill="1" applyBorder="1" applyAlignment="1" applyProtection="1">
      <alignment horizontal="left" vertical="center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2" fillId="0" borderId="46" xfId="0" applyNumberFormat="1" applyFont="1" applyFill="1" applyBorder="1" applyAlignment="1" applyProtection="1">
      <alignment horizontal="left" vertical="center"/>
    </xf>
    <xf numFmtId="0" fontId="2" fillId="0" borderId="47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left" vertical="center"/>
    </xf>
    <xf numFmtId="0" fontId="7" fillId="0" borderId="50" xfId="0" applyNumberFormat="1" applyFont="1" applyFill="1" applyBorder="1" applyAlignment="1" applyProtection="1">
      <alignment horizontal="left" vertical="center"/>
    </xf>
    <xf numFmtId="0" fontId="7" fillId="0" borderId="51" xfId="0" applyNumberFormat="1" applyFont="1" applyFill="1" applyBorder="1" applyAlignment="1" applyProtection="1">
      <alignment horizontal="left" vertical="center"/>
    </xf>
    <xf numFmtId="0" fontId="7" fillId="0" borderId="52" xfId="0" applyNumberFormat="1" applyFont="1" applyFill="1" applyBorder="1" applyAlignment="1" applyProtection="1">
      <alignment horizontal="left" vertical="center"/>
    </xf>
    <xf numFmtId="4" fontId="7" fillId="0" borderId="54" xfId="0" applyNumberFormat="1" applyFont="1" applyFill="1" applyBorder="1" applyAlignment="1" applyProtection="1">
      <alignment horizontal="right" vertical="center"/>
    </xf>
    <xf numFmtId="0" fontId="7" fillId="0" borderId="51" xfId="0" applyNumberFormat="1" applyFont="1" applyFill="1" applyBorder="1" applyAlignment="1" applyProtection="1">
      <alignment horizontal="right" vertical="center"/>
    </xf>
    <xf numFmtId="0" fontId="7" fillId="0" borderId="52" xfId="0" applyNumberFormat="1" applyFont="1" applyFill="1" applyBorder="1" applyAlignment="1" applyProtection="1">
      <alignment horizontal="right" vertical="center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3" borderId="3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3" borderId="41" xfId="0" applyNumberFormat="1" applyFont="1" applyFill="1" applyBorder="1" applyAlignment="1" applyProtection="1">
      <alignment horizontal="left" vertical="center"/>
      <protection locked="0"/>
    </xf>
    <xf numFmtId="0" fontId="2" fillId="3" borderId="6" xfId="0" applyNumberFormat="1" applyFont="1" applyFill="1" applyBorder="1" applyAlignment="1" applyProtection="1">
      <alignment horizontal="left" vertical="center"/>
      <protection locked="0"/>
    </xf>
    <xf numFmtId="0" fontId="2" fillId="3" borderId="8" xfId="0" applyNumberFormat="1" applyFont="1" applyFill="1" applyBorder="1" applyAlignment="1" applyProtection="1">
      <alignment horizontal="left" vertical="center"/>
      <protection locked="0"/>
    </xf>
    <xf numFmtId="0" fontId="2" fillId="3" borderId="9" xfId="0" applyNumberFormat="1" applyFont="1" applyFill="1" applyBorder="1" applyAlignment="1" applyProtection="1">
      <alignment horizontal="left" vertical="center"/>
      <protection locked="0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59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  <xf numFmtId="0" fontId="3" fillId="0" borderId="66" xfId="0" applyNumberFormat="1" applyFont="1" applyFill="1" applyBorder="1" applyAlignment="1" applyProtection="1">
      <alignment horizontal="left" vertical="center"/>
    </xf>
    <xf numFmtId="0" fontId="11" fillId="4" borderId="40" xfId="0" applyNumberFormat="1" applyFont="1" applyFill="1" applyBorder="1" applyAlignment="1" applyProtection="1">
      <alignment horizontal="left" vertical="center" wrapText="1"/>
    </xf>
    <xf numFmtId="0" fontId="11" fillId="4" borderId="4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3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6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0" cy="0"/>
    <xdr:pic>
      <xdr:nvPicPr>
        <xdr:cNvPr id="0" name="Obrázek 42949672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tabSelected="1" workbookViewId="0">
      <selection activeCell="A37" sqref="A37:I37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</row>
    <row r="2" spans="1:9">
      <c r="A2" s="67" t="s">
        <v>1</v>
      </c>
      <c r="B2" s="68"/>
      <c r="C2" s="76" t="str">
        <f>'Stavební rozpočet'!C2</f>
        <v>132-2024  Brodská 1876/27 byt č. 36  1+1</v>
      </c>
      <c r="D2" s="77"/>
      <c r="E2" s="74" t="s">
        <v>2</v>
      </c>
      <c r="F2" s="74" t="str">
        <f>'Stavební rozpočet'!I2</f>
        <v> </v>
      </c>
      <c r="G2" s="68"/>
      <c r="H2" s="74" t="s">
        <v>3</v>
      </c>
      <c r="I2" s="79" t="s">
        <v>4</v>
      </c>
    </row>
    <row r="3" spans="1:9" ht="15" customHeight="1">
      <c r="A3" s="69"/>
      <c r="B3" s="70"/>
      <c r="C3" s="78"/>
      <c r="D3" s="78"/>
      <c r="E3" s="70"/>
      <c r="F3" s="70"/>
      <c r="G3" s="70"/>
      <c r="H3" s="70"/>
      <c r="I3" s="80"/>
    </row>
    <row r="4" spans="1:9">
      <c r="A4" s="71" t="s">
        <v>5</v>
      </c>
      <c r="B4" s="70"/>
      <c r="C4" s="75" t="str">
        <f>'Stavební rozpočet'!C4</f>
        <v>Stavební úpravy bytu 1+1</v>
      </c>
      <c r="D4" s="70"/>
      <c r="E4" s="75" t="s">
        <v>6</v>
      </c>
      <c r="F4" s="75" t="str">
        <f>'Stavební rozpočet'!I4</f>
        <v> </v>
      </c>
      <c r="G4" s="70"/>
      <c r="H4" s="75" t="s">
        <v>3</v>
      </c>
      <c r="I4" s="80" t="s">
        <v>4</v>
      </c>
    </row>
    <row r="5" spans="1:9" ht="15" customHeight="1">
      <c r="A5" s="69"/>
      <c r="B5" s="70"/>
      <c r="C5" s="70"/>
      <c r="D5" s="70"/>
      <c r="E5" s="70"/>
      <c r="F5" s="70"/>
      <c r="G5" s="70"/>
      <c r="H5" s="70"/>
      <c r="I5" s="80"/>
    </row>
    <row r="6" spans="1:9">
      <c r="A6" s="71" t="s">
        <v>7</v>
      </c>
      <c r="B6" s="70"/>
      <c r="C6" s="75" t="str">
        <f>'Stavební rozpočet'!C6</f>
        <v xml:space="preserve"> </v>
      </c>
      <c r="D6" s="70"/>
      <c r="E6" s="75" t="s">
        <v>8</v>
      </c>
      <c r="F6" s="75" t="str">
        <f>'Stavební rozpočet'!I6</f>
        <v> </v>
      </c>
      <c r="G6" s="70"/>
      <c r="H6" s="75" t="s">
        <v>3</v>
      </c>
      <c r="I6" s="80" t="s">
        <v>4</v>
      </c>
    </row>
    <row r="7" spans="1:9" ht="15" customHeight="1">
      <c r="A7" s="69"/>
      <c r="B7" s="70"/>
      <c r="C7" s="70"/>
      <c r="D7" s="70"/>
      <c r="E7" s="70"/>
      <c r="F7" s="70"/>
      <c r="G7" s="70"/>
      <c r="H7" s="70"/>
      <c r="I7" s="80"/>
    </row>
    <row r="8" spans="1:9">
      <c r="A8" s="71" t="s">
        <v>9</v>
      </c>
      <c r="B8" s="70"/>
      <c r="C8" s="75" t="str">
        <f>'Stavební rozpočet'!G4</f>
        <v xml:space="preserve"> </v>
      </c>
      <c r="D8" s="70"/>
      <c r="E8" s="75" t="s">
        <v>10</v>
      </c>
      <c r="F8" s="75" t="str">
        <f>'Stavební rozpočet'!G6</f>
        <v xml:space="preserve"> </v>
      </c>
      <c r="G8" s="70"/>
      <c r="H8" s="70" t="s">
        <v>11</v>
      </c>
      <c r="I8" s="81">
        <v>152</v>
      </c>
    </row>
    <row r="9" spans="1:9">
      <c r="A9" s="69"/>
      <c r="B9" s="70"/>
      <c r="C9" s="70"/>
      <c r="D9" s="70"/>
      <c r="E9" s="70"/>
      <c r="F9" s="70"/>
      <c r="G9" s="70"/>
      <c r="H9" s="70"/>
      <c r="I9" s="80"/>
    </row>
    <row r="10" spans="1:9">
      <c r="A10" s="71" t="s">
        <v>12</v>
      </c>
      <c r="B10" s="70"/>
      <c r="C10" s="75" t="str">
        <f>'Stavební rozpočet'!C8</f>
        <v xml:space="preserve"> </v>
      </c>
      <c r="D10" s="70"/>
      <c r="E10" s="75" t="s">
        <v>13</v>
      </c>
      <c r="F10" s="75" t="str">
        <f>'Stavební rozpočet'!I8</f>
        <v> </v>
      </c>
      <c r="G10" s="70"/>
      <c r="H10" s="70" t="s">
        <v>14</v>
      </c>
      <c r="I10" s="82">
        <f>'Stavební rozpočet'!G8</f>
        <v>0</v>
      </c>
    </row>
    <row r="11" spans="1:9">
      <c r="A11" s="72"/>
      <c r="B11" s="73"/>
      <c r="C11" s="73"/>
      <c r="D11" s="73"/>
      <c r="E11" s="73"/>
      <c r="F11" s="73"/>
      <c r="G11" s="73"/>
      <c r="H11" s="73"/>
      <c r="I11" s="83"/>
    </row>
    <row r="12" spans="1:9" ht="23.25">
      <c r="A12" s="84" t="s">
        <v>15</v>
      </c>
      <c r="B12" s="84"/>
      <c r="C12" s="84"/>
      <c r="D12" s="84"/>
      <c r="E12" s="84"/>
      <c r="F12" s="84"/>
      <c r="G12" s="84"/>
      <c r="H12" s="84"/>
      <c r="I12" s="84"/>
    </row>
    <row r="13" spans="1:9" ht="26.25" customHeight="1">
      <c r="A13" s="6" t="s">
        <v>16</v>
      </c>
      <c r="B13" s="85" t="s">
        <v>17</v>
      </c>
      <c r="C13" s="86"/>
      <c r="D13" s="7" t="s">
        <v>18</v>
      </c>
      <c r="E13" s="85" t="s">
        <v>19</v>
      </c>
      <c r="F13" s="86"/>
      <c r="G13" s="7" t="s">
        <v>20</v>
      </c>
      <c r="H13" s="85" t="s">
        <v>21</v>
      </c>
      <c r="I13" s="86"/>
    </row>
    <row r="14" spans="1:9" ht="15.75">
      <c r="A14" s="8" t="s">
        <v>22</v>
      </c>
      <c r="B14" s="9" t="s">
        <v>23</v>
      </c>
      <c r="C14" s="10">
        <f>SUM('Stavební rozpočet'!AB12:AB296)</f>
        <v>0</v>
      </c>
      <c r="D14" s="93" t="s">
        <v>24</v>
      </c>
      <c r="E14" s="94"/>
      <c r="F14" s="10">
        <f>VORN!I15</f>
        <v>0</v>
      </c>
      <c r="G14" s="93" t="s">
        <v>25</v>
      </c>
      <c r="H14" s="94"/>
      <c r="I14" s="11">
        <f>VORN!I21</f>
        <v>0</v>
      </c>
    </row>
    <row r="15" spans="1:9" ht="15.75">
      <c r="A15" s="12" t="s">
        <v>4</v>
      </c>
      <c r="B15" s="9" t="s">
        <v>26</v>
      </c>
      <c r="C15" s="10">
        <f>SUM('Stavební rozpočet'!AC12:AC296)</f>
        <v>0</v>
      </c>
      <c r="D15" s="93" t="s">
        <v>27</v>
      </c>
      <c r="E15" s="94"/>
      <c r="F15" s="10">
        <f>VORN!I16</f>
        <v>0</v>
      </c>
      <c r="G15" s="93" t="s">
        <v>28</v>
      </c>
      <c r="H15" s="94"/>
      <c r="I15" s="11">
        <f>VORN!I22</f>
        <v>0</v>
      </c>
    </row>
    <row r="16" spans="1:9" ht="15.75">
      <c r="A16" s="8" t="s">
        <v>29</v>
      </c>
      <c r="B16" s="9" t="s">
        <v>23</v>
      </c>
      <c r="C16" s="10">
        <f>SUM('Stavební rozpočet'!AD12:AD296)</f>
        <v>0</v>
      </c>
      <c r="D16" s="93" t="s">
        <v>30</v>
      </c>
      <c r="E16" s="94"/>
      <c r="F16" s="10">
        <f>VORN!I17</f>
        <v>0</v>
      </c>
      <c r="G16" s="93" t="s">
        <v>31</v>
      </c>
      <c r="H16" s="94"/>
      <c r="I16" s="11">
        <f>VORN!I23</f>
        <v>0</v>
      </c>
    </row>
    <row r="17" spans="1:9" ht="15.75">
      <c r="A17" s="12" t="s">
        <v>4</v>
      </c>
      <c r="B17" s="9" t="s">
        <v>26</v>
      </c>
      <c r="C17" s="10">
        <f>SUM('Stavební rozpočet'!AE12:AE296)</f>
        <v>0</v>
      </c>
      <c r="D17" s="93" t="s">
        <v>4</v>
      </c>
      <c r="E17" s="94"/>
      <c r="F17" s="11" t="s">
        <v>4</v>
      </c>
      <c r="G17" s="93" t="s">
        <v>32</v>
      </c>
      <c r="H17" s="94"/>
      <c r="I17" s="11">
        <f>VORN!I24</f>
        <v>0</v>
      </c>
    </row>
    <row r="18" spans="1:9" ht="15.75">
      <c r="A18" s="8" t="s">
        <v>33</v>
      </c>
      <c r="B18" s="9" t="s">
        <v>23</v>
      </c>
      <c r="C18" s="10">
        <f>SUM('Stavební rozpočet'!AF12:AF296)</f>
        <v>0</v>
      </c>
      <c r="D18" s="93" t="s">
        <v>4</v>
      </c>
      <c r="E18" s="94"/>
      <c r="F18" s="11" t="s">
        <v>4</v>
      </c>
      <c r="G18" s="93" t="s">
        <v>34</v>
      </c>
      <c r="H18" s="94"/>
      <c r="I18" s="11">
        <f>VORN!I25</f>
        <v>0</v>
      </c>
    </row>
    <row r="19" spans="1:9" ht="15.75">
      <c r="A19" s="12" t="s">
        <v>4</v>
      </c>
      <c r="B19" s="9" t="s">
        <v>26</v>
      </c>
      <c r="C19" s="10">
        <f>SUM('Stavební rozpočet'!AG12:AG296)</f>
        <v>0</v>
      </c>
      <c r="D19" s="93" t="s">
        <v>4</v>
      </c>
      <c r="E19" s="94"/>
      <c r="F19" s="11" t="s">
        <v>4</v>
      </c>
      <c r="G19" s="93" t="s">
        <v>35</v>
      </c>
      <c r="H19" s="94"/>
      <c r="I19" s="11">
        <f>VORN!I26</f>
        <v>0</v>
      </c>
    </row>
    <row r="20" spans="1:9" ht="15.75">
      <c r="A20" s="87" t="s">
        <v>36</v>
      </c>
      <c r="B20" s="88"/>
      <c r="C20" s="10">
        <f>SUM('Stavební rozpočet'!AH12:AH296)</f>
        <v>0</v>
      </c>
      <c r="D20" s="93" t="s">
        <v>4</v>
      </c>
      <c r="E20" s="94"/>
      <c r="F20" s="11" t="s">
        <v>4</v>
      </c>
      <c r="G20" s="93" t="s">
        <v>4</v>
      </c>
      <c r="H20" s="94"/>
      <c r="I20" s="11" t="s">
        <v>4</v>
      </c>
    </row>
    <row r="21" spans="1:9" ht="15.75">
      <c r="A21" s="89" t="s">
        <v>37</v>
      </c>
      <c r="B21" s="90"/>
      <c r="C21" s="13">
        <f>SUM('Stavební rozpočet'!Z12:Z296)</f>
        <v>0</v>
      </c>
      <c r="D21" s="95" t="s">
        <v>4</v>
      </c>
      <c r="E21" s="96"/>
      <c r="F21" s="14" t="s">
        <v>4</v>
      </c>
      <c r="G21" s="95" t="s">
        <v>4</v>
      </c>
      <c r="H21" s="96"/>
      <c r="I21" s="14" t="s">
        <v>4</v>
      </c>
    </row>
    <row r="22" spans="1:9" ht="16.5" customHeight="1">
      <c r="A22" s="91" t="s">
        <v>38</v>
      </c>
      <c r="B22" s="92"/>
      <c r="C22" s="15">
        <f>SUM(C14:C21)</f>
        <v>0</v>
      </c>
      <c r="D22" s="97" t="s">
        <v>39</v>
      </c>
      <c r="E22" s="92"/>
      <c r="F22" s="15">
        <f>SUM(F14:F21)</f>
        <v>0</v>
      </c>
      <c r="G22" s="97" t="s">
        <v>40</v>
      </c>
      <c r="H22" s="92"/>
      <c r="I22" s="15">
        <f>SUM(I14:I21)</f>
        <v>0</v>
      </c>
    </row>
    <row r="23" spans="1:9" ht="15.75">
      <c r="D23" s="87" t="s">
        <v>41</v>
      </c>
      <c r="E23" s="88"/>
      <c r="F23" s="16">
        <v>0</v>
      </c>
      <c r="G23" s="98" t="s">
        <v>42</v>
      </c>
      <c r="H23" s="88"/>
      <c r="I23" s="10">
        <v>0</v>
      </c>
    </row>
    <row r="24" spans="1:9" ht="15.75">
      <c r="G24" s="87" t="s">
        <v>43</v>
      </c>
      <c r="H24" s="88"/>
      <c r="I24" s="13">
        <f>vorn_sum</f>
        <v>0</v>
      </c>
    </row>
    <row r="25" spans="1:9" ht="15.75">
      <c r="G25" s="87" t="s">
        <v>44</v>
      </c>
      <c r="H25" s="88"/>
      <c r="I25" s="15">
        <v>0</v>
      </c>
    </row>
    <row r="27" spans="1:9" ht="15.75">
      <c r="A27" s="99" t="s">
        <v>45</v>
      </c>
      <c r="B27" s="100"/>
      <c r="C27" s="17">
        <f>SUM('Stavební rozpočet'!AJ12:AJ296)</f>
        <v>0</v>
      </c>
    </row>
    <row r="28" spans="1:9" ht="15.75">
      <c r="A28" s="101" t="s">
        <v>46</v>
      </c>
      <c r="B28" s="102"/>
      <c r="C28" s="18">
        <f>SUM('Stavební rozpočet'!AK12:AK296)</f>
        <v>0</v>
      </c>
      <c r="D28" s="103" t="s">
        <v>47</v>
      </c>
      <c r="E28" s="100"/>
      <c r="F28" s="17">
        <f>ROUND(C28*(12/100),2)</f>
        <v>0</v>
      </c>
      <c r="G28" s="103" t="s">
        <v>48</v>
      </c>
      <c r="H28" s="100"/>
      <c r="I28" s="17">
        <f>SUM(C27:C29)</f>
        <v>0</v>
      </c>
    </row>
    <row r="29" spans="1:9" ht="15.75">
      <c r="A29" s="101" t="s">
        <v>49</v>
      </c>
      <c r="B29" s="102"/>
      <c r="C29" s="18">
        <f>SUM('Stavební rozpočet'!AL12:AL296)</f>
        <v>0</v>
      </c>
      <c r="D29" s="104" t="s">
        <v>50</v>
      </c>
      <c r="E29" s="102"/>
      <c r="F29" s="18">
        <f>ROUND(C29*(21/100),2)</f>
        <v>0</v>
      </c>
      <c r="G29" s="104" t="s">
        <v>51</v>
      </c>
      <c r="H29" s="102"/>
      <c r="I29" s="18">
        <f>ROUND(SUM(F28:F29)+I28,0)</f>
        <v>0</v>
      </c>
    </row>
    <row r="31" spans="1:9">
      <c r="A31" s="105" t="s">
        <v>52</v>
      </c>
      <c r="B31" s="106"/>
      <c r="C31" s="107"/>
      <c r="D31" s="114" t="s">
        <v>53</v>
      </c>
      <c r="E31" s="106"/>
      <c r="F31" s="107"/>
      <c r="G31" s="114" t="s">
        <v>54</v>
      </c>
      <c r="H31" s="106"/>
      <c r="I31" s="107"/>
    </row>
    <row r="32" spans="1:9">
      <c r="A32" s="108" t="s">
        <v>4</v>
      </c>
      <c r="B32" s="109"/>
      <c r="C32" s="110"/>
      <c r="D32" s="115" t="s">
        <v>4</v>
      </c>
      <c r="E32" s="109"/>
      <c r="F32" s="110"/>
      <c r="G32" s="115" t="s">
        <v>4</v>
      </c>
      <c r="H32" s="109"/>
      <c r="I32" s="110"/>
    </row>
    <row r="33" spans="1:9">
      <c r="A33" s="108" t="s">
        <v>4</v>
      </c>
      <c r="B33" s="109"/>
      <c r="C33" s="110"/>
      <c r="D33" s="115" t="s">
        <v>4</v>
      </c>
      <c r="E33" s="109"/>
      <c r="F33" s="110"/>
      <c r="G33" s="115" t="s">
        <v>4</v>
      </c>
      <c r="H33" s="109"/>
      <c r="I33" s="110"/>
    </row>
    <row r="34" spans="1:9">
      <c r="A34" s="108" t="s">
        <v>4</v>
      </c>
      <c r="B34" s="109"/>
      <c r="C34" s="110"/>
      <c r="D34" s="115" t="s">
        <v>4</v>
      </c>
      <c r="E34" s="109"/>
      <c r="F34" s="110"/>
      <c r="G34" s="115" t="s">
        <v>4</v>
      </c>
      <c r="H34" s="109"/>
      <c r="I34" s="110"/>
    </row>
    <row r="35" spans="1:9">
      <c r="A35" s="111" t="s">
        <v>55</v>
      </c>
      <c r="B35" s="112"/>
      <c r="C35" s="113"/>
      <c r="D35" s="116" t="s">
        <v>55</v>
      </c>
      <c r="E35" s="112"/>
      <c r="F35" s="113"/>
      <c r="G35" s="116" t="s">
        <v>55</v>
      </c>
      <c r="H35" s="112"/>
      <c r="I35" s="113"/>
    </row>
    <row r="36" spans="1:9">
      <c r="A36" s="19" t="s">
        <v>56</v>
      </c>
    </row>
    <row r="37" spans="1:9" ht="12.75" customHeight="1">
      <c r="A37" s="75" t="s">
        <v>4</v>
      </c>
      <c r="B37" s="70"/>
      <c r="C37" s="70"/>
      <c r="D37" s="70"/>
      <c r="E37" s="70"/>
      <c r="F37" s="70"/>
      <c r="G37" s="70"/>
      <c r="H37" s="70"/>
      <c r="I37" s="70"/>
    </row>
  </sheetData>
  <sheetProtection password="CF7A" sheet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>
      <c r="A1" s="65" t="s">
        <v>57</v>
      </c>
      <c r="B1" s="66"/>
      <c r="C1" s="66"/>
      <c r="D1" s="66"/>
      <c r="E1" s="66"/>
      <c r="F1" s="66"/>
      <c r="G1" s="66"/>
      <c r="H1" s="66"/>
      <c r="I1" s="66"/>
    </row>
    <row r="2" spans="1:9">
      <c r="A2" s="67" t="s">
        <v>1</v>
      </c>
      <c r="B2" s="68"/>
      <c r="C2" s="76" t="str">
        <f>'Stavební rozpočet'!C2</f>
        <v>132-2024  Brodská 1876/27 byt č. 36  1+1</v>
      </c>
      <c r="D2" s="77"/>
      <c r="E2" s="74" t="s">
        <v>2</v>
      </c>
      <c r="F2" s="74" t="str">
        <f>'Stavební rozpočet'!I2</f>
        <v> </v>
      </c>
      <c r="G2" s="68"/>
      <c r="H2" s="74" t="s">
        <v>3</v>
      </c>
      <c r="I2" s="79" t="s">
        <v>4</v>
      </c>
    </row>
    <row r="3" spans="1:9" ht="15" customHeight="1">
      <c r="A3" s="69"/>
      <c r="B3" s="70"/>
      <c r="C3" s="78"/>
      <c r="D3" s="78"/>
      <c r="E3" s="70"/>
      <c r="F3" s="70"/>
      <c r="G3" s="70"/>
      <c r="H3" s="70"/>
      <c r="I3" s="80"/>
    </row>
    <row r="4" spans="1:9">
      <c r="A4" s="71" t="s">
        <v>5</v>
      </c>
      <c r="B4" s="70"/>
      <c r="C4" s="75" t="str">
        <f>'Stavební rozpočet'!C4</f>
        <v>Stavební úpravy bytu 1+1</v>
      </c>
      <c r="D4" s="70"/>
      <c r="E4" s="75" t="s">
        <v>6</v>
      </c>
      <c r="F4" s="75" t="str">
        <f>'Stavební rozpočet'!I4</f>
        <v> </v>
      </c>
      <c r="G4" s="70"/>
      <c r="H4" s="75" t="s">
        <v>3</v>
      </c>
      <c r="I4" s="80" t="s">
        <v>4</v>
      </c>
    </row>
    <row r="5" spans="1:9" ht="15" customHeight="1">
      <c r="A5" s="69"/>
      <c r="B5" s="70"/>
      <c r="C5" s="70"/>
      <c r="D5" s="70"/>
      <c r="E5" s="70"/>
      <c r="F5" s="70"/>
      <c r="G5" s="70"/>
      <c r="H5" s="70"/>
      <c r="I5" s="80"/>
    </row>
    <row r="6" spans="1:9">
      <c r="A6" s="71" t="s">
        <v>7</v>
      </c>
      <c r="B6" s="70"/>
      <c r="C6" s="75" t="str">
        <f>'Stavební rozpočet'!C6</f>
        <v xml:space="preserve"> </v>
      </c>
      <c r="D6" s="70"/>
      <c r="E6" s="75" t="s">
        <v>8</v>
      </c>
      <c r="F6" s="75" t="str">
        <f>'Stavební rozpočet'!I6</f>
        <v> </v>
      </c>
      <c r="G6" s="70"/>
      <c r="H6" s="75" t="s">
        <v>3</v>
      </c>
      <c r="I6" s="80" t="s">
        <v>4</v>
      </c>
    </row>
    <row r="7" spans="1:9" ht="15" customHeight="1">
      <c r="A7" s="69"/>
      <c r="B7" s="70"/>
      <c r="C7" s="70"/>
      <c r="D7" s="70"/>
      <c r="E7" s="70"/>
      <c r="F7" s="70"/>
      <c r="G7" s="70"/>
      <c r="H7" s="70"/>
      <c r="I7" s="80"/>
    </row>
    <row r="8" spans="1:9">
      <c r="A8" s="71" t="s">
        <v>9</v>
      </c>
      <c r="B8" s="70"/>
      <c r="C8" s="75" t="str">
        <f>'Stavební rozpočet'!G4</f>
        <v xml:space="preserve"> </v>
      </c>
      <c r="D8" s="70"/>
      <c r="E8" s="75" t="s">
        <v>10</v>
      </c>
      <c r="F8" s="75" t="str">
        <f>'Stavební rozpočet'!G6</f>
        <v xml:space="preserve"> </v>
      </c>
      <c r="G8" s="70"/>
      <c r="H8" s="70" t="s">
        <v>11</v>
      </c>
      <c r="I8" s="81">
        <v>152</v>
      </c>
    </row>
    <row r="9" spans="1:9">
      <c r="A9" s="69"/>
      <c r="B9" s="70"/>
      <c r="C9" s="70"/>
      <c r="D9" s="70"/>
      <c r="E9" s="70"/>
      <c r="F9" s="70"/>
      <c r="G9" s="70"/>
      <c r="H9" s="70"/>
      <c r="I9" s="80"/>
    </row>
    <row r="10" spans="1:9">
      <c r="A10" s="71" t="s">
        <v>12</v>
      </c>
      <c r="B10" s="70"/>
      <c r="C10" s="75" t="str">
        <f>'Stavební rozpočet'!C8</f>
        <v xml:space="preserve"> </v>
      </c>
      <c r="D10" s="70"/>
      <c r="E10" s="75" t="s">
        <v>13</v>
      </c>
      <c r="F10" s="75" t="str">
        <f>'Stavební rozpočet'!I8</f>
        <v> </v>
      </c>
      <c r="G10" s="70"/>
      <c r="H10" s="70" t="s">
        <v>14</v>
      </c>
      <c r="I10" s="82">
        <f>'Stavební rozpočet'!G8</f>
        <v>0</v>
      </c>
    </row>
    <row r="11" spans="1:9">
      <c r="A11" s="72"/>
      <c r="B11" s="73"/>
      <c r="C11" s="73"/>
      <c r="D11" s="73"/>
      <c r="E11" s="73"/>
      <c r="F11" s="73"/>
      <c r="G11" s="73"/>
      <c r="H11" s="73"/>
      <c r="I11" s="83"/>
    </row>
    <row r="13" spans="1:9" ht="15.75">
      <c r="A13" s="117" t="s">
        <v>58</v>
      </c>
      <c r="B13" s="117"/>
      <c r="C13" s="117"/>
      <c r="D13" s="117"/>
      <c r="E13" s="117"/>
    </row>
    <row r="14" spans="1:9">
      <c r="A14" s="118" t="s">
        <v>59</v>
      </c>
      <c r="B14" s="119"/>
      <c r="C14" s="119"/>
      <c r="D14" s="119"/>
      <c r="E14" s="120"/>
      <c r="F14" s="20" t="s">
        <v>60</v>
      </c>
      <c r="G14" s="20" t="s">
        <v>61</v>
      </c>
      <c r="H14" s="20" t="s">
        <v>62</v>
      </c>
      <c r="I14" s="20" t="s">
        <v>60</v>
      </c>
    </row>
    <row r="15" spans="1:9">
      <c r="A15" s="121" t="s">
        <v>24</v>
      </c>
      <c r="B15" s="122"/>
      <c r="C15" s="122"/>
      <c r="D15" s="122"/>
      <c r="E15" s="123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>
      <c r="A16" s="121" t="s">
        <v>27</v>
      </c>
      <c r="B16" s="122"/>
      <c r="C16" s="122"/>
      <c r="D16" s="122"/>
      <c r="E16" s="123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>
      <c r="A17" s="124" t="s">
        <v>30</v>
      </c>
      <c r="B17" s="125"/>
      <c r="C17" s="125"/>
      <c r="D17" s="125"/>
      <c r="E17" s="126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>
      <c r="A18" s="127" t="s">
        <v>63</v>
      </c>
      <c r="B18" s="128"/>
      <c r="C18" s="128"/>
      <c r="D18" s="128"/>
      <c r="E18" s="129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>
      <c r="A20" s="118" t="s">
        <v>21</v>
      </c>
      <c r="B20" s="119"/>
      <c r="C20" s="119"/>
      <c r="D20" s="119"/>
      <c r="E20" s="120"/>
      <c r="F20" s="20" t="s">
        <v>60</v>
      </c>
      <c r="G20" s="20" t="s">
        <v>61</v>
      </c>
      <c r="H20" s="20" t="s">
        <v>62</v>
      </c>
      <c r="I20" s="20" t="s">
        <v>60</v>
      </c>
    </row>
    <row r="21" spans="1:9">
      <c r="A21" s="121" t="s">
        <v>25</v>
      </c>
      <c r="B21" s="122"/>
      <c r="C21" s="122"/>
      <c r="D21" s="122"/>
      <c r="E21" s="123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>
      <c r="A22" s="121" t="s">
        <v>28</v>
      </c>
      <c r="B22" s="122"/>
      <c r="C22" s="122"/>
      <c r="D22" s="122"/>
      <c r="E22" s="123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>
      <c r="A23" s="121" t="s">
        <v>31</v>
      </c>
      <c r="B23" s="122"/>
      <c r="C23" s="122"/>
      <c r="D23" s="122"/>
      <c r="E23" s="123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>
      <c r="A24" s="121" t="s">
        <v>32</v>
      </c>
      <c r="B24" s="122"/>
      <c r="C24" s="122"/>
      <c r="D24" s="122"/>
      <c r="E24" s="123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>
      <c r="A25" s="121" t="s">
        <v>34</v>
      </c>
      <c r="B25" s="122"/>
      <c r="C25" s="122"/>
      <c r="D25" s="122"/>
      <c r="E25" s="123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>
      <c r="A26" s="124" t="s">
        <v>35</v>
      </c>
      <c r="B26" s="125"/>
      <c r="C26" s="125"/>
      <c r="D26" s="125"/>
      <c r="E26" s="126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>
      <c r="A27" s="127" t="s">
        <v>64</v>
      </c>
      <c r="B27" s="128"/>
      <c r="C27" s="128"/>
      <c r="D27" s="128"/>
      <c r="E27" s="129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>
      <c r="A29" s="130" t="s">
        <v>65</v>
      </c>
      <c r="B29" s="131"/>
      <c r="C29" s="131"/>
      <c r="D29" s="131"/>
      <c r="E29" s="132"/>
      <c r="F29" s="133">
        <f>I18+I27</f>
        <v>0</v>
      </c>
      <c r="G29" s="134"/>
      <c r="H29" s="134"/>
      <c r="I29" s="135"/>
    </row>
    <row r="33" spans="1:9" ht="15.75">
      <c r="A33" s="117" t="s">
        <v>66</v>
      </c>
      <c r="B33" s="117"/>
      <c r="C33" s="117"/>
      <c r="D33" s="117"/>
      <c r="E33" s="117"/>
    </row>
    <row r="34" spans="1:9">
      <c r="A34" s="118" t="s">
        <v>67</v>
      </c>
      <c r="B34" s="119"/>
      <c r="C34" s="119"/>
      <c r="D34" s="119"/>
      <c r="E34" s="120"/>
      <c r="F34" s="20" t="s">
        <v>60</v>
      </c>
      <c r="G34" s="20" t="s">
        <v>61</v>
      </c>
      <c r="H34" s="20" t="s">
        <v>62</v>
      </c>
      <c r="I34" s="20" t="s">
        <v>60</v>
      </c>
    </row>
    <row r="35" spans="1:9">
      <c r="A35" s="121" t="s">
        <v>68</v>
      </c>
      <c r="B35" s="122"/>
      <c r="C35" s="122"/>
      <c r="D35" s="122"/>
      <c r="E35" s="123"/>
      <c r="F35" s="21">
        <f>SUM('Stavební rozpočet'!BM12:BM296)</f>
        <v>0</v>
      </c>
      <c r="G35" s="22" t="s">
        <v>4</v>
      </c>
      <c r="H35" s="22" t="s">
        <v>4</v>
      </c>
      <c r="I35" s="21">
        <f t="shared" ref="I35:I44" si="1">F35</f>
        <v>0</v>
      </c>
    </row>
    <row r="36" spans="1:9">
      <c r="A36" s="121" t="s">
        <v>69</v>
      </c>
      <c r="B36" s="122"/>
      <c r="C36" s="122"/>
      <c r="D36" s="122"/>
      <c r="E36" s="123"/>
      <c r="F36" s="21">
        <f>SUM('Stavební rozpočet'!BN12:BN296)</f>
        <v>0</v>
      </c>
      <c r="G36" s="22" t="s">
        <v>4</v>
      </c>
      <c r="H36" s="22" t="s">
        <v>4</v>
      </c>
      <c r="I36" s="21">
        <f t="shared" si="1"/>
        <v>0</v>
      </c>
    </row>
    <row r="37" spans="1:9">
      <c r="A37" s="121" t="s">
        <v>25</v>
      </c>
      <c r="B37" s="122"/>
      <c r="C37" s="122"/>
      <c r="D37" s="122"/>
      <c r="E37" s="123"/>
      <c r="F37" s="21">
        <f>SUM('Stavební rozpočet'!BO12:BO296)</f>
        <v>0</v>
      </c>
      <c r="G37" s="22" t="s">
        <v>4</v>
      </c>
      <c r="H37" s="22" t="s">
        <v>4</v>
      </c>
      <c r="I37" s="21">
        <f t="shared" si="1"/>
        <v>0</v>
      </c>
    </row>
    <row r="38" spans="1:9">
      <c r="A38" s="121" t="s">
        <v>70</v>
      </c>
      <c r="B38" s="122"/>
      <c r="C38" s="122"/>
      <c r="D38" s="122"/>
      <c r="E38" s="123"/>
      <c r="F38" s="21">
        <f>SUM('Stavební rozpočet'!BP12:BP296)</f>
        <v>0</v>
      </c>
      <c r="G38" s="22" t="s">
        <v>4</v>
      </c>
      <c r="H38" s="22" t="s">
        <v>4</v>
      </c>
      <c r="I38" s="21">
        <f t="shared" si="1"/>
        <v>0</v>
      </c>
    </row>
    <row r="39" spans="1:9">
      <c r="A39" s="121" t="s">
        <v>71</v>
      </c>
      <c r="B39" s="122"/>
      <c r="C39" s="122"/>
      <c r="D39" s="122"/>
      <c r="E39" s="123"/>
      <c r="F39" s="21">
        <f>SUM('Stavební rozpočet'!BQ12:BQ296)</f>
        <v>0</v>
      </c>
      <c r="G39" s="22" t="s">
        <v>4</v>
      </c>
      <c r="H39" s="22" t="s">
        <v>4</v>
      </c>
      <c r="I39" s="21">
        <f t="shared" si="1"/>
        <v>0</v>
      </c>
    </row>
    <row r="40" spans="1:9">
      <c r="A40" s="121" t="s">
        <v>31</v>
      </c>
      <c r="B40" s="122"/>
      <c r="C40" s="122"/>
      <c r="D40" s="122"/>
      <c r="E40" s="123"/>
      <c r="F40" s="21">
        <f>SUM('Stavební rozpočet'!BR12:BR296)</f>
        <v>0</v>
      </c>
      <c r="G40" s="22" t="s">
        <v>4</v>
      </c>
      <c r="H40" s="22" t="s">
        <v>4</v>
      </c>
      <c r="I40" s="21">
        <f t="shared" si="1"/>
        <v>0</v>
      </c>
    </row>
    <row r="41" spans="1:9">
      <c r="A41" s="121" t="s">
        <v>32</v>
      </c>
      <c r="B41" s="122"/>
      <c r="C41" s="122"/>
      <c r="D41" s="122"/>
      <c r="E41" s="123"/>
      <c r="F41" s="21">
        <f>SUM('Stavební rozpočet'!BS12:BS296)</f>
        <v>0</v>
      </c>
      <c r="G41" s="22" t="s">
        <v>4</v>
      </c>
      <c r="H41" s="22" t="s">
        <v>4</v>
      </c>
      <c r="I41" s="21">
        <f t="shared" si="1"/>
        <v>0</v>
      </c>
    </row>
    <row r="42" spans="1:9">
      <c r="A42" s="121" t="s">
        <v>72</v>
      </c>
      <c r="B42" s="122"/>
      <c r="C42" s="122"/>
      <c r="D42" s="122"/>
      <c r="E42" s="123"/>
      <c r="F42" s="21">
        <f>SUM('Stavební rozpočet'!BT12:BT296)</f>
        <v>0</v>
      </c>
      <c r="G42" s="22" t="s">
        <v>4</v>
      </c>
      <c r="H42" s="22" t="s">
        <v>4</v>
      </c>
      <c r="I42" s="21">
        <f t="shared" si="1"/>
        <v>0</v>
      </c>
    </row>
    <row r="43" spans="1:9">
      <c r="A43" s="121" t="s">
        <v>73</v>
      </c>
      <c r="B43" s="122"/>
      <c r="C43" s="122"/>
      <c r="D43" s="122"/>
      <c r="E43" s="123"/>
      <c r="F43" s="21">
        <f>SUM('Stavební rozpočet'!BU12:BU296)</f>
        <v>0</v>
      </c>
      <c r="G43" s="22" t="s">
        <v>4</v>
      </c>
      <c r="H43" s="22" t="s">
        <v>4</v>
      </c>
      <c r="I43" s="21">
        <f t="shared" si="1"/>
        <v>0</v>
      </c>
    </row>
    <row r="44" spans="1:9">
      <c r="A44" s="124" t="s">
        <v>74</v>
      </c>
      <c r="B44" s="125"/>
      <c r="C44" s="125"/>
      <c r="D44" s="125"/>
      <c r="E44" s="126"/>
      <c r="F44" s="23">
        <f>SUM('Stavební rozpočet'!BV12:BV296)</f>
        <v>0</v>
      </c>
      <c r="G44" s="24" t="s">
        <v>4</v>
      </c>
      <c r="H44" s="24" t="s">
        <v>4</v>
      </c>
      <c r="I44" s="23">
        <f t="shared" si="1"/>
        <v>0</v>
      </c>
    </row>
    <row r="45" spans="1:9">
      <c r="A45" s="127" t="s">
        <v>75</v>
      </c>
      <c r="B45" s="128"/>
      <c r="C45" s="128"/>
      <c r="D45" s="128"/>
      <c r="E45" s="129"/>
      <c r="F45" s="25" t="s">
        <v>4</v>
      </c>
      <c r="G45" s="26" t="s">
        <v>4</v>
      </c>
      <c r="H45" s="26" t="s">
        <v>4</v>
      </c>
      <c r="I45" s="27">
        <f>SUM(I35:I44)</f>
        <v>0</v>
      </c>
    </row>
  </sheetData>
  <sheetProtection password="CF7A" sheet="1"/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A10:B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299"/>
  <sheetViews>
    <sheetView workbookViewId="0">
      <pane ySplit="11" topLeftCell="A12" activePane="bottomLeft" state="frozen"/>
      <selection pane="bottomLeft" activeCell="L25" sqref="L25"/>
    </sheetView>
  </sheetViews>
  <sheetFormatPr defaultColWidth="12.140625" defaultRowHeight="15" customHeight="1"/>
  <cols>
    <col min="1" max="1" width="3.140625" customWidth="1"/>
    <col min="2" max="2" width="17.85546875" customWidth="1"/>
    <col min="3" max="3" width="42.85546875" customWidth="1"/>
    <col min="4" max="4" width="35.7109375" customWidth="1"/>
    <col min="5" max="5" width="6.7109375" customWidth="1"/>
    <col min="6" max="6" width="12.85546875" customWidth="1"/>
    <col min="7" max="7" width="12" customWidth="1"/>
    <col min="8" max="8" width="15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>
      <c r="A1" s="66" t="s">
        <v>76</v>
      </c>
      <c r="B1" s="66"/>
      <c r="C1" s="66"/>
      <c r="D1" s="66"/>
      <c r="E1" s="66"/>
      <c r="F1" s="66"/>
      <c r="G1" s="66"/>
      <c r="H1" s="66"/>
      <c r="I1" s="66"/>
      <c r="J1" s="66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>
      <c r="A2" s="67" t="s">
        <v>1</v>
      </c>
      <c r="B2" s="68"/>
      <c r="C2" s="76" t="s">
        <v>77</v>
      </c>
      <c r="D2" s="77"/>
      <c r="E2" s="68" t="s">
        <v>78</v>
      </c>
      <c r="F2" s="68"/>
      <c r="G2" s="138" t="s">
        <v>79</v>
      </c>
      <c r="H2" s="74" t="s">
        <v>2</v>
      </c>
      <c r="I2" s="68" t="s">
        <v>80</v>
      </c>
      <c r="J2" s="79"/>
    </row>
    <row r="3" spans="1:76">
      <c r="A3" s="69"/>
      <c r="B3" s="70"/>
      <c r="C3" s="78"/>
      <c r="D3" s="78"/>
      <c r="E3" s="70"/>
      <c r="F3" s="70"/>
      <c r="G3" s="139"/>
      <c r="H3" s="70"/>
      <c r="I3" s="70"/>
      <c r="J3" s="80"/>
    </row>
    <row r="4" spans="1:76">
      <c r="A4" s="71" t="s">
        <v>5</v>
      </c>
      <c r="B4" s="70"/>
      <c r="C4" s="75" t="s">
        <v>81</v>
      </c>
      <c r="D4" s="70"/>
      <c r="E4" s="70" t="s">
        <v>9</v>
      </c>
      <c r="F4" s="70"/>
      <c r="G4" s="139" t="s">
        <v>79</v>
      </c>
      <c r="H4" s="75" t="s">
        <v>6</v>
      </c>
      <c r="I4" s="70" t="s">
        <v>80</v>
      </c>
      <c r="J4" s="80"/>
    </row>
    <row r="5" spans="1:76">
      <c r="A5" s="69"/>
      <c r="B5" s="70"/>
      <c r="C5" s="70"/>
      <c r="D5" s="70"/>
      <c r="E5" s="70"/>
      <c r="F5" s="70"/>
      <c r="G5" s="139"/>
      <c r="H5" s="70"/>
      <c r="I5" s="70"/>
      <c r="J5" s="80"/>
    </row>
    <row r="6" spans="1:76">
      <c r="A6" s="71" t="s">
        <v>7</v>
      </c>
      <c r="B6" s="70"/>
      <c r="C6" s="75" t="s">
        <v>79</v>
      </c>
      <c r="D6" s="70"/>
      <c r="E6" s="70" t="s">
        <v>10</v>
      </c>
      <c r="F6" s="70"/>
      <c r="G6" s="139" t="s">
        <v>79</v>
      </c>
      <c r="H6" s="75" t="s">
        <v>8</v>
      </c>
      <c r="I6" s="139" t="s">
        <v>80</v>
      </c>
      <c r="J6" s="141"/>
    </row>
    <row r="7" spans="1:76">
      <c r="A7" s="69"/>
      <c r="B7" s="70"/>
      <c r="C7" s="70"/>
      <c r="D7" s="70"/>
      <c r="E7" s="70"/>
      <c r="F7" s="70"/>
      <c r="G7" s="139"/>
      <c r="H7" s="70"/>
      <c r="I7" s="139"/>
      <c r="J7" s="141"/>
    </row>
    <row r="8" spans="1:76">
      <c r="A8" s="71" t="s">
        <v>12</v>
      </c>
      <c r="B8" s="70"/>
      <c r="C8" s="75" t="s">
        <v>79</v>
      </c>
      <c r="D8" s="70"/>
      <c r="E8" s="70" t="s">
        <v>82</v>
      </c>
      <c r="F8" s="70"/>
      <c r="G8" s="139"/>
      <c r="H8" s="75" t="s">
        <v>13</v>
      </c>
      <c r="I8" s="139" t="s">
        <v>80</v>
      </c>
      <c r="J8" s="141"/>
    </row>
    <row r="9" spans="1:76">
      <c r="A9" s="136"/>
      <c r="B9" s="137"/>
      <c r="C9" s="137"/>
      <c r="D9" s="137"/>
      <c r="E9" s="137"/>
      <c r="F9" s="137"/>
      <c r="G9" s="140"/>
      <c r="H9" s="137"/>
      <c r="I9" s="142"/>
      <c r="J9" s="143"/>
    </row>
    <row r="10" spans="1:76">
      <c r="A10" s="29" t="s">
        <v>83</v>
      </c>
      <c r="B10" s="30" t="s">
        <v>84</v>
      </c>
      <c r="C10" s="144" t="s">
        <v>85</v>
      </c>
      <c r="D10" s="145"/>
      <c r="E10" s="30" t="s">
        <v>86</v>
      </c>
      <c r="F10" s="31" t="s">
        <v>87</v>
      </c>
      <c r="G10" s="32" t="s">
        <v>88</v>
      </c>
      <c r="H10" s="33" t="s">
        <v>89</v>
      </c>
      <c r="J10" s="34"/>
      <c r="BK10" s="35" t="s">
        <v>90</v>
      </c>
      <c r="BL10" s="36" t="s">
        <v>91</v>
      </c>
      <c r="BW10" s="36" t="s">
        <v>92</v>
      </c>
    </row>
    <row r="11" spans="1:76">
      <c r="A11" s="37" t="s">
        <v>79</v>
      </c>
      <c r="B11" s="38" t="s">
        <v>79</v>
      </c>
      <c r="C11" s="146" t="s">
        <v>93</v>
      </c>
      <c r="D11" s="147"/>
      <c r="E11" s="38" t="s">
        <v>79</v>
      </c>
      <c r="F11" s="38" t="s">
        <v>79</v>
      </c>
      <c r="G11" s="39" t="s">
        <v>94</v>
      </c>
      <c r="H11" s="40" t="s">
        <v>95</v>
      </c>
      <c r="J11" s="41"/>
      <c r="Z11" s="35" t="s">
        <v>96</v>
      </c>
      <c r="AA11" s="35" t="s">
        <v>97</v>
      </c>
      <c r="AB11" s="35" t="s">
        <v>98</v>
      </c>
      <c r="AC11" s="35" t="s">
        <v>99</v>
      </c>
      <c r="AD11" s="35" t="s">
        <v>100</v>
      </c>
      <c r="AE11" s="35" t="s">
        <v>101</v>
      </c>
      <c r="AF11" s="35" t="s">
        <v>102</v>
      </c>
      <c r="AG11" s="35" t="s">
        <v>103</v>
      </c>
      <c r="AH11" s="35" t="s">
        <v>104</v>
      </c>
      <c r="BH11" s="35" t="s">
        <v>105</v>
      </c>
      <c r="BI11" s="35" t="s">
        <v>106</v>
      </c>
      <c r="BJ11" s="35" t="s">
        <v>107</v>
      </c>
    </row>
    <row r="12" spans="1:76">
      <c r="A12" s="42" t="s">
        <v>4</v>
      </c>
      <c r="B12" s="43" t="s">
        <v>4</v>
      </c>
      <c r="C12" s="148" t="s">
        <v>108</v>
      </c>
      <c r="D12" s="149"/>
      <c r="E12" s="44" t="s">
        <v>79</v>
      </c>
      <c r="F12" s="44" t="s">
        <v>79</v>
      </c>
      <c r="G12" s="45" t="s">
        <v>79</v>
      </c>
      <c r="H12" s="46">
        <f>H13+H26+H78+H84+H93+H138+H140+H152+H167+H179+H209+H212+H229+H240+H259+H266+H279+H282+H286+H293+H295</f>
        <v>0</v>
      </c>
      <c r="J12" s="41"/>
    </row>
    <row r="13" spans="1:76">
      <c r="A13" s="47" t="s">
        <v>4</v>
      </c>
      <c r="B13" s="48" t="s">
        <v>109</v>
      </c>
      <c r="C13" s="150" t="s">
        <v>110</v>
      </c>
      <c r="D13" s="151"/>
      <c r="E13" s="49" t="s">
        <v>79</v>
      </c>
      <c r="F13" s="49" t="s">
        <v>79</v>
      </c>
      <c r="G13" s="50" t="s">
        <v>79</v>
      </c>
      <c r="H13" s="28">
        <f>SUM(H14:H24)</f>
        <v>0</v>
      </c>
      <c r="J13" s="41"/>
      <c r="AI13" s="35" t="s">
        <v>4</v>
      </c>
      <c r="AS13" s="28">
        <f>SUM(AJ14:AJ24)</f>
        <v>0</v>
      </c>
      <c r="AT13" s="28">
        <f>SUM(AK14:AK24)</f>
        <v>0</v>
      </c>
      <c r="AU13" s="28">
        <f>SUM(AL14:AL24)</f>
        <v>0</v>
      </c>
    </row>
    <row r="14" spans="1:76">
      <c r="A14" s="1" t="s">
        <v>111</v>
      </c>
      <c r="B14" s="2" t="s">
        <v>112</v>
      </c>
      <c r="C14" s="75" t="s">
        <v>113</v>
      </c>
      <c r="D14" s="70"/>
      <c r="E14" s="2" t="s">
        <v>114</v>
      </c>
      <c r="F14" s="51">
        <v>2</v>
      </c>
      <c r="G14" s="52">
        <v>0</v>
      </c>
      <c r="H14" s="51">
        <f>F14*G14</f>
        <v>0</v>
      </c>
      <c r="J14" s="41"/>
      <c r="Z14" s="51">
        <f>IF(AQ14="5",BJ14,0)</f>
        <v>0</v>
      </c>
      <c r="AB14" s="51">
        <f>IF(AQ14="1",BH14,0)</f>
        <v>0</v>
      </c>
      <c r="AC14" s="51">
        <f>IF(AQ14="1",BI14,0)</f>
        <v>0</v>
      </c>
      <c r="AD14" s="51">
        <f>IF(AQ14="7",BH14,0)</f>
        <v>0</v>
      </c>
      <c r="AE14" s="51">
        <f>IF(AQ14="7",BI14,0)</f>
        <v>0</v>
      </c>
      <c r="AF14" s="51">
        <f>IF(AQ14="2",BH14,0)</f>
        <v>0</v>
      </c>
      <c r="AG14" s="51">
        <f>IF(AQ14="2",BI14,0)</f>
        <v>0</v>
      </c>
      <c r="AH14" s="51">
        <f>IF(AQ14="0",BJ14,0)</f>
        <v>0</v>
      </c>
      <c r="AI14" s="35" t="s">
        <v>4</v>
      </c>
      <c r="AJ14" s="51">
        <f>IF(AN14=0,H14,0)</f>
        <v>0</v>
      </c>
      <c r="AK14" s="51">
        <f>IF(AN14=12,H14,0)</f>
        <v>0</v>
      </c>
      <c r="AL14" s="51">
        <f>IF(AN14=21,H14,0)</f>
        <v>0</v>
      </c>
      <c r="AN14" s="51">
        <v>12</v>
      </c>
      <c r="AO14" s="51">
        <f>G14*0.460521739</f>
        <v>0</v>
      </c>
      <c r="AP14" s="51">
        <f>G14*(1-0.460521739)</f>
        <v>0</v>
      </c>
      <c r="AQ14" s="53" t="s">
        <v>111</v>
      </c>
      <c r="AV14" s="51">
        <f>AW14+AX14</f>
        <v>0</v>
      </c>
      <c r="AW14" s="51">
        <f>F14*AO14</f>
        <v>0</v>
      </c>
      <c r="AX14" s="51">
        <f>F14*AP14</f>
        <v>0</v>
      </c>
      <c r="AY14" s="53" t="s">
        <v>115</v>
      </c>
      <c r="AZ14" s="53" t="s">
        <v>116</v>
      </c>
      <c r="BA14" s="35" t="s">
        <v>117</v>
      </c>
      <c r="BC14" s="51">
        <f>AW14+AX14</f>
        <v>0</v>
      </c>
      <c r="BD14" s="51">
        <f>G14/(100-BE14)*100</f>
        <v>0</v>
      </c>
      <c r="BE14" s="51">
        <v>0</v>
      </c>
      <c r="BF14" s="51">
        <f>14</f>
        <v>14</v>
      </c>
      <c r="BH14" s="51">
        <f>F14*AO14</f>
        <v>0</v>
      </c>
      <c r="BI14" s="51">
        <f>F14*AP14</f>
        <v>0</v>
      </c>
      <c r="BJ14" s="51">
        <f>F14*G14</f>
        <v>0</v>
      </c>
      <c r="BK14" s="51"/>
      <c r="BL14" s="51">
        <v>34</v>
      </c>
      <c r="BW14" s="51">
        <v>12</v>
      </c>
      <c r="BX14" s="3" t="s">
        <v>113</v>
      </c>
    </row>
    <row r="15" spans="1:76" ht="13.5" customHeight="1">
      <c r="A15" s="54"/>
      <c r="B15" s="55" t="s">
        <v>118</v>
      </c>
      <c r="C15" s="152" t="s">
        <v>119</v>
      </c>
      <c r="D15" s="153"/>
      <c r="E15" s="153"/>
      <c r="F15" s="153"/>
      <c r="G15" s="154"/>
      <c r="H15" s="153"/>
      <c r="I15" s="153"/>
      <c r="J15" s="155"/>
    </row>
    <row r="16" spans="1:76">
      <c r="A16" s="54"/>
      <c r="C16" s="56" t="s">
        <v>120</v>
      </c>
      <c r="D16" s="57" t="s">
        <v>121</v>
      </c>
      <c r="F16" s="58">
        <v>2</v>
      </c>
      <c r="J16" s="41"/>
    </row>
    <row r="17" spans="1:76">
      <c r="A17" s="1" t="s">
        <v>120</v>
      </c>
      <c r="B17" s="2" t="s">
        <v>122</v>
      </c>
      <c r="C17" s="75" t="s">
        <v>123</v>
      </c>
      <c r="D17" s="70"/>
      <c r="E17" s="2" t="s">
        <v>124</v>
      </c>
      <c r="F17" s="51">
        <v>12.387</v>
      </c>
      <c r="G17" s="52">
        <v>0</v>
      </c>
      <c r="H17" s="51">
        <f>F17*G17</f>
        <v>0</v>
      </c>
      <c r="J17" s="41"/>
      <c r="Z17" s="51">
        <f>IF(AQ17="5",BJ17,0)</f>
        <v>0</v>
      </c>
      <c r="AB17" s="51">
        <f>IF(AQ17="1",BH17,0)</f>
        <v>0</v>
      </c>
      <c r="AC17" s="51">
        <f>IF(AQ17="1",BI17,0)</f>
        <v>0</v>
      </c>
      <c r="AD17" s="51">
        <f>IF(AQ17="7",BH17,0)</f>
        <v>0</v>
      </c>
      <c r="AE17" s="51">
        <f>IF(AQ17="7",BI17,0)</f>
        <v>0</v>
      </c>
      <c r="AF17" s="51">
        <f>IF(AQ17="2",BH17,0)</f>
        <v>0</v>
      </c>
      <c r="AG17" s="51">
        <f>IF(AQ17="2",BI17,0)</f>
        <v>0</v>
      </c>
      <c r="AH17" s="51">
        <f>IF(AQ17="0",BJ17,0)</f>
        <v>0</v>
      </c>
      <c r="AI17" s="35" t="s">
        <v>4</v>
      </c>
      <c r="AJ17" s="51">
        <f>IF(AN17=0,H17,0)</f>
        <v>0</v>
      </c>
      <c r="AK17" s="51">
        <f>IF(AN17=12,H17,0)</f>
        <v>0</v>
      </c>
      <c r="AL17" s="51">
        <f>IF(AN17=21,H17,0)</f>
        <v>0</v>
      </c>
      <c r="AN17" s="51">
        <v>12</v>
      </c>
      <c r="AO17" s="51">
        <f>G17*0.671427424</f>
        <v>0</v>
      </c>
      <c r="AP17" s="51">
        <f>G17*(1-0.671427424)</f>
        <v>0</v>
      </c>
      <c r="AQ17" s="53" t="s">
        <v>111</v>
      </c>
      <c r="AV17" s="51">
        <f>AW17+AX17</f>
        <v>0</v>
      </c>
      <c r="AW17" s="51">
        <f>F17*AO17</f>
        <v>0</v>
      </c>
      <c r="AX17" s="51">
        <f>F17*AP17</f>
        <v>0</v>
      </c>
      <c r="AY17" s="53" t="s">
        <v>115</v>
      </c>
      <c r="AZ17" s="53" t="s">
        <v>116</v>
      </c>
      <c r="BA17" s="35" t="s">
        <v>117</v>
      </c>
      <c r="BC17" s="51">
        <f>AW17+AX17</f>
        <v>0</v>
      </c>
      <c r="BD17" s="51">
        <f>G17/(100-BE17)*100</f>
        <v>0</v>
      </c>
      <c r="BE17" s="51">
        <v>0</v>
      </c>
      <c r="BF17" s="51">
        <f>17</f>
        <v>17</v>
      </c>
      <c r="BH17" s="51">
        <f>F17*AO17</f>
        <v>0</v>
      </c>
      <c r="BI17" s="51">
        <f>F17*AP17</f>
        <v>0</v>
      </c>
      <c r="BJ17" s="51">
        <f>F17*G17</f>
        <v>0</v>
      </c>
      <c r="BK17" s="51"/>
      <c r="BL17" s="51">
        <v>34</v>
      </c>
      <c r="BW17" s="51">
        <v>12</v>
      </c>
      <c r="BX17" s="3" t="s">
        <v>123</v>
      </c>
    </row>
    <row r="18" spans="1:76">
      <c r="A18" s="54"/>
      <c r="C18" s="56" t="s">
        <v>125</v>
      </c>
      <c r="D18" s="57" t="s">
        <v>4</v>
      </c>
      <c r="F18" s="58">
        <v>15.587</v>
      </c>
      <c r="J18" s="41"/>
    </row>
    <row r="19" spans="1:76">
      <c r="A19" s="54"/>
      <c r="C19" s="56" t="s">
        <v>126</v>
      </c>
      <c r="D19" s="57" t="s">
        <v>4</v>
      </c>
      <c r="F19" s="58">
        <v>-3.2</v>
      </c>
      <c r="J19" s="41"/>
    </row>
    <row r="20" spans="1:76">
      <c r="A20" s="1" t="s">
        <v>127</v>
      </c>
      <c r="B20" s="2" t="s">
        <v>128</v>
      </c>
      <c r="C20" s="75" t="s">
        <v>129</v>
      </c>
      <c r="D20" s="70"/>
      <c r="E20" s="2" t="s">
        <v>114</v>
      </c>
      <c r="F20" s="51">
        <v>2</v>
      </c>
      <c r="G20" s="52">
        <v>0</v>
      </c>
      <c r="H20" s="51">
        <f>F20*G20</f>
        <v>0</v>
      </c>
      <c r="J20" s="41"/>
      <c r="Z20" s="51">
        <f>IF(AQ20="5",BJ20,0)</f>
        <v>0</v>
      </c>
      <c r="AB20" s="51">
        <f>IF(AQ20="1",BH20,0)</f>
        <v>0</v>
      </c>
      <c r="AC20" s="51">
        <f>IF(AQ20="1",BI20,0)</f>
        <v>0</v>
      </c>
      <c r="AD20" s="51">
        <f>IF(AQ20="7",BH20,0)</f>
        <v>0</v>
      </c>
      <c r="AE20" s="51">
        <f>IF(AQ20="7",BI20,0)</f>
        <v>0</v>
      </c>
      <c r="AF20" s="51">
        <f>IF(AQ20="2",BH20,0)</f>
        <v>0</v>
      </c>
      <c r="AG20" s="51">
        <f>IF(AQ20="2",BI20,0)</f>
        <v>0</v>
      </c>
      <c r="AH20" s="51">
        <f>IF(AQ20="0",BJ20,0)</f>
        <v>0</v>
      </c>
      <c r="AI20" s="35" t="s">
        <v>4</v>
      </c>
      <c r="AJ20" s="51">
        <f>IF(AN20=0,H20,0)</f>
        <v>0</v>
      </c>
      <c r="AK20" s="51">
        <f>IF(AN20=12,H20,0)</f>
        <v>0</v>
      </c>
      <c r="AL20" s="51">
        <f>IF(AN20=21,H20,0)</f>
        <v>0</v>
      </c>
      <c r="AN20" s="51">
        <v>12</v>
      </c>
      <c r="AO20" s="51">
        <f>G20*0.863109072</f>
        <v>0</v>
      </c>
      <c r="AP20" s="51">
        <f>G20*(1-0.863109072)</f>
        <v>0</v>
      </c>
      <c r="AQ20" s="53" t="s">
        <v>111</v>
      </c>
      <c r="AV20" s="51">
        <f>AW20+AX20</f>
        <v>0</v>
      </c>
      <c r="AW20" s="51">
        <f>F20*AO20</f>
        <v>0</v>
      </c>
      <c r="AX20" s="51">
        <f>F20*AP20</f>
        <v>0</v>
      </c>
      <c r="AY20" s="53" t="s">
        <v>115</v>
      </c>
      <c r="AZ20" s="53" t="s">
        <v>116</v>
      </c>
      <c r="BA20" s="35" t="s">
        <v>117</v>
      </c>
      <c r="BC20" s="51">
        <f>AW20+AX20</f>
        <v>0</v>
      </c>
      <c r="BD20" s="51">
        <f>G20/(100-BE20)*100</f>
        <v>0</v>
      </c>
      <c r="BE20" s="51">
        <v>0</v>
      </c>
      <c r="BF20" s="51">
        <f>20</f>
        <v>20</v>
      </c>
      <c r="BH20" s="51">
        <f>F20*AO20</f>
        <v>0</v>
      </c>
      <c r="BI20" s="51">
        <f>F20*AP20</f>
        <v>0</v>
      </c>
      <c r="BJ20" s="51">
        <f>F20*G20</f>
        <v>0</v>
      </c>
      <c r="BK20" s="51"/>
      <c r="BL20" s="51">
        <v>34</v>
      </c>
      <c r="BW20" s="51">
        <v>12</v>
      </c>
      <c r="BX20" s="3" t="s">
        <v>129</v>
      </c>
    </row>
    <row r="21" spans="1:76" ht="13.5" customHeight="1">
      <c r="A21" s="54"/>
      <c r="B21" s="55" t="s">
        <v>118</v>
      </c>
      <c r="C21" s="152" t="s">
        <v>130</v>
      </c>
      <c r="D21" s="153"/>
      <c r="E21" s="153"/>
      <c r="F21" s="153"/>
      <c r="G21" s="154"/>
      <c r="H21" s="153"/>
      <c r="I21" s="153"/>
      <c r="J21" s="155"/>
    </row>
    <row r="22" spans="1:76">
      <c r="A22" s="1" t="s">
        <v>131</v>
      </c>
      <c r="B22" s="2" t="s">
        <v>132</v>
      </c>
      <c r="C22" s="75" t="s">
        <v>133</v>
      </c>
      <c r="D22" s="70"/>
      <c r="E22" s="2" t="s">
        <v>134</v>
      </c>
      <c r="F22" s="51">
        <v>7.8</v>
      </c>
      <c r="G22" s="52">
        <v>0</v>
      </c>
      <c r="H22" s="51">
        <f>F22*G22</f>
        <v>0</v>
      </c>
      <c r="J22" s="41"/>
      <c r="Z22" s="51">
        <f>IF(AQ22="5",BJ22,0)</f>
        <v>0</v>
      </c>
      <c r="AB22" s="51">
        <f>IF(AQ22="1",BH22,0)</f>
        <v>0</v>
      </c>
      <c r="AC22" s="51">
        <f>IF(AQ22="1",BI22,0)</f>
        <v>0</v>
      </c>
      <c r="AD22" s="51">
        <f>IF(AQ22="7",BH22,0)</f>
        <v>0</v>
      </c>
      <c r="AE22" s="51">
        <f>IF(AQ22="7",BI22,0)</f>
        <v>0</v>
      </c>
      <c r="AF22" s="51">
        <f>IF(AQ22="2",BH22,0)</f>
        <v>0</v>
      </c>
      <c r="AG22" s="51">
        <f>IF(AQ22="2",BI22,0)</f>
        <v>0</v>
      </c>
      <c r="AH22" s="51">
        <f>IF(AQ22="0",BJ22,0)</f>
        <v>0</v>
      </c>
      <c r="AI22" s="35" t="s">
        <v>4</v>
      </c>
      <c r="AJ22" s="51">
        <f>IF(AN22=0,H22,0)</f>
        <v>0</v>
      </c>
      <c r="AK22" s="51">
        <f>IF(AN22=12,H22,0)</f>
        <v>0</v>
      </c>
      <c r="AL22" s="51">
        <f>IF(AN22=21,H22,0)</f>
        <v>0</v>
      </c>
      <c r="AN22" s="51">
        <v>12</v>
      </c>
      <c r="AO22" s="51">
        <f>G22*0.211238095</f>
        <v>0</v>
      </c>
      <c r="AP22" s="51">
        <f>G22*(1-0.211238095)</f>
        <v>0</v>
      </c>
      <c r="AQ22" s="53" t="s">
        <v>111</v>
      </c>
      <c r="AV22" s="51">
        <f>AW22+AX22</f>
        <v>0</v>
      </c>
      <c r="AW22" s="51">
        <f>F22*AO22</f>
        <v>0</v>
      </c>
      <c r="AX22" s="51">
        <f>F22*AP22</f>
        <v>0</v>
      </c>
      <c r="AY22" s="53" t="s">
        <v>115</v>
      </c>
      <c r="AZ22" s="53" t="s">
        <v>116</v>
      </c>
      <c r="BA22" s="35" t="s">
        <v>117</v>
      </c>
      <c r="BC22" s="51">
        <f>AW22+AX22</f>
        <v>0</v>
      </c>
      <c r="BD22" s="51">
        <f>G22/(100-BE22)*100</f>
        <v>0</v>
      </c>
      <c r="BE22" s="51">
        <v>0</v>
      </c>
      <c r="BF22" s="51">
        <f>22</f>
        <v>22</v>
      </c>
      <c r="BH22" s="51">
        <f>F22*AO22</f>
        <v>0</v>
      </c>
      <c r="BI22" s="51">
        <f>F22*AP22</f>
        <v>0</v>
      </c>
      <c r="BJ22" s="51">
        <f>F22*G22</f>
        <v>0</v>
      </c>
      <c r="BK22" s="51"/>
      <c r="BL22" s="51">
        <v>34</v>
      </c>
      <c r="BW22" s="51">
        <v>12</v>
      </c>
      <c r="BX22" s="3" t="s">
        <v>133</v>
      </c>
    </row>
    <row r="23" spans="1:76">
      <c r="A23" s="54"/>
      <c r="C23" s="56" t="s">
        <v>135</v>
      </c>
      <c r="D23" s="57" t="s">
        <v>136</v>
      </c>
      <c r="F23" s="58">
        <v>7.8</v>
      </c>
      <c r="J23" s="41"/>
    </row>
    <row r="24" spans="1:76">
      <c r="A24" s="1" t="s">
        <v>137</v>
      </c>
      <c r="B24" s="2" t="s">
        <v>138</v>
      </c>
      <c r="C24" s="75" t="s">
        <v>139</v>
      </c>
      <c r="D24" s="70"/>
      <c r="E24" s="2" t="s">
        <v>134</v>
      </c>
      <c r="F24" s="51">
        <v>5.9950000000000001</v>
      </c>
      <c r="G24" s="52">
        <v>0</v>
      </c>
      <c r="H24" s="51">
        <f>F24*G24</f>
        <v>0</v>
      </c>
      <c r="J24" s="41"/>
      <c r="Z24" s="51">
        <f>IF(AQ24="5",BJ24,0)</f>
        <v>0</v>
      </c>
      <c r="AB24" s="51">
        <f>IF(AQ24="1",BH24,0)</f>
        <v>0</v>
      </c>
      <c r="AC24" s="51">
        <f>IF(AQ24="1",BI24,0)</f>
        <v>0</v>
      </c>
      <c r="AD24" s="51">
        <f>IF(AQ24="7",BH24,0)</f>
        <v>0</v>
      </c>
      <c r="AE24" s="51">
        <f>IF(AQ24="7",BI24,0)</f>
        <v>0</v>
      </c>
      <c r="AF24" s="51">
        <f>IF(AQ24="2",BH24,0)</f>
        <v>0</v>
      </c>
      <c r="AG24" s="51">
        <f>IF(AQ24="2",BI24,0)</f>
        <v>0</v>
      </c>
      <c r="AH24" s="51">
        <f>IF(AQ24="0",BJ24,0)</f>
        <v>0</v>
      </c>
      <c r="AI24" s="35" t="s">
        <v>4</v>
      </c>
      <c r="AJ24" s="51">
        <f>IF(AN24=0,H24,0)</f>
        <v>0</v>
      </c>
      <c r="AK24" s="51">
        <f>IF(AN24=12,H24,0)</f>
        <v>0</v>
      </c>
      <c r="AL24" s="51">
        <f>IF(AN24=21,H24,0)</f>
        <v>0</v>
      </c>
      <c r="AN24" s="51">
        <v>12</v>
      </c>
      <c r="AO24" s="51">
        <f>G24*0.182774888</f>
        <v>0</v>
      </c>
      <c r="AP24" s="51">
        <f>G24*(1-0.182774888)</f>
        <v>0</v>
      </c>
      <c r="AQ24" s="53" t="s">
        <v>111</v>
      </c>
      <c r="AV24" s="51">
        <f>AW24+AX24</f>
        <v>0</v>
      </c>
      <c r="AW24" s="51">
        <f>F24*AO24</f>
        <v>0</v>
      </c>
      <c r="AX24" s="51">
        <f>F24*AP24</f>
        <v>0</v>
      </c>
      <c r="AY24" s="53" t="s">
        <v>115</v>
      </c>
      <c r="AZ24" s="53" t="s">
        <v>116</v>
      </c>
      <c r="BA24" s="35" t="s">
        <v>117</v>
      </c>
      <c r="BC24" s="51">
        <f>AW24+AX24</f>
        <v>0</v>
      </c>
      <c r="BD24" s="51">
        <f>G24/(100-BE24)*100</f>
        <v>0</v>
      </c>
      <c r="BE24" s="51">
        <v>0</v>
      </c>
      <c r="BF24" s="51">
        <f>24</f>
        <v>24</v>
      </c>
      <c r="BH24" s="51">
        <f>F24*AO24</f>
        <v>0</v>
      </c>
      <c r="BI24" s="51">
        <f>F24*AP24</f>
        <v>0</v>
      </c>
      <c r="BJ24" s="51">
        <f>F24*G24</f>
        <v>0</v>
      </c>
      <c r="BK24" s="51"/>
      <c r="BL24" s="51">
        <v>34</v>
      </c>
      <c r="BW24" s="51">
        <v>12</v>
      </c>
      <c r="BX24" s="3" t="s">
        <v>139</v>
      </c>
    </row>
    <row r="25" spans="1:76">
      <c r="A25" s="54"/>
      <c r="C25" s="56" t="s">
        <v>140</v>
      </c>
      <c r="D25" s="57" t="s">
        <v>4</v>
      </c>
      <c r="F25" s="58">
        <v>5.9950000000000001</v>
      </c>
      <c r="J25" s="41"/>
    </row>
    <row r="26" spans="1:76">
      <c r="A26" s="47" t="s">
        <v>4</v>
      </c>
      <c r="B26" s="48" t="s">
        <v>141</v>
      </c>
      <c r="C26" s="150" t="s">
        <v>142</v>
      </c>
      <c r="D26" s="151"/>
      <c r="E26" s="49" t="s">
        <v>79</v>
      </c>
      <c r="F26" s="49" t="s">
        <v>79</v>
      </c>
      <c r="G26" s="50" t="s">
        <v>79</v>
      </c>
      <c r="H26" s="28">
        <f>SUM(H27:H75)</f>
        <v>0</v>
      </c>
      <c r="J26" s="41"/>
      <c r="AI26" s="35" t="s">
        <v>4</v>
      </c>
      <c r="AS26" s="28">
        <f>SUM(AJ27:AJ75)</f>
        <v>0</v>
      </c>
      <c r="AT26" s="28">
        <f>SUM(AK27:AK75)</f>
        <v>0</v>
      </c>
      <c r="AU26" s="28">
        <f>SUM(AL27:AL75)</f>
        <v>0</v>
      </c>
    </row>
    <row r="27" spans="1:76">
      <c r="A27" s="1" t="s">
        <v>143</v>
      </c>
      <c r="B27" s="2" t="s">
        <v>144</v>
      </c>
      <c r="C27" s="75" t="s">
        <v>145</v>
      </c>
      <c r="D27" s="70"/>
      <c r="E27" s="2" t="s">
        <v>124</v>
      </c>
      <c r="F27" s="51">
        <v>28.75</v>
      </c>
      <c r="G27" s="52">
        <v>0</v>
      </c>
      <c r="H27" s="51">
        <f>F27*G27</f>
        <v>0</v>
      </c>
      <c r="J27" s="41"/>
      <c r="Z27" s="51">
        <f>IF(AQ27="5",BJ27,0)</f>
        <v>0</v>
      </c>
      <c r="AB27" s="51">
        <f>IF(AQ27="1",BH27,0)</f>
        <v>0</v>
      </c>
      <c r="AC27" s="51">
        <f>IF(AQ27="1",BI27,0)</f>
        <v>0</v>
      </c>
      <c r="AD27" s="51">
        <f>IF(AQ27="7",BH27,0)</f>
        <v>0</v>
      </c>
      <c r="AE27" s="51">
        <f>IF(AQ27="7",BI27,0)</f>
        <v>0</v>
      </c>
      <c r="AF27" s="51">
        <f>IF(AQ27="2",BH27,0)</f>
        <v>0</v>
      </c>
      <c r="AG27" s="51">
        <f>IF(AQ27="2",BI27,0)</f>
        <v>0</v>
      </c>
      <c r="AH27" s="51">
        <f>IF(AQ27="0",BJ27,0)</f>
        <v>0</v>
      </c>
      <c r="AI27" s="35" t="s">
        <v>4</v>
      </c>
      <c r="AJ27" s="51">
        <f>IF(AN27=0,H27,0)</f>
        <v>0</v>
      </c>
      <c r="AK27" s="51">
        <f>IF(AN27=12,H27,0)</f>
        <v>0</v>
      </c>
      <c r="AL27" s="51">
        <f>IF(AN27=21,H27,0)</f>
        <v>0</v>
      </c>
      <c r="AN27" s="51">
        <v>12</v>
      </c>
      <c r="AO27" s="51">
        <f>G27*0.351190866</f>
        <v>0</v>
      </c>
      <c r="AP27" s="51">
        <f>G27*(1-0.351190866)</f>
        <v>0</v>
      </c>
      <c r="AQ27" s="53" t="s">
        <v>111</v>
      </c>
      <c r="AV27" s="51">
        <f>AW27+AX27</f>
        <v>0</v>
      </c>
      <c r="AW27" s="51">
        <f>F27*AO27</f>
        <v>0</v>
      </c>
      <c r="AX27" s="51">
        <f>F27*AP27</f>
        <v>0</v>
      </c>
      <c r="AY27" s="53" t="s">
        <v>146</v>
      </c>
      <c r="AZ27" s="53" t="s">
        <v>147</v>
      </c>
      <c r="BA27" s="35" t="s">
        <v>117</v>
      </c>
      <c r="BC27" s="51">
        <f>AW27+AX27</f>
        <v>0</v>
      </c>
      <c r="BD27" s="51">
        <f>G27/(100-BE27)*100</f>
        <v>0</v>
      </c>
      <c r="BE27" s="51">
        <v>0</v>
      </c>
      <c r="BF27" s="51">
        <f>27</f>
        <v>27</v>
      </c>
      <c r="BH27" s="51">
        <f>F27*AO27</f>
        <v>0</v>
      </c>
      <c r="BI27" s="51">
        <f>F27*AP27</f>
        <v>0</v>
      </c>
      <c r="BJ27" s="51">
        <f>F27*G27</f>
        <v>0</v>
      </c>
      <c r="BK27" s="51"/>
      <c r="BL27" s="51">
        <v>61</v>
      </c>
      <c r="BW27" s="51">
        <v>12</v>
      </c>
      <c r="BX27" s="3" t="s">
        <v>145</v>
      </c>
    </row>
    <row r="28" spans="1:76">
      <c r="A28" s="1" t="s">
        <v>148</v>
      </c>
      <c r="B28" s="2" t="s">
        <v>149</v>
      </c>
      <c r="C28" s="75" t="s">
        <v>150</v>
      </c>
      <c r="D28" s="70"/>
      <c r="E28" s="2" t="s">
        <v>124</v>
      </c>
      <c r="F28" s="51">
        <v>28.75</v>
      </c>
      <c r="G28" s="52">
        <v>0</v>
      </c>
      <c r="H28" s="51">
        <f>F28*G28</f>
        <v>0</v>
      </c>
      <c r="J28" s="41"/>
      <c r="Z28" s="51">
        <f>IF(AQ28="5",BJ28,0)</f>
        <v>0</v>
      </c>
      <c r="AB28" s="51">
        <f>IF(AQ28="1",BH28,0)</f>
        <v>0</v>
      </c>
      <c r="AC28" s="51">
        <f>IF(AQ28="1",BI28,0)</f>
        <v>0</v>
      </c>
      <c r="AD28" s="51">
        <f>IF(AQ28="7",BH28,0)</f>
        <v>0</v>
      </c>
      <c r="AE28" s="51">
        <f>IF(AQ28="7",BI28,0)</f>
        <v>0</v>
      </c>
      <c r="AF28" s="51">
        <f>IF(AQ28="2",BH28,0)</f>
        <v>0</v>
      </c>
      <c r="AG28" s="51">
        <f>IF(AQ28="2",BI28,0)</f>
        <v>0</v>
      </c>
      <c r="AH28" s="51">
        <f>IF(AQ28="0",BJ28,0)</f>
        <v>0</v>
      </c>
      <c r="AI28" s="35" t="s">
        <v>4</v>
      </c>
      <c r="AJ28" s="51">
        <f>IF(AN28=0,H28,0)</f>
        <v>0</v>
      </c>
      <c r="AK28" s="51">
        <f>IF(AN28=12,H28,0)</f>
        <v>0</v>
      </c>
      <c r="AL28" s="51">
        <f>IF(AN28=21,H28,0)</f>
        <v>0</v>
      </c>
      <c r="AN28" s="51">
        <v>12</v>
      </c>
      <c r="AO28" s="51">
        <f>G28*0.174154104</f>
        <v>0</v>
      </c>
      <c r="AP28" s="51">
        <f>G28*(1-0.174154104)</f>
        <v>0</v>
      </c>
      <c r="AQ28" s="53" t="s">
        <v>111</v>
      </c>
      <c r="AV28" s="51">
        <f>AW28+AX28</f>
        <v>0</v>
      </c>
      <c r="AW28" s="51">
        <f>F28*AO28</f>
        <v>0</v>
      </c>
      <c r="AX28" s="51">
        <f>F28*AP28</f>
        <v>0</v>
      </c>
      <c r="AY28" s="53" t="s">
        <v>146</v>
      </c>
      <c r="AZ28" s="53" t="s">
        <v>147</v>
      </c>
      <c r="BA28" s="35" t="s">
        <v>117</v>
      </c>
      <c r="BC28" s="51">
        <f>AW28+AX28</f>
        <v>0</v>
      </c>
      <c r="BD28" s="51">
        <f>G28/(100-BE28)*100</f>
        <v>0</v>
      </c>
      <c r="BE28" s="51">
        <v>0</v>
      </c>
      <c r="BF28" s="51">
        <f>28</f>
        <v>28</v>
      </c>
      <c r="BH28" s="51">
        <f>F28*AO28</f>
        <v>0</v>
      </c>
      <c r="BI28" s="51">
        <f>F28*AP28</f>
        <v>0</v>
      </c>
      <c r="BJ28" s="51">
        <f>F28*G28</f>
        <v>0</v>
      </c>
      <c r="BK28" s="51"/>
      <c r="BL28" s="51">
        <v>61</v>
      </c>
      <c r="BW28" s="51">
        <v>12</v>
      </c>
      <c r="BX28" s="3" t="s">
        <v>150</v>
      </c>
    </row>
    <row r="29" spans="1:76">
      <c r="A29" s="54"/>
      <c r="C29" s="56" t="s">
        <v>151</v>
      </c>
      <c r="D29" s="57" t="s">
        <v>4</v>
      </c>
      <c r="F29" s="58">
        <v>28.75</v>
      </c>
      <c r="J29" s="41"/>
    </row>
    <row r="30" spans="1:76">
      <c r="A30" s="1" t="s">
        <v>152</v>
      </c>
      <c r="B30" s="2" t="s">
        <v>153</v>
      </c>
      <c r="C30" s="75" t="s">
        <v>154</v>
      </c>
      <c r="D30" s="70"/>
      <c r="E30" s="2" t="s">
        <v>134</v>
      </c>
      <c r="F30" s="51">
        <v>12.6</v>
      </c>
      <c r="G30" s="52">
        <v>0</v>
      </c>
      <c r="H30" s="51">
        <f>F30*G30</f>
        <v>0</v>
      </c>
      <c r="J30" s="41"/>
      <c r="Z30" s="51">
        <f>IF(AQ30="5",BJ30,0)</f>
        <v>0</v>
      </c>
      <c r="AB30" s="51">
        <f>IF(AQ30="1",BH30,0)</f>
        <v>0</v>
      </c>
      <c r="AC30" s="51">
        <f>IF(AQ30="1",BI30,0)</f>
        <v>0</v>
      </c>
      <c r="AD30" s="51">
        <f>IF(AQ30="7",BH30,0)</f>
        <v>0</v>
      </c>
      <c r="AE30" s="51">
        <f>IF(AQ30="7",BI30,0)</f>
        <v>0</v>
      </c>
      <c r="AF30" s="51">
        <f>IF(AQ30="2",BH30,0)</f>
        <v>0</v>
      </c>
      <c r="AG30" s="51">
        <f>IF(AQ30="2",BI30,0)</f>
        <v>0</v>
      </c>
      <c r="AH30" s="51">
        <f>IF(AQ30="0",BJ30,0)</f>
        <v>0</v>
      </c>
      <c r="AI30" s="35" t="s">
        <v>4</v>
      </c>
      <c r="AJ30" s="51">
        <f>IF(AN30=0,H30,0)</f>
        <v>0</v>
      </c>
      <c r="AK30" s="51">
        <f>IF(AN30=12,H30,0)</f>
        <v>0</v>
      </c>
      <c r="AL30" s="51">
        <f>IF(AN30=21,H30,0)</f>
        <v>0</v>
      </c>
      <c r="AN30" s="51">
        <v>12</v>
      </c>
      <c r="AO30" s="51">
        <f>G30*0.15122807</f>
        <v>0</v>
      </c>
      <c r="AP30" s="51">
        <f>G30*(1-0.15122807)</f>
        <v>0</v>
      </c>
      <c r="AQ30" s="53" t="s">
        <v>111</v>
      </c>
      <c r="AV30" s="51">
        <f>AW30+AX30</f>
        <v>0</v>
      </c>
      <c r="AW30" s="51">
        <f>F30*AO30</f>
        <v>0</v>
      </c>
      <c r="AX30" s="51">
        <f>F30*AP30</f>
        <v>0</v>
      </c>
      <c r="AY30" s="53" t="s">
        <v>146</v>
      </c>
      <c r="AZ30" s="53" t="s">
        <v>147</v>
      </c>
      <c r="BA30" s="35" t="s">
        <v>117</v>
      </c>
      <c r="BC30" s="51">
        <f>AW30+AX30</f>
        <v>0</v>
      </c>
      <c r="BD30" s="51">
        <f>G30/(100-BE30)*100</f>
        <v>0</v>
      </c>
      <c r="BE30" s="51">
        <v>0</v>
      </c>
      <c r="BF30" s="51">
        <f>30</f>
        <v>30</v>
      </c>
      <c r="BH30" s="51">
        <f>F30*AO30</f>
        <v>0</v>
      </c>
      <c r="BI30" s="51">
        <f>F30*AP30</f>
        <v>0</v>
      </c>
      <c r="BJ30" s="51">
        <f>F30*G30</f>
        <v>0</v>
      </c>
      <c r="BK30" s="51"/>
      <c r="BL30" s="51">
        <v>61</v>
      </c>
      <c r="BW30" s="51">
        <v>12</v>
      </c>
      <c r="BX30" s="3" t="s">
        <v>154</v>
      </c>
    </row>
    <row r="31" spans="1:76">
      <c r="A31" s="54"/>
      <c r="C31" s="56" t="s">
        <v>155</v>
      </c>
      <c r="D31" s="57" t="s">
        <v>4</v>
      </c>
      <c r="F31" s="58">
        <v>12.6</v>
      </c>
      <c r="J31" s="41"/>
    </row>
    <row r="32" spans="1:76">
      <c r="A32" s="1" t="s">
        <v>156</v>
      </c>
      <c r="B32" s="2" t="s">
        <v>157</v>
      </c>
      <c r="C32" s="75" t="s">
        <v>158</v>
      </c>
      <c r="D32" s="70"/>
      <c r="E32" s="2" t="s">
        <v>124</v>
      </c>
      <c r="F32" s="51">
        <v>13.494999999999999</v>
      </c>
      <c r="G32" s="52">
        <v>0</v>
      </c>
      <c r="H32" s="51">
        <f>F32*G32</f>
        <v>0</v>
      </c>
      <c r="J32" s="41"/>
      <c r="Z32" s="51">
        <f>IF(AQ32="5",BJ32,0)</f>
        <v>0</v>
      </c>
      <c r="AB32" s="51">
        <f>IF(AQ32="1",BH32,0)</f>
        <v>0</v>
      </c>
      <c r="AC32" s="51">
        <f>IF(AQ32="1",BI32,0)</f>
        <v>0</v>
      </c>
      <c r="AD32" s="51">
        <f>IF(AQ32="7",BH32,0)</f>
        <v>0</v>
      </c>
      <c r="AE32" s="51">
        <f>IF(AQ32="7",BI32,0)</f>
        <v>0</v>
      </c>
      <c r="AF32" s="51">
        <f>IF(AQ32="2",BH32,0)</f>
        <v>0</v>
      </c>
      <c r="AG32" s="51">
        <f>IF(AQ32="2",BI32,0)</f>
        <v>0</v>
      </c>
      <c r="AH32" s="51">
        <f>IF(AQ32="0",BJ32,0)</f>
        <v>0</v>
      </c>
      <c r="AI32" s="35" t="s">
        <v>4</v>
      </c>
      <c r="AJ32" s="51">
        <f>IF(AN32=0,H32,0)</f>
        <v>0</v>
      </c>
      <c r="AK32" s="51">
        <f>IF(AN32=12,H32,0)</f>
        <v>0</v>
      </c>
      <c r="AL32" s="51">
        <f>IF(AN32=21,H32,0)</f>
        <v>0</v>
      </c>
      <c r="AN32" s="51">
        <v>12</v>
      </c>
      <c r="AO32" s="51">
        <f>G32*0.16566834</f>
        <v>0</v>
      </c>
      <c r="AP32" s="51">
        <f>G32*(1-0.16566834)</f>
        <v>0</v>
      </c>
      <c r="AQ32" s="53" t="s">
        <v>111</v>
      </c>
      <c r="AV32" s="51">
        <f>AW32+AX32</f>
        <v>0</v>
      </c>
      <c r="AW32" s="51">
        <f>F32*AO32</f>
        <v>0</v>
      </c>
      <c r="AX32" s="51">
        <f>F32*AP32</f>
        <v>0</v>
      </c>
      <c r="AY32" s="53" t="s">
        <v>146</v>
      </c>
      <c r="AZ32" s="53" t="s">
        <v>147</v>
      </c>
      <c r="BA32" s="35" t="s">
        <v>117</v>
      </c>
      <c r="BC32" s="51">
        <f>AW32+AX32</f>
        <v>0</v>
      </c>
      <c r="BD32" s="51">
        <f>G32/(100-BE32)*100</f>
        <v>0</v>
      </c>
      <c r="BE32" s="51">
        <v>0</v>
      </c>
      <c r="BF32" s="51">
        <f>32</f>
        <v>32</v>
      </c>
      <c r="BH32" s="51">
        <f>F32*AO32</f>
        <v>0</v>
      </c>
      <c r="BI32" s="51">
        <f>F32*AP32</f>
        <v>0</v>
      </c>
      <c r="BJ32" s="51">
        <f>F32*G32</f>
        <v>0</v>
      </c>
      <c r="BK32" s="51"/>
      <c r="BL32" s="51">
        <v>61</v>
      </c>
      <c r="BW32" s="51">
        <v>12</v>
      </c>
      <c r="BX32" s="3" t="s">
        <v>158</v>
      </c>
    </row>
    <row r="33" spans="1:76">
      <c r="A33" s="54"/>
      <c r="C33" s="56" t="s">
        <v>159</v>
      </c>
      <c r="D33" s="57" t="s">
        <v>160</v>
      </c>
      <c r="F33" s="58">
        <v>3.78</v>
      </c>
      <c r="J33" s="41"/>
    </row>
    <row r="34" spans="1:76">
      <c r="A34" s="54"/>
      <c r="C34" s="56" t="s">
        <v>161</v>
      </c>
      <c r="D34" s="57" t="s">
        <v>4</v>
      </c>
      <c r="F34" s="58">
        <v>6.93</v>
      </c>
      <c r="J34" s="41"/>
    </row>
    <row r="35" spans="1:76">
      <c r="A35" s="54"/>
      <c r="C35" s="56" t="s">
        <v>162</v>
      </c>
      <c r="D35" s="57" t="s">
        <v>163</v>
      </c>
      <c r="F35" s="58">
        <v>2.2050000000000001</v>
      </c>
      <c r="J35" s="41"/>
    </row>
    <row r="36" spans="1:76">
      <c r="A36" s="54"/>
      <c r="C36" s="56" t="s">
        <v>164</v>
      </c>
      <c r="D36" s="57" t="s">
        <v>4</v>
      </c>
      <c r="F36" s="58">
        <v>0.57999999999999996</v>
      </c>
      <c r="J36" s="41"/>
    </row>
    <row r="37" spans="1:76">
      <c r="A37" s="1" t="s">
        <v>165</v>
      </c>
      <c r="B37" s="2" t="s">
        <v>166</v>
      </c>
      <c r="C37" s="75" t="s">
        <v>167</v>
      </c>
      <c r="D37" s="70"/>
      <c r="E37" s="2" t="s">
        <v>124</v>
      </c>
      <c r="F37" s="51">
        <v>92.033000000000001</v>
      </c>
      <c r="G37" s="52">
        <v>0</v>
      </c>
      <c r="H37" s="51">
        <f>F37*G37</f>
        <v>0</v>
      </c>
      <c r="J37" s="41"/>
      <c r="Z37" s="51">
        <f>IF(AQ37="5",BJ37,0)</f>
        <v>0</v>
      </c>
      <c r="AB37" s="51">
        <f>IF(AQ37="1",BH37,0)</f>
        <v>0</v>
      </c>
      <c r="AC37" s="51">
        <f>IF(AQ37="1",BI37,0)</f>
        <v>0</v>
      </c>
      <c r="AD37" s="51">
        <f>IF(AQ37="7",BH37,0)</f>
        <v>0</v>
      </c>
      <c r="AE37" s="51">
        <f>IF(AQ37="7",BI37,0)</f>
        <v>0</v>
      </c>
      <c r="AF37" s="51">
        <f>IF(AQ37="2",BH37,0)</f>
        <v>0</v>
      </c>
      <c r="AG37" s="51">
        <f>IF(AQ37="2",BI37,0)</f>
        <v>0</v>
      </c>
      <c r="AH37" s="51">
        <f>IF(AQ37="0",BJ37,0)</f>
        <v>0</v>
      </c>
      <c r="AI37" s="35" t="s">
        <v>4</v>
      </c>
      <c r="AJ37" s="51">
        <f>IF(AN37=0,H37,0)</f>
        <v>0</v>
      </c>
      <c r="AK37" s="51">
        <f>IF(AN37=12,H37,0)</f>
        <v>0</v>
      </c>
      <c r="AL37" s="51">
        <f>IF(AN37=21,H37,0)</f>
        <v>0</v>
      </c>
      <c r="AN37" s="51">
        <v>12</v>
      </c>
      <c r="AO37" s="51">
        <f>G37*0.408906389</f>
        <v>0</v>
      </c>
      <c r="AP37" s="51">
        <f>G37*(1-0.408906389)</f>
        <v>0</v>
      </c>
      <c r="AQ37" s="53" t="s">
        <v>111</v>
      </c>
      <c r="AV37" s="51">
        <f>AW37+AX37</f>
        <v>0</v>
      </c>
      <c r="AW37" s="51">
        <f>F37*AO37</f>
        <v>0</v>
      </c>
      <c r="AX37" s="51">
        <f>F37*AP37</f>
        <v>0</v>
      </c>
      <c r="AY37" s="53" t="s">
        <v>146</v>
      </c>
      <c r="AZ37" s="53" t="s">
        <v>147</v>
      </c>
      <c r="BA37" s="35" t="s">
        <v>117</v>
      </c>
      <c r="BC37" s="51">
        <f>AW37+AX37</f>
        <v>0</v>
      </c>
      <c r="BD37" s="51">
        <f>G37/(100-BE37)*100</f>
        <v>0</v>
      </c>
      <c r="BE37" s="51">
        <v>0</v>
      </c>
      <c r="BF37" s="51">
        <f>37</f>
        <v>37</v>
      </c>
      <c r="BH37" s="51">
        <f>F37*AO37</f>
        <v>0</v>
      </c>
      <c r="BI37" s="51">
        <f>F37*AP37</f>
        <v>0</v>
      </c>
      <c r="BJ37" s="51">
        <f>F37*G37</f>
        <v>0</v>
      </c>
      <c r="BK37" s="51"/>
      <c r="BL37" s="51">
        <v>61</v>
      </c>
      <c r="BW37" s="51">
        <v>12</v>
      </c>
      <c r="BX37" s="3" t="s">
        <v>167</v>
      </c>
    </row>
    <row r="38" spans="1:76">
      <c r="A38" s="54"/>
      <c r="C38" s="56" t="s">
        <v>168</v>
      </c>
      <c r="D38" s="57" t="s">
        <v>169</v>
      </c>
      <c r="F38" s="58">
        <v>31.173999999999999</v>
      </c>
      <c r="J38" s="41"/>
    </row>
    <row r="39" spans="1:76">
      <c r="A39" s="54"/>
      <c r="C39" s="56" t="s">
        <v>170</v>
      </c>
      <c r="D39" s="57" t="s">
        <v>4</v>
      </c>
      <c r="F39" s="58">
        <v>-6.4</v>
      </c>
      <c r="J39" s="41"/>
    </row>
    <row r="40" spans="1:76">
      <c r="A40" s="54"/>
      <c r="C40" s="56" t="s">
        <v>171</v>
      </c>
      <c r="D40" s="57" t="s">
        <v>172</v>
      </c>
      <c r="F40" s="58">
        <v>67.259</v>
      </c>
      <c r="J40" s="41"/>
    </row>
    <row r="41" spans="1:76">
      <c r="A41" s="1" t="s">
        <v>173</v>
      </c>
      <c r="B41" s="2" t="s">
        <v>174</v>
      </c>
      <c r="C41" s="75" t="s">
        <v>175</v>
      </c>
      <c r="D41" s="70"/>
      <c r="E41" s="2" t="s">
        <v>124</v>
      </c>
      <c r="F41" s="51">
        <v>4.05</v>
      </c>
      <c r="G41" s="52">
        <v>0</v>
      </c>
      <c r="H41" s="51">
        <f>F41*G41</f>
        <v>0</v>
      </c>
      <c r="J41" s="41"/>
      <c r="Z41" s="51">
        <f>IF(AQ41="5",BJ41,0)</f>
        <v>0</v>
      </c>
      <c r="AB41" s="51">
        <f>IF(AQ41="1",BH41,0)</f>
        <v>0</v>
      </c>
      <c r="AC41" s="51">
        <f>IF(AQ41="1",BI41,0)</f>
        <v>0</v>
      </c>
      <c r="AD41" s="51">
        <f>IF(AQ41="7",BH41,0)</f>
        <v>0</v>
      </c>
      <c r="AE41" s="51">
        <f>IF(AQ41="7",BI41,0)</f>
        <v>0</v>
      </c>
      <c r="AF41" s="51">
        <f>IF(AQ41="2",BH41,0)</f>
        <v>0</v>
      </c>
      <c r="AG41" s="51">
        <f>IF(AQ41="2",BI41,0)</f>
        <v>0</v>
      </c>
      <c r="AH41" s="51">
        <f>IF(AQ41="0",BJ41,0)</f>
        <v>0</v>
      </c>
      <c r="AI41" s="35" t="s">
        <v>4</v>
      </c>
      <c r="AJ41" s="51">
        <f>IF(AN41=0,H41,0)</f>
        <v>0</v>
      </c>
      <c r="AK41" s="51">
        <f>IF(AN41=12,H41,0)</f>
        <v>0</v>
      </c>
      <c r="AL41" s="51">
        <f>IF(AN41=21,H41,0)</f>
        <v>0</v>
      </c>
      <c r="AN41" s="51">
        <v>12</v>
      </c>
      <c r="AO41" s="51">
        <f>G41*0.333784689</f>
        <v>0</v>
      </c>
      <c r="AP41" s="51">
        <f>G41*(1-0.333784689)</f>
        <v>0</v>
      </c>
      <c r="AQ41" s="53" t="s">
        <v>111</v>
      </c>
      <c r="AV41" s="51">
        <f>AW41+AX41</f>
        <v>0</v>
      </c>
      <c r="AW41" s="51">
        <f>F41*AO41</f>
        <v>0</v>
      </c>
      <c r="AX41" s="51">
        <f>F41*AP41</f>
        <v>0</v>
      </c>
      <c r="AY41" s="53" t="s">
        <v>146</v>
      </c>
      <c r="AZ41" s="53" t="s">
        <v>147</v>
      </c>
      <c r="BA41" s="35" t="s">
        <v>117</v>
      </c>
      <c r="BC41" s="51">
        <f>AW41+AX41</f>
        <v>0</v>
      </c>
      <c r="BD41" s="51">
        <f>G41/(100-BE41)*100</f>
        <v>0</v>
      </c>
      <c r="BE41" s="51">
        <v>0</v>
      </c>
      <c r="BF41" s="51">
        <f>41</f>
        <v>41</v>
      </c>
      <c r="BH41" s="51">
        <f>F41*AO41</f>
        <v>0</v>
      </c>
      <c r="BI41" s="51">
        <f>F41*AP41</f>
        <v>0</v>
      </c>
      <c r="BJ41" s="51">
        <f>F41*G41</f>
        <v>0</v>
      </c>
      <c r="BK41" s="51"/>
      <c r="BL41" s="51">
        <v>61</v>
      </c>
      <c r="BW41" s="51">
        <v>12</v>
      </c>
      <c r="BX41" s="3" t="s">
        <v>175</v>
      </c>
    </row>
    <row r="42" spans="1:76">
      <c r="A42" s="54"/>
      <c r="C42" s="56" t="s">
        <v>176</v>
      </c>
      <c r="D42" s="57" t="s">
        <v>177</v>
      </c>
      <c r="F42" s="58">
        <v>4.05</v>
      </c>
      <c r="J42" s="41"/>
    </row>
    <row r="43" spans="1:76">
      <c r="A43" s="1" t="s">
        <v>178</v>
      </c>
      <c r="B43" s="2" t="s">
        <v>179</v>
      </c>
      <c r="C43" s="75" t="s">
        <v>180</v>
      </c>
      <c r="D43" s="70"/>
      <c r="E43" s="2" t="s">
        <v>134</v>
      </c>
      <c r="F43" s="51">
        <v>3</v>
      </c>
      <c r="G43" s="52">
        <v>0</v>
      </c>
      <c r="H43" s="51">
        <f>F43*G43</f>
        <v>0</v>
      </c>
      <c r="J43" s="41"/>
      <c r="Z43" s="51">
        <f>IF(AQ43="5",BJ43,0)</f>
        <v>0</v>
      </c>
      <c r="AB43" s="51">
        <f>IF(AQ43="1",BH43,0)</f>
        <v>0</v>
      </c>
      <c r="AC43" s="51">
        <f>IF(AQ43="1",BI43,0)</f>
        <v>0</v>
      </c>
      <c r="AD43" s="51">
        <f>IF(AQ43="7",BH43,0)</f>
        <v>0</v>
      </c>
      <c r="AE43" s="51">
        <f>IF(AQ43="7",BI43,0)</f>
        <v>0</v>
      </c>
      <c r="AF43" s="51">
        <f>IF(AQ43="2",BH43,0)</f>
        <v>0</v>
      </c>
      <c r="AG43" s="51">
        <f>IF(AQ43="2",BI43,0)</f>
        <v>0</v>
      </c>
      <c r="AH43" s="51">
        <f>IF(AQ43="0",BJ43,0)</f>
        <v>0</v>
      </c>
      <c r="AI43" s="35" t="s">
        <v>4</v>
      </c>
      <c r="AJ43" s="51">
        <f>IF(AN43=0,H43,0)</f>
        <v>0</v>
      </c>
      <c r="AK43" s="51">
        <f>IF(AN43=12,H43,0)</f>
        <v>0</v>
      </c>
      <c r="AL43" s="51">
        <f>IF(AN43=21,H43,0)</f>
        <v>0</v>
      </c>
      <c r="AN43" s="51">
        <v>12</v>
      </c>
      <c r="AO43" s="51">
        <f>G43*0.560765297</f>
        <v>0</v>
      </c>
      <c r="AP43" s="51">
        <f>G43*(1-0.560765297)</f>
        <v>0</v>
      </c>
      <c r="AQ43" s="53" t="s">
        <v>111</v>
      </c>
      <c r="AV43" s="51">
        <f>AW43+AX43</f>
        <v>0</v>
      </c>
      <c r="AW43" s="51">
        <f>F43*AO43</f>
        <v>0</v>
      </c>
      <c r="AX43" s="51">
        <f>F43*AP43</f>
        <v>0</v>
      </c>
      <c r="AY43" s="53" t="s">
        <v>146</v>
      </c>
      <c r="AZ43" s="53" t="s">
        <v>147</v>
      </c>
      <c r="BA43" s="35" t="s">
        <v>117</v>
      </c>
      <c r="BC43" s="51">
        <f>AW43+AX43</f>
        <v>0</v>
      </c>
      <c r="BD43" s="51">
        <f>G43/(100-BE43)*100</f>
        <v>0</v>
      </c>
      <c r="BE43" s="51">
        <v>0</v>
      </c>
      <c r="BF43" s="51">
        <f>43</f>
        <v>43</v>
      </c>
      <c r="BH43" s="51">
        <f>F43*AO43</f>
        <v>0</v>
      </c>
      <c r="BI43" s="51">
        <f>F43*AP43</f>
        <v>0</v>
      </c>
      <c r="BJ43" s="51">
        <f>F43*G43</f>
        <v>0</v>
      </c>
      <c r="BK43" s="51"/>
      <c r="BL43" s="51">
        <v>61</v>
      </c>
      <c r="BW43" s="51">
        <v>12</v>
      </c>
      <c r="BX43" s="3" t="s">
        <v>180</v>
      </c>
    </row>
    <row r="44" spans="1:76" ht="13.5" customHeight="1">
      <c r="A44" s="54"/>
      <c r="B44" s="55" t="s">
        <v>118</v>
      </c>
      <c r="C44" s="152" t="s">
        <v>181</v>
      </c>
      <c r="D44" s="153"/>
      <c r="E44" s="153"/>
      <c r="F44" s="153"/>
      <c r="G44" s="154"/>
      <c r="H44" s="153"/>
      <c r="I44" s="153"/>
      <c r="J44" s="155"/>
    </row>
    <row r="45" spans="1:76">
      <c r="A45" s="54"/>
      <c r="C45" s="56" t="s">
        <v>182</v>
      </c>
      <c r="D45" s="57" t="s">
        <v>4</v>
      </c>
      <c r="F45" s="58">
        <v>3</v>
      </c>
      <c r="J45" s="41"/>
    </row>
    <row r="46" spans="1:76">
      <c r="A46" s="1" t="s">
        <v>183</v>
      </c>
      <c r="B46" s="2" t="s">
        <v>184</v>
      </c>
      <c r="C46" s="75" t="s">
        <v>185</v>
      </c>
      <c r="D46" s="70"/>
      <c r="E46" s="2" t="s">
        <v>114</v>
      </c>
      <c r="F46" s="51">
        <v>2</v>
      </c>
      <c r="G46" s="52">
        <v>0</v>
      </c>
      <c r="H46" s="51">
        <f>F46*G46</f>
        <v>0</v>
      </c>
      <c r="J46" s="41"/>
      <c r="Z46" s="51">
        <f>IF(AQ46="5",BJ46,0)</f>
        <v>0</v>
      </c>
      <c r="AB46" s="51">
        <f>IF(AQ46="1",BH46,0)</f>
        <v>0</v>
      </c>
      <c r="AC46" s="51">
        <f>IF(AQ46="1",BI46,0)</f>
        <v>0</v>
      </c>
      <c r="AD46" s="51">
        <f>IF(AQ46="7",BH46,0)</f>
        <v>0</v>
      </c>
      <c r="AE46" s="51">
        <f>IF(AQ46="7",BI46,0)</f>
        <v>0</v>
      </c>
      <c r="AF46" s="51">
        <f>IF(AQ46="2",BH46,0)</f>
        <v>0</v>
      </c>
      <c r="AG46" s="51">
        <f>IF(AQ46="2",BI46,0)</f>
        <v>0</v>
      </c>
      <c r="AH46" s="51">
        <f>IF(AQ46="0",BJ46,0)</f>
        <v>0</v>
      </c>
      <c r="AI46" s="35" t="s">
        <v>4</v>
      </c>
      <c r="AJ46" s="51">
        <f>IF(AN46=0,H46,0)</f>
        <v>0</v>
      </c>
      <c r="AK46" s="51">
        <f>IF(AN46=12,H46,0)</f>
        <v>0</v>
      </c>
      <c r="AL46" s="51">
        <f>IF(AN46=21,H46,0)</f>
        <v>0</v>
      </c>
      <c r="AN46" s="51">
        <v>12</v>
      </c>
      <c r="AO46" s="51">
        <f>G46*0.64451468</f>
        <v>0</v>
      </c>
      <c r="AP46" s="51">
        <f>G46*(1-0.64451468)</f>
        <v>0</v>
      </c>
      <c r="AQ46" s="53" t="s">
        <v>111</v>
      </c>
      <c r="AV46" s="51">
        <f>AW46+AX46</f>
        <v>0</v>
      </c>
      <c r="AW46" s="51">
        <f>F46*AO46</f>
        <v>0</v>
      </c>
      <c r="AX46" s="51">
        <f>F46*AP46</f>
        <v>0</v>
      </c>
      <c r="AY46" s="53" t="s">
        <v>146</v>
      </c>
      <c r="AZ46" s="53" t="s">
        <v>147</v>
      </c>
      <c r="BA46" s="35" t="s">
        <v>117</v>
      </c>
      <c r="BC46" s="51">
        <f>AW46+AX46</f>
        <v>0</v>
      </c>
      <c r="BD46" s="51">
        <f>G46/(100-BE46)*100</f>
        <v>0</v>
      </c>
      <c r="BE46" s="51">
        <v>0</v>
      </c>
      <c r="BF46" s="51">
        <f>46</f>
        <v>46</v>
      </c>
      <c r="BH46" s="51">
        <f>F46*AO46</f>
        <v>0</v>
      </c>
      <c r="BI46" s="51">
        <f>F46*AP46</f>
        <v>0</v>
      </c>
      <c r="BJ46" s="51">
        <f>F46*G46</f>
        <v>0</v>
      </c>
      <c r="BK46" s="51"/>
      <c r="BL46" s="51">
        <v>61</v>
      </c>
      <c r="BW46" s="51">
        <v>12</v>
      </c>
      <c r="BX46" s="3" t="s">
        <v>185</v>
      </c>
    </row>
    <row r="47" spans="1:76" ht="13.5" customHeight="1">
      <c r="A47" s="54"/>
      <c r="B47" s="55" t="s">
        <v>118</v>
      </c>
      <c r="C47" s="152" t="s">
        <v>186</v>
      </c>
      <c r="D47" s="153"/>
      <c r="E47" s="153"/>
      <c r="F47" s="153"/>
      <c r="G47" s="154"/>
      <c r="H47" s="153"/>
      <c r="I47" s="153"/>
      <c r="J47" s="155"/>
    </row>
    <row r="48" spans="1:76">
      <c r="A48" s="54"/>
      <c r="C48" s="56" t="s">
        <v>120</v>
      </c>
      <c r="D48" s="57" t="s">
        <v>169</v>
      </c>
      <c r="F48" s="58">
        <v>2</v>
      </c>
      <c r="J48" s="41"/>
    </row>
    <row r="49" spans="1:76">
      <c r="A49" s="1" t="s">
        <v>187</v>
      </c>
      <c r="B49" s="2" t="s">
        <v>188</v>
      </c>
      <c r="C49" s="75" t="s">
        <v>189</v>
      </c>
      <c r="D49" s="70"/>
      <c r="E49" s="2" t="s">
        <v>114</v>
      </c>
      <c r="F49" s="51">
        <v>1</v>
      </c>
      <c r="G49" s="52">
        <v>0</v>
      </c>
      <c r="H49" s="51">
        <f>F49*G49</f>
        <v>0</v>
      </c>
      <c r="J49" s="41"/>
      <c r="Z49" s="51">
        <f>IF(AQ49="5",BJ49,0)</f>
        <v>0</v>
      </c>
      <c r="AB49" s="51">
        <f>IF(AQ49="1",BH49,0)</f>
        <v>0</v>
      </c>
      <c r="AC49" s="51">
        <f>IF(AQ49="1",BI49,0)</f>
        <v>0</v>
      </c>
      <c r="AD49" s="51">
        <f>IF(AQ49="7",BH49,0)</f>
        <v>0</v>
      </c>
      <c r="AE49" s="51">
        <f>IF(AQ49="7",BI49,0)</f>
        <v>0</v>
      </c>
      <c r="AF49" s="51">
        <f>IF(AQ49="2",BH49,0)</f>
        <v>0</v>
      </c>
      <c r="AG49" s="51">
        <f>IF(AQ49="2",BI49,0)</f>
        <v>0</v>
      </c>
      <c r="AH49" s="51">
        <f>IF(AQ49="0",BJ49,0)</f>
        <v>0</v>
      </c>
      <c r="AI49" s="35" t="s">
        <v>4</v>
      </c>
      <c r="AJ49" s="51">
        <f>IF(AN49=0,H49,0)</f>
        <v>0</v>
      </c>
      <c r="AK49" s="51">
        <f>IF(AN49=12,H49,0)</f>
        <v>0</v>
      </c>
      <c r="AL49" s="51">
        <f>IF(AN49=21,H49,0)</f>
        <v>0</v>
      </c>
      <c r="AN49" s="51">
        <v>12</v>
      </c>
      <c r="AO49" s="51">
        <f>G49*0.632446824</f>
        <v>0</v>
      </c>
      <c r="AP49" s="51">
        <f>G49*(1-0.632446824)</f>
        <v>0</v>
      </c>
      <c r="AQ49" s="53" t="s">
        <v>111</v>
      </c>
      <c r="AV49" s="51">
        <f>AW49+AX49</f>
        <v>0</v>
      </c>
      <c r="AW49" s="51">
        <f>F49*AO49</f>
        <v>0</v>
      </c>
      <c r="AX49" s="51">
        <f>F49*AP49</f>
        <v>0</v>
      </c>
      <c r="AY49" s="53" t="s">
        <v>146</v>
      </c>
      <c r="AZ49" s="53" t="s">
        <v>147</v>
      </c>
      <c r="BA49" s="35" t="s">
        <v>117</v>
      </c>
      <c r="BC49" s="51">
        <f>AW49+AX49</f>
        <v>0</v>
      </c>
      <c r="BD49" s="51">
        <f>G49/(100-BE49)*100</f>
        <v>0</v>
      </c>
      <c r="BE49" s="51">
        <v>0</v>
      </c>
      <c r="BF49" s="51">
        <f>49</f>
        <v>49</v>
      </c>
      <c r="BH49" s="51">
        <f>F49*AO49</f>
        <v>0</v>
      </c>
      <c r="BI49" s="51">
        <f>F49*AP49</f>
        <v>0</v>
      </c>
      <c r="BJ49" s="51">
        <f>F49*G49</f>
        <v>0</v>
      </c>
      <c r="BK49" s="51"/>
      <c r="BL49" s="51">
        <v>61</v>
      </c>
      <c r="BW49" s="51">
        <v>12</v>
      </c>
      <c r="BX49" s="3" t="s">
        <v>189</v>
      </c>
    </row>
    <row r="50" spans="1:76" ht="13.5" customHeight="1">
      <c r="A50" s="54"/>
      <c r="B50" s="55" t="s">
        <v>118</v>
      </c>
      <c r="C50" s="152" t="s">
        <v>186</v>
      </c>
      <c r="D50" s="153"/>
      <c r="E50" s="153"/>
      <c r="F50" s="153"/>
      <c r="G50" s="154"/>
      <c r="H50" s="153"/>
      <c r="I50" s="153"/>
      <c r="J50" s="155"/>
    </row>
    <row r="51" spans="1:76">
      <c r="A51" s="54"/>
      <c r="C51" s="56" t="s">
        <v>111</v>
      </c>
      <c r="D51" s="57" t="s">
        <v>190</v>
      </c>
      <c r="F51" s="58">
        <v>1</v>
      </c>
      <c r="J51" s="41"/>
    </row>
    <row r="52" spans="1:76">
      <c r="A52" s="1" t="s">
        <v>191</v>
      </c>
      <c r="B52" s="2" t="s">
        <v>192</v>
      </c>
      <c r="C52" s="75" t="s">
        <v>193</v>
      </c>
      <c r="D52" s="70"/>
      <c r="E52" s="2" t="s">
        <v>114</v>
      </c>
      <c r="F52" s="51">
        <v>1</v>
      </c>
      <c r="G52" s="52">
        <v>0</v>
      </c>
      <c r="H52" s="51">
        <f>F52*G52</f>
        <v>0</v>
      </c>
      <c r="J52" s="41"/>
      <c r="Z52" s="51">
        <f>IF(AQ52="5",BJ52,0)</f>
        <v>0</v>
      </c>
      <c r="AB52" s="51">
        <f>IF(AQ52="1",BH52,0)</f>
        <v>0</v>
      </c>
      <c r="AC52" s="51">
        <f>IF(AQ52="1",BI52,0)</f>
        <v>0</v>
      </c>
      <c r="AD52" s="51">
        <f>IF(AQ52="7",BH52,0)</f>
        <v>0</v>
      </c>
      <c r="AE52" s="51">
        <f>IF(AQ52="7",BI52,0)</f>
        <v>0</v>
      </c>
      <c r="AF52" s="51">
        <f>IF(AQ52="2",BH52,0)</f>
        <v>0</v>
      </c>
      <c r="AG52" s="51">
        <f>IF(AQ52="2",BI52,0)</f>
        <v>0</v>
      </c>
      <c r="AH52" s="51">
        <f>IF(AQ52="0",BJ52,0)</f>
        <v>0</v>
      </c>
      <c r="AI52" s="35" t="s">
        <v>4</v>
      </c>
      <c r="AJ52" s="51">
        <f>IF(AN52=0,H52,0)</f>
        <v>0</v>
      </c>
      <c r="AK52" s="51">
        <f>IF(AN52=12,H52,0)</f>
        <v>0</v>
      </c>
      <c r="AL52" s="51">
        <f>IF(AN52=21,H52,0)</f>
        <v>0</v>
      </c>
      <c r="AN52" s="51">
        <v>12</v>
      </c>
      <c r="AO52" s="51">
        <f>G52*0.158146817</f>
        <v>0</v>
      </c>
      <c r="AP52" s="51">
        <f>G52*(1-0.158146817)</f>
        <v>0</v>
      </c>
      <c r="AQ52" s="53" t="s">
        <v>111</v>
      </c>
      <c r="AV52" s="51">
        <f>AW52+AX52</f>
        <v>0</v>
      </c>
      <c r="AW52" s="51">
        <f>F52*AO52</f>
        <v>0</v>
      </c>
      <c r="AX52" s="51">
        <f>F52*AP52</f>
        <v>0</v>
      </c>
      <c r="AY52" s="53" t="s">
        <v>146</v>
      </c>
      <c r="AZ52" s="53" t="s">
        <v>147</v>
      </c>
      <c r="BA52" s="35" t="s">
        <v>117</v>
      </c>
      <c r="BC52" s="51">
        <f>AW52+AX52</f>
        <v>0</v>
      </c>
      <c r="BD52" s="51">
        <f>G52/(100-BE52)*100</f>
        <v>0</v>
      </c>
      <c r="BE52" s="51">
        <v>0</v>
      </c>
      <c r="BF52" s="51">
        <f>52</f>
        <v>52</v>
      </c>
      <c r="BH52" s="51">
        <f>F52*AO52</f>
        <v>0</v>
      </c>
      <c r="BI52" s="51">
        <f>F52*AP52</f>
        <v>0</v>
      </c>
      <c r="BJ52" s="51">
        <f>F52*G52</f>
        <v>0</v>
      </c>
      <c r="BK52" s="51"/>
      <c r="BL52" s="51">
        <v>61</v>
      </c>
      <c r="BW52" s="51">
        <v>12</v>
      </c>
      <c r="BX52" s="3" t="s">
        <v>193</v>
      </c>
    </row>
    <row r="53" spans="1:76">
      <c r="A53" s="54"/>
      <c r="C53" s="56" t="s">
        <v>111</v>
      </c>
      <c r="D53" s="57" t="s">
        <v>194</v>
      </c>
      <c r="F53" s="58">
        <v>1</v>
      </c>
      <c r="J53" s="41"/>
    </row>
    <row r="54" spans="1:76">
      <c r="A54" s="1" t="s">
        <v>195</v>
      </c>
      <c r="B54" s="2" t="s">
        <v>196</v>
      </c>
      <c r="C54" s="75" t="s">
        <v>197</v>
      </c>
      <c r="D54" s="70"/>
      <c r="E54" s="2" t="s">
        <v>114</v>
      </c>
      <c r="F54" s="51">
        <v>1</v>
      </c>
      <c r="G54" s="52">
        <v>0</v>
      </c>
      <c r="H54" s="51">
        <f>F54*G54</f>
        <v>0</v>
      </c>
      <c r="J54" s="41"/>
      <c r="Z54" s="51">
        <f>IF(AQ54="5",BJ54,0)</f>
        <v>0</v>
      </c>
      <c r="AB54" s="51">
        <f>IF(AQ54="1",BH54,0)</f>
        <v>0</v>
      </c>
      <c r="AC54" s="51">
        <f>IF(AQ54="1",BI54,0)</f>
        <v>0</v>
      </c>
      <c r="AD54" s="51">
        <f>IF(AQ54="7",BH54,0)</f>
        <v>0</v>
      </c>
      <c r="AE54" s="51">
        <f>IF(AQ54="7",BI54,0)</f>
        <v>0</v>
      </c>
      <c r="AF54" s="51">
        <f>IF(AQ54="2",BH54,0)</f>
        <v>0</v>
      </c>
      <c r="AG54" s="51">
        <f>IF(AQ54="2",BI54,0)</f>
        <v>0</v>
      </c>
      <c r="AH54" s="51">
        <f>IF(AQ54="0",BJ54,0)</f>
        <v>0</v>
      </c>
      <c r="AI54" s="35" t="s">
        <v>4</v>
      </c>
      <c r="AJ54" s="51">
        <f>IF(AN54=0,H54,0)</f>
        <v>0</v>
      </c>
      <c r="AK54" s="51">
        <f>IF(AN54=12,H54,0)</f>
        <v>0</v>
      </c>
      <c r="AL54" s="51">
        <f>IF(AN54=21,H54,0)</f>
        <v>0</v>
      </c>
      <c r="AN54" s="51">
        <v>12</v>
      </c>
      <c r="AO54" s="51">
        <f>G54*1</f>
        <v>0</v>
      </c>
      <c r="AP54" s="51">
        <f>G54*(1-1)</f>
        <v>0</v>
      </c>
      <c r="AQ54" s="53" t="s">
        <v>111</v>
      </c>
      <c r="AV54" s="51">
        <f>AW54+AX54</f>
        <v>0</v>
      </c>
      <c r="AW54" s="51">
        <f>F54*AO54</f>
        <v>0</v>
      </c>
      <c r="AX54" s="51">
        <f>F54*AP54</f>
        <v>0</v>
      </c>
      <c r="AY54" s="53" t="s">
        <v>146</v>
      </c>
      <c r="AZ54" s="53" t="s">
        <v>147</v>
      </c>
      <c r="BA54" s="35" t="s">
        <v>117</v>
      </c>
      <c r="BC54" s="51">
        <f>AW54+AX54</f>
        <v>0</v>
      </c>
      <c r="BD54" s="51">
        <f>G54/(100-BE54)*100</f>
        <v>0</v>
      </c>
      <c r="BE54" s="51">
        <v>0</v>
      </c>
      <c r="BF54" s="51">
        <f>54</f>
        <v>54</v>
      </c>
      <c r="BH54" s="51">
        <f>F54*AO54</f>
        <v>0</v>
      </c>
      <c r="BI54" s="51">
        <f>F54*AP54</f>
        <v>0</v>
      </c>
      <c r="BJ54" s="51">
        <f>F54*G54</f>
        <v>0</v>
      </c>
      <c r="BK54" s="51"/>
      <c r="BL54" s="51">
        <v>61</v>
      </c>
      <c r="BW54" s="51">
        <v>12</v>
      </c>
      <c r="BX54" s="3" t="s">
        <v>197</v>
      </c>
    </row>
    <row r="55" spans="1:76">
      <c r="A55" s="1" t="s">
        <v>198</v>
      </c>
      <c r="B55" s="2" t="s">
        <v>199</v>
      </c>
      <c r="C55" s="75" t="s">
        <v>200</v>
      </c>
      <c r="D55" s="70"/>
      <c r="E55" s="2" t="s">
        <v>124</v>
      </c>
      <c r="F55" s="51">
        <v>24.67</v>
      </c>
      <c r="G55" s="52">
        <v>0</v>
      </c>
      <c r="H55" s="51">
        <f>F55*G55</f>
        <v>0</v>
      </c>
      <c r="J55" s="41"/>
      <c r="Z55" s="51">
        <f>IF(AQ55="5",BJ55,0)</f>
        <v>0</v>
      </c>
      <c r="AB55" s="51">
        <f>IF(AQ55="1",BH55,0)</f>
        <v>0</v>
      </c>
      <c r="AC55" s="51">
        <f>IF(AQ55="1",BI55,0)</f>
        <v>0</v>
      </c>
      <c r="AD55" s="51">
        <f>IF(AQ55="7",BH55,0)</f>
        <v>0</v>
      </c>
      <c r="AE55" s="51">
        <f>IF(AQ55="7",BI55,0)</f>
        <v>0</v>
      </c>
      <c r="AF55" s="51">
        <f>IF(AQ55="2",BH55,0)</f>
        <v>0</v>
      </c>
      <c r="AG55" s="51">
        <f>IF(AQ55="2",BI55,0)</f>
        <v>0</v>
      </c>
      <c r="AH55" s="51">
        <f>IF(AQ55="0",BJ55,0)</f>
        <v>0</v>
      </c>
      <c r="AI55" s="35" t="s">
        <v>4</v>
      </c>
      <c r="AJ55" s="51">
        <f>IF(AN55=0,H55,0)</f>
        <v>0</v>
      </c>
      <c r="AK55" s="51">
        <f>IF(AN55=12,H55,0)</f>
        <v>0</v>
      </c>
      <c r="AL55" s="51">
        <f>IF(AN55=21,H55,0)</f>
        <v>0</v>
      </c>
      <c r="AN55" s="51">
        <v>12</v>
      </c>
      <c r="AO55" s="51">
        <f>G55*0.292901959</f>
        <v>0</v>
      </c>
      <c r="AP55" s="51">
        <f>G55*(1-0.292901959)</f>
        <v>0</v>
      </c>
      <c r="AQ55" s="53" t="s">
        <v>111</v>
      </c>
      <c r="AV55" s="51">
        <f>AW55+AX55</f>
        <v>0</v>
      </c>
      <c r="AW55" s="51">
        <f>F55*AO55</f>
        <v>0</v>
      </c>
      <c r="AX55" s="51">
        <f>F55*AP55</f>
        <v>0</v>
      </c>
      <c r="AY55" s="53" t="s">
        <v>146</v>
      </c>
      <c r="AZ55" s="53" t="s">
        <v>147</v>
      </c>
      <c r="BA55" s="35" t="s">
        <v>117</v>
      </c>
      <c r="BC55" s="51">
        <f>AW55+AX55</f>
        <v>0</v>
      </c>
      <c r="BD55" s="51">
        <f>G55/(100-BE55)*100</f>
        <v>0</v>
      </c>
      <c r="BE55" s="51">
        <v>0</v>
      </c>
      <c r="BF55" s="51">
        <f>55</f>
        <v>55</v>
      </c>
      <c r="BH55" s="51">
        <f>F55*AO55</f>
        <v>0</v>
      </c>
      <c r="BI55" s="51">
        <f>F55*AP55</f>
        <v>0</v>
      </c>
      <c r="BJ55" s="51">
        <f>F55*G55</f>
        <v>0</v>
      </c>
      <c r="BK55" s="51"/>
      <c r="BL55" s="51">
        <v>61</v>
      </c>
      <c r="BW55" s="51">
        <v>12</v>
      </c>
      <c r="BX55" s="3" t="s">
        <v>200</v>
      </c>
    </row>
    <row r="56" spans="1:76" ht="13.5" customHeight="1">
      <c r="A56" s="54"/>
      <c r="B56" s="55" t="s">
        <v>118</v>
      </c>
      <c r="C56" s="152" t="s">
        <v>201</v>
      </c>
      <c r="D56" s="153"/>
      <c r="E56" s="153"/>
      <c r="F56" s="153"/>
      <c r="G56" s="154"/>
      <c r="H56" s="153"/>
      <c r="I56" s="153"/>
      <c r="J56" s="155"/>
    </row>
    <row r="57" spans="1:76">
      <c r="A57" s="54"/>
      <c r="C57" s="56" t="s">
        <v>202</v>
      </c>
      <c r="D57" s="57" t="s">
        <v>169</v>
      </c>
      <c r="F57" s="58">
        <v>9.32</v>
      </c>
      <c r="J57" s="41"/>
    </row>
    <row r="58" spans="1:76">
      <c r="A58" s="54"/>
      <c r="C58" s="56" t="s">
        <v>203</v>
      </c>
      <c r="D58" s="57" t="s">
        <v>4</v>
      </c>
      <c r="F58" s="58">
        <v>7.9930000000000003</v>
      </c>
      <c r="J58" s="41"/>
    </row>
    <row r="59" spans="1:76">
      <c r="A59" s="54"/>
      <c r="C59" s="56" t="s">
        <v>204</v>
      </c>
      <c r="D59" s="57" t="s">
        <v>4</v>
      </c>
      <c r="F59" s="58">
        <v>7.3570000000000002</v>
      </c>
      <c r="J59" s="41"/>
    </row>
    <row r="60" spans="1:76">
      <c r="A60" s="1" t="s">
        <v>205</v>
      </c>
      <c r="B60" s="2" t="s">
        <v>206</v>
      </c>
      <c r="C60" s="75" t="s">
        <v>207</v>
      </c>
      <c r="D60" s="70"/>
      <c r="E60" s="2" t="s">
        <v>124</v>
      </c>
      <c r="F60" s="51">
        <v>24.67</v>
      </c>
      <c r="G60" s="52">
        <v>0</v>
      </c>
      <c r="H60" s="51">
        <f>F60*G60</f>
        <v>0</v>
      </c>
      <c r="J60" s="41"/>
      <c r="Z60" s="51">
        <f>IF(AQ60="5",BJ60,0)</f>
        <v>0</v>
      </c>
      <c r="AB60" s="51">
        <f>IF(AQ60="1",BH60,0)</f>
        <v>0</v>
      </c>
      <c r="AC60" s="51">
        <f>IF(AQ60="1",BI60,0)</f>
        <v>0</v>
      </c>
      <c r="AD60" s="51">
        <f>IF(AQ60="7",BH60,0)</f>
        <v>0</v>
      </c>
      <c r="AE60" s="51">
        <f>IF(AQ60="7",BI60,0)</f>
        <v>0</v>
      </c>
      <c r="AF60" s="51">
        <f>IF(AQ60="2",BH60,0)</f>
        <v>0</v>
      </c>
      <c r="AG60" s="51">
        <f>IF(AQ60="2",BI60,0)</f>
        <v>0</v>
      </c>
      <c r="AH60" s="51">
        <f>IF(AQ60="0",BJ60,0)</f>
        <v>0</v>
      </c>
      <c r="AI60" s="35" t="s">
        <v>4</v>
      </c>
      <c r="AJ60" s="51">
        <f>IF(AN60=0,H60,0)</f>
        <v>0</v>
      </c>
      <c r="AK60" s="51">
        <f>IF(AN60=12,H60,0)</f>
        <v>0</v>
      </c>
      <c r="AL60" s="51">
        <f>IF(AN60=21,H60,0)</f>
        <v>0</v>
      </c>
      <c r="AN60" s="51">
        <v>12</v>
      </c>
      <c r="AO60" s="51">
        <f>G60*0.435487401</f>
        <v>0</v>
      </c>
      <c r="AP60" s="51">
        <f>G60*(1-0.435487401)</f>
        <v>0</v>
      </c>
      <c r="AQ60" s="53" t="s">
        <v>111</v>
      </c>
      <c r="AV60" s="51">
        <f>AW60+AX60</f>
        <v>0</v>
      </c>
      <c r="AW60" s="51">
        <f>F60*AO60</f>
        <v>0</v>
      </c>
      <c r="AX60" s="51">
        <f>F60*AP60</f>
        <v>0</v>
      </c>
      <c r="AY60" s="53" t="s">
        <v>146</v>
      </c>
      <c r="AZ60" s="53" t="s">
        <v>147</v>
      </c>
      <c r="BA60" s="35" t="s">
        <v>117</v>
      </c>
      <c r="BC60" s="51">
        <f>AW60+AX60</f>
        <v>0</v>
      </c>
      <c r="BD60" s="51">
        <f>G60/(100-BE60)*100</f>
        <v>0</v>
      </c>
      <c r="BE60" s="51">
        <v>0</v>
      </c>
      <c r="BF60" s="51">
        <f>60</f>
        <v>60</v>
      </c>
      <c r="BH60" s="51">
        <f>F60*AO60</f>
        <v>0</v>
      </c>
      <c r="BI60" s="51">
        <f>F60*AP60</f>
        <v>0</v>
      </c>
      <c r="BJ60" s="51">
        <f>F60*G60</f>
        <v>0</v>
      </c>
      <c r="BK60" s="51"/>
      <c r="BL60" s="51">
        <v>61</v>
      </c>
      <c r="BW60" s="51">
        <v>12</v>
      </c>
      <c r="BX60" s="3" t="s">
        <v>207</v>
      </c>
    </row>
    <row r="61" spans="1:76" ht="13.5" customHeight="1">
      <c r="A61" s="54"/>
      <c r="B61" s="55" t="s">
        <v>118</v>
      </c>
      <c r="C61" s="152" t="s">
        <v>119</v>
      </c>
      <c r="D61" s="153"/>
      <c r="E61" s="153"/>
      <c r="F61" s="153"/>
      <c r="G61" s="154"/>
      <c r="H61" s="153"/>
      <c r="I61" s="153"/>
      <c r="J61" s="155"/>
    </row>
    <row r="62" spans="1:76">
      <c r="A62" s="54"/>
      <c r="C62" s="56" t="s">
        <v>208</v>
      </c>
      <c r="D62" s="57" t="s">
        <v>169</v>
      </c>
      <c r="F62" s="58">
        <v>24.67</v>
      </c>
      <c r="J62" s="41"/>
    </row>
    <row r="63" spans="1:76">
      <c r="A63" s="1" t="s">
        <v>209</v>
      </c>
      <c r="B63" s="2" t="s">
        <v>210</v>
      </c>
      <c r="C63" s="75" t="s">
        <v>211</v>
      </c>
      <c r="D63" s="70"/>
      <c r="E63" s="2" t="s">
        <v>124</v>
      </c>
      <c r="F63" s="51">
        <v>60.683999999999997</v>
      </c>
      <c r="G63" s="52">
        <v>0</v>
      </c>
      <c r="H63" s="51">
        <f>F63*G63</f>
        <v>0</v>
      </c>
      <c r="J63" s="41"/>
      <c r="Z63" s="51">
        <f>IF(AQ63="5",BJ63,0)</f>
        <v>0</v>
      </c>
      <c r="AB63" s="51">
        <f>IF(AQ63="1",BH63,0)</f>
        <v>0</v>
      </c>
      <c r="AC63" s="51">
        <f>IF(AQ63="1",BI63,0)</f>
        <v>0</v>
      </c>
      <c r="AD63" s="51">
        <f>IF(AQ63="7",BH63,0)</f>
        <v>0</v>
      </c>
      <c r="AE63" s="51">
        <f>IF(AQ63="7",BI63,0)</f>
        <v>0</v>
      </c>
      <c r="AF63" s="51">
        <f>IF(AQ63="2",BH63,0)</f>
        <v>0</v>
      </c>
      <c r="AG63" s="51">
        <f>IF(AQ63="2",BI63,0)</f>
        <v>0</v>
      </c>
      <c r="AH63" s="51">
        <f>IF(AQ63="0",BJ63,0)</f>
        <v>0</v>
      </c>
      <c r="AI63" s="35" t="s">
        <v>4</v>
      </c>
      <c r="AJ63" s="51">
        <f>IF(AN63=0,H63,0)</f>
        <v>0</v>
      </c>
      <c r="AK63" s="51">
        <f>IF(AN63=12,H63,0)</f>
        <v>0</v>
      </c>
      <c r="AL63" s="51">
        <f>IF(AN63=21,H63,0)</f>
        <v>0</v>
      </c>
      <c r="AN63" s="51">
        <v>12</v>
      </c>
      <c r="AO63" s="51">
        <f>G63*0.325726496</f>
        <v>0</v>
      </c>
      <c r="AP63" s="51">
        <f>G63*(1-0.325726496)</f>
        <v>0</v>
      </c>
      <c r="AQ63" s="53" t="s">
        <v>111</v>
      </c>
      <c r="AV63" s="51">
        <f>AW63+AX63</f>
        <v>0</v>
      </c>
      <c r="AW63" s="51">
        <f>F63*AO63</f>
        <v>0</v>
      </c>
      <c r="AX63" s="51">
        <f>F63*AP63</f>
        <v>0</v>
      </c>
      <c r="AY63" s="53" t="s">
        <v>146</v>
      </c>
      <c r="AZ63" s="53" t="s">
        <v>147</v>
      </c>
      <c r="BA63" s="35" t="s">
        <v>117</v>
      </c>
      <c r="BC63" s="51">
        <f>AW63+AX63</f>
        <v>0</v>
      </c>
      <c r="BD63" s="51">
        <f>G63/(100-BE63)*100</f>
        <v>0</v>
      </c>
      <c r="BE63" s="51">
        <v>0</v>
      </c>
      <c r="BF63" s="51">
        <f>63</f>
        <v>63</v>
      </c>
      <c r="BH63" s="51">
        <f>F63*AO63</f>
        <v>0</v>
      </c>
      <c r="BI63" s="51">
        <f>F63*AP63</f>
        <v>0</v>
      </c>
      <c r="BJ63" s="51">
        <f>F63*G63</f>
        <v>0</v>
      </c>
      <c r="BK63" s="51"/>
      <c r="BL63" s="51">
        <v>61</v>
      </c>
      <c r="BW63" s="51">
        <v>12</v>
      </c>
      <c r="BX63" s="3" t="s">
        <v>211</v>
      </c>
    </row>
    <row r="64" spans="1:76" ht="13.5" customHeight="1">
      <c r="A64" s="54"/>
      <c r="B64" s="55" t="s">
        <v>118</v>
      </c>
      <c r="C64" s="152" t="s">
        <v>212</v>
      </c>
      <c r="D64" s="153"/>
      <c r="E64" s="153"/>
      <c r="F64" s="153"/>
      <c r="G64" s="154"/>
      <c r="H64" s="153"/>
      <c r="I64" s="153"/>
      <c r="J64" s="155"/>
    </row>
    <row r="65" spans="1:76">
      <c r="A65" s="54"/>
      <c r="C65" s="56" t="s">
        <v>213</v>
      </c>
      <c r="D65" s="57" t="s">
        <v>214</v>
      </c>
      <c r="F65" s="58">
        <v>13.114000000000001</v>
      </c>
      <c r="J65" s="41"/>
    </row>
    <row r="66" spans="1:76">
      <c r="A66" s="54"/>
      <c r="C66" s="56" t="s">
        <v>215</v>
      </c>
      <c r="D66" s="57" t="s">
        <v>216</v>
      </c>
      <c r="F66" s="58">
        <v>3.72</v>
      </c>
      <c r="J66" s="41"/>
    </row>
    <row r="67" spans="1:76">
      <c r="A67" s="54"/>
      <c r="C67" s="56" t="s">
        <v>217</v>
      </c>
      <c r="D67" s="57" t="s">
        <v>4</v>
      </c>
      <c r="F67" s="58">
        <v>0.9</v>
      </c>
      <c r="J67" s="41"/>
    </row>
    <row r="68" spans="1:76">
      <c r="A68" s="54"/>
      <c r="C68" s="56" t="s">
        <v>218</v>
      </c>
      <c r="D68" s="57" t="s">
        <v>219</v>
      </c>
      <c r="F68" s="58">
        <v>17.93</v>
      </c>
      <c r="J68" s="41"/>
    </row>
    <row r="69" spans="1:76">
      <c r="A69" s="54"/>
      <c r="C69" s="56" t="s">
        <v>220</v>
      </c>
      <c r="D69" s="57" t="s">
        <v>4</v>
      </c>
      <c r="F69" s="58">
        <v>-2.2050000000000001</v>
      </c>
      <c r="J69" s="41"/>
    </row>
    <row r="70" spans="1:76">
      <c r="A70" s="54"/>
      <c r="C70" s="56" t="s">
        <v>221</v>
      </c>
      <c r="D70" s="57" t="s">
        <v>222</v>
      </c>
      <c r="F70" s="58">
        <v>27.225000000000001</v>
      </c>
      <c r="J70" s="41"/>
    </row>
    <row r="71" spans="1:76">
      <c r="A71" s="1" t="s">
        <v>223</v>
      </c>
      <c r="B71" s="2" t="s">
        <v>224</v>
      </c>
      <c r="C71" s="75" t="s">
        <v>225</v>
      </c>
      <c r="D71" s="70"/>
      <c r="E71" s="2" t="s">
        <v>124</v>
      </c>
      <c r="F71" s="51">
        <v>3.57</v>
      </c>
      <c r="G71" s="52">
        <v>0</v>
      </c>
      <c r="H71" s="51">
        <f>F71*G71</f>
        <v>0</v>
      </c>
      <c r="J71" s="41"/>
      <c r="Z71" s="51">
        <f>IF(AQ71="5",BJ71,0)</f>
        <v>0</v>
      </c>
      <c r="AB71" s="51">
        <f>IF(AQ71="1",BH71,0)</f>
        <v>0</v>
      </c>
      <c r="AC71" s="51">
        <f>IF(AQ71="1",BI71,0)</f>
        <v>0</v>
      </c>
      <c r="AD71" s="51">
        <f>IF(AQ71="7",BH71,0)</f>
        <v>0</v>
      </c>
      <c r="AE71" s="51">
        <f>IF(AQ71="7",BI71,0)</f>
        <v>0</v>
      </c>
      <c r="AF71" s="51">
        <f>IF(AQ71="2",BH71,0)</f>
        <v>0</v>
      </c>
      <c r="AG71" s="51">
        <f>IF(AQ71="2",BI71,0)</f>
        <v>0</v>
      </c>
      <c r="AH71" s="51">
        <f>IF(AQ71="0",BJ71,0)</f>
        <v>0</v>
      </c>
      <c r="AI71" s="35" t="s">
        <v>4</v>
      </c>
      <c r="AJ71" s="51">
        <f>IF(AN71=0,H71,0)</f>
        <v>0</v>
      </c>
      <c r="AK71" s="51">
        <f>IF(AN71=12,H71,0)</f>
        <v>0</v>
      </c>
      <c r="AL71" s="51">
        <f>IF(AN71=21,H71,0)</f>
        <v>0</v>
      </c>
      <c r="AN71" s="51">
        <v>12</v>
      </c>
      <c r="AO71" s="51">
        <f>G71*0.325187747</f>
        <v>0</v>
      </c>
      <c r="AP71" s="51">
        <f>G71*(1-0.325187747)</f>
        <v>0</v>
      </c>
      <c r="AQ71" s="53" t="s">
        <v>111</v>
      </c>
      <c r="AV71" s="51">
        <f>AW71+AX71</f>
        <v>0</v>
      </c>
      <c r="AW71" s="51">
        <f>F71*AO71</f>
        <v>0</v>
      </c>
      <c r="AX71" s="51">
        <f>F71*AP71</f>
        <v>0</v>
      </c>
      <c r="AY71" s="53" t="s">
        <v>146</v>
      </c>
      <c r="AZ71" s="53" t="s">
        <v>147</v>
      </c>
      <c r="BA71" s="35" t="s">
        <v>117</v>
      </c>
      <c r="BC71" s="51">
        <f>AW71+AX71</f>
        <v>0</v>
      </c>
      <c r="BD71" s="51">
        <f>G71/(100-BE71)*100</f>
        <v>0</v>
      </c>
      <c r="BE71" s="51">
        <v>0</v>
      </c>
      <c r="BF71" s="51">
        <f>71</f>
        <v>71</v>
      </c>
      <c r="BH71" s="51">
        <f>F71*AO71</f>
        <v>0</v>
      </c>
      <c r="BI71" s="51">
        <f>F71*AP71</f>
        <v>0</v>
      </c>
      <c r="BJ71" s="51">
        <f>F71*G71</f>
        <v>0</v>
      </c>
      <c r="BK71" s="51"/>
      <c r="BL71" s="51">
        <v>61</v>
      </c>
      <c r="BW71" s="51">
        <v>12</v>
      </c>
      <c r="BX71" s="3" t="s">
        <v>225</v>
      </c>
    </row>
    <row r="72" spans="1:76" ht="13.5" customHeight="1">
      <c r="A72" s="54"/>
      <c r="B72" s="55" t="s">
        <v>118</v>
      </c>
      <c r="C72" s="152" t="s">
        <v>119</v>
      </c>
      <c r="D72" s="153"/>
      <c r="E72" s="153"/>
      <c r="F72" s="153"/>
      <c r="G72" s="154"/>
      <c r="H72" s="153"/>
      <c r="I72" s="153"/>
      <c r="J72" s="155"/>
    </row>
    <row r="73" spans="1:76">
      <c r="A73" s="54"/>
      <c r="C73" s="56" t="s">
        <v>226</v>
      </c>
      <c r="D73" s="57" t="s">
        <v>227</v>
      </c>
      <c r="F73" s="58">
        <v>1.68</v>
      </c>
      <c r="J73" s="41"/>
    </row>
    <row r="74" spans="1:76">
      <c r="A74" s="54"/>
      <c r="C74" s="56" t="s">
        <v>228</v>
      </c>
      <c r="D74" s="57" t="s">
        <v>229</v>
      </c>
      <c r="F74" s="58">
        <v>1.89</v>
      </c>
      <c r="J74" s="41"/>
    </row>
    <row r="75" spans="1:76">
      <c r="A75" s="1" t="s">
        <v>230</v>
      </c>
      <c r="B75" s="2" t="s">
        <v>231</v>
      </c>
      <c r="C75" s="75" t="s">
        <v>232</v>
      </c>
      <c r="D75" s="70"/>
      <c r="E75" s="2" t="s">
        <v>114</v>
      </c>
      <c r="F75" s="51">
        <v>1</v>
      </c>
      <c r="G75" s="52">
        <v>0</v>
      </c>
      <c r="H75" s="51">
        <f>F75*G75</f>
        <v>0</v>
      </c>
      <c r="J75" s="41"/>
      <c r="Z75" s="51">
        <f>IF(AQ75="5",BJ75,0)</f>
        <v>0</v>
      </c>
      <c r="AB75" s="51">
        <f>IF(AQ75="1",BH75,0)</f>
        <v>0</v>
      </c>
      <c r="AC75" s="51">
        <f>IF(AQ75="1",BI75,0)</f>
        <v>0</v>
      </c>
      <c r="AD75" s="51">
        <f>IF(AQ75="7",BH75,0)</f>
        <v>0</v>
      </c>
      <c r="AE75" s="51">
        <f>IF(AQ75="7",BI75,0)</f>
        <v>0</v>
      </c>
      <c r="AF75" s="51">
        <f>IF(AQ75="2",BH75,0)</f>
        <v>0</v>
      </c>
      <c r="AG75" s="51">
        <f>IF(AQ75="2",BI75,0)</f>
        <v>0</v>
      </c>
      <c r="AH75" s="51">
        <f>IF(AQ75="0",BJ75,0)</f>
        <v>0</v>
      </c>
      <c r="AI75" s="35" t="s">
        <v>4</v>
      </c>
      <c r="AJ75" s="51">
        <f>IF(AN75=0,H75,0)</f>
        <v>0</v>
      </c>
      <c r="AK75" s="51">
        <f>IF(AN75=12,H75,0)</f>
        <v>0</v>
      </c>
      <c r="AL75" s="51">
        <f>IF(AN75=21,H75,0)</f>
        <v>0</v>
      </c>
      <c r="AN75" s="51">
        <v>12</v>
      </c>
      <c r="AO75" s="51">
        <f>G75*0.375643435</f>
        <v>0</v>
      </c>
      <c r="AP75" s="51">
        <f>G75*(1-0.375643435)</f>
        <v>0</v>
      </c>
      <c r="AQ75" s="53" t="s">
        <v>111</v>
      </c>
      <c r="AV75" s="51">
        <f>AW75+AX75</f>
        <v>0</v>
      </c>
      <c r="AW75" s="51">
        <f>F75*AO75</f>
        <v>0</v>
      </c>
      <c r="AX75" s="51">
        <f>F75*AP75</f>
        <v>0</v>
      </c>
      <c r="AY75" s="53" t="s">
        <v>146</v>
      </c>
      <c r="AZ75" s="53" t="s">
        <v>147</v>
      </c>
      <c r="BA75" s="35" t="s">
        <v>117</v>
      </c>
      <c r="BC75" s="51">
        <f>AW75+AX75</f>
        <v>0</v>
      </c>
      <c r="BD75" s="51">
        <f>G75/(100-BE75)*100</f>
        <v>0</v>
      </c>
      <c r="BE75" s="51">
        <v>0</v>
      </c>
      <c r="BF75" s="51">
        <f>75</f>
        <v>75</v>
      </c>
      <c r="BH75" s="51">
        <f>F75*AO75</f>
        <v>0</v>
      </c>
      <c r="BI75" s="51">
        <f>F75*AP75</f>
        <v>0</v>
      </c>
      <c r="BJ75" s="51">
        <f>F75*G75</f>
        <v>0</v>
      </c>
      <c r="BK75" s="51"/>
      <c r="BL75" s="51">
        <v>61</v>
      </c>
      <c r="BW75" s="51">
        <v>12</v>
      </c>
      <c r="BX75" s="3" t="s">
        <v>232</v>
      </c>
    </row>
    <row r="76" spans="1:76" ht="13.5" customHeight="1">
      <c r="A76" s="54"/>
      <c r="B76" s="55" t="s">
        <v>118</v>
      </c>
      <c r="C76" s="152" t="s">
        <v>233</v>
      </c>
      <c r="D76" s="153"/>
      <c r="E76" s="153"/>
      <c r="F76" s="153"/>
      <c r="G76" s="154"/>
      <c r="H76" s="153"/>
      <c r="I76" s="153"/>
      <c r="J76" s="155"/>
    </row>
    <row r="77" spans="1:76">
      <c r="A77" s="54"/>
      <c r="C77" s="56" t="s">
        <v>111</v>
      </c>
      <c r="D77" s="57" t="s">
        <v>234</v>
      </c>
      <c r="F77" s="58">
        <v>1</v>
      </c>
      <c r="J77" s="41"/>
    </row>
    <row r="78" spans="1:76">
      <c r="A78" s="47" t="s">
        <v>4</v>
      </c>
      <c r="B78" s="48" t="s">
        <v>235</v>
      </c>
      <c r="C78" s="150" t="s">
        <v>236</v>
      </c>
      <c r="D78" s="151"/>
      <c r="E78" s="49" t="s">
        <v>79</v>
      </c>
      <c r="F78" s="49" t="s">
        <v>79</v>
      </c>
      <c r="G78" s="50" t="s">
        <v>79</v>
      </c>
      <c r="H78" s="28">
        <f>SUM(H79:H83)</f>
        <v>0</v>
      </c>
      <c r="J78" s="41"/>
      <c r="AI78" s="35" t="s">
        <v>4</v>
      </c>
      <c r="AS78" s="28">
        <f>SUM(AJ79:AJ83)</f>
        <v>0</v>
      </c>
      <c r="AT78" s="28">
        <f>SUM(AK79:AK83)</f>
        <v>0</v>
      </c>
      <c r="AU78" s="28">
        <f>SUM(AL79:AL83)</f>
        <v>0</v>
      </c>
    </row>
    <row r="79" spans="1:76">
      <c r="A79" s="1" t="s">
        <v>237</v>
      </c>
      <c r="B79" s="2" t="s">
        <v>238</v>
      </c>
      <c r="C79" s="75" t="s">
        <v>239</v>
      </c>
      <c r="D79" s="70"/>
      <c r="E79" s="2" t="s">
        <v>124</v>
      </c>
      <c r="F79" s="51">
        <v>25.789000000000001</v>
      </c>
      <c r="G79" s="52">
        <v>0</v>
      </c>
      <c r="H79" s="51">
        <f>F79*G79</f>
        <v>0</v>
      </c>
      <c r="J79" s="41"/>
      <c r="Z79" s="51">
        <f>IF(AQ79="5",BJ79,0)</f>
        <v>0</v>
      </c>
      <c r="AB79" s="51">
        <f>IF(AQ79="1",BH79,0)</f>
        <v>0</v>
      </c>
      <c r="AC79" s="51">
        <f>IF(AQ79="1",BI79,0)</f>
        <v>0</v>
      </c>
      <c r="AD79" s="51">
        <f>IF(AQ79="7",BH79,0)</f>
        <v>0</v>
      </c>
      <c r="AE79" s="51">
        <f>IF(AQ79="7",BI79,0)</f>
        <v>0</v>
      </c>
      <c r="AF79" s="51">
        <f>IF(AQ79="2",BH79,0)</f>
        <v>0</v>
      </c>
      <c r="AG79" s="51">
        <f>IF(AQ79="2",BI79,0)</f>
        <v>0</v>
      </c>
      <c r="AH79" s="51">
        <f>IF(AQ79="0",BJ79,0)</f>
        <v>0</v>
      </c>
      <c r="AI79" s="35" t="s">
        <v>4</v>
      </c>
      <c r="AJ79" s="51">
        <f>IF(AN79=0,H79,0)</f>
        <v>0</v>
      </c>
      <c r="AK79" s="51">
        <f>IF(AN79=12,H79,0)</f>
        <v>0</v>
      </c>
      <c r="AL79" s="51">
        <f>IF(AN79=21,H79,0)</f>
        <v>0</v>
      </c>
      <c r="AN79" s="51">
        <v>12</v>
      </c>
      <c r="AO79" s="51">
        <f>G79*0.675979613</f>
        <v>0</v>
      </c>
      <c r="AP79" s="51">
        <f>G79*(1-0.675979613)</f>
        <v>0</v>
      </c>
      <c r="AQ79" s="53" t="s">
        <v>111</v>
      </c>
      <c r="AV79" s="51">
        <f>AW79+AX79</f>
        <v>0</v>
      </c>
      <c r="AW79" s="51">
        <f>F79*AO79</f>
        <v>0</v>
      </c>
      <c r="AX79" s="51">
        <f>F79*AP79</f>
        <v>0</v>
      </c>
      <c r="AY79" s="53" t="s">
        <v>240</v>
      </c>
      <c r="AZ79" s="53" t="s">
        <v>147</v>
      </c>
      <c r="BA79" s="35" t="s">
        <v>117</v>
      </c>
      <c r="BC79" s="51">
        <f>AW79+AX79</f>
        <v>0</v>
      </c>
      <c r="BD79" s="51">
        <f>G79/(100-BE79)*100</f>
        <v>0</v>
      </c>
      <c r="BE79" s="51">
        <v>0</v>
      </c>
      <c r="BF79" s="51">
        <f>79</f>
        <v>79</v>
      </c>
      <c r="BH79" s="51">
        <f>F79*AO79</f>
        <v>0</v>
      </c>
      <c r="BI79" s="51">
        <f>F79*AP79</f>
        <v>0</v>
      </c>
      <c r="BJ79" s="51">
        <f>F79*G79</f>
        <v>0</v>
      </c>
      <c r="BK79" s="51"/>
      <c r="BL79" s="51">
        <v>63</v>
      </c>
      <c r="BW79" s="51">
        <v>12</v>
      </c>
      <c r="BX79" s="3" t="s">
        <v>239</v>
      </c>
    </row>
    <row r="80" spans="1:76">
      <c r="A80" s="54"/>
      <c r="C80" s="56" t="s">
        <v>241</v>
      </c>
      <c r="D80" s="57" t="s">
        <v>190</v>
      </c>
      <c r="F80" s="58">
        <v>2.5990000000000002</v>
      </c>
      <c r="J80" s="41"/>
    </row>
    <row r="81" spans="1:76">
      <c r="A81" s="54"/>
      <c r="C81" s="56" t="s">
        <v>242</v>
      </c>
      <c r="D81" s="57" t="s">
        <v>222</v>
      </c>
      <c r="F81" s="58">
        <v>14.53</v>
      </c>
      <c r="J81" s="41"/>
    </row>
    <row r="82" spans="1:76">
      <c r="A82" s="54"/>
      <c r="C82" s="56" t="s">
        <v>243</v>
      </c>
      <c r="D82" s="57" t="s">
        <v>219</v>
      </c>
      <c r="F82" s="58">
        <v>8.66</v>
      </c>
      <c r="J82" s="41"/>
    </row>
    <row r="83" spans="1:76">
      <c r="A83" s="1" t="s">
        <v>244</v>
      </c>
      <c r="B83" s="2" t="s">
        <v>245</v>
      </c>
      <c r="C83" s="75" t="s">
        <v>246</v>
      </c>
      <c r="D83" s="70"/>
      <c r="E83" s="2" t="s">
        <v>124</v>
      </c>
      <c r="F83" s="51">
        <v>25.789000000000001</v>
      </c>
      <c r="G83" s="52">
        <v>0</v>
      </c>
      <c r="H83" s="51">
        <f>F83*G83</f>
        <v>0</v>
      </c>
      <c r="J83" s="41"/>
      <c r="Z83" s="51">
        <f>IF(AQ83="5",BJ83,0)</f>
        <v>0</v>
      </c>
      <c r="AB83" s="51">
        <f>IF(AQ83="1",BH83,0)</f>
        <v>0</v>
      </c>
      <c r="AC83" s="51">
        <f>IF(AQ83="1",BI83,0)</f>
        <v>0</v>
      </c>
      <c r="AD83" s="51">
        <f>IF(AQ83="7",BH83,0)</f>
        <v>0</v>
      </c>
      <c r="AE83" s="51">
        <f>IF(AQ83="7",BI83,0)</f>
        <v>0</v>
      </c>
      <c r="AF83" s="51">
        <f>IF(AQ83="2",BH83,0)</f>
        <v>0</v>
      </c>
      <c r="AG83" s="51">
        <f>IF(AQ83="2",BI83,0)</f>
        <v>0</v>
      </c>
      <c r="AH83" s="51">
        <f>IF(AQ83="0",BJ83,0)</f>
        <v>0</v>
      </c>
      <c r="AI83" s="35" t="s">
        <v>4</v>
      </c>
      <c r="AJ83" s="51">
        <f>IF(AN83=0,H83,0)</f>
        <v>0</v>
      </c>
      <c r="AK83" s="51">
        <f>IF(AN83=12,H83,0)</f>
        <v>0</v>
      </c>
      <c r="AL83" s="51">
        <f>IF(AN83=21,H83,0)</f>
        <v>0</v>
      </c>
      <c r="AN83" s="51">
        <v>12</v>
      </c>
      <c r="AO83" s="51">
        <f>G83*0.539125605</f>
        <v>0</v>
      </c>
      <c r="AP83" s="51">
        <f>G83*(1-0.539125605)</f>
        <v>0</v>
      </c>
      <c r="AQ83" s="53" t="s">
        <v>111</v>
      </c>
      <c r="AV83" s="51">
        <f>AW83+AX83</f>
        <v>0</v>
      </c>
      <c r="AW83" s="51">
        <f>F83*AO83</f>
        <v>0</v>
      </c>
      <c r="AX83" s="51">
        <f>F83*AP83</f>
        <v>0</v>
      </c>
      <c r="AY83" s="53" t="s">
        <v>240</v>
      </c>
      <c r="AZ83" s="53" t="s">
        <v>147</v>
      </c>
      <c r="BA83" s="35" t="s">
        <v>117</v>
      </c>
      <c r="BC83" s="51">
        <f>AW83+AX83</f>
        <v>0</v>
      </c>
      <c r="BD83" s="51">
        <f>G83/(100-BE83)*100</f>
        <v>0</v>
      </c>
      <c r="BE83" s="51">
        <v>0</v>
      </c>
      <c r="BF83" s="51">
        <f>83</f>
        <v>83</v>
      </c>
      <c r="BH83" s="51">
        <f>F83*AO83</f>
        <v>0</v>
      </c>
      <c r="BI83" s="51">
        <f>F83*AP83</f>
        <v>0</v>
      </c>
      <c r="BJ83" s="51">
        <f>F83*G83</f>
        <v>0</v>
      </c>
      <c r="BK83" s="51"/>
      <c r="BL83" s="51">
        <v>63</v>
      </c>
      <c r="BW83" s="51">
        <v>12</v>
      </c>
      <c r="BX83" s="3" t="s">
        <v>246</v>
      </c>
    </row>
    <row r="84" spans="1:76">
      <c r="A84" s="47" t="s">
        <v>4</v>
      </c>
      <c r="B84" s="48" t="s">
        <v>247</v>
      </c>
      <c r="C84" s="150" t="s">
        <v>248</v>
      </c>
      <c r="D84" s="151"/>
      <c r="E84" s="49" t="s">
        <v>79</v>
      </c>
      <c r="F84" s="49" t="s">
        <v>79</v>
      </c>
      <c r="G84" s="50" t="s">
        <v>79</v>
      </c>
      <c r="H84" s="28">
        <f>SUM(H85:H91)</f>
        <v>0</v>
      </c>
      <c r="J84" s="41"/>
      <c r="AI84" s="35" t="s">
        <v>4</v>
      </c>
      <c r="AS84" s="28">
        <f>SUM(AJ85:AJ91)</f>
        <v>0</v>
      </c>
      <c r="AT84" s="28">
        <f>SUM(AK85:AK91)</f>
        <v>0</v>
      </c>
      <c r="AU84" s="28">
        <f>SUM(AL85:AL91)</f>
        <v>0</v>
      </c>
    </row>
    <row r="85" spans="1:76">
      <c r="A85" s="1" t="s">
        <v>249</v>
      </c>
      <c r="B85" s="2" t="s">
        <v>250</v>
      </c>
      <c r="C85" s="75" t="s">
        <v>251</v>
      </c>
      <c r="D85" s="70"/>
      <c r="E85" s="2" t="s">
        <v>252</v>
      </c>
      <c r="F85" s="51">
        <v>10</v>
      </c>
      <c r="G85" s="52">
        <v>0</v>
      </c>
      <c r="H85" s="51">
        <f>F85*G85</f>
        <v>0</v>
      </c>
      <c r="J85" s="41"/>
      <c r="Z85" s="51">
        <f>IF(AQ85="5",BJ85,0)</f>
        <v>0</v>
      </c>
      <c r="AB85" s="51">
        <f>IF(AQ85="1",BH85,0)</f>
        <v>0</v>
      </c>
      <c r="AC85" s="51">
        <f>IF(AQ85="1",BI85,0)</f>
        <v>0</v>
      </c>
      <c r="AD85" s="51">
        <f>IF(AQ85="7",BH85,0)</f>
        <v>0</v>
      </c>
      <c r="AE85" s="51">
        <f>IF(AQ85="7",BI85,0)</f>
        <v>0</v>
      </c>
      <c r="AF85" s="51">
        <f>IF(AQ85="2",BH85,0)</f>
        <v>0</v>
      </c>
      <c r="AG85" s="51">
        <f>IF(AQ85="2",BI85,0)</f>
        <v>0</v>
      </c>
      <c r="AH85" s="51">
        <f>IF(AQ85="0",BJ85,0)</f>
        <v>0</v>
      </c>
      <c r="AI85" s="35" t="s">
        <v>4</v>
      </c>
      <c r="AJ85" s="51">
        <f>IF(AN85=0,H85,0)</f>
        <v>0</v>
      </c>
      <c r="AK85" s="51">
        <f>IF(AN85=12,H85,0)</f>
        <v>0</v>
      </c>
      <c r="AL85" s="51">
        <f>IF(AN85=21,H85,0)</f>
        <v>0</v>
      </c>
      <c r="AN85" s="51">
        <v>12</v>
      </c>
      <c r="AO85" s="51">
        <f>G85*0</f>
        <v>0</v>
      </c>
      <c r="AP85" s="51">
        <f>G85*(1-0)</f>
        <v>0</v>
      </c>
      <c r="AQ85" s="53" t="s">
        <v>111</v>
      </c>
      <c r="AV85" s="51">
        <f>AW85+AX85</f>
        <v>0</v>
      </c>
      <c r="AW85" s="51">
        <f>F85*AO85</f>
        <v>0</v>
      </c>
      <c r="AX85" s="51">
        <f>F85*AP85</f>
        <v>0</v>
      </c>
      <c r="AY85" s="53" t="s">
        <v>253</v>
      </c>
      <c r="AZ85" s="53" t="s">
        <v>254</v>
      </c>
      <c r="BA85" s="35" t="s">
        <v>117</v>
      </c>
      <c r="BC85" s="51">
        <f>AW85+AX85</f>
        <v>0</v>
      </c>
      <c r="BD85" s="51">
        <f>G85/(100-BE85)*100</f>
        <v>0</v>
      </c>
      <c r="BE85" s="51">
        <v>0</v>
      </c>
      <c r="BF85" s="51">
        <f>85</f>
        <v>85</v>
      </c>
      <c r="BH85" s="51">
        <f>F85*AO85</f>
        <v>0</v>
      </c>
      <c r="BI85" s="51">
        <f>F85*AP85</f>
        <v>0</v>
      </c>
      <c r="BJ85" s="51">
        <f>F85*G85</f>
        <v>0</v>
      </c>
      <c r="BK85" s="51"/>
      <c r="BL85" s="51">
        <v>95</v>
      </c>
      <c r="BW85" s="51">
        <v>12</v>
      </c>
      <c r="BX85" s="3" t="s">
        <v>251</v>
      </c>
    </row>
    <row r="86" spans="1:76" ht="13.5" customHeight="1">
      <c r="A86" s="54"/>
      <c r="B86" s="55" t="s">
        <v>118</v>
      </c>
      <c r="C86" s="152" t="s">
        <v>255</v>
      </c>
      <c r="D86" s="153"/>
      <c r="E86" s="153"/>
      <c r="F86" s="153"/>
      <c r="G86" s="154"/>
      <c r="H86" s="153"/>
      <c r="I86" s="153"/>
      <c r="J86" s="155"/>
    </row>
    <row r="87" spans="1:76">
      <c r="A87" s="1" t="s">
        <v>256</v>
      </c>
      <c r="B87" s="2" t="s">
        <v>257</v>
      </c>
      <c r="C87" s="75" t="s">
        <v>258</v>
      </c>
      <c r="D87" s="70"/>
      <c r="E87" s="2" t="s">
        <v>259</v>
      </c>
      <c r="F87" s="51">
        <v>1</v>
      </c>
      <c r="G87" s="52">
        <v>0</v>
      </c>
      <c r="H87" s="51">
        <f>F87*G87</f>
        <v>0</v>
      </c>
      <c r="J87" s="41"/>
      <c r="Z87" s="51">
        <f>IF(AQ87="5",BJ87,0)</f>
        <v>0</v>
      </c>
      <c r="AB87" s="51">
        <f>IF(AQ87="1",BH87,0)</f>
        <v>0</v>
      </c>
      <c r="AC87" s="51">
        <f>IF(AQ87="1",BI87,0)</f>
        <v>0</v>
      </c>
      <c r="AD87" s="51">
        <f>IF(AQ87="7",BH87,0)</f>
        <v>0</v>
      </c>
      <c r="AE87" s="51">
        <f>IF(AQ87="7",BI87,0)</f>
        <v>0</v>
      </c>
      <c r="AF87" s="51">
        <f>IF(AQ87="2",BH87,0)</f>
        <v>0</v>
      </c>
      <c r="AG87" s="51">
        <f>IF(AQ87="2",BI87,0)</f>
        <v>0</v>
      </c>
      <c r="AH87" s="51">
        <f>IF(AQ87="0",BJ87,0)</f>
        <v>0</v>
      </c>
      <c r="AI87" s="35" t="s">
        <v>4</v>
      </c>
      <c r="AJ87" s="51">
        <f>IF(AN87=0,H87,0)</f>
        <v>0</v>
      </c>
      <c r="AK87" s="51">
        <f>IF(AN87=12,H87,0)</f>
        <v>0</v>
      </c>
      <c r="AL87" s="51">
        <f>IF(AN87=21,H87,0)</f>
        <v>0</v>
      </c>
      <c r="AN87" s="51">
        <v>12</v>
      </c>
      <c r="AO87" s="51">
        <f>G87*0</f>
        <v>0</v>
      </c>
      <c r="AP87" s="51">
        <f>G87*(1-0)</f>
        <v>0</v>
      </c>
      <c r="AQ87" s="53" t="s">
        <v>111</v>
      </c>
      <c r="AV87" s="51">
        <f>AW87+AX87</f>
        <v>0</v>
      </c>
      <c r="AW87" s="51">
        <f>F87*AO87</f>
        <v>0</v>
      </c>
      <c r="AX87" s="51">
        <f>F87*AP87</f>
        <v>0</v>
      </c>
      <c r="AY87" s="53" t="s">
        <v>253</v>
      </c>
      <c r="AZ87" s="53" t="s">
        <v>254</v>
      </c>
      <c r="BA87" s="35" t="s">
        <v>117</v>
      </c>
      <c r="BC87" s="51">
        <f>AW87+AX87</f>
        <v>0</v>
      </c>
      <c r="BD87" s="51">
        <f>G87/(100-BE87)*100</f>
        <v>0</v>
      </c>
      <c r="BE87" s="51">
        <v>0</v>
      </c>
      <c r="BF87" s="51">
        <f>87</f>
        <v>87</v>
      </c>
      <c r="BH87" s="51">
        <f>F87*AO87</f>
        <v>0</v>
      </c>
      <c r="BI87" s="51">
        <f>F87*AP87</f>
        <v>0</v>
      </c>
      <c r="BJ87" s="51">
        <f>F87*G87</f>
        <v>0</v>
      </c>
      <c r="BK87" s="51"/>
      <c r="BL87" s="51">
        <v>95</v>
      </c>
      <c r="BW87" s="51">
        <v>12</v>
      </c>
      <c r="BX87" s="3" t="s">
        <v>258</v>
      </c>
    </row>
    <row r="88" spans="1:76">
      <c r="A88" s="1" t="s">
        <v>260</v>
      </c>
      <c r="B88" s="2" t="s">
        <v>261</v>
      </c>
      <c r="C88" s="75" t="s">
        <v>262</v>
      </c>
      <c r="D88" s="70"/>
      <c r="E88" s="2" t="s">
        <v>124</v>
      </c>
      <c r="F88" s="51">
        <v>30</v>
      </c>
      <c r="G88" s="52">
        <v>0</v>
      </c>
      <c r="H88" s="51">
        <f>F88*G88</f>
        <v>0</v>
      </c>
      <c r="J88" s="41"/>
      <c r="Z88" s="51">
        <f>IF(AQ88="5",BJ88,0)</f>
        <v>0</v>
      </c>
      <c r="AB88" s="51">
        <f>IF(AQ88="1",BH88,0)</f>
        <v>0</v>
      </c>
      <c r="AC88" s="51">
        <f>IF(AQ88="1",BI88,0)</f>
        <v>0</v>
      </c>
      <c r="AD88" s="51">
        <f>IF(AQ88="7",BH88,0)</f>
        <v>0</v>
      </c>
      <c r="AE88" s="51">
        <f>IF(AQ88="7",BI88,0)</f>
        <v>0</v>
      </c>
      <c r="AF88" s="51">
        <f>IF(AQ88="2",BH88,0)</f>
        <v>0</v>
      </c>
      <c r="AG88" s="51">
        <f>IF(AQ88="2",BI88,0)</f>
        <v>0</v>
      </c>
      <c r="AH88" s="51">
        <f>IF(AQ88="0",BJ88,0)</f>
        <v>0</v>
      </c>
      <c r="AI88" s="35" t="s">
        <v>4</v>
      </c>
      <c r="AJ88" s="51">
        <f>IF(AN88=0,H88,0)</f>
        <v>0</v>
      </c>
      <c r="AK88" s="51">
        <f>IF(AN88=12,H88,0)</f>
        <v>0</v>
      </c>
      <c r="AL88" s="51">
        <f>IF(AN88=21,H88,0)</f>
        <v>0</v>
      </c>
      <c r="AN88" s="51">
        <v>12</v>
      </c>
      <c r="AO88" s="51">
        <f>G88*0.016056338</f>
        <v>0</v>
      </c>
      <c r="AP88" s="51">
        <f>G88*(1-0.016056338)</f>
        <v>0</v>
      </c>
      <c r="AQ88" s="53" t="s">
        <v>111</v>
      </c>
      <c r="AV88" s="51">
        <f>AW88+AX88</f>
        <v>0</v>
      </c>
      <c r="AW88" s="51">
        <f>F88*AO88</f>
        <v>0</v>
      </c>
      <c r="AX88" s="51">
        <f>F88*AP88</f>
        <v>0</v>
      </c>
      <c r="AY88" s="53" t="s">
        <v>253</v>
      </c>
      <c r="AZ88" s="53" t="s">
        <v>254</v>
      </c>
      <c r="BA88" s="35" t="s">
        <v>117</v>
      </c>
      <c r="BC88" s="51">
        <f>AW88+AX88</f>
        <v>0</v>
      </c>
      <c r="BD88" s="51">
        <f>G88/(100-BE88)*100</f>
        <v>0</v>
      </c>
      <c r="BE88" s="51">
        <v>0</v>
      </c>
      <c r="BF88" s="51">
        <f>88</f>
        <v>88</v>
      </c>
      <c r="BH88" s="51">
        <f>F88*AO88</f>
        <v>0</v>
      </c>
      <c r="BI88" s="51">
        <f>F88*AP88</f>
        <v>0</v>
      </c>
      <c r="BJ88" s="51">
        <f>F88*G88</f>
        <v>0</v>
      </c>
      <c r="BK88" s="51"/>
      <c r="BL88" s="51">
        <v>95</v>
      </c>
      <c r="BW88" s="51">
        <v>12</v>
      </c>
      <c r="BX88" s="3" t="s">
        <v>262</v>
      </c>
    </row>
    <row r="89" spans="1:76">
      <c r="A89" s="1" t="s">
        <v>263</v>
      </c>
      <c r="B89" s="2" t="s">
        <v>264</v>
      </c>
      <c r="C89" s="75" t="s">
        <v>265</v>
      </c>
      <c r="D89" s="70"/>
      <c r="E89" s="2" t="s">
        <v>114</v>
      </c>
      <c r="F89" s="51">
        <v>1</v>
      </c>
      <c r="G89" s="52">
        <v>0</v>
      </c>
      <c r="H89" s="51">
        <f>F89*G89</f>
        <v>0</v>
      </c>
      <c r="J89" s="41"/>
      <c r="Z89" s="51">
        <f>IF(AQ89="5",BJ89,0)</f>
        <v>0</v>
      </c>
      <c r="AB89" s="51">
        <f>IF(AQ89="1",BH89,0)</f>
        <v>0</v>
      </c>
      <c r="AC89" s="51">
        <f>IF(AQ89="1",BI89,0)</f>
        <v>0</v>
      </c>
      <c r="AD89" s="51">
        <f>IF(AQ89="7",BH89,0)</f>
        <v>0</v>
      </c>
      <c r="AE89" s="51">
        <f>IF(AQ89="7",BI89,0)</f>
        <v>0</v>
      </c>
      <c r="AF89" s="51">
        <f>IF(AQ89="2",BH89,0)</f>
        <v>0</v>
      </c>
      <c r="AG89" s="51">
        <f>IF(AQ89="2",BI89,0)</f>
        <v>0</v>
      </c>
      <c r="AH89" s="51">
        <f>IF(AQ89="0",BJ89,0)</f>
        <v>0</v>
      </c>
      <c r="AI89" s="35" t="s">
        <v>4</v>
      </c>
      <c r="AJ89" s="51">
        <f>IF(AN89=0,H89,0)</f>
        <v>0</v>
      </c>
      <c r="AK89" s="51">
        <f>IF(AN89=12,H89,0)</f>
        <v>0</v>
      </c>
      <c r="AL89" s="51">
        <f>IF(AN89=21,H89,0)</f>
        <v>0</v>
      </c>
      <c r="AN89" s="51">
        <v>12</v>
      </c>
      <c r="AO89" s="51">
        <f>G89*0.904482759</f>
        <v>0</v>
      </c>
      <c r="AP89" s="51">
        <f>G89*(1-0.904482759)</f>
        <v>0</v>
      </c>
      <c r="AQ89" s="53" t="s">
        <v>111</v>
      </c>
      <c r="AV89" s="51">
        <f>AW89+AX89</f>
        <v>0</v>
      </c>
      <c r="AW89" s="51">
        <f>F89*AO89</f>
        <v>0</v>
      </c>
      <c r="AX89" s="51">
        <f>F89*AP89</f>
        <v>0</v>
      </c>
      <c r="AY89" s="53" t="s">
        <v>253</v>
      </c>
      <c r="AZ89" s="53" t="s">
        <v>254</v>
      </c>
      <c r="BA89" s="35" t="s">
        <v>117</v>
      </c>
      <c r="BC89" s="51">
        <f>AW89+AX89</f>
        <v>0</v>
      </c>
      <c r="BD89" s="51">
        <f>G89/(100-BE89)*100</f>
        <v>0</v>
      </c>
      <c r="BE89" s="51">
        <v>0</v>
      </c>
      <c r="BF89" s="51">
        <f>89</f>
        <v>89</v>
      </c>
      <c r="BH89" s="51">
        <f>F89*AO89</f>
        <v>0</v>
      </c>
      <c r="BI89" s="51">
        <f>F89*AP89</f>
        <v>0</v>
      </c>
      <c r="BJ89" s="51">
        <f>F89*G89</f>
        <v>0</v>
      </c>
      <c r="BK89" s="51"/>
      <c r="BL89" s="51">
        <v>95</v>
      </c>
      <c r="BW89" s="51">
        <v>12</v>
      </c>
      <c r="BX89" s="3" t="s">
        <v>265</v>
      </c>
    </row>
    <row r="90" spans="1:76" ht="13.5" customHeight="1">
      <c r="A90" s="54"/>
      <c r="B90" s="55" t="s">
        <v>118</v>
      </c>
      <c r="C90" s="152" t="s">
        <v>266</v>
      </c>
      <c r="D90" s="153"/>
      <c r="E90" s="153"/>
      <c r="F90" s="153"/>
      <c r="G90" s="154"/>
      <c r="H90" s="153"/>
      <c r="I90" s="153"/>
      <c r="J90" s="155"/>
    </row>
    <row r="91" spans="1:76">
      <c r="A91" s="1" t="s">
        <v>267</v>
      </c>
      <c r="B91" s="2" t="s">
        <v>268</v>
      </c>
      <c r="C91" s="75" t="s">
        <v>269</v>
      </c>
      <c r="D91" s="70"/>
      <c r="E91" s="2" t="s">
        <v>270</v>
      </c>
      <c r="F91" s="51">
        <v>5</v>
      </c>
      <c r="G91" s="52">
        <v>0</v>
      </c>
      <c r="H91" s="51">
        <f>F91*G91</f>
        <v>0</v>
      </c>
      <c r="J91" s="41"/>
      <c r="Z91" s="51">
        <f>IF(AQ91="5",BJ91,0)</f>
        <v>0</v>
      </c>
      <c r="AB91" s="51">
        <f>IF(AQ91="1",BH91,0)</f>
        <v>0</v>
      </c>
      <c r="AC91" s="51">
        <f>IF(AQ91="1",BI91,0)</f>
        <v>0</v>
      </c>
      <c r="AD91" s="51">
        <f>IF(AQ91="7",BH91,0)</f>
        <v>0</v>
      </c>
      <c r="AE91" s="51">
        <f>IF(AQ91="7",BI91,0)</f>
        <v>0</v>
      </c>
      <c r="AF91" s="51">
        <f>IF(AQ91="2",BH91,0)</f>
        <v>0</v>
      </c>
      <c r="AG91" s="51">
        <f>IF(AQ91="2",BI91,0)</f>
        <v>0</v>
      </c>
      <c r="AH91" s="51">
        <f>IF(AQ91="0",BJ91,0)</f>
        <v>0</v>
      </c>
      <c r="AI91" s="35" t="s">
        <v>4</v>
      </c>
      <c r="AJ91" s="51">
        <f>IF(AN91=0,H91,0)</f>
        <v>0</v>
      </c>
      <c r="AK91" s="51">
        <f>IF(AN91=12,H91,0)</f>
        <v>0</v>
      </c>
      <c r="AL91" s="51">
        <f>IF(AN91=21,H91,0)</f>
        <v>0</v>
      </c>
      <c r="AN91" s="51">
        <v>12</v>
      </c>
      <c r="AO91" s="51">
        <f>G91*0</f>
        <v>0</v>
      </c>
      <c r="AP91" s="51">
        <f>G91*(1-0)</f>
        <v>0</v>
      </c>
      <c r="AQ91" s="53" t="s">
        <v>111</v>
      </c>
      <c r="AV91" s="51">
        <f>AW91+AX91</f>
        <v>0</v>
      </c>
      <c r="AW91" s="51">
        <f>F91*AO91</f>
        <v>0</v>
      </c>
      <c r="AX91" s="51">
        <f>F91*AP91</f>
        <v>0</v>
      </c>
      <c r="AY91" s="53" t="s">
        <v>253</v>
      </c>
      <c r="AZ91" s="53" t="s">
        <v>254</v>
      </c>
      <c r="BA91" s="35" t="s">
        <v>117</v>
      </c>
      <c r="BC91" s="51">
        <f>AW91+AX91</f>
        <v>0</v>
      </c>
      <c r="BD91" s="51">
        <f>G91/(100-BE91)*100</f>
        <v>0</v>
      </c>
      <c r="BE91" s="51">
        <v>0</v>
      </c>
      <c r="BF91" s="51">
        <f>91</f>
        <v>91</v>
      </c>
      <c r="BH91" s="51">
        <f>F91*AO91</f>
        <v>0</v>
      </c>
      <c r="BI91" s="51">
        <f>F91*AP91</f>
        <v>0</v>
      </c>
      <c r="BJ91" s="51">
        <f>F91*G91</f>
        <v>0</v>
      </c>
      <c r="BK91" s="51"/>
      <c r="BL91" s="51">
        <v>95</v>
      </c>
      <c r="BW91" s="51">
        <v>12</v>
      </c>
      <c r="BX91" s="3" t="s">
        <v>269</v>
      </c>
    </row>
    <row r="92" spans="1:76">
      <c r="A92" s="54"/>
      <c r="C92" s="56" t="s">
        <v>137</v>
      </c>
      <c r="D92" s="57" t="s">
        <v>271</v>
      </c>
      <c r="F92" s="58">
        <v>5</v>
      </c>
      <c r="J92" s="41"/>
    </row>
    <row r="93" spans="1:76">
      <c r="A93" s="47" t="s">
        <v>4</v>
      </c>
      <c r="B93" s="48" t="s">
        <v>272</v>
      </c>
      <c r="C93" s="150" t="s">
        <v>273</v>
      </c>
      <c r="D93" s="151"/>
      <c r="E93" s="49" t="s">
        <v>79</v>
      </c>
      <c r="F93" s="49" t="s">
        <v>79</v>
      </c>
      <c r="G93" s="50" t="s">
        <v>79</v>
      </c>
      <c r="H93" s="28">
        <f>SUM(H94:H135)</f>
        <v>0</v>
      </c>
      <c r="J93" s="41"/>
      <c r="AI93" s="35" t="s">
        <v>4</v>
      </c>
      <c r="AS93" s="28">
        <f>SUM(AJ94:AJ135)</f>
        <v>0</v>
      </c>
      <c r="AT93" s="28">
        <f>SUM(AK94:AK135)</f>
        <v>0</v>
      </c>
      <c r="AU93" s="28">
        <f>SUM(AL94:AL135)</f>
        <v>0</v>
      </c>
    </row>
    <row r="94" spans="1:76">
      <c r="A94" s="1" t="s">
        <v>274</v>
      </c>
      <c r="B94" s="2" t="s">
        <v>275</v>
      </c>
      <c r="C94" s="75" t="s">
        <v>276</v>
      </c>
      <c r="D94" s="70"/>
      <c r="E94" s="2" t="s">
        <v>124</v>
      </c>
      <c r="F94" s="51">
        <v>12.387</v>
      </c>
      <c r="G94" s="52">
        <v>0</v>
      </c>
      <c r="H94" s="51">
        <f>F94*G94</f>
        <v>0</v>
      </c>
      <c r="J94" s="41"/>
      <c r="Z94" s="51">
        <f>IF(AQ94="5",BJ94,0)</f>
        <v>0</v>
      </c>
      <c r="AB94" s="51">
        <f>IF(AQ94="1",BH94,0)</f>
        <v>0</v>
      </c>
      <c r="AC94" s="51">
        <f>IF(AQ94="1",BI94,0)</f>
        <v>0</v>
      </c>
      <c r="AD94" s="51">
        <f>IF(AQ94="7",BH94,0)</f>
        <v>0</v>
      </c>
      <c r="AE94" s="51">
        <f>IF(AQ94="7",BI94,0)</f>
        <v>0</v>
      </c>
      <c r="AF94" s="51">
        <f>IF(AQ94="2",BH94,0)</f>
        <v>0</v>
      </c>
      <c r="AG94" s="51">
        <f>IF(AQ94="2",BI94,0)</f>
        <v>0</v>
      </c>
      <c r="AH94" s="51">
        <f>IF(AQ94="0",BJ94,0)</f>
        <v>0</v>
      </c>
      <c r="AI94" s="35" t="s">
        <v>4</v>
      </c>
      <c r="AJ94" s="51">
        <f>IF(AN94=0,H94,0)</f>
        <v>0</v>
      </c>
      <c r="AK94" s="51">
        <f>IF(AN94=12,H94,0)</f>
        <v>0</v>
      </c>
      <c r="AL94" s="51">
        <f>IF(AN94=21,H94,0)</f>
        <v>0</v>
      </c>
      <c r="AN94" s="51">
        <v>12</v>
      </c>
      <c r="AO94" s="51">
        <f>G94*0.105032756</f>
        <v>0</v>
      </c>
      <c r="AP94" s="51">
        <f>G94*(1-0.105032756)</f>
        <v>0</v>
      </c>
      <c r="AQ94" s="53" t="s">
        <v>111</v>
      </c>
      <c r="AV94" s="51">
        <f>AW94+AX94</f>
        <v>0</v>
      </c>
      <c r="AW94" s="51">
        <f>F94*AO94</f>
        <v>0</v>
      </c>
      <c r="AX94" s="51">
        <f>F94*AP94</f>
        <v>0</v>
      </c>
      <c r="AY94" s="53" t="s">
        <v>277</v>
      </c>
      <c r="AZ94" s="53" t="s">
        <v>254</v>
      </c>
      <c r="BA94" s="35" t="s">
        <v>117</v>
      </c>
      <c r="BC94" s="51">
        <f>AW94+AX94</f>
        <v>0</v>
      </c>
      <c r="BD94" s="51">
        <f>G94/(100-BE94)*100</f>
        <v>0</v>
      </c>
      <c r="BE94" s="51">
        <v>0</v>
      </c>
      <c r="BF94" s="51">
        <f>94</f>
        <v>94</v>
      </c>
      <c r="BH94" s="51">
        <f>F94*AO94</f>
        <v>0</v>
      </c>
      <c r="BI94" s="51">
        <f>F94*AP94</f>
        <v>0</v>
      </c>
      <c r="BJ94" s="51">
        <f>F94*G94</f>
        <v>0</v>
      </c>
      <c r="BK94" s="51"/>
      <c r="BL94" s="51">
        <v>96</v>
      </c>
      <c r="BW94" s="51">
        <v>12</v>
      </c>
      <c r="BX94" s="3" t="s">
        <v>276</v>
      </c>
    </row>
    <row r="95" spans="1:76">
      <c r="A95" s="54"/>
      <c r="C95" s="56" t="s">
        <v>125</v>
      </c>
      <c r="D95" s="57" t="s">
        <v>4</v>
      </c>
      <c r="F95" s="58">
        <v>15.587</v>
      </c>
      <c r="J95" s="41"/>
    </row>
    <row r="96" spans="1:76">
      <c r="A96" s="54"/>
      <c r="C96" s="56" t="s">
        <v>126</v>
      </c>
      <c r="D96" s="57" t="s">
        <v>4</v>
      </c>
      <c r="F96" s="58">
        <v>-3.2</v>
      </c>
      <c r="J96" s="41"/>
    </row>
    <row r="97" spans="1:76">
      <c r="A97" s="1" t="s">
        <v>278</v>
      </c>
      <c r="B97" s="2" t="s">
        <v>279</v>
      </c>
      <c r="C97" s="75" t="s">
        <v>280</v>
      </c>
      <c r="D97" s="70"/>
      <c r="E97" s="2" t="s">
        <v>114</v>
      </c>
      <c r="F97" s="51">
        <v>4</v>
      </c>
      <c r="G97" s="52">
        <v>0</v>
      </c>
      <c r="H97" s="51">
        <f>F97*G97</f>
        <v>0</v>
      </c>
      <c r="J97" s="41"/>
      <c r="Z97" s="51">
        <f>IF(AQ97="5",BJ97,0)</f>
        <v>0</v>
      </c>
      <c r="AB97" s="51">
        <f>IF(AQ97="1",BH97,0)</f>
        <v>0</v>
      </c>
      <c r="AC97" s="51">
        <f>IF(AQ97="1",BI97,0)</f>
        <v>0</v>
      </c>
      <c r="AD97" s="51">
        <f>IF(AQ97="7",BH97,0)</f>
        <v>0</v>
      </c>
      <c r="AE97" s="51">
        <f>IF(AQ97="7",BI97,0)</f>
        <v>0</v>
      </c>
      <c r="AF97" s="51">
        <f>IF(AQ97="2",BH97,0)</f>
        <v>0</v>
      </c>
      <c r="AG97" s="51">
        <f>IF(AQ97="2",BI97,0)</f>
        <v>0</v>
      </c>
      <c r="AH97" s="51">
        <f>IF(AQ97="0",BJ97,0)</f>
        <v>0</v>
      </c>
      <c r="AI97" s="35" t="s">
        <v>4</v>
      </c>
      <c r="AJ97" s="51">
        <f>IF(AN97=0,H97,0)</f>
        <v>0</v>
      </c>
      <c r="AK97" s="51">
        <f>IF(AN97=12,H97,0)</f>
        <v>0</v>
      </c>
      <c r="AL97" s="51">
        <f>IF(AN97=21,H97,0)</f>
        <v>0</v>
      </c>
      <c r="AN97" s="51">
        <v>12</v>
      </c>
      <c r="AO97" s="51">
        <f>G97*0</f>
        <v>0</v>
      </c>
      <c r="AP97" s="51">
        <f>G97*(1-0)</f>
        <v>0</v>
      </c>
      <c r="AQ97" s="53" t="s">
        <v>111</v>
      </c>
      <c r="AV97" s="51">
        <f>AW97+AX97</f>
        <v>0</v>
      </c>
      <c r="AW97" s="51">
        <f>F97*AO97</f>
        <v>0</v>
      </c>
      <c r="AX97" s="51">
        <f>F97*AP97</f>
        <v>0</v>
      </c>
      <c r="AY97" s="53" t="s">
        <v>277</v>
      </c>
      <c r="AZ97" s="53" t="s">
        <v>254</v>
      </c>
      <c r="BA97" s="35" t="s">
        <v>117</v>
      </c>
      <c r="BC97" s="51">
        <f>AW97+AX97</f>
        <v>0</v>
      </c>
      <c r="BD97" s="51">
        <f>G97/(100-BE97)*100</f>
        <v>0</v>
      </c>
      <c r="BE97" s="51">
        <v>0</v>
      </c>
      <c r="BF97" s="51">
        <f>97</f>
        <v>97</v>
      </c>
      <c r="BH97" s="51">
        <f>F97*AO97</f>
        <v>0</v>
      </c>
      <c r="BI97" s="51">
        <f>F97*AP97</f>
        <v>0</v>
      </c>
      <c r="BJ97" s="51">
        <f>F97*G97</f>
        <v>0</v>
      </c>
      <c r="BK97" s="51"/>
      <c r="BL97" s="51">
        <v>96</v>
      </c>
      <c r="BW97" s="51">
        <v>12</v>
      </c>
      <c r="BX97" s="3" t="s">
        <v>280</v>
      </c>
    </row>
    <row r="98" spans="1:76">
      <c r="A98" s="54"/>
      <c r="C98" s="56" t="s">
        <v>127</v>
      </c>
      <c r="D98" s="57" t="s">
        <v>281</v>
      </c>
      <c r="F98" s="58">
        <v>3</v>
      </c>
      <c r="J98" s="41"/>
    </row>
    <row r="99" spans="1:76">
      <c r="A99" s="54"/>
      <c r="C99" s="56" t="s">
        <v>111</v>
      </c>
      <c r="D99" s="57" t="s">
        <v>282</v>
      </c>
      <c r="F99" s="58">
        <v>1</v>
      </c>
      <c r="J99" s="41"/>
    </row>
    <row r="100" spans="1:76">
      <c r="A100" s="1" t="s">
        <v>283</v>
      </c>
      <c r="B100" s="2" t="s">
        <v>284</v>
      </c>
      <c r="C100" s="75" t="s">
        <v>285</v>
      </c>
      <c r="D100" s="70"/>
      <c r="E100" s="2" t="s">
        <v>124</v>
      </c>
      <c r="F100" s="51">
        <v>6.98</v>
      </c>
      <c r="G100" s="52">
        <v>0</v>
      </c>
      <c r="H100" s="51">
        <f>F100*G100</f>
        <v>0</v>
      </c>
      <c r="J100" s="41"/>
      <c r="Z100" s="51">
        <f>IF(AQ100="5",BJ100,0)</f>
        <v>0</v>
      </c>
      <c r="AB100" s="51">
        <f>IF(AQ100="1",BH100,0)</f>
        <v>0</v>
      </c>
      <c r="AC100" s="51">
        <f>IF(AQ100="1",BI100,0)</f>
        <v>0</v>
      </c>
      <c r="AD100" s="51">
        <f>IF(AQ100="7",BH100,0)</f>
        <v>0</v>
      </c>
      <c r="AE100" s="51">
        <f>IF(AQ100="7",BI100,0)</f>
        <v>0</v>
      </c>
      <c r="AF100" s="51">
        <f>IF(AQ100="2",BH100,0)</f>
        <v>0</v>
      </c>
      <c r="AG100" s="51">
        <f>IF(AQ100="2",BI100,0)</f>
        <v>0</v>
      </c>
      <c r="AH100" s="51">
        <f>IF(AQ100="0",BJ100,0)</f>
        <v>0</v>
      </c>
      <c r="AI100" s="35" t="s">
        <v>4</v>
      </c>
      <c r="AJ100" s="51">
        <f>IF(AN100=0,H100,0)</f>
        <v>0</v>
      </c>
      <c r="AK100" s="51">
        <f>IF(AN100=12,H100,0)</f>
        <v>0</v>
      </c>
      <c r="AL100" s="51">
        <f>IF(AN100=21,H100,0)</f>
        <v>0</v>
      </c>
      <c r="AN100" s="51">
        <v>12</v>
      </c>
      <c r="AO100" s="51">
        <f>G100*0.073406522</f>
        <v>0</v>
      </c>
      <c r="AP100" s="51">
        <f>G100*(1-0.073406522)</f>
        <v>0</v>
      </c>
      <c r="AQ100" s="53" t="s">
        <v>111</v>
      </c>
      <c r="AV100" s="51">
        <f>AW100+AX100</f>
        <v>0</v>
      </c>
      <c r="AW100" s="51">
        <f>F100*AO100</f>
        <v>0</v>
      </c>
      <c r="AX100" s="51">
        <f>F100*AP100</f>
        <v>0</v>
      </c>
      <c r="AY100" s="53" t="s">
        <v>277</v>
      </c>
      <c r="AZ100" s="53" t="s">
        <v>254</v>
      </c>
      <c r="BA100" s="35" t="s">
        <v>117</v>
      </c>
      <c r="BC100" s="51">
        <f>AW100+AX100</f>
        <v>0</v>
      </c>
      <c r="BD100" s="51">
        <f>G100/(100-BE100)*100</f>
        <v>0</v>
      </c>
      <c r="BE100" s="51">
        <v>0</v>
      </c>
      <c r="BF100" s="51">
        <f>100</f>
        <v>100</v>
      </c>
      <c r="BH100" s="51">
        <f>F100*AO100</f>
        <v>0</v>
      </c>
      <c r="BI100" s="51">
        <f>F100*AP100</f>
        <v>0</v>
      </c>
      <c r="BJ100" s="51">
        <f>F100*G100</f>
        <v>0</v>
      </c>
      <c r="BK100" s="51"/>
      <c r="BL100" s="51">
        <v>96</v>
      </c>
      <c r="BW100" s="51">
        <v>12</v>
      </c>
      <c r="BX100" s="3" t="s">
        <v>285</v>
      </c>
    </row>
    <row r="101" spans="1:76">
      <c r="A101" s="54"/>
      <c r="C101" s="56" t="s">
        <v>286</v>
      </c>
      <c r="D101" s="57" t="s">
        <v>287</v>
      </c>
      <c r="F101" s="58">
        <v>3.2</v>
      </c>
      <c r="J101" s="41"/>
    </row>
    <row r="102" spans="1:76">
      <c r="A102" s="54"/>
      <c r="C102" s="56" t="s">
        <v>288</v>
      </c>
      <c r="D102" s="57" t="s">
        <v>190</v>
      </c>
      <c r="F102" s="58">
        <v>1.89</v>
      </c>
      <c r="J102" s="41"/>
    </row>
    <row r="103" spans="1:76">
      <c r="A103" s="54"/>
      <c r="C103" s="56" t="s">
        <v>288</v>
      </c>
      <c r="D103" s="57" t="s">
        <v>282</v>
      </c>
      <c r="F103" s="58">
        <v>1.89</v>
      </c>
      <c r="J103" s="41"/>
    </row>
    <row r="104" spans="1:76">
      <c r="A104" s="1" t="s">
        <v>289</v>
      </c>
      <c r="B104" s="2" t="s">
        <v>290</v>
      </c>
      <c r="C104" s="75" t="s">
        <v>291</v>
      </c>
      <c r="D104" s="70"/>
      <c r="E104" s="2" t="s">
        <v>124</v>
      </c>
      <c r="F104" s="51">
        <v>1.575</v>
      </c>
      <c r="G104" s="52">
        <v>0</v>
      </c>
      <c r="H104" s="51">
        <f>F104*G104</f>
        <v>0</v>
      </c>
      <c r="J104" s="41"/>
      <c r="Z104" s="51">
        <f>IF(AQ104="5",BJ104,0)</f>
        <v>0</v>
      </c>
      <c r="AB104" s="51">
        <f>IF(AQ104="1",BH104,0)</f>
        <v>0</v>
      </c>
      <c r="AC104" s="51">
        <f>IF(AQ104="1",BI104,0)</f>
        <v>0</v>
      </c>
      <c r="AD104" s="51">
        <f>IF(AQ104="7",BH104,0)</f>
        <v>0</v>
      </c>
      <c r="AE104" s="51">
        <f>IF(AQ104="7",BI104,0)</f>
        <v>0</v>
      </c>
      <c r="AF104" s="51">
        <f>IF(AQ104="2",BH104,0)</f>
        <v>0</v>
      </c>
      <c r="AG104" s="51">
        <f>IF(AQ104="2",BI104,0)</f>
        <v>0</v>
      </c>
      <c r="AH104" s="51">
        <f>IF(AQ104="0",BJ104,0)</f>
        <v>0</v>
      </c>
      <c r="AI104" s="35" t="s">
        <v>4</v>
      </c>
      <c r="AJ104" s="51">
        <f>IF(AN104=0,H104,0)</f>
        <v>0</v>
      </c>
      <c r="AK104" s="51">
        <f>IF(AN104=12,H104,0)</f>
        <v>0</v>
      </c>
      <c r="AL104" s="51">
        <f>IF(AN104=21,H104,0)</f>
        <v>0</v>
      </c>
      <c r="AN104" s="51">
        <v>12</v>
      </c>
      <c r="AO104" s="51">
        <f>G104*0</f>
        <v>0</v>
      </c>
      <c r="AP104" s="51">
        <f>G104*(1-0)</f>
        <v>0</v>
      </c>
      <c r="AQ104" s="53" t="s">
        <v>111</v>
      </c>
      <c r="AV104" s="51">
        <f>AW104+AX104</f>
        <v>0</v>
      </c>
      <c r="AW104" s="51">
        <f>F104*AO104</f>
        <v>0</v>
      </c>
      <c r="AX104" s="51">
        <f>F104*AP104</f>
        <v>0</v>
      </c>
      <c r="AY104" s="53" t="s">
        <v>277</v>
      </c>
      <c r="AZ104" s="53" t="s">
        <v>254</v>
      </c>
      <c r="BA104" s="35" t="s">
        <v>117</v>
      </c>
      <c r="BC104" s="51">
        <f>AW104+AX104</f>
        <v>0</v>
      </c>
      <c r="BD104" s="51">
        <f>G104/(100-BE104)*100</f>
        <v>0</v>
      </c>
      <c r="BE104" s="51">
        <v>0</v>
      </c>
      <c r="BF104" s="51">
        <f>104</f>
        <v>104</v>
      </c>
      <c r="BH104" s="51">
        <f>F104*AO104</f>
        <v>0</v>
      </c>
      <c r="BI104" s="51">
        <f>F104*AP104</f>
        <v>0</v>
      </c>
      <c r="BJ104" s="51">
        <f>F104*G104</f>
        <v>0</v>
      </c>
      <c r="BK104" s="51"/>
      <c r="BL104" s="51">
        <v>96</v>
      </c>
      <c r="BW104" s="51">
        <v>12</v>
      </c>
      <c r="BX104" s="3" t="s">
        <v>291</v>
      </c>
    </row>
    <row r="105" spans="1:76">
      <c r="A105" s="54"/>
      <c r="C105" s="56" t="s">
        <v>292</v>
      </c>
      <c r="D105" s="57" t="s">
        <v>190</v>
      </c>
      <c r="F105" s="58">
        <v>1.575</v>
      </c>
      <c r="J105" s="41"/>
    </row>
    <row r="106" spans="1:76">
      <c r="A106" s="1" t="s">
        <v>293</v>
      </c>
      <c r="B106" s="2" t="s">
        <v>294</v>
      </c>
      <c r="C106" s="75" t="s">
        <v>295</v>
      </c>
      <c r="D106" s="70"/>
      <c r="E106" s="2" t="s">
        <v>134</v>
      </c>
      <c r="F106" s="51">
        <v>3</v>
      </c>
      <c r="G106" s="52">
        <v>0</v>
      </c>
      <c r="H106" s="51">
        <f>F106*G106</f>
        <v>0</v>
      </c>
      <c r="J106" s="41"/>
      <c r="Z106" s="51">
        <f>IF(AQ106="5",BJ106,0)</f>
        <v>0</v>
      </c>
      <c r="AB106" s="51">
        <f>IF(AQ106="1",BH106,0)</f>
        <v>0</v>
      </c>
      <c r="AC106" s="51">
        <f>IF(AQ106="1",BI106,0)</f>
        <v>0</v>
      </c>
      <c r="AD106" s="51">
        <f>IF(AQ106="7",BH106,0)</f>
        <v>0</v>
      </c>
      <c r="AE106" s="51">
        <f>IF(AQ106="7",BI106,0)</f>
        <v>0</v>
      </c>
      <c r="AF106" s="51">
        <f>IF(AQ106="2",BH106,0)</f>
        <v>0</v>
      </c>
      <c r="AG106" s="51">
        <f>IF(AQ106="2",BI106,0)</f>
        <v>0</v>
      </c>
      <c r="AH106" s="51">
        <f>IF(AQ106="0",BJ106,0)</f>
        <v>0</v>
      </c>
      <c r="AI106" s="35" t="s">
        <v>4</v>
      </c>
      <c r="AJ106" s="51">
        <f>IF(AN106=0,H106,0)</f>
        <v>0</v>
      </c>
      <c r="AK106" s="51">
        <f>IF(AN106=12,H106,0)</f>
        <v>0</v>
      </c>
      <c r="AL106" s="51">
        <f>IF(AN106=21,H106,0)</f>
        <v>0</v>
      </c>
      <c r="AN106" s="51">
        <v>12</v>
      </c>
      <c r="AO106" s="51">
        <f>G106*0</f>
        <v>0</v>
      </c>
      <c r="AP106" s="51">
        <f>G106*(1-0)</f>
        <v>0</v>
      </c>
      <c r="AQ106" s="53" t="s">
        <v>111</v>
      </c>
      <c r="AV106" s="51">
        <f>AW106+AX106</f>
        <v>0</v>
      </c>
      <c r="AW106" s="51">
        <f>F106*AO106</f>
        <v>0</v>
      </c>
      <c r="AX106" s="51">
        <f>F106*AP106</f>
        <v>0</v>
      </c>
      <c r="AY106" s="53" t="s">
        <v>277</v>
      </c>
      <c r="AZ106" s="53" t="s">
        <v>254</v>
      </c>
      <c r="BA106" s="35" t="s">
        <v>117</v>
      </c>
      <c r="BC106" s="51">
        <f>AW106+AX106</f>
        <v>0</v>
      </c>
      <c r="BD106" s="51">
        <f>G106/(100-BE106)*100</f>
        <v>0</v>
      </c>
      <c r="BE106" s="51">
        <v>0</v>
      </c>
      <c r="BF106" s="51">
        <f>106</f>
        <v>106</v>
      </c>
      <c r="BH106" s="51">
        <f>F106*AO106</f>
        <v>0</v>
      </c>
      <c r="BI106" s="51">
        <f>F106*AP106</f>
        <v>0</v>
      </c>
      <c r="BJ106" s="51">
        <f>F106*G106</f>
        <v>0</v>
      </c>
      <c r="BK106" s="51"/>
      <c r="BL106" s="51">
        <v>96</v>
      </c>
      <c r="BW106" s="51">
        <v>12</v>
      </c>
      <c r="BX106" s="3" t="s">
        <v>295</v>
      </c>
    </row>
    <row r="107" spans="1:76">
      <c r="A107" s="54"/>
      <c r="C107" s="56" t="s">
        <v>182</v>
      </c>
      <c r="D107" s="57" t="s">
        <v>4</v>
      </c>
      <c r="F107" s="58">
        <v>3</v>
      </c>
      <c r="J107" s="41"/>
    </row>
    <row r="108" spans="1:76">
      <c r="A108" s="1" t="s">
        <v>109</v>
      </c>
      <c r="B108" s="2" t="s">
        <v>296</v>
      </c>
      <c r="C108" s="75" t="s">
        <v>297</v>
      </c>
      <c r="D108" s="70"/>
      <c r="E108" s="2" t="s">
        <v>124</v>
      </c>
      <c r="F108" s="51">
        <v>28.75</v>
      </c>
      <c r="G108" s="52">
        <v>0</v>
      </c>
      <c r="H108" s="51">
        <f>F108*G108</f>
        <v>0</v>
      </c>
      <c r="J108" s="41"/>
      <c r="Z108" s="51">
        <f>IF(AQ108="5",BJ108,0)</f>
        <v>0</v>
      </c>
      <c r="AB108" s="51">
        <f>IF(AQ108="1",BH108,0)</f>
        <v>0</v>
      </c>
      <c r="AC108" s="51">
        <f>IF(AQ108="1",BI108,0)</f>
        <v>0</v>
      </c>
      <c r="AD108" s="51">
        <f>IF(AQ108="7",BH108,0)</f>
        <v>0</v>
      </c>
      <c r="AE108" s="51">
        <f>IF(AQ108="7",BI108,0)</f>
        <v>0</v>
      </c>
      <c r="AF108" s="51">
        <f>IF(AQ108="2",BH108,0)</f>
        <v>0</v>
      </c>
      <c r="AG108" s="51">
        <f>IF(AQ108="2",BI108,0)</f>
        <v>0</v>
      </c>
      <c r="AH108" s="51">
        <f>IF(AQ108="0",BJ108,0)</f>
        <v>0</v>
      </c>
      <c r="AI108" s="35" t="s">
        <v>4</v>
      </c>
      <c r="AJ108" s="51">
        <f>IF(AN108=0,H108,0)</f>
        <v>0</v>
      </c>
      <c r="AK108" s="51">
        <f>IF(AN108=12,H108,0)</f>
        <v>0</v>
      </c>
      <c r="AL108" s="51">
        <f>IF(AN108=21,H108,0)</f>
        <v>0</v>
      </c>
      <c r="AN108" s="51">
        <v>12</v>
      </c>
      <c r="AO108" s="51">
        <f>G108*0</f>
        <v>0</v>
      </c>
      <c r="AP108" s="51">
        <f>G108*(1-0)</f>
        <v>0</v>
      </c>
      <c r="AQ108" s="53" t="s">
        <v>111</v>
      </c>
      <c r="AV108" s="51">
        <f>AW108+AX108</f>
        <v>0</v>
      </c>
      <c r="AW108" s="51">
        <f>F108*AO108</f>
        <v>0</v>
      </c>
      <c r="AX108" s="51">
        <f>F108*AP108</f>
        <v>0</v>
      </c>
      <c r="AY108" s="53" t="s">
        <v>277</v>
      </c>
      <c r="AZ108" s="53" t="s">
        <v>254</v>
      </c>
      <c r="BA108" s="35" t="s">
        <v>117</v>
      </c>
      <c r="BC108" s="51">
        <f>AW108+AX108</f>
        <v>0</v>
      </c>
      <c r="BD108" s="51">
        <f>G108/(100-BE108)*100</f>
        <v>0</v>
      </c>
      <c r="BE108" s="51">
        <v>0</v>
      </c>
      <c r="BF108" s="51">
        <f>108</f>
        <v>108</v>
      </c>
      <c r="BH108" s="51">
        <f>F108*AO108</f>
        <v>0</v>
      </c>
      <c r="BI108" s="51">
        <f>F108*AP108</f>
        <v>0</v>
      </c>
      <c r="BJ108" s="51">
        <f>F108*G108</f>
        <v>0</v>
      </c>
      <c r="BK108" s="51"/>
      <c r="BL108" s="51">
        <v>96</v>
      </c>
      <c r="BW108" s="51">
        <v>12</v>
      </c>
      <c r="BX108" s="3" t="s">
        <v>297</v>
      </c>
    </row>
    <row r="109" spans="1:76">
      <c r="A109" s="54"/>
      <c r="C109" s="56" t="s">
        <v>151</v>
      </c>
      <c r="D109" s="57" t="s">
        <v>4</v>
      </c>
      <c r="F109" s="58">
        <v>28.75</v>
      </c>
      <c r="J109" s="41"/>
    </row>
    <row r="110" spans="1:76">
      <c r="A110" s="1" t="s">
        <v>298</v>
      </c>
      <c r="B110" s="2" t="s">
        <v>299</v>
      </c>
      <c r="C110" s="75" t="s">
        <v>300</v>
      </c>
      <c r="D110" s="70"/>
      <c r="E110" s="2" t="s">
        <v>124</v>
      </c>
      <c r="F110" s="51">
        <v>67.259</v>
      </c>
      <c r="G110" s="52">
        <v>0</v>
      </c>
      <c r="H110" s="51">
        <f>F110*G110</f>
        <v>0</v>
      </c>
      <c r="J110" s="41"/>
      <c r="Z110" s="51">
        <f>IF(AQ110="5",BJ110,0)</f>
        <v>0</v>
      </c>
      <c r="AB110" s="51">
        <f>IF(AQ110="1",BH110,0)</f>
        <v>0</v>
      </c>
      <c r="AC110" s="51">
        <f>IF(AQ110="1",BI110,0)</f>
        <v>0</v>
      </c>
      <c r="AD110" s="51">
        <f>IF(AQ110="7",BH110,0)</f>
        <v>0</v>
      </c>
      <c r="AE110" s="51">
        <f>IF(AQ110="7",BI110,0)</f>
        <v>0</v>
      </c>
      <c r="AF110" s="51">
        <f>IF(AQ110="2",BH110,0)</f>
        <v>0</v>
      </c>
      <c r="AG110" s="51">
        <f>IF(AQ110="2",BI110,0)</f>
        <v>0</v>
      </c>
      <c r="AH110" s="51">
        <f>IF(AQ110="0",BJ110,0)</f>
        <v>0</v>
      </c>
      <c r="AI110" s="35" t="s">
        <v>4</v>
      </c>
      <c r="AJ110" s="51">
        <f>IF(AN110=0,H110,0)</f>
        <v>0</v>
      </c>
      <c r="AK110" s="51">
        <f>IF(AN110=12,H110,0)</f>
        <v>0</v>
      </c>
      <c r="AL110" s="51">
        <f>IF(AN110=21,H110,0)</f>
        <v>0</v>
      </c>
      <c r="AN110" s="51">
        <v>12</v>
      </c>
      <c r="AO110" s="51">
        <f>G110*0</f>
        <v>0</v>
      </c>
      <c r="AP110" s="51">
        <f>G110*(1-0)</f>
        <v>0</v>
      </c>
      <c r="AQ110" s="53" t="s">
        <v>111</v>
      </c>
      <c r="AV110" s="51">
        <f>AW110+AX110</f>
        <v>0</v>
      </c>
      <c r="AW110" s="51">
        <f>F110*AO110</f>
        <v>0</v>
      </c>
      <c r="AX110" s="51">
        <f>F110*AP110</f>
        <v>0</v>
      </c>
      <c r="AY110" s="53" t="s">
        <v>277</v>
      </c>
      <c r="AZ110" s="53" t="s">
        <v>254</v>
      </c>
      <c r="BA110" s="35" t="s">
        <v>117</v>
      </c>
      <c r="BC110" s="51">
        <f>AW110+AX110</f>
        <v>0</v>
      </c>
      <c r="BD110" s="51">
        <f>G110/(100-BE110)*100</f>
        <v>0</v>
      </c>
      <c r="BE110" s="51">
        <v>0</v>
      </c>
      <c r="BF110" s="51">
        <f>110</f>
        <v>110</v>
      </c>
      <c r="BH110" s="51">
        <f>F110*AO110</f>
        <v>0</v>
      </c>
      <c r="BI110" s="51">
        <f>F110*AP110</f>
        <v>0</v>
      </c>
      <c r="BJ110" s="51">
        <f>F110*G110</f>
        <v>0</v>
      </c>
      <c r="BK110" s="51"/>
      <c r="BL110" s="51">
        <v>96</v>
      </c>
      <c r="BW110" s="51">
        <v>12</v>
      </c>
      <c r="BX110" s="3" t="s">
        <v>300</v>
      </c>
    </row>
    <row r="111" spans="1:76">
      <c r="A111" s="54"/>
      <c r="C111" s="56" t="s">
        <v>213</v>
      </c>
      <c r="D111" s="57" t="s">
        <v>214</v>
      </c>
      <c r="F111" s="58">
        <v>13.114000000000001</v>
      </c>
      <c r="J111" s="41"/>
    </row>
    <row r="112" spans="1:76">
      <c r="A112" s="54"/>
      <c r="C112" s="56" t="s">
        <v>301</v>
      </c>
      <c r="D112" s="57" t="s">
        <v>190</v>
      </c>
      <c r="F112" s="58">
        <v>5.16</v>
      </c>
      <c r="J112" s="41"/>
    </row>
    <row r="113" spans="1:76">
      <c r="A113" s="54"/>
      <c r="C113" s="56" t="s">
        <v>302</v>
      </c>
      <c r="D113" s="57" t="s">
        <v>219</v>
      </c>
      <c r="F113" s="58">
        <v>18.190000000000001</v>
      </c>
      <c r="J113" s="41"/>
    </row>
    <row r="114" spans="1:76">
      <c r="A114" s="54"/>
      <c r="C114" s="56" t="s">
        <v>221</v>
      </c>
      <c r="D114" s="57" t="s">
        <v>222</v>
      </c>
      <c r="F114" s="58">
        <v>27.225000000000001</v>
      </c>
      <c r="J114" s="41"/>
    </row>
    <row r="115" spans="1:76">
      <c r="A115" s="54"/>
      <c r="C115" s="56" t="s">
        <v>226</v>
      </c>
      <c r="D115" s="57" t="s">
        <v>303</v>
      </c>
      <c r="F115" s="58">
        <v>1.68</v>
      </c>
      <c r="J115" s="41"/>
    </row>
    <row r="116" spans="1:76">
      <c r="A116" s="54"/>
      <c r="C116" s="56" t="s">
        <v>228</v>
      </c>
      <c r="D116" s="57" t="s">
        <v>4</v>
      </c>
      <c r="F116" s="58">
        <v>1.89</v>
      </c>
      <c r="J116" s="41"/>
    </row>
    <row r="117" spans="1:76">
      <c r="A117" s="1" t="s">
        <v>304</v>
      </c>
      <c r="B117" s="2" t="s">
        <v>305</v>
      </c>
      <c r="C117" s="75" t="s">
        <v>306</v>
      </c>
      <c r="D117" s="70"/>
      <c r="E117" s="2" t="s">
        <v>124</v>
      </c>
      <c r="F117" s="51">
        <v>10.17</v>
      </c>
      <c r="G117" s="52">
        <v>0</v>
      </c>
      <c r="H117" s="51">
        <f>F117*G117</f>
        <v>0</v>
      </c>
      <c r="J117" s="41"/>
      <c r="Z117" s="51">
        <f>IF(AQ117="5",BJ117,0)</f>
        <v>0</v>
      </c>
      <c r="AB117" s="51">
        <f>IF(AQ117="1",BH117,0)</f>
        <v>0</v>
      </c>
      <c r="AC117" s="51">
        <f>IF(AQ117="1",BI117,0)</f>
        <v>0</v>
      </c>
      <c r="AD117" s="51">
        <f>IF(AQ117="7",BH117,0)</f>
        <v>0</v>
      </c>
      <c r="AE117" s="51">
        <f>IF(AQ117="7",BI117,0)</f>
        <v>0</v>
      </c>
      <c r="AF117" s="51">
        <f>IF(AQ117="2",BH117,0)</f>
        <v>0</v>
      </c>
      <c r="AG117" s="51">
        <f>IF(AQ117="2",BI117,0)</f>
        <v>0</v>
      </c>
      <c r="AH117" s="51">
        <f>IF(AQ117="0",BJ117,0)</f>
        <v>0</v>
      </c>
      <c r="AI117" s="35" t="s">
        <v>4</v>
      </c>
      <c r="AJ117" s="51">
        <f>IF(AN117=0,H117,0)</f>
        <v>0</v>
      </c>
      <c r="AK117" s="51">
        <f>IF(AN117=12,H117,0)</f>
        <v>0</v>
      </c>
      <c r="AL117" s="51">
        <f>IF(AN117=21,H117,0)</f>
        <v>0</v>
      </c>
      <c r="AN117" s="51">
        <v>12</v>
      </c>
      <c r="AO117" s="51">
        <f>G117*0</f>
        <v>0</v>
      </c>
      <c r="AP117" s="51">
        <f>G117*(1-0)</f>
        <v>0</v>
      </c>
      <c r="AQ117" s="53" t="s">
        <v>111</v>
      </c>
      <c r="AV117" s="51">
        <f>AW117+AX117</f>
        <v>0</v>
      </c>
      <c r="AW117" s="51">
        <f>F117*AO117</f>
        <v>0</v>
      </c>
      <c r="AX117" s="51">
        <f>F117*AP117</f>
        <v>0</v>
      </c>
      <c r="AY117" s="53" t="s">
        <v>277</v>
      </c>
      <c r="AZ117" s="53" t="s">
        <v>254</v>
      </c>
      <c r="BA117" s="35" t="s">
        <v>117</v>
      </c>
      <c r="BC117" s="51">
        <f>AW117+AX117</f>
        <v>0</v>
      </c>
      <c r="BD117" s="51">
        <f>G117/(100-BE117)*100</f>
        <v>0</v>
      </c>
      <c r="BE117" s="51">
        <v>0</v>
      </c>
      <c r="BF117" s="51">
        <f>117</f>
        <v>117</v>
      </c>
      <c r="BH117" s="51">
        <f>F117*AO117</f>
        <v>0</v>
      </c>
      <c r="BI117" s="51">
        <f>F117*AP117</f>
        <v>0</v>
      </c>
      <c r="BJ117" s="51">
        <f>F117*G117</f>
        <v>0</v>
      </c>
      <c r="BK117" s="51"/>
      <c r="BL117" s="51">
        <v>96</v>
      </c>
      <c r="BW117" s="51">
        <v>12</v>
      </c>
      <c r="BX117" s="3" t="s">
        <v>306</v>
      </c>
    </row>
    <row r="118" spans="1:76">
      <c r="A118" s="54"/>
      <c r="C118" s="56" t="s">
        <v>307</v>
      </c>
      <c r="D118" s="57" t="s">
        <v>190</v>
      </c>
      <c r="F118" s="58">
        <v>10.17</v>
      </c>
      <c r="J118" s="41"/>
    </row>
    <row r="119" spans="1:76">
      <c r="A119" s="1" t="s">
        <v>308</v>
      </c>
      <c r="B119" s="2" t="s">
        <v>309</v>
      </c>
      <c r="C119" s="75" t="s">
        <v>310</v>
      </c>
      <c r="D119" s="70"/>
      <c r="E119" s="2" t="s">
        <v>124</v>
      </c>
      <c r="F119" s="51">
        <v>8.66</v>
      </c>
      <c r="G119" s="52">
        <v>0</v>
      </c>
      <c r="H119" s="51">
        <f>F119*G119</f>
        <v>0</v>
      </c>
      <c r="J119" s="41"/>
      <c r="Z119" s="51">
        <f>IF(AQ119="5",BJ119,0)</f>
        <v>0</v>
      </c>
      <c r="AB119" s="51">
        <f>IF(AQ119="1",BH119,0)</f>
        <v>0</v>
      </c>
      <c r="AC119" s="51">
        <f>IF(AQ119="1",BI119,0)</f>
        <v>0</v>
      </c>
      <c r="AD119" s="51">
        <f>IF(AQ119="7",BH119,0)</f>
        <v>0</v>
      </c>
      <c r="AE119" s="51">
        <f>IF(AQ119="7",BI119,0)</f>
        <v>0</v>
      </c>
      <c r="AF119" s="51">
        <f>IF(AQ119="2",BH119,0)</f>
        <v>0</v>
      </c>
      <c r="AG119" s="51">
        <f>IF(AQ119="2",BI119,0)</f>
        <v>0</v>
      </c>
      <c r="AH119" s="51">
        <f>IF(AQ119="0",BJ119,0)</f>
        <v>0</v>
      </c>
      <c r="AI119" s="35" t="s">
        <v>4</v>
      </c>
      <c r="AJ119" s="51">
        <f>IF(AN119=0,H119,0)</f>
        <v>0</v>
      </c>
      <c r="AK119" s="51">
        <f>IF(AN119=12,H119,0)</f>
        <v>0</v>
      </c>
      <c r="AL119" s="51">
        <f>IF(AN119=21,H119,0)</f>
        <v>0</v>
      </c>
      <c r="AN119" s="51">
        <v>12</v>
      </c>
      <c r="AO119" s="51">
        <f>G119*0</f>
        <v>0</v>
      </c>
      <c r="AP119" s="51">
        <f>G119*(1-0)</f>
        <v>0</v>
      </c>
      <c r="AQ119" s="53" t="s">
        <v>111</v>
      </c>
      <c r="AV119" s="51">
        <f>AW119+AX119</f>
        <v>0</v>
      </c>
      <c r="AW119" s="51">
        <f>F119*AO119</f>
        <v>0</v>
      </c>
      <c r="AX119" s="51">
        <f>F119*AP119</f>
        <v>0</v>
      </c>
      <c r="AY119" s="53" t="s">
        <v>277</v>
      </c>
      <c r="AZ119" s="53" t="s">
        <v>254</v>
      </c>
      <c r="BA119" s="35" t="s">
        <v>117</v>
      </c>
      <c r="BC119" s="51">
        <f>AW119+AX119</f>
        <v>0</v>
      </c>
      <c r="BD119" s="51">
        <f>G119/(100-BE119)*100</f>
        <v>0</v>
      </c>
      <c r="BE119" s="51">
        <v>0</v>
      </c>
      <c r="BF119" s="51">
        <f>119</f>
        <v>119</v>
      </c>
      <c r="BH119" s="51">
        <f>F119*AO119</f>
        <v>0</v>
      </c>
      <c r="BI119" s="51">
        <f>F119*AP119</f>
        <v>0</v>
      </c>
      <c r="BJ119" s="51">
        <f>F119*G119</f>
        <v>0</v>
      </c>
      <c r="BK119" s="51"/>
      <c r="BL119" s="51">
        <v>96</v>
      </c>
      <c r="BW119" s="51">
        <v>12</v>
      </c>
      <c r="BX119" s="3" t="s">
        <v>310</v>
      </c>
    </row>
    <row r="120" spans="1:76">
      <c r="A120" s="54"/>
      <c r="C120" s="56" t="s">
        <v>243</v>
      </c>
      <c r="D120" s="57" t="s">
        <v>219</v>
      </c>
      <c r="F120" s="58">
        <v>8.66</v>
      </c>
      <c r="J120" s="41"/>
    </row>
    <row r="121" spans="1:76">
      <c r="A121" s="1" t="s">
        <v>311</v>
      </c>
      <c r="B121" s="2" t="s">
        <v>312</v>
      </c>
      <c r="C121" s="75" t="s">
        <v>313</v>
      </c>
      <c r="D121" s="70"/>
      <c r="E121" s="2" t="s">
        <v>124</v>
      </c>
      <c r="F121" s="51">
        <v>14.53</v>
      </c>
      <c r="G121" s="52">
        <v>0</v>
      </c>
      <c r="H121" s="51">
        <f>F121*G121</f>
        <v>0</v>
      </c>
      <c r="J121" s="41"/>
      <c r="Z121" s="51">
        <f>IF(AQ121="5",BJ121,0)</f>
        <v>0</v>
      </c>
      <c r="AB121" s="51">
        <f>IF(AQ121="1",BH121,0)</f>
        <v>0</v>
      </c>
      <c r="AC121" s="51">
        <f>IF(AQ121="1",BI121,0)</f>
        <v>0</v>
      </c>
      <c r="AD121" s="51">
        <f>IF(AQ121="7",BH121,0)</f>
        <v>0</v>
      </c>
      <c r="AE121" s="51">
        <f>IF(AQ121="7",BI121,0)</f>
        <v>0</v>
      </c>
      <c r="AF121" s="51">
        <f>IF(AQ121="2",BH121,0)</f>
        <v>0</v>
      </c>
      <c r="AG121" s="51">
        <f>IF(AQ121="2",BI121,0)</f>
        <v>0</v>
      </c>
      <c r="AH121" s="51">
        <f>IF(AQ121="0",BJ121,0)</f>
        <v>0</v>
      </c>
      <c r="AI121" s="35" t="s">
        <v>4</v>
      </c>
      <c r="AJ121" s="51">
        <f>IF(AN121=0,H121,0)</f>
        <v>0</v>
      </c>
      <c r="AK121" s="51">
        <f>IF(AN121=12,H121,0)</f>
        <v>0</v>
      </c>
      <c r="AL121" s="51">
        <f>IF(AN121=21,H121,0)</f>
        <v>0</v>
      </c>
      <c r="AN121" s="51">
        <v>12</v>
      </c>
      <c r="AO121" s="51">
        <f>G121*0</f>
        <v>0</v>
      </c>
      <c r="AP121" s="51">
        <f>G121*(1-0)</f>
        <v>0</v>
      </c>
      <c r="AQ121" s="53" t="s">
        <v>111</v>
      </c>
      <c r="AV121" s="51">
        <f>AW121+AX121</f>
        <v>0</v>
      </c>
      <c r="AW121" s="51">
        <f>F121*AO121</f>
        <v>0</v>
      </c>
      <c r="AX121" s="51">
        <f>F121*AP121</f>
        <v>0</v>
      </c>
      <c r="AY121" s="53" t="s">
        <v>277</v>
      </c>
      <c r="AZ121" s="53" t="s">
        <v>254</v>
      </c>
      <c r="BA121" s="35" t="s">
        <v>117</v>
      </c>
      <c r="BC121" s="51">
        <f>AW121+AX121</f>
        <v>0</v>
      </c>
      <c r="BD121" s="51">
        <f>G121/(100-BE121)*100</f>
        <v>0</v>
      </c>
      <c r="BE121" s="51">
        <v>0</v>
      </c>
      <c r="BF121" s="51">
        <f>121</f>
        <v>121</v>
      </c>
      <c r="BH121" s="51">
        <f>F121*AO121</f>
        <v>0</v>
      </c>
      <c r="BI121" s="51">
        <f>F121*AP121</f>
        <v>0</v>
      </c>
      <c r="BJ121" s="51">
        <f>F121*G121</f>
        <v>0</v>
      </c>
      <c r="BK121" s="51"/>
      <c r="BL121" s="51">
        <v>96</v>
      </c>
      <c r="BW121" s="51">
        <v>12</v>
      </c>
      <c r="BX121" s="3" t="s">
        <v>313</v>
      </c>
    </row>
    <row r="122" spans="1:76" ht="13.5" customHeight="1">
      <c r="A122" s="54"/>
      <c r="B122" s="55" t="s">
        <v>118</v>
      </c>
      <c r="C122" s="152" t="s">
        <v>314</v>
      </c>
      <c r="D122" s="153"/>
      <c r="E122" s="153"/>
      <c r="F122" s="153"/>
      <c r="G122" s="154"/>
      <c r="H122" s="153"/>
      <c r="I122" s="153"/>
      <c r="J122" s="155"/>
    </row>
    <row r="123" spans="1:76">
      <c r="A123" s="54"/>
      <c r="C123" s="56" t="s">
        <v>242</v>
      </c>
      <c r="D123" s="57" t="s">
        <v>222</v>
      </c>
      <c r="F123" s="58">
        <v>14.53</v>
      </c>
      <c r="J123" s="41"/>
    </row>
    <row r="124" spans="1:76">
      <c r="A124" s="1" t="s">
        <v>315</v>
      </c>
      <c r="B124" s="2" t="s">
        <v>316</v>
      </c>
      <c r="C124" s="75" t="s">
        <v>317</v>
      </c>
      <c r="D124" s="70"/>
      <c r="E124" s="2" t="s">
        <v>318</v>
      </c>
      <c r="F124" s="51">
        <v>8.2230000000000008</v>
      </c>
      <c r="G124" s="52">
        <v>0</v>
      </c>
      <c r="H124" s="51">
        <f>F124*G124</f>
        <v>0</v>
      </c>
      <c r="J124" s="41"/>
      <c r="Z124" s="51">
        <f>IF(AQ124="5",BJ124,0)</f>
        <v>0</v>
      </c>
      <c r="AB124" s="51">
        <f>IF(AQ124="1",BH124,0)</f>
        <v>0</v>
      </c>
      <c r="AC124" s="51">
        <f>IF(AQ124="1",BI124,0)</f>
        <v>0</v>
      </c>
      <c r="AD124" s="51">
        <f>IF(AQ124="7",BH124,0)</f>
        <v>0</v>
      </c>
      <c r="AE124" s="51">
        <f>IF(AQ124="7",BI124,0)</f>
        <v>0</v>
      </c>
      <c r="AF124" s="51">
        <f>IF(AQ124="2",BH124,0)</f>
        <v>0</v>
      </c>
      <c r="AG124" s="51">
        <f>IF(AQ124="2",BI124,0)</f>
        <v>0</v>
      </c>
      <c r="AH124" s="51">
        <f>IF(AQ124="0",BJ124,0)</f>
        <v>0</v>
      </c>
      <c r="AI124" s="35" t="s">
        <v>4</v>
      </c>
      <c r="AJ124" s="51">
        <f>IF(AN124=0,H124,0)</f>
        <v>0</v>
      </c>
      <c r="AK124" s="51">
        <f>IF(AN124=12,H124,0)</f>
        <v>0</v>
      </c>
      <c r="AL124" s="51">
        <f>IF(AN124=21,H124,0)</f>
        <v>0</v>
      </c>
      <c r="AN124" s="51">
        <v>12</v>
      </c>
      <c r="AO124" s="51">
        <f>G124*0</f>
        <v>0</v>
      </c>
      <c r="AP124" s="51">
        <f>G124*(1-0)</f>
        <v>0</v>
      </c>
      <c r="AQ124" s="53" t="s">
        <v>137</v>
      </c>
      <c r="AV124" s="51">
        <f>AW124+AX124</f>
        <v>0</v>
      </c>
      <c r="AW124" s="51">
        <f>F124*AO124</f>
        <v>0</v>
      </c>
      <c r="AX124" s="51">
        <f>F124*AP124</f>
        <v>0</v>
      </c>
      <c r="AY124" s="53" t="s">
        <v>277</v>
      </c>
      <c r="AZ124" s="53" t="s">
        <v>254</v>
      </c>
      <c r="BA124" s="35" t="s">
        <v>117</v>
      </c>
      <c r="BC124" s="51">
        <f>AW124+AX124</f>
        <v>0</v>
      </c>
      <c r="BD124" s="51">
        <f>G124/(100-BE124)*100</f>
        <v>0</v>
      </c>
      <c r="BE124" s="51">
        <v>0</v>
      </c>
      <c r="BF124" s="51">
        <f>124</f>
        <v>124</v>
      </c>
      <c r="BH124" s="51">
        <f>F124*AO124</f>
        <v>0</v>
      </c>
      <c r="BI124" s="51">
        <f>F124*AP124</f>
        <v>0</v>
      </c>
      <c r="BJ124" s="51">
        <f>F124*G124</f>
        <v>0</v>
      </c>
      <c r="BK124" s="51"/>
      <c r="BL124" s="51">
        <v>96</v>
      </c>
      <c r="BW124" s="51">
        <v>12</v>
      </c>
      <c r="BX124" s="3" t="s">
        <v>317</v>
      </c>
    </row>
    <row r="125" spans="1:76">
      <c r="A125" s="1" t="s">
        <v>319</v>
      </c>
      <c r="B125" s="2" t="s">
        <v>320</v>
      </c>
      <c r="C125" s="75" t="s">
        <v>321</v>
      </c>
      <c r="D125" s="70"/>
      <c r="E125" s="2" t="s">
        <v>318</v>
      </c>
      <c r="F125" s="51">
        <v>16.446000000000002</v>
      </c>
      <c r="G125" s="52">
        <v>0</v>
      </c>
      <c r="H125" s="51">
        <f>F125*G125</f>
        <v>0</v>
      </c>
      <c r="J125" s="41"/>
      <c r="Z125" s="51">
        <f>IF(AQ125="5",BJ125,0)</f>
        <v>0</v>
      </c>
      <c r="AB125" s="51">
        <f>IF(AQ125="1",BH125,0)</f>
        <v>0</v>
      </c>
      <c r="AC125" s="51">
        <f>IF(AQ125="1",BI125,0)</f>
        <v>0</v>
      </c>
      <c r="AD125" s="51">
        <f>IF(AQ125="7",BH125,0)</f>
        <v>0</v>
      </c>
      <c r="AE125" s="51">
        <f>IF(AQ125="7",BI125,0)</f>
        <v>0</v>
      </c>
      <c r="AF125" s="51">
        <f>IF(AQ125="2",BH125,0)</f>
        <v>0</v>
      </c>
      <c r="AG125" s="51">
        <f>IF(AQ125="2",BI125,0)</f>
        <v>0</v>
      </c>
      <c r="AH125" s="51">
        <f>IF(AQ125="0",BJ125,0)</f>
        <v>0</v>
      </c>
      <c r="AI125" s="35" t="s">
        <v>4</v>
      </c>
      <c r="AJ125" s="51">
        <f>IF(AN125=0,H125,0)</f>
        <v>0</v>
      </c>
      <c r="AK125" s="51">
        <f>IF(AN125=12,H125,0)</f>
        <v>0</v>
      </c>
      <c r="AL125" s="51">
        <f>IF(AN125=21,H125,0)</f>
        <v>0</v>
      </c>
      <c r="AN125" s="51">
        <v>12</v>
      </c>
      <c r="AO125" s="51">
        <f>G125*0</f>
        <v>0</v>
      </c>
      <c r="AP125" s="51">
        <f>G125*(1-0)</f>
        <v>0</v>
      </c>
      <c r="AQ125" s="53" t="s">
        <v>137</v>
      </c>
      <c r="AV125" s="51">
        <f>AW125+AX125</f>
        <v>0</v>
      </c>
      <c r="AW125" s="51">
        <f>F125*AO125</f>
        <v>0</v>
      </c>
      <c r="AX125" s="51">
        <f>F125*AP125</f>
        <v>0</v>
      </c>
      <c r="AY125" s="53" t="s">
        <v>277</v>
      </c>
      <c r="AZ125" s="53" t="s">
        <v>254</v>
      </c>
      <c r="BA125" s="35" t="s">
        <v>117</v>
      </c>
      <c r="BC125" s="51">
        <f>AW125+AX125</f>
        <v>0</v>
      </c>
      <c r="BD125" s="51">
        <f>G125/(100-BE125)*100</f>
        <v>0</v>
      </c>
      <c r="BE125" s="51">
        <v>0</v>
      </c>
      <c r="BF125" s="51">
        <f>125</f>
        <v>125</v>
      </c>
      <c r="BH125" s="51">
        <f>F125*AO125</f>
        <v>0</v>
      </c>
      <c r="BI125" s="51">
        <f>F125*AP125</f>
        <v>0</v>
      </c>
      <c r="BJ125" s="51">
        <f>F125*G125</f>
        <v>0</v>
      </c>
      <c r="BK125" s="51"/>
      <c r="BL125" s="51">
        <v>96</v>
      </c>
      <c r="BW125" s="51">
        <v>12</v>
      </c>
      <c r="BX125" s="3" t="s">
        <v>321</v>
      </c>
    </row>
    <row r="126" spans="1:76">
      <c r="A126" s="54"/>
      <c r="C126" s="56" t="s">
        <v>322</v>
      </c>
      <c r="D126" s="57" t="s">
        <v>4</v>
      </c>
      <c r="F126" s="58">
        <v>16.446000000000002</v>
      </c>
      <c r="J126" s="41"/>
    </row>
    <row r="127" spans="1:76">
      <c r="A127" s="1" t="s">
        <v>323</v>
      </c>
      <c r="B127" s="2" t="s">
        <v>324</v>
      </c>
      <c r="C127" s="75" t="s">
        <v>325</v>
      </c>
      <c r="D127" s="70"/>
      <c r="E127" s="2" t="s">
        <v>318</v>
      </c>
      <c r="F127" s="51">
        <v>8.2230000000000008</v>
      </c>
      <c r="G127" s="52">
        <v>0</v>
      </c>
      <c r="H127" s="51">
        <f>F127*G127</f>
        <v>0</v>
      </c>
      <c r="J127" s="41"/>
      <c r="Z127" s="51">
        <f>IF(AQ127="5",BJ127,0)</f>
        <v>0</v>
      </c>
      <c r="AB127" s="51">
        <f>IF(AQ127="1",BH127,0)</f>
        <v>0</v>
      </c>
      <c r="AC127" s="51">
        <f>IF(AQ127="1",BI127,0)</f>
        <v>0</v>
      </c>
      <c r="AD127" s="51">
        <f>IF(AQ127="7",BH127,0)</f>
        <v>0</v>
      </c>
      <c r="AE127" s="51">
        <f>IF(AQ127="7",BI127,0)</f>
        <v>0</v>
      </c>
      <c r="AF127" s="51">
        <f>IF(AQ127="2",BH127,0)</f>
        <v>0</v>
      </c>
      <c r="AG127" s="51">
        <f>IF(AQ127="2",BI127,0)</f>
        <v>0</v>
      </c>
      <c r="AH127" s="51">
        <f>IF(AQ127="0",BJ127,0)</f>
        <v>0</v>
      </c>
      <c r="AI127" s="35" t="s">
        <v>4</v>
      </c>
      <c r="AJ127" s="51">
        <f>IF(AN127=0,H127,0)</f>
        <v>0</v>
      </c>
      <c r="AK127" s="51">
        <f>IF(AN127=12,H127,0)</f>
        <v>0</v>
      </c>
      <c r="AL127" s="51">
        <f>IF(AN127=21,H127,0)</f>
        <v>0</v>
      </c>
      <c r="AN127" s="51">
        <v>12</v>
      </c>
      <c r="AO127" s="51">
        <f>G127*0</f>
        <v>0</v>
      </c>
      <c r="AP127" s="51">
        <f>G127*(1-0)</f>
        <v>0</v>
      </c>
      <c r="AQ127" s="53" t="s">
        <v>137</v>
      </c>
      <c r="AV127" s="51">
        <f>AW127+AX127</f>
        <v>0</v>
      </c>
      <c r="AW127" s="51">
        <f>F127*AO127</f>
        <v>0</v>
      </c>
      <c r="AX127" s="51">
        <f>F127*AP127</f>
        <v>0</v>
      </c>
      <c r="AY127" s="53" t="s">
        <v>277</v>
      </c>
      <c r="AZ127" s="53" t="s">
        <v>254</v>
      </c>
      <c r="BA127" s="35" t="s">
        <v>117</v>
      </c>
      <c r="BC127" s="51">
        <f>AW127+AX127</f>
        <v>0</v>
      </c>
      <c r="BD127" s="51">
        <f>G127/(100-BE127)*100</f>
        <v>0</v>
      </c>
      <c r="BE127" s="51">
        <v>0</v>
      </c>
      <c r="BF127" s="51">
        <f>127</f>
        <v>127</v>
      </c>
      <c r="BH127" s="51">
        <f>F127*AO127</f>
        <v>0</v>
      </c>
      <c r="BI127" s="51">
        <f>F127*AP127</f>
        <v>0</v>
      </c>
      <c r="BJ127" s="51">
        <f>F127*G127</f>
        <v>0</v>
      </c>
      <c r="BK127" s="51"/>
      <c r="BL127" s="51">
        <v>96</v>
      </c>
      <c r="BW127" s="51">
        <v>12</v>
      </c>
      <c r="BX127" s="3" t="s">
        <v>325</v>
      </c>
    </row>
    <row r="128" spans="1:76">
      <c r="A128" s="1" t="s">
        <v>326</v>
      </c>
      <c r="B128" s="2" t="s">
        <v>327</v>
      </c>
      <c r="C128" s="75" t="s">
        <v>328</v>
      </c>
      <c r="D128" s="70"/>
      <c r="E128" s="2" t="s">
        <v>318</v>
      </c>
      <c r="F128" s="51">
        <v>41.115000000000002</v>
      </c>
      <c r="G128" s="52">
        <v>0</v>
      </c>
      <c r="H128" s="51">
        <f>F128*G128</f>
        <v>0</v>
      </c>
      <c r="J128" s="41"/>
      <c r="Z128" s="51">
        <f>IF(AQ128="5",BJ128,0)</f>
        <v>0</v>
      </c>
      <c r="AB128" s="51">
        <f>IF(AQ128="1",BH128,0)</f>
        <v>0</v>
      </c>
      <c r="AC128" s="51">
        <f>IF(AQ128="1",BI128,0)</f>
        <v>0</v>
      </c>
      <c r="AD128" s="51">
        <f>IF(AQ128="7",BH128,0)</f>
        <v>0</v>
      </c>
      <c r="AE128" s="51">
        <f>IF(AQ128="7",BI128,0)</f>
        <v>0</v>
      </c>
      <c r="AF128" s="51">
        <f>IF(AQ128="2",BH128,0)</f>
        <v>0</v>
      </c>
      <c r="AG128" s="51">
        <f>IF(AQ128="2",BI128,0)</f>
        <v>0</v>
      </c>
      <c r="AH128" s="51">
        <f>IF(AQ128="0",BJ128,0)</f>
        <v>0</v>
      </c>
      <c r="AI128" s="35" t="s">
        <v>4</v>
      </c>
      <c r="AJ128" s="51">
        <f>IF(AN128=0,H128,0)</f>
        <v>0</v>
      </c>
      <c r="AK128" s="51">
        <f>IF(AN128=12,H128,0)</f>
        <v>0</v>
      </c>
      <c r="AL128" s="51">
        <f>IF(AN128=21,H128,0)</f>
        <v>0</v>
      </c>
      <c r="AN128" s="51">
        <v>12</v>
      </c>
      <c r="AO128" s="51">
        <f>G128*0</f>
        <v>0</v>
      </c>
      <c r="AP128" s="51">
        <f>G128*(1-0)</f>
        <v>0</v>
      </c>
      <c r="AQ128" s="53" t="s">
        <v>137</v>
      </c>
      <c r="AV128" s="51">
        <f>AW128+AX128</f>
        <v>0</v>
      </c>
      <c r="AW128" s="51">
        <f>F128*AO128</f>
        <v>0</v>
      </c>
      <c r="AX128" s="51">
        <f>F128*AP128</f>
        <v>0</v>
      </c>
      <c r="AY128" s="53" t="s">
        <v>277</v>
      </c>
      <c r="AZ128" s="53" t="s">
        <v>254</v>
      </c>
      <c r="BA128" s="35" t="s">
        <v>117</v>
      </c>
      <c r="BC128" s="51">
        <f>AW128+AX128</f>
        <v>0</v>
      </c>
      <c r="BD128" s="51">
        <f>G128/(100-BE128)*100</f>
        <v>0</v>
      </c>
      <c r="BE128" s="51">
        <v>0</v>
      </c>
      <c r="BF128" s="51">
        <f>128</f>
        <v>128</v>
      </c>
      <c r="BH128" s="51">
        <f>F128*AO128</f>
        <v>0</v>
      </c>
      <c r="BI128" s="51">
        <f>F128*AP128</f>
        <v>0</v>
      </c>
      <c r="BJ128" s="51">
        <f>F128*G128</f>
        <v>0</v>
      </c>
      <c r="BK128" s="51"/>
      <c r="BL128" s="51">
        <v>96</v>
      </c>
      <c r="BW128" s="51">
        <v>12</v>
      </c>
      <c r="BX128" s="3" t="s">
        <v>328</v>
      </c>
    </row>
    <row r="129" spans="1:76">
      <c r="A129" s="54"/>
      <c r="C129" s="56" t="s">
        <v>329</v>
      </c>
      <c r="D129" s="57" t="s">
        <v>4</v>
      </c>
      <c r="F129" s="58">
        <v>41.115000000000002</v>
      </c>
      <c r="J129" s="41"/>
    </row>
    <row r="130" spans="1:76">
      <c r="A130" s="1" t="s">
        <v>330</v>
      </c>
      <c r="B130" s="2" t="s">
        <v>331</v>
      </c>
      <c r="C130" s="75" t="s">
        <v>332</v>
      </c>
      <c r="D130" s="70"/>
      <c r="E130" s="2" t="s">
        <v>318</v>
      </c>
      <c r="F130" s="51">
        <v>8.2230000000000008</v>
      </c>
      <c r="G130" s="52">
        <v>0</v>
      </c>
      <c r="H130" s="51">
        <f>F130*G130</f>
        <v>0</v>
      </c>
      <c r="J130" s="41"/>
      <c r="Z130" s="51">
        <f>IF(AQ130="5",BJ130,0)</f>
        <v>0</v>
      </c>
      <c r="AB130" s="51">
        <f>IF(AQ130="1",BH130,0)</f>
        <v>0</v>
      </c>
      <c r="AC130" s="51">
        <f>IF(AQ130="1",BI130,0)</f>
        <v>0</v>
      </c>
      <c r="AD130" s="51">
        <f>IF(AQ130="7",BH130,0)</f>
        <v>0</v>
      </c>
      <c r="AE130" s="51">
        <f>IF(AQ130="7",BI130,0)</f>
        <v>0</v>
      </c>
      <c r="AF130" s="51">
        <f>IF(AQ130="2",BH130,0)</f>
        <v>0</v>
      </c>
      <c r="AG130" s="51">
        <f>IF(AQ130="2",BI130,0)</f>
        <v>0</v>
      </c>
      <c r="AH130" s="51">
        <f>IF(AQ130="0",BJ130,0)</f>
        <v>0</v>
      </c>
      <c r="AI130" s="35" t="s">
        <v>4</v>
      </c>
      <c r="AJ130" s="51">
        <f>IF(AN130=0,H130,0)</f>
        <v>0</v>
      </c>
      <c r="AK130" s="51">
        <f>IF(AN130=12,H130,0)</f>
        <v>0</v>
      </c>
      <c r="AL130" s="51">
        <f>IF(AN130=21,H130,0)</f>
        <v>0</v>
      </c>
      <c r="AN130" s="51">
        <v>12</v>
      </c>
      <c r="AO130" s="51">
        <f>G130*0</f>
        <v>0</v>
      </c>
      <c r="AP130" s="51">
        <f>G130*(1-0)</f>
        <v>0</v>
      </c>
      <c r="AQ130" s="53" t="s">
        <v>137</v>
      </c>
      <c r="AV130" s="51">
        <f>AW130+AX130</f>
        <v>0</v>
      </c>
      <c r="AW130" s="51">
        <f>F130*AO130</f>
        <v>0</v>
      </c>
      <c r="AX130" s="51">
        <f>F130*AP130</f>
        <v>0</v>
      </c>
      <c r="AY130" s="53" t="s">
        <v>277</v>
      </c>
      <c r="AZ130" s="53" t="s">
        <v>254</v>
      </c>
      <c r="BA130" s="35" t="s">
        <v>117</v>
      </c>
      <c r="BC130" s="51">
        <f>AW130+AX130</f>
        <v>0</v>
      </c>
      <c r="BD130" s="51">
        <f>G130/(100-BE130)*100</f>
        <v>0</v>
      </c>
      <c r="BE130" s="51">
        <v>0</v>
      </c>
      <c r="BF130" s="51">
        <f>130</f>
        <v>130</v>
      </c>
      <c r="BH130" s="51">
        <f>F130*AO130</f>
        <v>0</v>
      </c>
      <c r="BI130" s="51">
        <f>F130*AP130</f>
        <v>0</v>
      </c>
      <c r="BJ130" s="51">
        <f>F130*G130</f>
        <v>0</v>
      </c>
      <c r="BK130" s="51"/>
      <c r="BL130" s="51">
        <v>96</v>
      </c>
      <c r="BW130" s="51">
        <v>12</v>
      </c>
      <c r="BX130" s="3" t="s">
        <v>332</v>
      </c>
    </row>
    <row r="131" spans="1:76">
      <c r="A131" s="1" t="s">
        <v>333</v>
      </c>
      <c r="B131" s="2" t="s">
        <v>334</v>
      </c>
      <c r="C131" s="75" t="s">
        <v>335</v>
      </c>
      <c r="D131" s="70"/>
      <c r="E131" s="2" t="s">
        <v>318</v>
      </c>
      <c r="F131" s="51">
        <v>32.892000000000003</v>
      </c>
      <c r="G131" s="52">
        <v>0</v>
      </c>
      <c r="H131" s="51">
        <f>F131*G131</f>
        <v>0</v>
      </c>
      <c r="J131" s="41"/>
      <c r="Z131" s="51">
        <f>IF(AQ131="5",BJ131,0)</f>
        <v>0</v>
      </c>
      <c r="AB131" s="51">
        <f>IF(AQ131="1",BH131,0)</f>
        <v>0</v>
      </c>
      <c r="AC131" s="51">
        <f>IF(AQ131="1",BI131,0)</f>
        <v>0</v>
      </c>
      <c r="AD131" s="51">
        <f>IF(AQ131="7",BH131,0)</f>
        <v>0</v>
      </c>
      <c r="AE131" s="51">
        <f>IF(AQ131="7",BI131,0)</f>
        <v>0</v>
      </c>
      <c r="AF131" s="51">
        <f>IF(AQ131="2",BH131,0)</f>
        <v>0</v>
      </c>
      <c r="AG131" s="51">
        <f>IF(AQ131="2",BI131,0)</f>
        <v>0</v>
      </c>
      <c r="AH131" s="51">
        <f>IF(AQ131="0",BJ131,0)</f>
        <v>0</v>
      </c>
      <c r="AI131" s="35" t="s">
        <v>4</v>
      </c>
      <c r="AJ131" s="51">
        <f>IF(AN131=0,H131,0)</f>
        <v>0</v>
      </c>
      <c r="AK131" s="51">
        <f>IF(AN131=12,H131,0)</f>
        <v>0</v>
      </c>
      <c r="AL131" s="51">
        <f>IF(AN131=21,H131,0)</f>
        <v>0</v>
      </c>
      <c r="AN131" s="51">
        <v>12</v>
      </c>
      <c r="AO131" s="51">
        <f>G131*0</f>
        <v>0</v>
      </c>
      <c r="AP131" s="51">
        <f>G131*(1-0)</f>
        <v>0</v>
      </c>
      <c r="AQ131" s="53" t="s">
        <v>137</v>
      </c>
      <c r="AV131" s="51">
        <f>AW131+AX131</f>
        <v>0</v>
      </c>
      <c r="AW131" s="51">
        <f>F131*AO131</f>
        <v>0</v>
      </c>
      <c r="AX131" s="51">
        <f>F131*AP131</f>
        <v>0</v>
      </c>
      <c r="AY131" s="53" t="s">
        <v>277</v>
      </c>
      <c r="AZ131" s="53" t="s">
        <v>254</v>
      </c>
      <c r="BA131" s="35" t="s">
        <v>117</v>
      </c>
      <c r="BC131" s="51">
        <f>AW131+AX131</f>
        <v>0</v>
      </c>
      <c r="BD131" s="51">
        <f>G131/(100-BE131)*100</f>
        <v>0</v>
      </c>
      <c r="BE131" s="51">
        <v>0</v>
      </c>
      <c r="BF131" s="51">
        <f>131</f>
        <v>131</v>
      </c>
      <c r="BH131" s="51">
        <f>F131*AO131</f>
        <v>0</v>
      </c>
      <c r="BI131" s="51">
        <f>F131*AP131</f>
        <v>0</v>
      </c>
      <c r="BJ131" s="51">
        <f>F131*G131</f>
        <v>0</v>
      </c>
      <c r="BK131" s="51"/>
      <c r="BL131" s="51">
        <v>96</v>
      </c>
      <c r="BW131" s="51">
        <v>12</v>
      </c>
      <c r="BX131" s="3" t="s">
        <v>335</v>
      </c>
    </row>
    <row r="132" spans="1:76">
      <c r="A132" s="54"/>
      <c r="C132" s="56" t="s">
        <v>336</v>
      </c>
      <c r="D132" s="57" t="s">
        <v>4</v>
      </c>
      <c r="F132" s="58">
        <v>32.892000000000003</v>
      </c>
      <c r="J132" s="41"/>
    </row>
    <row r="133" spans="1:76">
      <c r="A133" s="1" t="s">
        <v>337</v>
      </c>
      <c r="B133" s="2" t="s">
        <v>338</v>
      </c>
      <c r="C133" s="75" t="s">
        <v>339</v>
      </c>
      <c r="D133" s="70"/>
      <c r="E133" s="2" t="s">
        <v>318</v>
      </c>
      <c r="F133" s="51">
        <v>8.1059999999999999</v>
      </c>
      <c r="G133" s="52">
        <v>0</v>
      </c>
      <c r="H133" s="51">
        <f>F133*G133</f>
        <v>0</v>
      </c>
      <c r="J133" s="41"/>
      <c r="Z133" s="51">
        <f>IF(AQ133="5",BJ133,0)</f>
        <v>0</v>
      </c>
      <c r="AB133" s="51">
        <f>IF(AQ133="1",BH133,0)</f>
        <v>0</v>
      </c>
      <c r="AC133" s="51">
        <f>IF(AQ133="1",BI133,0)</f>
        <v>0</v>
      </c>
      <c r="AD133" s="51">
        <f>IF(AQ133="7",BH133,0)</f>
        <v>0</v>
      </c>
      <c r="AE133" s="51">
        <f>IF(AQ133="7",BI133,0)</f>
        <v>0</v>
      </c>
      <c r="AF133" s="51">
        <f>IF(AQ133="2",BH133,0)</f>
        <v>0</v>
      </c>
      <c r="AG133" s="51">
        <f>IF(AQ133="2",BI133,0)</f>
        <v>0</v>
      </c>
      <c r="AH133" s="51">
        <f>IF(AQ133="0",BJ133,0)</f>
        <v>0</v>
      </c>
      <c r="AI133" s="35" t="s">
        <v>4</v>
      </c>
      <c r="AJ133" s="51">
        <f>IF(AN133=0,H133,0)</f>
        <v>0</v>
      </c>
      <c r="AK133" s="51">
        <f>IF(AN133=12,H133,0)</f>
        <v>0</v>
      </c>
      <c r="AL133" s="51">
        <f>IF(AN133=21,H133,0)</f>
        <v>0</v>
      </c>
      <c r="AN133" s="51">
        <v>12</v>
      </c>
      <c r="AO133" s="51">
        <f>G133*0</f>
        <v>0</v>
      </c>
      <c r="AP133" s="51">
        <f>G133*(1-0)</f>
        <v>0</v>
      </c>
      <c r="AQ133" s="53" t="s">
        <v>137</v>
      </c>
      <c r="AV133" s="51">
        <f>AW133+AX133</f>
        <v>0</v>
      </c>
      <c r="AW133" s="51">
        <f>F133*AO133</f>
        <v>0</v>
      </c>
      <c r="AX133" s="51">
        <f>F133*AP133</f>
        <v>0</v>
      </c>
      <c r="AY133" s="53" t="s">
        <v>277</v>
      </c>
      <c r="AZ133" s="53" t="s">
        <v>254</v>
      </c>
      <c r="BA133" s="35" t="s">
        <v>117</v>
      </c>
      <c r="BC133" s="51">
        <f>AW133+AX133</f>
        <v>0</v>
      </c>
      <c r="BD133" s="51">
        <f>G133/(100-BE133)*100</f>
        <v>0</v>
      </c>
      <c r="BE133" s="51">
        <v>0</v>
      </c>
      <c r="BF133" s="51">
        <f>133</f>
        <v>133</v>
      </c>
      <c r="BH133" s="51">
        <f>F133*AO133</f>
        <v>0</v>
      </c>
      <c r="BI133" s="51">
        <f>F133*AP133</f>
        <v>0</v>
      </c>
      <c r="BJ133" s="51">
        <f>F133*G133</f>
        <v>0</v>
      </c>
      <c r="BK133" s="51"/>
      <c r="BL133" s="51">
        <v>96</v>
      </c>
      <c r="BW133" s="51">
        <v>12</v>
      </c>
      <c r="BX133" s="3" t="s">
        <v>339</v>
      </c>
    </row>
    <row r="134" spans="1:76">
      <c r="A134" s="54"/>
      <c r="C134" s="56" t="s">
        <v>340</v>
      </c>
      <c r="D134" s="57" t="s">
        <v>4</v>
      </c>
      <c r="F134" s="58">
        <v>8.1059999999999999</v>
      </c>
      <c r="J134" s="41"/>
    </row>
    <row r="135" spans="1:76">
      <c r="A135" s="1" t="s">
        <v>341</v>
      </c>
      <c r="B135" s="2" t="s">
        <v>342</v>
      </c>
      <c r="C135" s="75" t="s">
        <v>343</v>
      </c>
      <c r="D135" s="70"/>
      <c r="E135" s="2" t="s">
        <v>318</v>
      </c>
      <c r="F135" s="51">
        <v>0.11700000000000001</v>
      </c>
      <c r="G135" s="52">
        <v>0</v>
      </c>
      <c r="H135" s="51">
        <f>F135*G135</f>
        <v>0</v>
      </c>
      <c r="J135" s="41"/>
      <c r="Z135" s="51">
        <f>IF(AQ135="5",BJ135,0)</f>
        <v>0</v>
      </c>
      <c r="AB135" s="51">
        <f>IF(AQ135="1",BH135,0)</f>
        <v>0</v>
      </c>
      <c r="AC135" s="51">
        <f>IF(AQ135="1",BI135,0)</f>
        <v>0</v>
      </c>
      <c r="AD135" s="51">
        <f>IF(AQ135="7",BH135,0)</f>
        <v>0</v>
      </c>
      <c r="AE135" s="51">
        <f>IF(AQ135="7",BI135,0)</f>
        <v>0</v>
      </c>
      <c r="AF135" s="51">
        <f>IF(AQ135="2",BH135,0)</f>
        <v>0</v>
      </c>
      <c r="AG135" s="51">
        <f>IF(AQ135="2",BI135,0)</f>
        <v>0</v>
      </c>
      <c r="AH135" s="51">
        <f>IF(AQ135="0",BJ135,0)</f>
        <v>0</v>
      </c>
      <c r="AI135" s="35" t="s">
        <v>4</v>
      </c>
      <c r="AJ135" s="51">
        <f>IF(AN135=0,H135,0)</f>
        <v>0</v>
      </c>
      <c r="AK135" s="51">
        <f>IF(AN135=12,H135,0)</f>
        <v>0</v>
      </c>
      <c r="AL135" s="51">
        <f>IF(AN135=21,H135,0)</f>
        <v>0</v>
      </c>
      <c r="AN135" s="51">
        <v>12</v>
      </c>
      <c r="AO135" s="51">
        <f>G135*0</f>
        <v>0</v>
      </c>
      <c r="AP135" s="51">
        <f>G135*(1-0)</f>
        <v>0</v>
      </c>
      <c r="AQ135" s="53" t="s">
        <v>137</v>
      </c>
      <c r="AV135" s="51">
        <f>AW135+AX135</f>
        <v>0</v>
      </c>
      <c r="AW135" s="51">
        <f>F135*AO135</f>
        <v>0</v>
      </c>
      <c r="AX135" s="51">
        <f>F135*AP135</f>
        <v>0</v>
      </c>
      <c r="AY135" s="53" t="s">
        <v>277</v>
      </c>
      <c r="AZ135" s="53" t="s">
        <v>254</v>
      </c>
      <c r="BA135" s="35" t="s">
        <v>117</v>
      </c>
      <c r="BC135" s="51">
        <f>AW135+AX135</f>
        <v>0</v>
      </c>
      <c r="BD135" s="51">
        <f>G135/(100-BE135)*100</f>
        <v>0</v>
      </c>
      <c r="BE135" s="51">
        <v>0</v>
      </c>
      <c r="BF135" s="51">
        <f>135</f>
        <v>135</v>
      </c>
      <c r="BH135" s="51">
        <f>F135*AO135</f>
        <v>0</v>
      </c>
      <c r="BI135" s="51">
        <f>F135*AP135</f>
        <v>0</v>
      </c>
      <c r="BJ135" s="51">
        <f>F135*G135</f>
        <v>0</v>
      </c>
      <c r="BK135" s="51"/>
      <c r="BL135" s="51">
        <v>96</v>
      </c>
      <c r="BW135" s="51">
        <v>12</v>
      </c>
      <c r="BX135" s="3" t="s">
        <v>343</v>
      </c>
    </row>
    <row r="136" spans="1:76">
      <c r="A136" s="54"/>
      <c r="C136" s="56" t="s">
        <v>344</v>
      </c>
      <c r="D136" s="57" t="s">
        <v>345</v>
      </c>
      <c r="F136" s="58">
        <v>9.2999999999999999E-2</v>
      </c>
      <c r="J136" s="41"/>
    </row>
    <row r="137" spans="1:76">
      <c r="A137" s="54"/>
      <c r="C137" s="56" t="s">
        <v>346</v>
      </c>
      <c r="D137" s="57" t="s">
        <v>347</v>
      </c>
      <c r="F137" s="58">
        <v>2.4E-2</v>
      </c>
      <c r="J137" s="41"/>
    </row>
    <row r="138" spans="1:76">
      <c r="A138" s="47" t="s">
        <v>4</v>
      </c>
      <c r="B138" s="48" t="s">
        <v>348</v>
      </c>
      <c r="C138" s="150" t="s">
        <v>349</v>
      </c>
      <c r="D138" s="151"/>
      <c r="E138" s="49" t="s">
        <v>79</v>
      </c>
      <c r="F138" s="49" t="s">
        <v>79</v>
      </c>
      <c r="G138" s="50" t="s">
        <v>79</v>
      </c>
      <c r="H138" s="28">
        <f>SUM(H139:H139)</f>
        <v>0</v>
      </c>
      <c r="J138" s="41"/>
      <c r="AI138" s="35" t="s">
        <v>4</v>
      </c>
      <c r="AS138" s="28">
        <f>SUM(AJ139:AJ139)</f>
        <v>0</v>
      </c>
      <c r="AT138" s="28">
        <f>SUM(AK139:AK139)</f>
        <v>0</v>
      </c>
      <c r="AU138" s="28">
        <f>SUM(AL139:AL139)</f>
        <v>0</v>
      </c>
    </row>
    <row r="139" spans="1:76">
      <c r="A139" s="1" t="s">
        <v>350</v>
      </c>
      <c r="B139" s="2" t="s">
        <v>351</v>
      </c>
      <c r="C139" s="75" t="s">
        <v>352</v>
      </c>
      <c r="D139" s="70"/>
      <c r="E139" s="2" t="s">
        <v>318</v>
      </c>
      <c r="F139" s="51">
        <v>7.73</v>
      </c>
      <c r="G139" s="52">
        <v>0</v>
      </c>
      <c r="H139" s="51">
        <f>F139*G139</f>
        <v>0</v>
      </c>
      <c r="J139" s="41"/>
      <c r="Z139" s="51">
        <f>IF(AQ139="5",BJ139,0)</f>
        <v>0</v>
      </c>
      <c r="AB139" s="51">
        <f>IF(AQ139="1",BH139,0)</f>
        <v>0</v>
      </c>
      <c r="AC139" s="51">
        <f>IF(AQ139="1",BI139,0)</f>
        <v>0</v>
      </c>
      <c r="AD139" s="51">
        <f>IF(AQ139="7",BH139,0)</f>
        <v>0</v>
      </c>
      <c r="AE139" s="51">
        <f>IF(AQ139="7",BI139,0)</f>
        <v>0</v>
      </c>
      <c r="AF139" s="51">
        <f>IF(AQ139="2",BH139,0)</f>
        <v>0</v>
      </c>
      <c r="AG139" s="51">
        <f>IF(AQ139="2",BI139,0)</f>
        <v>0</v>
      </c>
      <c r="AH139" s="51">
        <f>IF(AQ139="0",BJ139,0)</f>
        <v>0</v>
      </c>
      <c r="AI139" s="35" t="s">
        <v>4</v>
      </c>
      <c r="AJ139" s="51">
        <f>IF(AN139=0,H139,0)</f>
        <v>0</v>
      </c>
      <c r="AK139" s="51">
        <f>IF(AN139=12,H139,0)</f>
        <v>0</v>
      </c>
      <c r="AL139" s="51">
        <f>IF(AN139=21,H139,0)</f>
        <v>0</v>
      </c>
      <c r="AN139" s="51">
        <v>12</v>
      </c>
      <c r="AO139" s="51">
        <f>G139*0</f>
        <v>0</v>
      </c>
      <c r="AP139" s="51">
        <f>G139*(1-0)</f>
        <v>0</v>
      </c>
      <c r="AQ139" s="53" t="s">
        <v>137</v>
      </c>
      <c r="AV139" s="51">
        <f>AW139+AX139</f>
        <v>0</v>
      </c>
      <c r="AW139" s="51">
        <f>F139*AO139</f>
        <v>0</v>
      </c>
      <c r="AX139" s="51">
        <f>F139*AP139</f>
        <v>0</v>
      </c>
      <c r="AY139" s="53" t="s">
        <v>353</v>
      </c>
      <c r="AZ139" s="53" t="s">
        <v>254</v>
      </c>
      <c r="BA139" s="35" t="s">
        <v>117</v>
      </c>
      <c r="BC139" s="51">
        <f>AW139+AX139</f>
        <v>0</v>
      </c>
      <c r="BD139" s="51">
        <f>G139/(100-BE139)*100</f>
        <v>0</v>
      </c>
      <c r="BE139" s="51">
        <v>0</v>
      </c>
      <c r="BF139" s="51">
        <f>139</f>
        <v>139</v>
      </c>
      <c r="BH139" s="51">
        <f>F139*AO139</f>
        <v>0</v>
      </c>
      <c r="BI139" s="51">
        <f>F139*AP139</f>
        <v>0</v>
      </c>
      <c r="BJ139" s="51">
        <f>F139*G139</f>
        <v>0</v>
      </c>
      <c r="BK139" s="51"/>
      <c r="BL139" s="51">
        <v>99</v>
      </c>
      <c r="BW139" s="51">
        <v>12</v>
      </c>
      <c r="BX139" s="3" t="s">
        <v>352</v>
      </c>
    </row>
    <row r="140" spans="1:76">
      <c r="A140" s="47" t="s">
        <v>4</v>
      </c>
      <c r="B140" s="48" t="s">
        <v>354</v>
      </c>
      <c r="C140" s="150" t="s">
        <v>355</v>
      </c>
      <c r="D140" s="151"/>
      <c r="E140" s="49" t="s">
        <v>79</v>
      </c>
      <c r="F140" s="49" t="s">
        <v>79</v>
      </c>
      <c r="G140" s="50" t="s">
        <v>79</v>
      </c>
      <c r="H140" s="28">
        <f>SUM(H141:H151)</f>
        <v>0</v>
      </c>
      <c r="J140" s="41"/>
      <c r="AI140" s="35" t="s">
        <v>4</v>
      </c>
      <c r="AS140" s="28">
        <f>SUM(AJ141:AJ151)</f>
        <v>0</v>
      </c>
      <c r="AT140" s="28">
        <f>SUM(AK141:AK151)</f>
        <v>0</v>
      </c>
      <c r="AU140" s="28">
        <f>SUM(AL141:AL151)</f>
        <v>0</v>
      </c>
    </row>
    <row r="141" spans="1:76">
      <c r="A141" s="1" t="s">
        <v>356</v>
      </c>
      <c r="B141" s="2" t="s">
        <v>357</v>
      </c>
      <c r="C141" s="75" t="s">
        <v>358</v>
      </c>
      <c r="D141" s="70"/>
      <c r="E141" s="2" t="s">
        <v>124</v>
      </c>
      <c r="F141" s="51">
        <v>8.4939999999999998</v>
      </c>
      <c r="G141" s="52">
        <v>0</v>
      </c>
      <c r="H141" s="51">
        <f>F141*G141</f>
        <v>0</v>
      </c>
      <c r="J141" s="41"/>
      <c r="Z141" s="51">
        <f>IF(AQ141="5",BJ141,0)</f>
        <v>0</v>
      </c>
      <c r="AB141" s="51">
        <f>IF(AQ141="1",BH141,0)</f>
        <v>0</v>
      </c>
      <c r="AC141" s="51">
        <f>IF(AQ141="1",BI141,0)</f>
        <v>0</v>
      </c>
      <c r="AD141" s="51">
        <f>IF(AQ141="7",BH141,0)</f>
        <v>0</v>
      </c>
      <c r="AE141" s="51">
        <f>IF(AQ141="7",BI141,0)</f>
        <v>0</v>
      </c>
      <c r="AF141" s="51">
        <f>IF(AQ141="2",BH141,0)</f>
        <v>0</v>
      </c>
      <c r="AG141" s="51">
        <f>IF(AQ141="2",BI141,0)</f>
        <v>0</v>
      </c>
      <c r="AH141" s="51">
        <f>IF(AQ141="0",BJ141,0)</f>
        <v>0</v>
      </c>
      <c r="AI141" s="35" t="s">
        <v>4</v>
      </c>
      <c r="AJ141" s="51">
        <f>IF(AN141=0,H141,0)</f>
        <v>0</v>
      </c>
      <c r="AK141" s="51">
        <f>IF(AN141=12,H141,0)</f>
        <v>0</v>
      </c>
      <c r="AL141" s="51">
        <f>IF(AN141=21,H141,0)</f>
        <v>0</v>
      </c>
      <c r="AN141" s="51">
        <v>12</v>
      </c>
      <c r="AO141" s="51">
        <f>G141*0.338873573</f>
        <v>0</v>
      </c>
      <c r="AP141" s="51">
        <f>G141*(1-0.338873573)</f>
        <v>0</v>
      </c>
      <c r="AQ141" s="53" t="s">
        <v>148</v>
      </c>
      <c r="AV141" s="51">
        <f>AW141+AX141</f>
        <v>0</v>
      </c>
      <c r="AW141" s="51">
        <f>F141*AO141</f>
        <v>0</v>
      </c>
      <c r="AX141" s="51">
        <f>F141*AP141</f>
        <v>0</v>
      </c>
      <c r="AY141" s="53" t="s">
        <v>359</v>
      </c>
      <c r="AZ141" s="53" t="s">
        <v>360</v>
      </c>
      <c r="BA141" s="35" t="s">
        <v>117</v>
      </c>
      <c r="BC141" s="51">
        <f>AW141+AX141</f>
        <v>0</v>
      </c>
      <c r="BD141" s="51">
        <f>G141/(100-BE141)*100</f>
        <v>0</v>
      </c>
      <c r="BE141" s="51">
        <v>0</v>
      </c>
      <c r="BF141" s="51">
        <f>141</f>
        <v>141</v>
      </c>
      <c r="BH141" s="51">
        <f>F141*AO141</f>
        <v>0</v>
      </c>
      <c r="BI141" s="51">
        <f>F141*AP141</f>
        <v>0</v>
      </c>
      <c r="BJ141" s="51">
        <f>F141*G141</f>
        <v>0</v>
      </c>
      <c r="BK141" s="51"/>
      <c r="BL141" s="51">
        <v>711</v>
      </c>
      <c r="BW141" s="51">
        <v>12</v>
      </c>
      <c r="BX141" s="3" t="s">
        <v>358</v>
      </c>
    </row>
    <row r="142" spans="1:76">
      <c r="A142" s="1" t="s">
        <v>361</v>
      </c>
      <c r="B142" s="2" t="s">
        <v>362</v>
      </c>
      <c r="C142" s="75" t="s">
        <v>363</v>
      </c>
      <c r="D142" s="70"/>
      <c r="E142" s="2" t="s">
        <v>124</v>
      </c>
      <c r="F142" s="51">
        <v>8.4939999999999998</v>
      </c>
      <c r="G142" s="52">
        <v>0</v>
      </c>
      <c r="H142" s="51">
        <f>F142*G142</f>
        <v>0</v>
      </c>
      <c r="J142" s="41"/>
      <c r="Z142" s="51">
        <f>IF(AQ142="5",BJ142,0)</f>
        <v>0</v>
      </c>
      <c r="AB142" s="51">
        <f>IF(AQ142="1",BH142,0)</f>
        <v>0</v>
      </c>
      <c r="AC142" s="51">
        <f>IF(AQ142="1",BI142,0)</f>
        <v>0</v>
      </c>
      <c r="AD142" s="51">
        <f>IF(AQ142="7",BH142,0)</f>
        <v>0</v>
      </c>
      <c r="AE142" s="51">
        <f>IF(AQ142="7",BI142,0)</f>
        <v>0</v>
      </c>
      <c r="AF142" s="51">
        <f>IF(AQ142="2",BH142,0)</f>
        <v>0</v>
      </c>
      <c r="AG142" s="51">
        <f>IF(AQ142="2",BI142,0)</f>
        <v>0</v>
      </c>
      <c r="AH142" s="51">
        <f>IF(AQ142="0",BJ142,0)</f>
        <v>0</v>
      </c>
      <c r="AI142" s="35" t="s">
        <v>4</v>
      </c>
      <c r="AJ142" s="51">
        <f>IF(AN142=0,H142,0)</f>
        <v>0</v>
      </c>
      <c r="AK142" s="51">
        <f>IF(AN142=12,H142,0)</f>
        <v>0</v>
      </c>
      <c r="AL142" s="51">
        <f>IF(AN142=21,H142,0)</f>
        <v>0</v>
      </c>
      <c r="AN142" s="51">
        <v>12</v>
      </c>
      <c r="AO142" s="51">
        <f>G142*0.66156226</f>
        <v>0</v>
      </c>
      <c r="AP142" s="51">
        <f>G142*(1-0.66156226)</f>
        <v>0</v>
      </c>
      <c r="AQ142" s="53" t="s">
        <v>148</v>
      </c>
      <c r="AV142" s="51">
        <f>AW142+AX142</f>
        <v>0</v>
      </c>
      <c r="AW142" s="51">
        <f>F142*AO142</f>
        <v>0</v>
      </c>
      <c r="AX142" s="51">
        <f>F142*AP142</f>
        <v>0</v>
      </c>
      <c r="AY142" s="53" t="s">
        <v>359</v>
      </c>
      <c r="AZ142" s="53" t="s">
        <v>360</v>
      </c>
      <c r="BA142" s="35" t="s">
        <v>117</v>
      </c>
      <c r="BC142" s="51">
        <f>AW142+AX142</f>
        <v>0</v>
      </c>
      <c r="BD142" s="51">
        <f>G142/(100-BE142)*100</f>
        <v>0</v>
      </c>
      <c r="BE142" s="51">
        <v>0</v>
      </c>
      <c r="BF142" s="51">
        <f>142</f>
        <v>142</v>
      </c>
      <c r="BH142" s="51">
        <f>F142*AO142</f>
        <v>0</v>
      </c>
      <c r="BI142" s="51">
        <f>F142*AP142</f>
        <v>0</v>
      </c>
      <c r="BJ142" s="51">
        <f>F142*G142</f>
        <v>0</v>
      </c>
      <c r="BK142" s="51"/>
      <c r="BL142" s="51">
        <v>711</v>
      </c>
      <c r="BW142" s="51">
        <v>12</v>
      </c>
      <c r="BX142" s="3" t="s">
        <v>363</v>
      </c>
    </row>
    <row r="143" spans="1:76" ht="13.5" customHeight="1">
      <c r="A143" s="54"/>
      <c r="B143" s="55" t="s">
        <v>118</v>
      </c>
      <c r="C143" s="152" t="s">
        <v>364</v>
      </c>
      <c r="D143" s="153"/>
      <c r="E143" s="153"/>
      <c r="F143" s="153"/>
      <c r="G143" s="154"/>
      <c r="H143" s="153"/>
      <c r="I143" s="153"/>
      <c r="J143" s="155"/>
    </row>
    <row r="144" spans="1:76">
      <c r="A144" s="54"/>
      <c r="C144" s="56" t="s">
        <v>241</v>
      </c>
      <c r="D144" s="57" t="s">
        <v>365</v>
      </c>
      <c r="F144" s="58">
        <v>2.5990000000000002</v>
      </c>
      <c r="J144" s="41"/>
    </row>
    <row r="145" spans="1:76">
      <c r="A145" s="54"/>
      <c r="C145" s="56" t="s">
        <v>366</v>
      </c>
      <c r="D145" s="57" t="s">
        <v>367</v>
      </c>
      <c r="F145" s="58">
        <v>1.6950000000000001</v>
      </c>
      <c r="J145" s="41"/>
    </row>
    <row r="146" spans="1:76">
      <c r="A146" s="54"/>
      <c r="C146" s="56" t="s">
        <v>368</v>
      </c>
      <c r="D146" s="57" t="s">
        <v>369</v>
      </c>
      <c r="F146" s="58">
        <v>4.2</v>
      </c>
      <c r="J146" s="41"/>
    </row>
    <row r="147" spans="1:76">
      <c r="A147" s="1" t="s">
        <v>370</v>
      </c>
      <c r="B147" s="2" t="s">
        <v>371</v>
      </c>
      <c r="C147" s="75" t="s">
        <v>372</v>
      </c>
      <c r="D147" s="70"/>
      <c r="E147" s="2" t="s">
        <v>134</v>
      </c>
      <c r="F147" s="51">
        <v>7.75</v>
      </c>
      <c r="G147" s="52">
        <v>0</v>
      </c>
      <c r="H147" s="51">
        <f>F147*G147</f>
        <v>0</v>
      </c>
      <c r="J147" s="41"/>
      <c r="Z147" s="51">
        <f>IF(AQ147="5",BJ147,0)</f>
        <v>0</v>
      </c>
      <c r="AB147" s="51">
        <f>IF(AQ147="1",BH147,0)</f>
        <v>0</v>
      </c>
      <c r="AC147" s="51">
        <f>IF(AQ147="1",BI147,0)</f>
        <v>0</v>
      </c>
      <c r="AD147" s="51">
        <f>IF(AQ147="7",BH147,0)</f>
        <v>0</v>
      </c>
      <c r="AE147" s="51">
        <f>IF(AQ147="7",BI147,0)</f>
        <v>0</v>
      </c>
      <c r="AF147" s="51">
        <f>IF(AQ147="2",BH147,0)</f>
        <v>0</v>
      </c>
      <c r="AG147" s="51">
        <f>IF(AQ147="2",BI147,0)</f>
        <v>0</v>
      </c>
      <c r="AH147" s="51">
        <f>IF(AQ147="0",BJ147,0)</f>
        <v>0</v>
      </c>
      <c r="AI147" s="35" t="s">
        <v>4</v>
      </c>
      <c r="AJ147" s="51">
        <f>IF(AN147=0,H147,0)</f>
        <v>0</v>
      </c>
      <c r="AK147" s="51">
        <f>IF(AN147=12,H147,0)</f>
        <v>0</v>
      </c>
      <c r="AL147" s="51">
        <f>IF(AN147=21,H147,0)</f>
        <v>0</v>
      </c>
      <c r="AN147" s="51">
        <v>12</v>
      </c>
      <c r="AO147" s="51">
        <f>G147*0.688965517</f>
        <v>0</v>
      </c>
      <c r="AP147" s="51">
        <f>G147*(1-0.688965517)</f>
        <v>0</v>
      </c>
      <c r="AQ147" s="53" t="s">
        <v>148</v>
      </c>
      <c r="AV147" s="51">
        <f>AW147+AX147</f>
        <v>0</v>
      </c>
      <c r="AW147" s="51">
        <f>F147*AO147</f>
        <v>0</v>
      </c>
      <c r="AX147" s="51">
        <f>F147*AP147</f>
        <v>0</v>
      </c>
      <c r="AY147" s="53" t="s">
        <v>359</v>
      </c>
      <c r="AZ147" s="53" t="s">
        <v>360</v>
      </c>
      <c r="BA147" s="35" t="s">
        <v>117</v>
      </c>
      <c r="BC147" s="51">
        <f>AW147+AX147</f>
        <v>0</v>
      </c>
      <c r="BD147" s="51">
        <f>G147/(100-BE147)*100</f>
        <v>0</v>
      </c>
      <c r="BE147" s="51">
        <v>0</v>
      </c>
      <c r="BF147" s="51">
        <f>147</f>
        <v>147</v>
      </c>
      <c r="BH147" s="51">
        <f>F147*AO147</f>
        <v>0</v>
      </c>
      <c r="BI147" s="51">
        <f>F147*AP147</f>
        <v>0</v>
      </c>
      <c r="BJ147" s="51">
        <f>F147*G147</f>
        <v>0</v>
      </c>
      <c r="BK147" s="51"/>
      <c r="BL147" s="51">
        <v>711</v>
      </c>
      <c r="BW147" s="51">
        <v>12</v>
      </c>
      <c r="BX147" s="3" t="s">
        <v>372</v>
      </c>
    </row>
    <row r="148" spans="1:76" ht="13.5" customHeight="1">
      <c r="A148" s="54"/>
      <c r="B148" s="55" t="s">
        <v>118</v>
      </c>
      <c r="C148" s="152" t="s">
        <v>373</v>
      </c>
      <c r="D148" s="153"/>
      <c r="E148" s="153"/>
      <c r="F148" s="153"/>
      <c r="G148" s="154"/>
      <c r="H148" s="153"/>
      <c r="I148" s="153"/>
      <c r="J148" s="155"/>
    </row>
    <row r="149" spans="1:76">
      <c r="A149" s="54"/>
      <c r="C149" s="56" t="s">
        <v>374</v>
      </c>
      <c r="D149" s="57" t="s">
        <v>375</v>
      </c>
      <c r="F149" s="58">
        <v>5.65</v>
      </c>
      <c r="J149" s="41"/>
    </row>
    <row r="150" spans="1:76">
      <c r="A150" s="54"/>
      <c r="C150" s="56" t="s">
        <v>376</v>
      </c>
      <c r="D150" s="57" t="s">
        <v>377</v>
      </c>
      <c r="F150" s="58">
        <v>2.1</v>
      </c>
      <c r="J150" s="41"/>
    </row>
    <row r="151" spans="1:76">
      <c r="A151" s="1" t="s">
        <v>378</v>
      </c>
      <c r="B151" s="2" t="s">
        <v>379</v>
      </c>
      <c r="C151" s="75" t="s">
        <v>380</v>
      </c>
      <c r="D151" s="70"/>
      <c r="E151" s="2" t="s">
        <v>318</v>
      </c>
      <c r="F151" s="51">
        <v>3.3000000000000002E-2</v>
      </c>
      <c r="G151" s="52">
        <v>0</v>
      </c>
      <c r="H151" s="51">
        <f>F151*G151</f>
        <v>0</v>
      </c>
      <c r="J151" s="41"/>
      <c r="Z151" s="51">
        <f>IF(AQ151="5",BJ151,0)</f>
        <v>0</v>
      </c>
      <c r="AB151" s="51">
        <f>IF(AQ151="1",BH151,0)</f>
        <v>0</v>
      </c>
      <c r="AC151" s="51">
        <f>IF(AQ151="1",BI151,0)</f>
        <v>0</v>
      </c>
      <c r="AD151" s="51">
        <f>IF(AQ151="7",BH151,0)</f>
        <v>0</v>
      </c>
      <c r="AE151" s="51">
        <f>IF(AQ151="7",BI151,0)</f>
        <v>0</v>
      </c>
      <c r="AF151" s="51">
        <f>IF(AQ151="2",BH151,0)</f>
        <v>0</v>
      </c>
      <c r="AG151" s="51">
        <f>IF(AQ151="2",BI151,0)</f>
        <v>0</v>
      </c>
      <c r="AH151" s="51">
        <f>IF(AQ151="0",BJ151,0)</f>
        <v>0</v>
      </c>
      <c r="AI151" s="35" t="s">
        <v>4</v>
      </c>
      <c r="AJ151" s="51">
        <f>IF(AN151=0,H151,0)</f>
        <v>0</v>
      </c>
      <c r="AK151" s="51">
        <f>IF(AN151=12,H151,0)</f>
        <v>0</v>
      </c>
      <c r="AL151" s="51">
        <f>IF(AN151=21,H151,0)</f>
        <v>0</v>
      </c>
      <c r="AN151" s="51">
        <v>12</v>
      </c>
      <c r="AO151" s="51">
        <f>G151*0</f>
        <v>0</v>
      </c>
      <c r="AP151" s="51">
        <f>G151*(1-0)</f>
        <v>0</v>
      </c>
      <c r="AQ151" s="53" t="s">
        <v>137</v>
      </c>
      <c r="AV151" s="51">
        <f>AW151+AX151</f>
        <v>0</v>
      </c>
      <c r="AW151" s="51">
        <f>F151*AO151</f>
        <v>0</v>
      </c>
      <c r="AX151" s="51">
        <f>F151*AP151</f>
        <v>0</v>
      </c>
      <c r="AY151" s="53" t="s">
        <v>359</v>
      </c>
      <c r="AZ151" s="53" t="s">
        <v>360</v>
      </c>
      <c r="BA151" s="35" t="s">
        <v>117</v>
      </c>
      <c r="BC151" s="51">
        <f>AW151+AX151</f>
        <v>0</v>
      </c>
      <c r="BD151" s="51">
        <f>G151/(100-BE151)*100</f>
        <v>0</v>
      </c>
      <c r="BE151" s="51">
        <v>0</v>
      </c>
      <c r="BF151" s="51">
        <f>151</f>
        <v>151</v>
      </c>
      <c r="BH151" s="51">
        <f>F151*AO151</f>
        <v>0</v>
      </c>
      <c r="BI151" s="51">
        <f>F151*AP151</f>
        <v>0</v>
      </c>
      <c r="BJ151" s="51">
        <f>F151*G151</f>
        <v>0</v>
      </c>
      <c r="BK151" s="51"/>
      <c r="BL151" s="51">
        <v>711</v>
      </c>
      <c r="BW151" s="51">
        <v>12</v>
      </c>
      <c r="BX151" s="3" t="s">
        <v>380</v>
      </c>
    </row>
    <row r="152" spans="1:76">
      <c r="A152" s="47" t="s">
        <v>4</v>
      </c>
      <c r="B152" s="48" t="s">
        <v>381</v>
      </c>
      <c r="C152" s="150" t="s">
        <v>382</v>
      </c>
      <c r="D152" s="151"/>
      <c r="E152" s="49" t="s">
        <v>79</v>
      </c>
      <c r="F152" s="49" t="s">
        <v>79</v>
      </c>
      <c r="G152" s="50" t="s">
        <v>79</v>
      </c>
      <c r="H152" s="28">
        <f>SUM(H153:H166)</f>
        <v>0</v>
      </c>
      <c r="J152" s="41"/>
      <c r="AI152" s="35" t="s">
        <v>4</v>
      </c>
      <c r="AS152" s="28">
        <f>SUM(AJ153:AJ166)</f>
        <v>0</v>
      </c>
      <c r="AT152" s="28">
        <f>SUM(AK153:AK166)</f>
        <v>0</v>
      </c>
      <c r="AU152" s="28">
        <f>SUM(AL153:AL166)</f>
        <v>0</v>
      </c>
    </row>
    <row r="153" spans="1:76">
      <c r="A153" s="1" t="s">
        <v>383</v>
      </c>
      <c r="B153" s="2" t="s">
        <v>384</v>
      </c>
      <c r="C153" s="75" t="s">
        <v>385</v>
      </c>
      <c r="D153" s="70"/>
      <c r="E153" s="2" t="s">
        <v>114</v>
      </c>
      <c r="F153" s="51">
        <v>2</v>
      </c>
      <c r="G153" s="52">
        <v>0</v>
      </c>
      <c r="H153" s="51">
        <f t="shared" ref="H153:H162" si="0">F153*G153</f>
        <v>0</v>
      </c>
      <c r="J153" s="41"/>
      <c r="Z153" s="51">
        <f t="shared" ref="Z153:Z162" si="1">IF(AQ153="5",BJ153,0)</f>
        <v>0</v>
      </c>
      <c r="AB153" s="51">
        <f t="shared" ref="AB153:AB162" si="2">IF(AQ153="1",BH153,0)</f>
        <v>0</v>
      </c>
      <c r="AC153" s="51">
        <f t="shared" ref="AC153:AC162" si="3">IF(AQ153="1",BI153,0)</f>
        <v>0</v>
      </c>
      <c r="AD153" s="51">
        <f t="shared" ref="AD153:AD162" si="4">IF(AQ153="7",BH153,0)</f>
        <v>0</v>
      </c>
      <c r="AE153" s="51">
        <f t="shared" ref="AE153:AE162" si="5">IF(AQ153="7",BI153,0)</f>
        <v>0</v>
      </c>
      <c r="AF153" s="51">
        <f t="shared" ref="AF153:AF162" si="6">IF(AQ153="2",BH153,0)</f>
        <v>0</v>
      </c>
      <c r="AG153" s="51">
        <f t="shared" ref="AG153:AG162" si="7">IF(AQ153="2",BI153,0)</f>
        <v>0</v>
      </c>
      <c r="AH153" s="51">
        <f t="shared" ref="AH153:AH162" si="8">IF(AQ153="0",BJ153,0)</f>
        <v>0</v>
      </c>
      <c r="AI153" s="35" t="s">
        <v>4</v>
      </c>
      <c r="AJ153" s="51">
        <f t="shared" ref="AJ153:AJ162" si="9">IF(AN153=0,H153,0)</f>
        <v>0</v>
      </c>
      <c r="AK153" s="51">
        <f t="shared" ref="AK153:AK162" si="10">IF(AN153=12,H153,0)</f>
        <v>0</v>
      </c>
      <c r="AL153" s="51">
        <f t="shared" ref="AL153:AL162" si="11">IF(AN153=21,H153,0)</f>
        <v>0</v>
      </c>
      <c r="AN153" s="51">
        <v>12</v>
      </c>
      <c r="AO153" s="51">
        <f>G153*0.809885787</f>
        <v>0</v>
      </c>
      <c r="AP153" s="51">
        <f>G153*(1-0.809885787)</f>
        <v>0</v>
      </c>
      <c r="AQ153" s="53" t="s">
        <v>148</v>
      </c>
      <c r="AV153" s="51">
        <f t="shared" ref="AV153:AV162" si="12">AW153+AX153</f>
        <v>0</v>
      </c>
      <c r="AW153" s="51">
        <f t="shared" ref="AW153:AW162" si="13">F153*AO153</f>
        <v>0</v>
      </c>
      <c r="AX153" s="51">
        <f t="shared" ref="AX153:AX162" si="14">F153*AP153</f>
        <v>0</v>
      </c>
      <c r="AY153" s="53" t="s">
        <v>386</v>
      </c>
      <c r="AZ153" s="53" t="s">
        <v>387</v>
      </c>
      <c r="BA153" s="35" t="s">
        <v>117</v>
      </c>
      <c r="BC153" s="51">
        <f t="shared" ref="BC153:BC162" si="15">AW153+AX153</f>
        <v>0</v>
      </c>
      <c r="BD153" s="51">
        <f t="shared" ref="BD153:BD162" si="16">G153/(100-BE153)*100</f>
        <v>0</v>
      </c>
      <c r="BE153" s="51">
        <v>0</v>
      </c>
      <c r="BF153" s="51">
        <f>153</f>
        <v>153</v>
      </c>
      <c r="BH153" s="51">
        <f t="shared" ref="BH153:BH162" si="17">F153*AO153</f>
        <v>0</v>
      </c>
      <c r="BI153" s="51">
        <f t="shared" ref="BI153:BI162" si="18">F153*AP153</f>
        <v>0</v>
      </c>
      <c r="BJ153" s="51">
        <f t="shared" ref="BJ153:BJ162" si="19">F153*G153</f>
        <v>0</v>
      </c>
      <c r="BK153" s="51"/>
      <c r="BL153" s="51">
        <v>721</v>
      </c>
      <c r="BW153" s="51">
        <v>12</v>
      </c>
      <c r="BX153" s="3" t="s">
        <v>385</v>
      </c>
    </row>
    <row r="154" spans="1:76">
      <c r="A154" s="1" t="s">
        <v>388</v>
      </c>
      <c r="B154" s="2" t="s">
        <v>389</v>
      </c>
      <c r="C154" s="75" t="s">
        <v>390</v>
      </c>
      <c r="D154" s="70"/>
      <c r="E154" s="2" t="s">
        <v>134</v>
      </c>
      <c r="F154" s="51">
        <v>1</v>
      </c>
      <c r="G154" s="52">
        <v>0</v>
      </c>
      <c r="H154" s="51">
        <f t="shared" si="0"/>
        <v>0</v>
      </c>
      <c r="J154" s="41"/>
      <c r="Z154" s="51">
        <f t="shared" si="1"/>
        <v>0</v>
      </c>
      <c r="AB154" s="51">
        <f t="shared" si="2"/>
        <v>0</v>
      </c>
      <c r="AC154" s="51">
        <f t="shared" si="3"/>
        <v>0</v>
      </c>
      <c r="AD154" s="51">
        <f t="shared" si="4"/>
        <v>0</v>
      </c>
      <c r="AE154" s="51">
        <f t="shared" si="5"/>
        <v>0</v>
      </c>
      <c r="AF154" s="51">
        <f t="shared" si="6"/>
        <v>0</v>
      </c>
      <c r="AG154" s="51">
        <f t="shared" si="7"/>
        <v>0</v>
      </c>
      <c r="AH154" s="51">
        <f t="shared" si="8"/>
        <v>0</v>
      </c>
      <c r="AI154" s="35" t="s">
        <v>4</v>
      </c>
      <c r="AJ154" s="51">
        <f t="shared" si="9"/>
        <v>0</v>
      </c>
      <c r="AK154" s="51">
        <f t="shared" si="10"/>
        <v>0</v>
      </c>
      <c r="AL154" s="51">
        <f t="shared" si="11"/>
        <v>0</v>
      </c>
      <c r="AN154" s="51">
        <v>12</v>
      </c>
      <c r="AO154" s="51">
        <f>G154*0</f>
        <v>0</v>
      </c>
      <c r="AP154" s="51">
        <f>G154*(1-0)</f>
        <v>0</v>
      </c>
      <c r="AQ154" s="53" t="s">
        <v>148</v>
      </c>
      <c r="AV154" s="51">
        <f t="shared" si="12"/>
        <v>0</v>
      </c>
      <c r="AW154" s="51">
        <f t="shared" si="13"/>
        <v>0</v>
      </c>
      <c r="AX154" s="51">
        <f t="shared" si="14"/>
        <v>0</v>
      </c>
      <c r="AY154" s="53" t="s">
        <v>386</v>
      </c>
      <c r="AZ154" s="53" t="s">
        <v>387</v>
      </c>
      <c r="BA154" s="35" t="s">
        <v>117</v>
      </c>
      <c r="BC154" s="51">
        <f t="shared" si="15"/>
        <v>0</v>
      </c>
      <c r="BD154" s="51">
        <f t="shared" si="16"/>
        <v>0</v>
      </c>
      <c r="BE154" s="51">
        <v>0</v>
      </c>
      <c r="BF154" s="51">
        <f>154</f>
        <v>154</v>
      </c>
      <c r="BH154" s="51">
        <f t="shared" si="17"/>
        <v>0</v>
      </c>
      <c r="BI154" s="51">
        <f t="shared" si="18"/>
        <v>0</v>
      </c>
      <c r="BJ154" s="51">
        <f t="shared" si="19"/>
        <v>0</v>
      </c>
      <c r="BK154" s="51"/>
      <c r="BL154" s="51">
        <v>721</v>
      </c>
      <c r="BW154" s="51">
        <v>12</v>
      </c>
      <c r="BX154" s="3" t="s">
        <v>390</v>
      </c>
    </row>
    <row r="155" spans="1:76">
      <c r="A155" s="1" t="s">
        <v>391</v>
      </c>
      <c r="B155" s="2" t="s">
        <v>392</v>
      </c>
      <c r="C155" s="75" t="s">
        <v>393</v>
      </c>
      <c r="D155" s="70"/>
      <c r="E155" s="2" t="s">
        <v>134</v>
      </c>
      <c r="F155" s="51">
        <v>6</v>
      </c>
      <c r="G155" s="52">
        <v>0</v>
      </c>
      <c r="H155" s="51">
        <f t="shared" si="0"/>
        <v>0</v>
      </c>
      <c r="J155" s="41"/>
      <c r="Z155" s="51">
        <f t="shared" si="1"/>
        <v>0</v>
      </c>
      <c r="AB155" s="51">
        <f t="shared" si="2"/>
        <v>0</v>
      </c>
      <c r="AC155" s="51">
        <f t="shared" si="3"/>
        <v>0</v>
      </c>
      <c r="AD155" s="51">
        <f t="shared" si="4"/>
        <v>0</v>
      </c>
      <c r="AE155" s="51">
        <f t="shared" si="5"/>
        <v>0</v>
      </c>
      <c r="AF155" s="51">
        <f t="shared" si="6"/>
        <v>0</v>
      </c>
      <c r="AG155" s="51">
        <f t="shared" si="7"/>
        <v>0</v>
      </c>
      <c r="AH155" s="51">
        <f t="shared" si="8"/>
        <v>0</v>
      </c>
      <c r="AI155" s="35" t="s">
        <v>4</v>
      </c>
      <c r="AJ155" s="51">
        <f t="shared" si="9"/>
        <v>0</v>
      </c>
      <c r="AK155" s="51">
        <f t="shared" si="10"/>
        <v>0</v>
      </c>
      <c r="AL155" s="51">
        <f t="shared" si="11"/>
        <v>0</v>
      </c>
      <c r="AN155" s="51">
        <v>12</v>
      </c>
      <c r="AO155" s="51">
        <f>G155*0</f>
        <v>0</v>
      </c>
      <c r="AP155" s="51">
        <f>G155*(1-0)</f>
        <v>0</v>
      </c>
      <c r="AQ155" s="53" t="s">
        <v>148</v>
      </c>
      <c r="AV155" s="51">
        <f t="shared" si="12"/>
        <v>0</v>
      </c>
      <c r="AW155" s="51">
        <f t="shared" si="13"/>
        <v>0</v>
      </c>
      <c r="AX155" s="51">
        <f t="shared" si="14"/>
        <v>0</v>
      </c>
      <c r="AY155" s="53" t="s">
        <v>386</v>
      </c>
      <c r="AZ155" s="53" t="s">
        <v>387</v>
      </c>
      <c r="BA155" s="35" t="s">
        <v>117</v>
      </c>
      <c r="BC155" s="51">
        <f t="shared" si="15"/>
        <v>0</v>
      </c>
      <c r="BD155" s="51">
        <f t="shared" si="16"/>
        <v>0</v>
      </c>
      <c r="BE155" s="51">
        <v>0</v>
      </c>
      <c r="BF155" s="51">
        <f>155</f>
        <v>155</v>
      </c>
      <c r="BH155" s="51">
        <f t="shared" si="17"/>
        <v>0</v>
      </c>
      <c r="BI155" s="51">
        <f t="shared" si="18"/>
        <v>0</v>
      </c>
      <c r="BJ155" s="51">
        <f t="shared" si="19"/>
        <v>0</v>
      </c>
      <c r="BK155" s="51"/>
      <c r="BL155" s="51">
        <v>721</v>
      </c>
      <c r="BW155" s="51">
        <v>12</v>
      </c>
      <c r="BX155" s="3" t="s">
        <v>393</v>
      </c>
    </row>
    <row r="156" spans="1:76">
      <c r="A156" s="1" t="s">
        <v>394</v>
      </c>
      <c r="B156" s="2" t="s">
        <v>395</v>
      </c>
      <c r="C156" s="75" t="s">
        <v>396</v>
      </c>
      <c r="D156" s="70"/>
      <c r="E156" s="2" t="s">
        <v>134</v>
      </c>
      <c r="F156" s="51">
        <v>1.9</v>
      </c>
      <c r="G156" s="52">
        <v>0</v>
      </c>
      <c r="H156" s="51">
        <f t="shared" si="0"/>
        <v>0</v>
      </c>
      <c r="J156" s="41"/>
      <c r="Z156" s="51">
        <f t="shared" si="1"/>
        <v>0</v>
      </c>
      <c r="AB156" s="51">
        <f t="shared" si="2"/>
        <v>0</v>
      </c>
      <c r="AC156" s="51">
        <f t="shared" si="3"/>
        <v>0</v>
      </c>
      <c r="AD156" s="51">
        <f t="shared" si="4"/>
        <v>0</v>
      </c>
      <c r="AE156" s="51">
        <f t="shared" si="5"/>
        <v>0</v>
      </c>
      <c r="AF156" s="51">
        <f t="shared" si="6"/>
        <v>0</v>
      </c>
      <c r="AG156" s="51">
        <f t="shared" si="7"/>
        <v>0</v>
      </c>
      <c r="AH156" s="51">
        <f t="shared" si="8"/>
        <v>0</v>
      </c>
      <c r="AI156" s="35" t="s">
        <v>4</v>
      </c>
      <c r="AJ156" s="51">
        <f t="shared" si="9"/>
        <v>0</v>
      </c>
      <c r="AK156" s="51">
        <f t="shared" si="10"/>
        <v>0</v>
      </c>
      <c r="AL156" s="51">
        <f t="shared" si="11"/>
        <v>0</v>
      </c>
      <c r="AN156" s="51">
        <v>12</v>
      </c>
      <c r="AO156" s="51">
        <f>G156*0.335696203</f>
        <v>0</v>
      </c>
      <c r="AP156" s="51">
        <f>G156*(1-0.335696203)</f>
        <v>0</v>
      </c>
      <c r="AQ156" s="53" t="s">
        <v>148</v>
      </c>
      <c r="AV156" s="51">
        <f t="shared" si="12"/>
        <v>0</v>
      </c>
      <c r="AW156" s="51">
        <f t="shared" si="13"/>
        <v>0</v>
      </c>
      <c r="AX156" s="51">
        <f t="shared" si="14"/>
        <v>0</v>
      </c>
      <c r="AY156" s="53" t="s">
        <v>386</v>
      </c>
      <c r="AZ156" s="53" t="s">
        <v>387</v>
      </c>
      <c r="BA156" s="35" t="s">
        <v>117</v>
      </c>
      <c r="BC156" s="51">
        <f t="shared" si="15"/>
        <v>0</v>
      </c>
      <c r="BD156" s="51">
        <f t="shared" si="16"/>
        <v>0</v>
      </c>
      <c r="BE156" s="51">
        <v>0</v>
      </c>
      <c r="BF156" s="51">
        <f>156</f>
        <v>156</v>
      </c>
      <c r="BH156" s="51">
        <f t="shared" si="17"/>
        <v>0</v>
      </c>
      <c r="BI156" s="51">
        <f t="shared" si="18"/>
        <v>0</v>
      </c>
      <c r="BJ156" s="51">
        <f t="shared" si="19"/>
        <v>0</v>
      </c>
      <c r="BK156" s="51"/>
      <c r="BL156" s="51">
        <v>721</v>
      </c>
      <c r="BW156" s="51">
        <v>12</v>
      </c>
      <c r="BX156" s="3" t="s">
        <v>396</v>
      </c>
    </row>
    <row r="157" spans="1:76">
      <c r="A157" s="1" t="s">
        <v>397</v>
      </c>
      <c r="B157" s="2" t="s">
        <v>398</v>
      </c>
      <c r="C157" s="75" t="s">
        <v>399</v>
      </c>
      <c r="D157" s="70"/>
      <c r="E157" s="2" t="s">
        <v>134</v>
      </c>
      <c r="F157" s="51">
        <v>3.2</v>
      </c>
      <c r="G157" s="52">
        <v>0</v>
      </c>
      <c r="H157" s="51">
        <f t="shared" si="0"/>
        <v>0</v>
      </c>
      <c r="J157" s="41"/>
      <c r="Z157" s="51">
        <f t="shared" si="1"/>
        <v>0</v>
      </c>
      <c r="AB157" s="51">
        <f t="shared" si="2"/>
        <v>0</v>
      </c>
      <c r="AC157" s="51">
        <f t="shared" si="3"/>
        <v>0</v>
      </c>
      <c r="AD157" s="51">
        <f t="shared" si="4"/>
        <v>0</v>
      </c>
      <c r="AE157" s="51">
        <f t="shared" si="5"/>
        <v>0</v>
      </c>
      <c r="AF157" s="51">
        <f t="shared" si="6"/>
        <v>0</v>
      </c>
      <c r="AG157" s="51">
        <f t="shared" si="7"/>
        <v>0</v>
      </c>
      <c r="AH157" s="51">
        <f t="shared" si="8"/>
        <v>0</v>
      </c>
      <c r="AI157" s="35" t="s">
        <v>4</v>
      </c>
      <c r="AJ157" s="51">
        <f t="shared" si="9"/>
        <v>0</v>
      </c>
      <c r="AK157" s="51">
        <f t="shared" si="10"/>
        <v>0</v>
      </c>
      <c r="AL157" s="51">
        <f t="shared" si="11"/>
        <v>0</v>
      </c>
      <c r="AN157" s="51">
        <v>12</v>
      </c>
      <c r="AO157" s="51">
        <f>G157*0.340586218</f>
        <v>0</v>
      </c>
      <c r="AP157" s="51">
        <f>G157*(1-0.340586218)</f>
        <v>0</v>
      </c>
      <c r="AQ157" s="53" t="s">
        <v>148</v>
      </c>
      <c r="AV157" s="51">
        <f t="shared" si="12"/>
        <v>0</v>
      </c>
      <c r="AW157" s="51">
        <f t="shared" si="13"/>
        <v>0</v>
      </c>
      <c r="AX157" s="51">
        <f t="shared" si="14"/>
        <v>0</v>
      </c>
      <c r="AY157" s="53" t="s">
        <v>386</v>
      </c>
      <c r="AZ157" s="53" t="s">
        <v>387</v>
      </c>
      <c r="BA157" s="35" t="s">
        <v>117</v>
      </c>
      <c r="BC157" s="51">
        <f t="shared" si="15"/>
        <v>0</v>
      </c>
      <c r="BD157" s="51">
        <f t="shared" si="16"/>
        <v>0</v>
      </c>
      <c r="BE157" s="51">
        <v>0</v>
      </c>
      <c r="BF157" s="51">
        <f>157</f>
        <v>157</v>
      </c>
      <c r="BH157" s="51">
        <f t="shared" si="17"/>
        <v>0</v>
      </c>
      <c r="BI157" s="51">
        <f t="shared" si="18"/>
        <v>0</v>
      </c>
      <c r="BJ157" s="51">
        <f t="shared" si="19"/>
        <v>0</v>
      </c>
      <c r="BK157" s="51"/>
      <c r="BL157" s="51">
        <v>721</v>
      </c>
      <c r="BW157" s="51">
        <v>12</v>
      </c>
      <c r="BX157" s="3" t="s">
        <v>399</v>
      </c>
    </row>
    <row r="158" spans="1:76">
      <c r="A158" s="1" t="s">
        <v>400</v>
      </c>
      <c r="B158" s="2" t="s">
        <v>401</v>
      </c>
      <c r="C158" s="75" t="s">
        <v>402</v>
      </c>
      <c r="D158" s="70"/>
      <c r="E158" s="2" t="s">
        <v>134</v>
      </c>
      <c r="F158" s="51">
        <v>1</v>
      </c>
      <c r="G158" s="52">
        <v>0</v>
      </c>
      <c r="H158" s="51">
        <f t="shared" si="0"/>
        <v>0</v>
      </c>
      <c r="J158" s="41"/>
      <c r="Z158" s="51">
        <f t="shared" si="1"/>
        <v>0</v>
      </c>
      <c r="AB158" s="51">
        <f t="shared" si="2"/>
        <v>0</v>
      </c>
      <c r="AC158" s="51">
        <f t="shared" si="3"/>
        <v>0</v>
      </c>
      <c r="AD158" s="51">
        <f t="shared" si="4"/>
        <v>0</v>
      </c>
      <c r="AE158" s="51">
        <f t="shared" si="5"/>
        <v>0</v>
      </c>
      <c r="AF158" s="51">
        <f t="shared" si="6"/>
        <v>0</v>
      </c>
      <c r="AG158" s="51">
        <f t="shared" si="7"/>
        <v>0</v>
      </c>
      <c r="AH158" s="51">
        <f t="shared" si="8"/>
        <v>0</v>
      </c>
      <c r="AI158" s="35" t="s">
        <v>4</v>
      </c>
      <c r="AJ158" s="51">
        <f t="shared" si="9"/>
        <v>0</v>
      </c>
      <c r="AK158" s="51">
        <f t="shared" si="10"/>
        <v>0</v>
      </c>
      <c r="AL158" s="51">
        <f t="shared" si="11"/>
        <v>0</v>
      </c>
      <c r="AN158" s="51">
        <v>12</v>
      </c>
      <c r="AO158" s="51">
        <f>G158*0.317436677</f>
        <v>0</v>
      </c>
      <c r="AP158" s="51">
        <f>G158*(1-0.317436677)</f>
        <v>0</v>
      </c>
      <c r="AQ158" s="53" t="s">
        <v>148</v>
      </c>
      <c r="AV158" s="51">
        <f t="shared" si="12"/>
        <v>0</v>
      </c>
      <c r="AW158" s="51">
        <f t="shared" si="13"/>
        <v>0</v>
      </c>
      <c r="AX158" s="51">
        <f t="shared" si="14"/>
        <v>0</v>
      </c>
      <c r="AY158" s="53" t="s">
        <v>386</v>
      </c>
      <c r="AZ158" s="53" t="s">
        <v>387</v>
      </c>
      <c r="BA158" s="35" t="s">
        <v>117</v>
      </c>
      <c r="BC158" s="51">
        <f t="shared" si="15"/>
        <v>0</v>
      </c>
      <c r="BD158" s="51">
        <f t="shared" si="16"/>
        <v>0</v>
      </c>
      <c r="BE158" s="51">
        <v>0</v>
      </c>
      <c r="BF158" s="51">
        <f>158</f>
        <v>158</v>
      </c>
      <c r="BH158" s="51">
        <f t="shared" si="17"/>
        <v>0</v>
      </c>
      <c r="BI158" s="51">
        <f t="shared" si="18"/>
        <v>0</v>
      </c>
      <c r="BJ158" s="51">
        <f t="shared" si="19"/>
        <v>0</v>
      </c>
      <c r="BK158" s="51"/>
      <c r="BL158" s="51">
        <v>721</v>
      </c>
      <c r="BW158" s="51">
        <v>12</v>
      </c>
      <c r="BX158" s="3" t="s">
        <v>402</v>
      </c>
    </row>
    <row r="159" spans="1:76">
      <c r="A159" s="1" t="s">
        <v>403</v>
      </c>
      <c r="B159" s="2" t="s">
        <v>404</v>
      </c>
      <c r="C159" s="75" t="s">
        <v>405</v>
      </c>
      <c r="D159" s="70"/>
      <c r="E159" s="2" t="s">
        <v>134</v>
      </c>
      <c r="F159" s="51">
        <v>0.5</v>
      </c>
      <c r="G159" s="52">
        <v>0</v>
      </c>
      <c r="H159" s="51">
        <f t="shared" si="0"/>
        <v>0</v>
      </c>
      <c r="J159" s="41"/>
      <c r="Z159" s="51">
        <f t="shared" si="1"/>
        <v>0</v>
      </c>
      <c r="AB159" s="51">
        <f t="shared" si="2"/>
        <v>0</v>
      </c>
      <c r="AC159" s="51">
        <f t="shared" si="3"/>
        <v>0</v>
      </c>
      <c r="AD159" s="51">
        <f t="shared" si="4"/>
        <v>0</v>
      </c>
      <c r="AE159" s="51">
        <f t="shared" si="5"/>
        <v>0</v>
      </c>
      <c r="AF159" s="51">
        <f t="shared" si="6"/>
        <v>0</v>
      </c>
      <c r="AG159" s="51">
        <f t="shared" si="7"/>
        <v>0</v>
      </c>
      <c r="AH159" s="51">
        <f t="shared" si="8"/>
        <v>0</v>
      </c>
      <c r="AI159" s="35" t="s">
        <v>4</v>
      </c>
      <c r="AJ159" s="51">
        <f t="shared" si="9"/>
        <v>0</v>
      </c>
      <c r="AK159" s="51">
        <f t="shared" si="10"/>
        <v>0</v>
      </c>
      <c r="AL159" s="51">
        <f t="shared" si="11"/>
        <v>0</v>
      </c>
      <c r="AN159" s="51">
        <v>12</v>
      </c>
      <c r="AO159" s="51">
        <f>G159*0.431778607</f>
        <v>0</v>
      </c>
      <c r="AP159" s="51">
        <f>G159*(1-0.431778607)</f>
        <v>0</v>
      </c>
      <c r="AQ159" s="53" t="s">
        <v>148</v>
      </c>
      <c r="AV159" s="51">
        <f t="shared" si="12"/>
        <v>0</v>
      </c>
      <c r="AW159" s="51">
        <f t="shared" si="13"/>
        <v>0</v>
      </c>
      <c r="AX159" s="51">
        <f t="shared" si="14"/>
        <v>0</v>
      </c>
      <c r="AY159" s="53" t="s">
        <v>386</v>
      </c>
      <c r="AZ159" s="53" t="s">
        <v>387</v>
      </c>
      <c r="BA159" s="35" t="s">
        <v>117</v>
      </c>
      <c r="BC159" s="51">
        <f t="shared" si="15"/>
        <v>0</v>
      </c>
      <c r="BD159" s="51">
        <f t="shared" si="16"/>
        <v>0</v>
      </c>
      <c r="BE159" s="51">
        <v>0</v>
      </c>
      <c r="BF159" s="51">
        <f>159</f>
        <v>159</v>
      </c>
      <c r="BH159" s="51">
        <f t="shared" si="17"/>
        <v>0</v>
      </c>
      <c r="BI159" s="51">
        <f t="shared" si="18"/>
        <v>0</v>
      </c>
      <c r="BJ159" s="51">
        <f t="shared" si="19"/>
        <v>0</v>
      </c>
      <c r="BK159" s="51"/>
      <c r="BL159" s="51">
        <v>721</v>
      </c>
      <c r="BW159" s="51">
        <v>12</v>
      </c>
      <c r="BX159" s="3" t="s">
        <v>405</v>
      </c>
    </row>
    <row r="160" spans="1:76">
      <c r="A160" s="1" t="s">
        <v>406</v>
      </c>
      <c r="B160" s="2" t="s">
        <v>407</v>
      </c>
      <c r="C160" s="75" t="s">
        <v>408</v>
      </c>
      <c r="D160" s="70"/>
      <c r="E160" s="2" t="s">
        <v>114</v>
      </c>
      <c r="F160" s="51">
        <v>4</v>
      </c>
      <c r="G160" s="52">
        <v>0</v>
      </c>
      <c r="H160" s="51">
        <f t="shared" si="0"/>
        <v>0</v>
      </c>
      <c r="J160" s="41"/>
      <c r="Z160" s="51">
        <f t="shared" si="1"/>
        <v>0</v>
      </c>
      <c r="AB160" s="51">
        <f t="shared" si="2"/>
        <v>0</v>
      </c>
      <c r="AC160" s="51">
        <f t="shared" si="3"/>
        <v>0</v>
      </c>
      <c r="AD160" s="51">
        <f t="shared" si="4"/>
        <v>0</v>
      </c>
      <c r="AE160" s="51">
        <f t="shared" si="5"/>
        <v>0</v>
      </c>
      <c r="AF160" s="51">
        <f t="shared" si="6"/>
        <v>0</v>
      </c>
      <c r="AG160" s="51">
        <f t="shared" si="7"/>
        <v>0</v>
      </c>
      <c r="AH160" s="51">
        <f t="shared" si="8"/>
        <v>0</v>
      </c>
      <c r="AI160" s="35" t="s">
        <v>4</v>
      </c>
      <c r="AJ160" s="51">
        <f t="shared" si="9"/>
        <v>0</v>
      </c>
      <c r="AK160" s="51">
        <f t="shared" si="10"/>
        <v>0</v>
      </c>
      <c r="AL160" s="51">
        <f t="shared" si="11"/>
        <v>0</v>
      </c>
      <c r="AN160" s="51">
        <v>12</v>
      </c>
      <c r="AO160" s="51">
        <f>G160*0</f>
        <v>0</v>
      </c>
      <c r="AP160" s="51">
        <f>G160*(1-0)</f>
        <v>0</v>
      </c>
      <c r="AQ160" s="53" t="s">
        <v>148</v>
      </c>
      <c r="AV160" s="51">
        <f t="shared" si="12"/>
        <v>0</v>
      </c>
      <c r="AW160" s="51">
        <f t="shared" si="13"/>
        <v>0</v>
      </c>
      <c r="AX160" s="51">
        <f t="shared" si="14"/>
        <v>0</v>
      </c>
      <c r="AY160" s="53" t="s">
        <v>386</v>
      </c>
      <c r="AZ160" s="53" t="s">
        <v>387</v>
      </c>
      <c r="BA160" s="35" t="s">
        <v>117</v>
      </c>
      <c r="BC160" s="51">
        <f t="shared" si="15"/>
        <v>0</v>
      </c>
      <c r="BD160" s="51">
        <f t="shared" si="16"/>
        <v>0</v>
      </c>
      <c r="BE160" s="51">
        <v>0</v>
      </c>
      <c r="BF160" s="51">
        <f>160</f>
        <v>160</v>
      </c>
      <c r="BH160" s="51">
        <f t="shared" si="17"/>
        <v>0</v>
      </c>
      <c r="BI160" s="51">
        <f t="shared" si="18"/>
        <v>0</v>
      </c>
      <c r="BJ160" s="51">
        <f t="shared" si="19"/>
        <v>0</v>
      </c>
      <c r="BK160" s="51"/>
      <c r="BL160" s="51">
        <v>721</v>
      </c>
      <c r="BW160" s="51">
        <v>12</v>
      </c>
      <c r="BX160" s="3" t="s">
        <v>408</v>
      </c>
    </row>
    <row r="161" spans="1:76">
      <c r="A161" s="1" t="s">
        <v>409</v>
      </c>
      <c r="B161" s="2" t="s">
        <v>410</v>
      </c>
      <c r="C161" s="75" t="s">
        <v>411</v>
      </c>
      <c r="D161" s="70"/>
      <c r="E161" s="2" t="s">
        <v>114</v>
      </c>
      <c r="F161" s="51">
        <v>1</v>
      </c>
      <c r="G161" s="52">
        <v>0</v>
      </c>
      <c r="H161" s="51">
        <f t="shared" si="0"/>
        <v>0</v>
      </c>
      <c r="J161" s="41"/>
      <c r="Z161" s="51">
        <f t="shared" si="1"/>
        <v>0</v>
      </c>
      <c r="AB161" s="51">
        <f t="shared" si="2"/>
        <v>0</v>
      </c>
      <c r="AC161" s="51">
        <f t="shared" si="3"/>
        <v>0</v>
      </c>
      <c r="AD161" s="51">
        <f t="shared" si="4"/>
        <v>0</v>
      </c>
      <c r="AE161" s="51">
        <f t="shared" si="5"/>
        <v>0</v>
      </c>
      <c r="AF161" s="51">
        <f t="shared" si="6"/>
        <v>0</v>
      </c>
      <c r="AG161" s="51">
        <f t="shared" si="7"/>
        <v>0</v>
      </c>
      <c r="AH161" s="51">
        <f t="shared" si="8"/>
        <v>0</v>
      </c>
      <c r="AI161" s="35" t="s">
        <v>4</v>
      </c>
      <c r="AJ161" s="51">
        <f t="shared" si="9"/>
        <v>0</v>
      </c>
      <c r="AK161" s="51">
        <f t="shared" si="10"/>
        <v>0</v>
      </c>
      <c r="AL161" s="51">
        <f t="shared" si="11"/>
        <v>0</v>
      </c>
      <c r="AN161" s="51">
        <v>12</v>
      </c>
      <c r="AO161" s="51">
        <f>G161*0</f>
        <v>0</v>
      </c>
      <c r="AP161" s="51">
        <f>G161*(1-0)</f>
        <v>0</v>
      </c>
      <c r="AQ161" s="53" t="s">
        <v>148</v>
      </c>
      <c r="AV161" s="51">
        <f t="shared" si="12"/>
        <v>0</v>
      </c>
      <c r="AW161" s="51">
        <f t="shared" si="13"/>
        <v>0</v>
      </c>
      <c r="AX161" s="51">
        <f t="shared" si="14"/>
        <v>0</v>
      </c>
      <c r="AY161" s="53" t="s">
        <v>386</v>
      </c>
      <c r="AZ161" s="53" t="s">
        <v>387</v>
      </c>
      <c r="BA161" s="35" t="s">
        <v>117</v>
      </c>
      <c r="BC161" s="51">
        <f t="shared" si="15"/>
        <v>0</v>
      </c>
      <c r="BD161" s="51">
        <f t="shared" si="16"/>
        <v>0</v>
      </c>
      <c r="BE161" s="51">
        <v>0</v>
      </c>
      <c r="BF161" s="51">
        <f>161</f>
        <v>161</v>
      </c>
      <c r="BH161" s="51">
        <f t="shared" si="17"/>
        <v>0</v>
      </c>
      <c r="BI161" s="51">
        <f t="shared" si="18"/>
        <v>0</v>
      </c>
      <c r="BJ161" s="51">
        <f t="shared" si="19"/>
        <v>0</v>
      </c>
      <c r="BK161" s="51"/>
      <c r="BL161" s="51">
        <v>721</v>
      </c>
      <c r="BW161" s="51">
        <v>12</v>
      </c>
      <c r="BX161" s="3" t="s">
        <v>411</v>
      </c>
    </row>
    <row r="162" spans="1:76">
      <c r="A162" s="1" t="s">
        <v>141</v>
      </c>
      <c r="B162" s="2" t="s">
        <v>412</v>
      </c>
      <c r="C162" s="75" t="s">
        <v>413</v>
      </c>
      <c r="D162" s="70"/>
      <c r="E162" s="2" t="s">
        <v>134</v>
      </c>
      <c r="F162" s="51">
        <v>6.1</v>
      </c>
      <c r="G162" s="52">
        <v>0</v>
      </c>
      <c r="H162" s="51">
        <f t="shared" si="0"/>
        <v>0</v>
      </c>
      <c r="J162" s="41"/>
      <c r="Z162" s="51">
        <f t="shared" si="1"/>
        <v>0</v>
      </c>
      <c r="AB162" s="51">
        <f t="shared" si="2"/>
        <v>0</v>
      </c>
      <c r="AC162" s="51">
        <f t="shared" si="3"/>
        <v>0</v>
      </c>
      <c r="AD162" s="51">
        <f t="shared" si="4"/>
        <v>0</v>
      </c>
      <c r="AE162" s="51">
        <f t="shared" si="5"/>
        <v>0</v>
      </c>
      <c r="AF162" s="51">
        <f t="shared" si="6"/>
        <v>0</v>
      </c>
      <c r="AG162" s="51">
        <f t="shared" si="7"/>
        <v>0</v>
      </c>
      <c r="AH162" s="51">
        <f t="shared" si="8"/>
        <v>0</v>
      </c>
      <c r="AI162" s="35" t="s">
        <v>4</v>
      </c>
      <c r="AJ162" s="51">
        <f t="shared" si="9"/>
        <v>0</v>
      </c>
      <c r="AK162" s="51">
        <f t="shared" si="10"/>
        <v>0</v>
      </c>
      <c r="AL162" s="51">
        <f t="shared" si="11"/>
        <v>0</v>
      </c>
      <c r="AN162" s="51">
        <v>12</v>
      </c>
      <c r="AO162" s="51">
        <f>G162*0</f>
        <v>0</v>
      </c>
      <c r="AP162" s="51">
        <f>G162*(1-0)</f>
        <v>0</v>
      </c>
      <c r="AQ162" s="53" t="s">
        <v>120</v>
      </c>
      <c r="AV162" s="51">
        <f t="shared" si="12"/>
        <v>0</v>
      </c>
      <c r="AW162" s="51">
        <f t="shared" si="13"/>
        <v>0</v>
      </c>
      <c r="AX162" s="51">
        <f t="shared" si="14"/>
        <v>0</v>
      </c>
      <c r="AY162" s="53" t="s">
        <v>386</v>
      </c>
      <c r="AZ162" s="53" t="s">
        <v>387</v>
      </c>
      <c r="BA162" s="35" t="s">
        <v>117</v>
      </c>
      <c r="BC162" s="51">
        <f t="shared" si="15"/>
        <v>0</v>
      </c>
      <c r="BD162" s="51">
        <f t="shared" si="16"/>
        <v>0</v>
      </c>
      <c r="BE162" s="51">
        <v>0</v>
      </c>
      <c r="BF162" s="51">
        <f>162</f>
        <v>162</v>
      </c>
      <c r="BH162" s="51">
        <f t="shared" si="17"/>
        <v>0</v>
      </c>
      <c r="BI162" s="51">
        <f t="shared" si="18"/>
        <v>0</v>
      </c>
      <c r="BJ162" s="51">
        <f t="shared" si="19"/>
        <v>0</v>
      </c>
      <c r="BK162" s="51"/>
      <c r="BL162" s="51">
        <v>721</v>
      </c>
      <c r="BW162" s="51">
        <v>12</v>
      </c>
      <c r="BX162" s="3" t="s">
        <v>413</v>
      </c>
    </row>
    <row r="163" spans="1:76">
      <c r="A163" s="54"/>
      <c r="C163" s="56" t="s">
        <v>414</v>
      </c>
      <c r="D163" s="57" t="s">
        <v>4</v>
      </c>
      <c r="F163" s="58">
        <v>6.1</v>
      </c>
      <c r="J163" s="41"/>
    </row>
    <row r="164" spans="1:76">
      <c r="A164" s="1" t="s">
        <v>415</v>
      </c>
      <c r="B164" s="2" t="s">
        <v>416</v>
      </c>
      <c r="C164" s="75" t="s">
        <v>417</v>
      </c>
      <c r="D164" s="70"/>
      <c r="E164" s="2" t="s">
        <v>134</v>
      </c>
      <c r="F164" s="51">
        <v>6.1</v>
      </c>
      <c r="G164" s="52">
        <v>0</v>
      </c>
      <c r="H164" s="51">
        <f>F164*G164</f>
        <v>0</v>
      </c>
      <c r="J164" s="41"/>
      <c r="Z164" s="51">
        <f>IF(AQ164="5",BJ164,0)</f>
        <v>0</v>
      </c>
      <c r="AB164" s="51">
        <f>IF(AQ164="1",BH164,0)</f>
        <v>0</v>
      </c>
      <c r="AC164" s="51">
        <f>IF(AQ164="1",BI164,0)</f>
        <v>0</v>
      </c>
      <c r="AD164" s="51">
        <f>IF(AQ164="7",BH164,0)</f>
        <v>0</v>
      </c>
      <c r="AE164" s="51">
        <f>IF(AQ164="7",BI164,0)</f>
        <v>0</v>
      </c>
      <c r="AF164" s="51">
        <f>IF(AQ164="2",BH164,0)</f>
        <v>0</v>
      </c>
      <c r="AG164" s="51">
        <f>IF(AQ164="2",BI164,0)</f>
        <v>0</v>
      </c>
      <c r="AH164" s="51">
        <f>IF(AQ164="0",BJ164,0)</f>
        <v>0</v>
      </c>
      <c r="AI164" s="35" t="s">
        <v>4</v>
      </c>
      <c r="AJ164" s="51">
        <f>IF(AN164=0,H164,0)</f>
        <v>0</v>
      </c>
      <c r="AK164" s="51">
        <f>IF(AN164=12,H164,0)</f>
        <v>0</v>
      </c>
      <c r="AL164" s="51">
        <f>IF(AN164=21,H164,0)</f>
        <v>0</v>
      </c>
      <c r="AN164" s="51">
        <v>12</v>
      </c>
      <c r="AO164" s="51">
        <f>G164*0.029225352</f>
        <v>0</v>
      </c>
      <c r="AP164" s="51">
        <f>G164*(1-0.029225352)</f>
        <v>0</v>
      </c>
      <c r="AQ164" s="53" t="s">
        <v>148</v>
      </c>
      <c r="AV164" s="51">
        <f>AW164+AX164</f>
        <v>0</v>
      </c>
      <c r="AW164" s="51">
        <f>F164*AO164</f>
        <v>0</v>
      </c>
      <c r="AX164" s="51">
        <f>F164*AP164</f>
        <v>0</v>
      </c>
      <c r="AY164" s="53" t="s">
        <v>386</v>
      </c>
      <c r="AZ164" s="53" t="s">
        <v>387</v>
      </c>
      <c r="BA164" s="35" t="s">
        <v>117</v>
      </c>
      <c r="BC164" s="51">
        <f>AW164+AX164</f>
        <v>0</v>
      </c>
      <c r="BD164" s="51">
        <f>G164/(100-BE164)*100</f>
        <v>0</v>
      </c>
      <c r="BE164" s="51">
        <v>0</v>
      </c>
      <c r="BF164" s="51">
        <f>164</f>
        <v>164</v>
      </c>
      <c r="BH164" s="51">
        <f>F164*AO164</f>
        <v>0</v>
      </c>
      <c r="BI164" s="51">
        <f>F164*AP164</f>
        <v>0</v>
      </c>
      <c r="BJ164" s="51">
        <f>F164*G164</f>
        <v>0</v>
      </c>
      <c r="BK164" s="51"/>
      <c r="BL164" s="51">
        <v>721</v>
      </c>
      <c r="BW164" s="51">
        <v>12</v>
      </c>
      <c r="BX164" s="3" t="s">
        <v>417</v>
      </c>
    </row>
    <row r="165" spans="1:76">
      <c r="A165" s="1" t="s">
        <v>235</v>
      </c>
      <c r="B165" s="2" t="s">
        <v>418</v>
      </c>
      <c r="C165" s="75" t="s">
        <v>419</v>
      </c>
      <c r="D165" s="70"/>
      <c r="E165" s="2" t="s">
        <v>134</v>
      </c>
      <c r="F165" s="51">
        <v>1</v>
      </c>
      <c r="G165" s="52">
        <v>0</v>
      </c>
      <c r="H165" s="51">
        <f>F165*G165</f>
        <v>0</v>
      </c>
      <c r="J165" s="41"/>
      <c r="Z165" s="51">
        <f>IF(AQ165="5",BJ165,0)</f>
        <v>0</v>
      </c>
      <c r="AB165" s="51">
        <f>IF(AQ165="1",BH165,0)</f>
        <v>0</v>
      </c>
      <c r="AC165" s="51">
        <f>IF(AQ165="1",BI165,0)</f>
        <v>0</v>
      </c>
      <c r="AD165" s="51">
        <f>IF(AQ165="7",BH165,0)</f>
        <v>0</v>
      </c>
      <c r="AE165" s="51">
        <f>IF(AQ165="7",BI165,0)</f>
        <v>0</v>
      </c>
      <c r="AF165" s="51">
        <f>IF(AQ165="2",BH165,0)</f>
        <v>0</v>
      </c>
      <c r="AG165" s="51">
        <f>IF(AQ165="2",BI165,0)</f>
        <v>0</v>
      </c>
      <c r="AH165" s="51">
        <f>IF(AQ165="0",BJ165,0)</f>
        <v>0</v>
      </c>
      <c r="AI165" s="35" t="s">
        <v>4</v>
      </c>
      <c r="AJ165" s="51">
        <f>IF(AN165=0,H165,0)</f>
        <v>0</v>
      </c>
      <c r="AK165" s="51">
        <f>IF(AN165=12,H165,0)</f>
        <v>0</v>
      </c>
      <c r="AL165" s="51">
        <f>IF(AN165=21,H165,0)</f>
        <v>0</v>
      </c>
      <c r="AN165" s="51">
        <v>12</v>
      </c>
      <c r="AO165" s="51">
        <f>G165*0.414300183</f>
        <v>0</v>
      </c>
      <c r="AP165" s="51">
        <f>G165*(1-0.414300183)</f>
        <v>0</v>
      </c>
      <c r="AQ165" s="53" t="s">
        <v>148</v>
      </c>
      <c r="AV165" s="51">
        <f>AW165+AX165</f>
        <v>0</v>
      </c>
      <c r="AW165" s="51">
        <f>F165*AO165</f>
        <v>0</v>
      </c>
      <c r="AX165" s="51">
        <f>F165*AP165</f>
        <v>0</v>
      </c>
      <c r="AY165" s="53" t="s">
        <v>386</v>
      </c>
      <c r="AZ165" s="53" t="s">
        <v>387</v>
      </c>
      <c r="BA165" s="35" t="s">
        <v>117</v>
      </c>
      <c r="BC165" s="51">
        <f>AW165+AX165</f>
        <v>0</v>
      </c>
      <c r="BD165" s="51">
        <f>G165/(100-BE165)*100</f>
        <v>0</v>
      </c>
      <c r="BE165" s="51">
        <v>0</v>
      </c>
      <c r="BF165" s="51">
        <f>165</f>
        <v>165</v>
      </c>
      <c r="BH165" s="51">
        <f>F165*AO165</f>
        <v>0</v>
      </c>
      <c r="BI165" s="51">
        <f>F165*AP165</f>
        <v>0</v>
      </c>
      <c r="BJ165" s="51">
        <f>F165*G165</f>
        <v>0</v>
      </c>
      <c r="BK165" s="51"/>
      <c r="BL165" s="51">
        <v>721</v>
      </c>
      <c r="BW165" s="51">
        <v>12</v>
      </c>
      <c r="BX165" s="3" t="s">
        <v>419</v>
      </c>
    </row>
    <row r="166" spans="1:76">
      <c r="A166" s="1" t="s">
        <v>420</v>
      </c>
      <c r="B166" s="2" t="s">
        <v>421</v>
      </c>
      <c r="C166" s="75" t="s">
        <v>422</v>
      </c>
      <c r="D166" s="70"/>
      <c r="E166" s="2" t="s">
        <v>318</v>
      </c>
      <c r="F166" s="51">
        <v>0.62</v>
      </c>
      <c r="G166" s="52">
        <v>0</v>
      </c>
      <c r="H166" s="51">
        <f>F166*G166</f>
        <v>0</v>
      </c>
      <c r="J166" s="41"/>
      <c r="Z166" s="51">
        <f>IF(AQ166="5",BJ166,0)</f>
        <v>0</v>
      </c>
      <c r="AB166" s="51">
        <f>IF(AQ166="1",BH166,0)</f>
        <v>0</v>
      </c>
      <c r="AC166" s="51">
        <f>IF(AQ166="1",BI166,0)</f>
        <v>0</v>
      </c>
      <c r="AD166" s="51">
        <f>IF(AQ166="7",BH166,0)</f>
        <v>0</v>
      </c>
      <c r="AE166" s="51">
        <f>IF(AQ166="7",BI166,0)</f>
        <v>0</v>
      </c>
      <c r="AF166" s="51">
        <f>IF(AQ166="2",BH166,0)</f>
        <v>0</v>
      </c>
      <c r="AG166" s="51">
        <f>IF(AQ166="2",BI166,0)</f>
        <v>0</v>
      </c>
      <c r="AH166" s="51">
        <f>IF(AQ166="0",BJ166,0)</f>
        <v>0</v>
      </c>
      <c r="AI166" s="35" t="s">
        <v>4</v>
      </c>
      <c r="AJ166" s="51">
        <f>IF(AN166=0,H166,0)</f>
        <v>0</v>
      </c>
      <c r="AK166" s="51">
        <f>IF(AN166=12,H166,0)</f>
        <v>0</v>
      </c>
      <c r="AL166" s="51">
        <f>IF(AN166=21,H166,0)</f>
        <v>0</v>
      </c>
      <c r="AN166" s="51">
        <v>12</v>
      </c>
      <c r="AO166" s="51">
        <f>G166*0</f>
        <v>0</v>
      </c>
      <c r="AP166" s="51">
        <f>G166*(1-0)</f>
        <v>0</v>
      </c>
      <c r="AQ166" s="53" t="s">
        <v>137</v>
      </c>
      <c r="AV166" s="51">
        <f>AW166+AX166</f>
        <v>0</v>
      </c>
      <c r="AW166" s="51">
        <f>F166*AO166</f>
        <v>0</v>
      </c>
      <c r="AX166" s="51">
        <f>F166*AP166</f>
        <v>0</v>
      </c>
      <c r="AY166" s="53" t="s">
        <v>386</v>
      </c>
      <c r="AZ166" s="53" t="s">
        <v>387</v>
      </c>
      <c r="BA166" s="35" t="s">
        <v>117</v>
      </c>
      <c r="BC166" s="51">
        <f>AW166+AX166</f>
        <v>0</v>
      </c>
      <c r="BD166" s="51">
        <f>G166/(100-BE166)*100</f>
        <v>0</v>
      </c>
      <c r="BE166" s="51">
        <v>0</v>
      </c>
      <c r="BF166" s="51">
        <f>166</f>
        <v>166</v>
      </c>
      <c r="BH166" s="51">
        <f>F166*AO166</f>
        <v>0</v>
      </c>
      <c r="BI166" s="51">
        <f>F166*AP166</f>
        <v>0</v>
      </c>
      <c r="BJ166" s="51">
        <f>F166*G166</f>
        <v>0</v>
      </c>
      <c r="BK166" s="51"/>
      <c r="BL166" s="51">
        <v>721</v>
      </c>
      <c r="BW166" s="51">
        <v>12</v>
      </c>
      <c r="BX166" s="3" t="s">
        <v>422</v>
      </c>
    </row>
    <row r="167" spans="1:76">
      <c r="A167" s="47" t="s">
        <v>4</v>
      </c>
      <c r="B167" s="48" t="s">
        <v>423</v>
      </c>
      <c r="C167" s="150" t="s">
        <v>424</v>
      </c>
      <c r="D167" s="151"/>
      <c r="E167" s="49" t="s">
        <v>79</v>
      </c>
      <c r="F167" s="49" t="s">
        <v>79</v>
      </c>
      <c r="G167" s="50" t="s">
        <v>79</v>
      </c>
      <c r="H167" s="28">
        <f>SUM(H168:H178)</f>
        <v>0</v>
      </c>
      <c r="J167" s="41"/>
      <c r="AI167" s="35" t="s">
        <v>4</v>
      </c>
      <c r="AS167" s="28">
        <f>SUM(AJ168:AJ178)</f>
        <v>0</v>
      </c>
      <c r="AT167" s="28">
        <f>SUM(AK168:AK178)</f>
        <v>0</v>
      </c>
      <c r="AU167" s="28">
        <f>SUM(AL168:AL178)</f>
        <v>0</v>
      </c>
    </row>
    <row r="168" spans="1:76">
      <c r="A168" s="1" t="s">
        <v>425</v>
      </c>
      <c r="B168" s="2" t="s">
        <v>426</v>
      </c>
      <c r="C168" s="75" t="s">
        <v>427</v>
      </c>
      <c r="D168" s="70"/>
      <c r="E168" s="2" t="s">
        <v>134</v>
      </c>
      <c r="F168" s="51">
        <v>8</v>
      </c>
      <c r="G168" s="52">
        <v>0</v>
      </c>
      <c r="H168" s="51">
        <f t="shared" ref="H168:H178" si="20">F168*G168</f>
        <v>0</v>
      </c>
      <c r="J168" s="41"/>
      <c r="Z168" s="51">
        <f t="shared" ref="Z168:Z178" si="21">IF(AQ168="5",BJ168,0)</f>
        <v>0</v>
      </c>
      <c r="AB168" s="51">
        <f t="shared" ref="AB168:AB178" si="22">IF(AQ168="1",BH168,0)</f>
        <v>0</v>
      </c>
      <c r="AC168" s="51">
        <f t="shared" ref="AC168:AC178" si="23">IF(AQ168="1",BI168,0)</f>
        <v>0</v>
      </c>
      <c r="AD168" s="51">
        <f t="shared" ref="AD168:AD178" si="24">IF(AQ168="7",BH168,0)</f>
        <v>0</v>
      </c>
      <c r="AE168" s="51">
        <f t="shared" ref="AE168:AE178" si="25">IF(AQ168="7",BI168,0)</f>
        <v>0</v>
      </c>
      <c r="AF168" s="51">
        <f t="shared" ref="AF168:AF178" si="26">IF(AQ168="2",BH168,0)</f>
        <v>0</v>
      </c>
      <c r="AG168" s="51">
        <f t="shared" ref="AG168:AG178" si="27">IF(AQ168="2",BI168,0)</f>
        <v>0</v>
      </c>
      <c r="AH168" s="51">
        <f t="shared" ref="AH168:AH178" si="28">IF(AQ168="0",BJ168,0)</f>
        <v>0</v>
      </c>
      <c r="AI168" s="35" t="s">
        <v>4</v>
      </c>
      <c r="AJ168" s="51">
        <f t="shared" ref="AJ168:AJ178" si="29">IF(AN168=0,H168,0)</f>
        <v>0</v>
      </c>
      <c r="AK168" s="51">
        <f t="shared" ref="AK168:AK178" si="30">IF(AN168=12,H168,0)</f>
        <v>0</v>
      </c>
      <c r="AL168" s="51">
        <f t="shared" ref="AL168:AL178" si="31">IF(AN168=21,H168,0)</f>
        <v>0</v>
      </c>
      <c r="AN168" s="51">
        <v>12</v>
      </c>
      <c r="AO168" s="51">
        <f>G168*0</f>
        <v>0</v>
      </c>
      <c r="AP168" s="51">
        <f>G168*(1-0)</f>
        <v>0</v>
      </c>
      <c r="AQ168" s="53" t="s">
        <v>148</v>
      </c>
      <c r="AV168" s="51">
        <f t="shared" ref="AV168:AV178" si="32">AW168+AX168</f>
        <v>0</v>
      </c>
      <c r="AW168" s="51">
        <f t="shared" ref="AW168:AW178" si="33">F168*AO168</f>
        <v>0</v>
      </c>
      <c r="AX168" s="51">
        <f t="shared" ref="AX168:AX178" si="34">F168*AP168</f>
        <v>0</v>
      </c>
      <c r="AY168" s="53" t="s">
        <v>428</v>
      </c>
      <c r="AZ168" s="53" t="s">
        <v>387</v>
      </c>
      <c r="BA168" s="35" t="s">
        <v>117</v>
      </c>
      <c r="BC168" s="51">
        <f t="shared" ref="BC168:BC178" si="35">AW168+AX168</f>
        <v>0</v>
      </c>
      <c r="BD168" s="51">
        <f t="shared" ref="BD168:BD178" si="36">G168/(100-BE168)*100</f>
        <v>0</v>
      </c>
      <c r="BE168" s="51">
        <v>0</v>
      </c>
      <c r="BF168" s="51">
        <f>168</f>
        <v>168</v>
      </c>
      <c r="BH168" s="51">
        <f t="shared" ref="BH168:BH178" si="37">F168*AO168</f>
        <v>0</v>
      </c>
      <c r="BI168" s="51">
        <f t="shared" ref="BI168:BI178" si="38">F168*AP168</f>
        <v>0</v>
      </c>
      <c r="BJ168" s="51">
        <f t="shared" ref="BJ168:BJ178" si="39">F168*G168</f>
        <v>0</v>
      </c>
      <c r="BK168" s="51"/>
      <c r="BL168" s="51">
        <v>722</v>
      </c>
      <c r="BW168" s="51">
        <v>12</v>
      </c>
      <c r="BX168" s="3" t="s">
        <v>427</v>
      </c>
    </row>
    <row r="169" spans="1:76">
      <c r="A169" s="1" t="s">
        <v>429</v>
      </c>
      <c r="B169" s="2" t="s">
        <v>430</v>
      </c>
      <c r="C169" s="75" t="s">
        <v>431</v>
      </c>
      <c r="D169" s="70"/>
      <c r="E169" s="2" t="s">
        <v>114</v>
      </c>
      <c r="F169" s="51">
        <v>6</v>
      </c>
      <c r="G169" s="52">
        <v>0</v>
      </c>
      <c r="H169" s="51">
        <f t="shared" si="20"/>
        <v>0</v>
      </c>
      <c r="J169" s="41"/>
      <c r="Z169" s="51">
        <f t="shared" si="21"/>
        <v>0</v>
      </c>
      <c r="AB169" s="51">
        <f t="shared" si="22"/>
        <v>0</v>
      </c>
      <c r="AC169" s="51">
        <f t="shared" si="23"/>
        <v>0</v>
      </c>
      <c r="AD169" s="51">
        <f t="shared" si="24"/>
        <v>0</v>
      </c>
      <c r="AE169" s="51">
        <f t="shared" si="25"/>
        <v>0</v>
      </c>
      <c r="AF169" s="51">
        <f t="shared" si="26"/>
        <v>0</v>
      </c>
      <c r="AG169" s="51">
        <f t="shared" si="27"/>
        <v>0</v>
      </c>
      <c r="AH169" s="51">
        <f t="shared" si="28"/>
        <v>0</v>
      </c>
      <c r="AI169" s="35" t="s">
        <v>4</v>
      </c>
      <c r="AJ169" s="51">
        <f t="shared" si="29"/>
        <v>0</v>
      </c>
      <c r="AK169" s="51">
        <f t="shared" si="30"/>
        <v>0</v>
      </c>
      <c r="AL169" s="51">
        <f t="shared" si="31"/>
        <v>0</v>
      </c>
      <c r="AN169" s="51">
        <v>12</v>
      </c>
      <c r="AO169" s="51">
        <f>G169*0</f>
        <v>0</v>
      </c>
      <c r="AP169" s="51">
        <f>G169*(1-0)</f>
        <v>0</v>
      </c>
      <c r="AQ169" s="53" t="s">
        <v>148</v>
      </c>
      <c r="AV169" s="51">
        <f t="shared" si="32"/>
        <v>0</v>
      </c>
      <c r="AW169" s="51">
        <f t="shared" si="33"/>
        <v>0</v>
      </c>
      <c r="AX169" s="51">
        <f t="shared" si="34"/>
        <v>0</v>
      </c>
      <c r="AY169" s="53" t="s">
        <v>428</v>
      </c>
      <c r="AZ169" s="53" t="s">
        <v>387</v>
      </c>
      <c r="BA169" s="35" t="s">
        <v>117</v>
      </c>
      <c r="BC169" s="51">
        <f t="shared" si="35"/>
        <v>0</v>
      </c>
      <c r="BD169" s="51">
        <f t="shared" si="36"/>
        <v>0</v>
      </c>
      <c r="BE169" s="51">
        <v>0</v>
      </c>
      <c r="BF169" s="51">
        <f>169</f>
        <v>169</v>
      </c>
      <c r="BH169" s="51">
        <f t="shared" si="37"/>
        <v>0</v>
      </c>
      <c r="BI169" s="51">
        <f t="shared" si="38"/>
        <v>0</v>
      </c>
      <c r="BJ169" s="51">
        <f t="shared" si="39"/>
        <v>0</v>
      </c>
      <c r="BK169" s="51"/>
      <c r="BL169" s="51">
        <v>722</v>
      </c>
      <c r="BW169" s="51">
        <v>12</v>
      </c>
      <c r="BX169" s="3" t="s">
        <v>431</v>
      </c>
    </row>
    <row r="170" spans="1:76">
      <c r="A170" s="1" t="s">
        <v>432</v>
      </c>
      <c r="B170" s="2" t="s">
        <v>433</v>
      </c>
      <c r="C170" s="75" t="s">
        <v>434</v>
      </c>
      <c r="D170" s="70"/>
      <c r="E170" s="2" t="s">
        <v>114</v>
      </c>
      <c r="F170" s="51">
        <v>2</v>
      </c>
      <c r="G170" s="52">
        <v>0</v>
      </c>
      <c r="H170" s="51">
        <f t="shared" si="20"/>
        <v>0</v>
      </c>
      <c r="J170" s="41"/>
      <c r="Z170" s="51">
        <f t="shared" si="21"/>
        <v>0</v>
      </c>
      <c r="AB170" s="51">
        <f t="shared" si="22"/>
        <v>0</v>
      </c>
      <c r="AC170" s="51">
        <f t="shared" si="23"/>
        <v>0</v>
      </c>
      <c r="AD170" s="51">
        <f t="shared" si="24"/>
        <v>0</v>
      </c>
      <c r="AE170" s="51">
        <f t="shared" si="25"/>
        <v>0</v>
      </c>
      <c r="AF170" s="51">
        <f t="shared" si="26"/>
        <v>0</v>
      </c>
      <c r="AG170" s="51">
        <f t="shared" si="27"/>
        <v>0</v>
      </c>
      <c r="AH170" s="51">
        <f t="shared" si="28"/>
        <v>0</v>
      </c>
      <c r="AI170" s="35" t="s">
        <v>4</v>
      </c>
      <c r="AJ170" s="51">
        <f t="shared" si="29"/>
        <v>0</v>
      </c>
      <c r="AK170" s="51">
        <f t="shared" si="30"/>
        <v>0</v>
      </c>
      <c r="AL170" s="51">
        <f t="shared" si="31"/>
        <v>0</v>
      </c>
      <c r="AN170" s="51">
        <v>12</v>
      </c>
      <c r="AO170" s="51">
        <f>G170*0.035569217</f>
        <v>0</v>
      </c>
      <c r="AP170" s="51">
        <f>G170*(1-0.035569217)</f>
        <v>0</v>
      </c>
      <c r="AQ170" s="53" t="s">
        <v>148</v>
      </c>
      <c r="AV170" s="51">
        <f t="shared" si="32"/>
        <v>0</v>
      </c>
      <c r="AW170" s="51">
        <f t="shared" si="33"/>
        <v>0</v>
      </c>
      <c r="AX170" s="51">
        <f t="shared" si="34"/>
        <v>0</v>
      </c>
      <c r="AY170" s="53" t="s">
        <v>428</v>
      </c>
      <c r="AZ170" s="53" t="s">
        <v>387</v>
      </c>
      <c r="BA170" s="35" t="s">
        <v>117</v>
      </c>
      <c r="BC170" s="51">
        <f t="shared" si="35"/>
        <v>0</v>
      </c>
      <c r="BD170" s="51">
        <f t="shared" si="36"/>
        <v>0</v>
      </c>
      <c r="BE170" s="51">
        <v>0</v>
      </c>
      <c r="BF170" s="51">
        <f>170</f>
        <v>170</v>
      </c>
      <c r="BH170" s="51">
        <f t="shared" si="37"/>
        <v>0</v>
      </c>
      <c r="BI170" s="51">
        <f t="shared" si="38"/>
        <v>0</v>
      </c>
      <c r="BJ170" s="51">
        <f t="shared" si="39"/>
        <v>0</v>
      </c>
      <c r="BK170" s="51"/>
      <c r="BL170" s="51">
        <v>722</v>
      </c>
      <c r="BW170" s="51">
        <v>12</v>
      </c>
      <c r="BX170" s="3" t="s">
        <v>434</v>
      </c>
    </row>
    <row r="171" spans="1:76">
      <c r="A171" s="1" t="s">
        <v>435</v>
      </c>
      <c r="B171" s="2" t="s">
        <v>436</v>
      </c>
      <c r="C171" s="75" t="s">
        <v>437</v>
      </c>
      <c r="D171" s="70"/>
      <c r="E171" s="2" t="s">
        <v>134</v>
      </c>
      <c r="F171" s="51">
        <v>24.5</v>
      </c>
      <c r="G171" s="52">
        <v>0</v>
      </c>
      <c r="H171" s="51">
        <f t="shared" si="20"/>
        <v>0</v>
      </c>
      <c r="J171" s="41"/>
      <c r="Z171" s="51">
        <f t="shared" si="21"/>
        <v>0</v>
      </c>
      <c r="AB171" s="51">
        <f t="shared" si="22"/>
        <v>0</v>
      </c>
      <c r="AC171" s="51">
        <f t="shared" si="23"/>
        <v>0</v>
      </c>
      <c r="AD171" s="51">
        <f t="shared" si="24"/>
        <v>0</v>
      </c>
      <c r="AE171" s="51">
        <f t="shared" si="25"/>
        <v>0</v>
      </c>
      <c r="AF171" s="51">
        <f t="shared" si="26"/>
        <v>0</v>
      </c>
      <c r="AG171" s="51">
        <f t="shared" si="27"/>
        <v>0</v>
      </c>
      <c r="AH171" s="51">
        <f t="shared" si="28"/>
        <v>0</v>
      </c>
      <c r="AI171" s="35" t="s">
        <v>4</v>
      </c>
      <c r="AJ171" s="51">
        <f t="shared" si="29"/>
        <v>0</v>
      </c>
      <c r="AK171" s="51">
        <f t="shared" si="30"/>
        <v>0</v>
      </c>
      <c r="AL171" s="51">
        <f t="shared" si="31"/>
        <v>0</v>
      </c>
      <c r="AN171" s="51">
        <v>12</v>
      </c>
      <c r="AO171" s="51">
        <f>G171*0.343352381</f>
        <v>0</v>
      </c>
      <c r="AP171" s="51">
        <f>G171*(1-0.343352381)</f>
        <v>0</v>
      </c>
      <c r="AQ171" s="53" t="s">
        <v>148</v>
      </c>
      <c r="AV171" s="51">
        <f t="shared" si="32"/>
        <v>0</v>
      </c>
      <c r="AW171" s="51">
        <f t="shared" si="33"/>
        <v>0</v>
      </c>
      <c r="AX171" s="51">
        <f t="shared" si="34"/>
        <v>0</v>
      </c>
      <c r="AY171" s="53" t="s">
        <v>428</v>
      </c>
      <c r="AZ171" s="53" t="s">
        <v>387</v>
      </c>
      <c r="BA171" s="35" t="s">
        <v>117</v>
      </c>
      <c r="BC171" s="51">
        <f t="shared" si="35"/>
        <v>0</v>
      </c>
      <c r="BD171" s="51">
        <f t="shared" si="36"/>
        <v>0</v>
      </c>
      <c r="BE171" s="51">
        <v>0</v>
      </c>
      <c r="BF171" s="51">
        <f>171</f>
        <v>171</v>
      </c>
      <c r="BH171" s="51">
        <f t="shared" si="37"/>
        <v>0</v>
      </c>
      <c r="BI171" s="51">
        <f t="shared" si="38"/>
        <v>0</v>
      </c>
      <c r="BJ171" s="51">
        <f t="shared" si="39"/>
        <v>0</v>
      </c>
      <c r="BK171" s="51"/>
      <c r="BL171" s="51">
        <v>722</v>
      </c>
      <c r="BW171" s="51">
        <v>12</v>
      </c>
      <c r="BX171" s="3" t="s">
        <v>437</v>
      </c>
    </row>
    <row r="172" spans="1:76">
      <c r="A172" s="1" t="s">
        <v>438</v>
      </c>
      <c r="B172" s="2" t="s">
        <v>439</v>
      </c>
      <c r="C172" s="75" t="s">
        <v>440</v>
      </c>
      <c r="D172" s="70"/>
      <c r="E172" s="2" t="s">
        <v>114</v>
      </c>
      <c r="F172" s="51">
        <v>2</v>
      </c>
      <c r="G172" s="52">
        <v>0</v>
      </c>
      <c r="H172" s="51">
        <f t="shared" si="20"/>
        <v>0</v>
      </c>
      <c r="J172" s="41"/>
      <c r="Z172" s="51">
        <f t="shared" si="21"/>
        <v>0</v>
      </c>
      <c r="AB172" s="51">
        <f t="shared" si="22"/>
        <v>0</v>
      </c>
      <c r="AC172" s="51">
        <f t="shared" si="23"/>
        <v>0</v>
      </c>
      <c r="AD172" s="51">
        <f t="shared" si="24"/>
        <v>0</v>
      </c>
      <c r="AE172" s="51">
        <f t="shared" si="25"/>
        <v>0</v>
      </c>
      <c r="AF172" s="51">
        <f t="shared" si="26"/>
        <v>0</v>
      </c>
      <c r="AG172" s="51">
        <f t="shared" si="27"/>
        <v>0</v>
      </c>
      <c r="AH172" s="51">
        <f t="shared" si="28"/>
        <v>0</v>
      </c>
      <c r="AI172" s="35" t="s">
        <v>4</v>
      </c>
      <c r="AJ172" s="51">
        <f t="shared" si="29"/>
        <v>0</v>
      </c>
      <c r="AK172" s="51">
        <f t="shared" si="30"/>
        <v>0</v>
      </c>
      <c r="AL172" s="51">
        <f t="shared" si="31"/>
        <v>0</v>
      </c>
      <c r="AN172" s="51">
        <v>12</v>
      </c>
      <c r="AO172" s="51">
        <f>G172*0.52306338</f>
        <v>0</v>
      </c>
      <c r="AP172" s="51">
        <f>G172*(1-0.52306338)</f>
        <v>0</v>
      </c>
      <c r="AQ172" s="53" t="s">
        <v>148</v>
      </c>
      <c r="AV172" s="51">
        <f t="shared" si="32"/>
        <v>0</v>
      </c>
      <c r="AW172" s="51">
        <f t="shared" si="33"/>
        <v>0</v>
      </c>
      <c r="AX172" s="51">
        <f t="shared" si="34"/>
        <v>0</v>
      </c>
      <c r="AY172" s="53" t="s">
        <v>428</v>
      </c>
      <c r="AZ172" s="53" t="s">
        <v>387</v>
      </c>
      <c r="BA172" s="35" t="s">
        <v>117</v>
      </c>
      <c r="BC172" s="51">
        <f t="shared" si="35"/>
        <v>0</v>
      </c>
      <c r="BD172" s="51">
        <f t="shared" si="36"/>
        <v>0</v>
      </c>
      <c r="BE172" s="51">
        <v>0</v>
      </c>
      <c r="BF172" s="51">
        <f>172</f>
        <v>172</v>
      </c>
      <c r="BH172" s="51">
        <f t="shared" si="37"/>
        <v>0</v>
      </c>
      <c r="BI172" s="51">
        <f t="shared" si="38"/>
        <v>0</v>
      </c>
      <c r="BJ172" s="51">
        <f t="shared" si="39"/>
        <v>0</v>
      </c>
      <c r="BK172" s="51"/>
      <c r="BL172" s="51">
        <v>722</v>
      </c>
      <c r="BW172" s="51">
        <v>12</v>
      </c>
      <c r="BX172" s="3" t="s">
        <v>440</v>
      </c>
    </row>
    <row r="173" spans="1:76">
      <c r="A173" s="1" t="s">
        <v>441</v>
      </c>
      <c r="B173" s="2" t="s">
        <v>442</v>
      </c>
      <c r="C173" s="75" t="s">
        <v>443</v>
      </c>
      <c r="D173" s="70"/>
      <c r="E173" s="2" t="s">
        <v>444</v>
      </c>
      <c r="F173" s="51">
        <v>3</v>
      </c>
      <c r="G173" s="52">
        <v>0</v>
      </c>
      <c r="H173" s="51">
        <f t="shared" si="20"/>
        <v>0</v>
      </c>
      <c r="J173" s="41"/>
      <c r="Z173" s="51">
        <f t="shared" si="21"/>
        <v>0</v>
      </c>
      <c r="AB173" s="51">
        <f t="shared" si="22"/>
        <v>0</v>
      </c>
      <c r="AC173" s="51">
        <f t="shared" si="23"/>
        <v>0</v>
      </c>
      <c r="AD173" s="51">
        <f t="shared" si="24"/>
        <v>0</v>
      </c>
      <c r="AE173" s="51">
        <f t="shared" si="25"/>
        <v>0</v>
      </c>
      <c r="AF173" s="51">
        <f t="shared" si="26"/>
        <v>0</v>
      </c>
      <c r="AG173" s="51">
        <f t="shared" si="27"/>
        <v>0</v>
      </c>
      <c r="AH173" s="51">
        <f t="shared" si="28"/>
        <v>0</v>
      </c>
      <c r="AI173" s="35" t="s">
        <v>4</v>
      </c>
      <c r="AJ173" s="51">
        <f t="shared" si="29"/>
        <v>0</v>
      </c>
      <c r="AK173" s="51">
        <f t="shared" si="30"/>
        <v>0</v>
      </c>
      <c r="AL173" s="51">
        <f t="shared" si="31"/>
        <v>0</v>
      </c>
      <c r="AN173" s="51">
        <v>12</v>
      </c>
      <c r="AO173" s="51">
        <f>G173*0.529089317</f>
        <v>0</v>
      </c>
      <c r="AP173" s="51">
        <f>G173*(1-0.529089317)</f>
        <v>0</v>
      </c>
      <c r="AQ173" s="53" t="s">
        <v>148</v>
      </c>
      <c r="AV173" s="51">
        <f t="shared" si="32"/>
        <v>0</v>
      </c>
      <c r="AW173" s="51">
        <f t="shared" si="33"/>
        <v>0</v>
      </c>
      <c r="AX173" s="51">
        <f t="shared" si="34"/>
        <v>0</v>
      </c>
      <c r="AY173" s="53" t="s">
        <v>428</v>
      </c>
      <c r="AZ173" s="53" t="s">
        <v>387</v>
      </c>
      <c r="BA173" s="35" t="s">
        <v>117</v>
      </c>
      <c r="BC173" s="51">
        <f t="shared" si="35"/>
        <v>0</v>
      </c>
      <c r="BD173" s="51">
        <f t="shared" si="36"/>
        <v>0</v>
      </c>
      <c r="BE173" s="51">
        <v>0</v>
      </c>
      <c r="BF173" s="51">
        <f>173</f>
        <v>173</v>
      </c>
      <c r="BH173" s="51">
        <f t="shared" si="37"/>
        <v>0</v>
      </c>
      <c r="BI173" s="51">
        <f t="shared" si="38"/>
        <v>0</v>
      </c>
      <c r="BJ173" s="51">
        <f t="shared" si="39"/>
        <v>0</v>
      </c>
      <c r="BK173" s="51"/>
      <c r="BL173" s="51">
        <v>722</v>
      </c>
      <c r="BW173" s="51">
        <v>12</v>
      </c>
      <c r="BX173" s="3" t="s">
        <v>443</v>
      </c>
    </row>
    <row r="174" spans="1:76">
      <c r="A174" s="1" t="s">
        <v>445</v>
      </c>
      <c r="B174" s="2" t="s">
        <v>446</v>
      </c>
      <c r="C174" s="75" t="s">
        <v>447</v>
      </c>
      <c r="D174" s="70"/>
      <c r="E174" s="2" t="s">
        <v>134</v>
      </c>
      <c r="F174" s="51">
        <v>24.5</v>
      </c>
      <c r="G174" s="52">
        <v>0</v>
      </c>
      <c r="H174" s="51">
        <f t="shared" si="20"/>
        <v>0</v>
      </c>
      <c r="J174" s="41"/>
      <c r="Z174" s="51">
        <f t="shared" si="21"/>
        <v>0</v>
      </c>
      <c r="AB174" s="51">
        <f t="shared" si="22"/>
        <v>0</v>
      </c>
      <c r="AC174" s="51">
        <f t="shared" si="23"/>
        <v>0</v>
      </c>
      <c r="AD174" s="51">
        <f t="shared" si="24"/>
        <v>0</v>
      </c>
      <c r="AE174" s="51">
        <f t="shared" si="25"/>
        <v>0</v>
      </c>
      <c r="AF174" s="51">
        <f t="shared" si="26"/>
        <v>0</v>
      </c>
      <c r="AG174" s="51">
        <f t="shared" si="27"/>
        <v>0</v>
      </c>
      <c r="AH174" s="51">
        <f t="shared" si="28"/>
        <v>0</v>
      </c>
      <c r="AI174" s="35" t="s">
        <v>4</v>
      </c>
      <c r="AJ174" s="51">
        <f t="shared" si="29"/>
        <v>0</v>
      </c>
      <c r="AK174" s="51">
        <f t="shared" si="30"/>
        <v>0</v>
      </c>
      <c r="AL174" s="51">
        <f t="shared" si="31"/>
        <v>0</v>
      </c>
      <c r="AN174" s="51">
        <v>12</v>
      </c>
      <c r="AO174" s="51">
        <f>G174*0.45117255</f>
        <v>0</v>
      </c>
      <c r="AP174" s="51">
        <f>G174*(1-0.45117255)</f>
        <v>0</v>
      </c>
      <c r="AQ174" s="53" t="s">
        <v>148</v>
      </c>
      <c r="AV174" s="51">
        <f t="shared" si="32"/>
        <v>0</v>
      </c>
      <c r="AW174" s="51">
        <f t="shared" si="33"/>
        <v>0</v>
      </c>
      <c r="AX174" s="51">
        <f t="shared" si="34"/>
        <v>0</v>
      </c>
      <c r="AY174" s="53" t="s">
        <v>428</v>
      </c>
      <c r="AZ174" s="53" t="s">
        <v>387</v>
      </c>
      <c r="BA174" s="35" t="s">
        <v>117</v>
      </c>
      <c r="BC174" s="51">
        <f t="shared" si="35"/>
        <v>0</v>
      </c>
      <c r="BD174" s="51">
        <f t="shared" si="36"/>
        <v>0</v>
      </c>
      <c r="BE174" s="51">
        <v>0</v>
      </c>
      <c r="BF174" s="51">
        <f>174</f>
        <v>174</v>
      </c>
      <c r="BH174" s="51">
        <f t="shared" si="37"/>
        <v>0</v>
      </c>
      <c r="BI174" s="51">
        <f t="shared" si="38"/>
        <v>0</v>
      </c>
      <c r="BJ174" s="51">
        <f t="shared" si="39"/>
        <v>0</v>
      </c>
      <c r="BK174" s="51"/>
      <c r="BL174" s="51">
        <v>722</v>
      </c>
      <c r="BW174" s="51">
        <v>12</v>
      </c>
      <c r="BX174" s="3" t="s">
        <v>447</v>
      </c>
    </row>
    <row r="175" spans="1:76">
      <c r="A175" s="1" t="s">
        <v>448</v>
      </c>
      <c r="B175" s="2" t="s">
        <v>449</v>
      </c>
      <c r="C175" s="75" t="s">
        <v>450</v>
      </c>
      <c r="D175" s="70"/>
      <c r="E175" s="2" t="s">
        <v>114</v>
      </c>
      <c r="F175" s="51">
        <v>8</v>
      </c>
      <c r="G175" s="52">
        <v>0</v>
      </c>
      <c r="H175" s="51">
        <f t="shared" si="20"/>
        <v>0</v>
      </c>
      <c r="J175" s="41"/>
      <c r="Z175" s="51">
        <f t="shared" si="21"/>
        <v>0</v>
      </c>
      <c r="AB175" s="51">
        <f t="shared" si="22"/>
        <v>0</v>
      </c>
      <c r="AC175" s="51">
        <f t="shared" si="23"/>
        <v>0</v>
      </c>
      <c r="AD175" s="51">
        <f t="shared" si="24"/>
        <v>0</v>
      </c>
      <c r="AE175" s="51">
        <f t="shared" si="25"/>
        <v>0</v>
      </c>
      <c r="AF175" s="51">
        <f t="shared" si="26"/>
        <v>0</v>
      </c>
      <c r="AG175" s="51">
        <f t="shared" si="27"/>
        <v>0</v>
      </c>
      <c r="AH175" s="51">
        <f t="shared" si="28"/>
        <v>0</v>
      </c>
      <c r="AI175" s="35" t="s">
        <v>4</v>
      </c>
      <c r="AJ175" s="51">
        <f t="shared" si="29"/>
        <v>0</v>
      </c>
      <c r="AK175" s="51">
        <f t="shared" si="30"/>
        <v>0</v>
      </c>
      <c r="AL175" s="51">
        <f t="shared" si="31"/>
        <v>0</v>
      </c>
      <c r="AN175" s="51">
        <v>12</v>
      </c>
      <c r="AO175" s="51">
        <f>G175*0</f>
        <v>0</v>
      </c>
      <c r="AP175" s="51">
        <f>G175*(1-0)</f>
        <v>0</v>
      </c>
      <c r="AQ175" s="53" t="s">
        <v>148</v>
      </c>
      <c r="AV175" s="51">
        <f t="shared" si="32"/>
        <v>0</v>
      </c>
      <c r="AW175" s="51">
        <f t="shared" si="33"/>
        <v>0</v>
      </c>
      <c r="AX175" s="51">
        <f t="shared" si="34"/>
        <v>0</v>
      </c>
      <c r="AY175" s="53" t="s">
        <v>428</v>
      </c>
      <c r="AZ175" s="53" t="s">
        <v>387</v>
      </c>
      <c r="BA175" s="35" t="s">
        <v>117</v>
      </c>
      <c r="BC175" s="51">
        <f t="shared" si="35"/>
        <v>0</v>
      </c>
      <c r="BD175" s="51">
        <f t="shared" si="36"/>
        <v>0</v>
      </c>
      <c r="BE175" s="51">
        <v>0</v>
      </c>
      <c r="BF175" s="51">
        <f>175</f>
        <v>175</v>
      </c>
      <c r="BH175" s="51">
        <f t="shared" si="37"/>
        <v>0</v>
      </c>
      <c r="BI175" s="51">
        <f t="shared" si="38"/>
        <v>0</v>
      </c>
      <c r="BJ175" s="51">
        <f t="shared" si="39"/>
        <v>0</v>
      </c>
      <c r="BK175" s="51"/>
      <c r="BL175" s="51">
        <v>722</v>
      </c>
      <c r="BW175" s="51">
        <v>12</v>
      </c>
      <c r="BX175" s="3" t="s">
        <v>450</v>
      </c>
    </row>
    <row r="176" spans="1:76">
      <c r="A176" s="1" t="s">
        <v>451</v>
      </c>
      <c r="B176" s="2" t="s">
        <v>452</v>
      </c>
      <c r="C176" s="75" t="s">
        <v>453</v>
      </c>
      <c r="D176" s="70"/>
      <c r="E176" s="2" t="s">
        <v>134</v>
      </c>
      <c r="F176" s="51">
        <v>24.5</v>
      </c>
      <c r="G176" s="52">
        <v>0</v>
      </c>
      <c r="H176" s="51">
        <f t="shared" si="20"/>
        <v>0</v>
      </c>
      <c r="J176" s="41"/>
      <c r="Z176" s="51">
        <f t="shared" si="21"/>
        <v>0</v>
      </c>
      <c r="AB176" s="51">
        <f t="shared" si="22"/>
        <v>0</v>
      </c>
      <c r="AC176" s="51">
        <f t="shared" si="23"/>
        <v>0</v>
      </c>
      <c r="AD176" s="51">
        <f t="shared" si="24"/>
        <v>0</v>
      </c>
      <c r="AE176" s="51">
        <f t="shared" si="25"/>
        <v>0</v>
      </c>
      <c r="AF176" s="51">
        <f t="shared" si="26"/>
        <v>0</v>
      </c>
      <c r="AG176" s="51">
        <f t="shared" si="27"/>
        <v>0</v>
      </c>
      <c r="AH176" s="51">
        <f t="shared" si="28"/>
        <v>0</v>
      </c>
      <c r="AI176" s="35" t="s">
        <v>4</v>
      </c>
      <c r="AJ176" s="51">
        <f t="shared" si="29"/>
        <v>0</v>
      </c>
      <c r="AK176" s="51">
        <f t="shared" si="30"/>
        <v>0</v>
      </c>
      <c r="AL176" s="51">
        <f t="shared" si="31"/>
        <v>0</v>
      </c>
      <c r="AN176" s="51">
        <v>12</v>
      </c>
      <c r="AO176" s="51">
        <f>G176*0.05464191</f>
        <v>0</v>
      </c>
      <c r="AP176" s="51">
        <f>G176*(1-0.05464191)</f>
        <v>0</v>
      </c>
      <c r="AQ176" s="53" t="s">
        <v>148</v>
      </c>
      <c r="AV176" s="51">
        <f t="shared" si="32"/>
        <v>0</v>
      </c>
      <c r="AW176" s="51">
        <f t="shared" si="33"/>
        <v>0</v>
      </c>
      <c r="AX176" s="51">
        <f t="shared" si="34"/>
        <v>0</v>
      </c>
      <c r="AY176" s="53" t="s">
        <v>428</v>
      </c>
      <c r="AZ176" s="53" t="s">
        <v>387</v>
      </c>
      <c r="BA176" s="35" t="s">
        <v>117</v>
      </c>
      <c r="BC176" s="51">
        <f t="shared" si="35"/>
        <v>0</v>
      </c>
      <c r="BD176" s="51">
        <f t="shared" si="36"/>
        <v>0</v>
      </c>
      <c r="BE176" s="51">
        <v>0</v>
      </c>
      <c r="BF176" s="51">
        <f>176</f>
        <v>176</v>
      </c>
      <c r="BH176" s="51">
        <f t="shared" si="37"/>
        <v>0</v>
      </c>
      <c r="BI176" s="51">
        <f t="shared" si="38"/>
        <v>0</v>
      </c>
      <c r="BJ176" s="51">
        <f t="shared" si="39"/>
        <v>0</v>
      </c>
      <c r="BK176" s="51"/>
      <c r="BL176" s="51">
        <v>722</v>
      </c>
      <c r="BW176" s="51">
        <v>12</v>
      </c>
      <c r="BX176" s="3" t="s">
        <v>453</v>
      </c>
    </row>
    <row r="177" spans="1:76">
      <c r="A177" s="1" t="s">
        <v>454</v>
      </c>
      <c r="B177" s="2" t="s">
        <v>455</v>
      </c>
      <c r="C177" s="75" t="s">
        <v>456</v>
      </c>
      <c r="D177" s="70"/>
      <c r="E177" s="2" t="s">
        <v>134</v>
      </c>
      <c r="F177" s="51">
        <v>24.5</v>
      </c>
      <c r="G177" s="52">
        <v>0</v>
      </c>
      <c r="H177" s="51">
        <f t="shared" si="20"/>
        <v>0</v>
      </c>
      <c r="J177" s="41"/>
      <c r="Z177" s="51">
        <f t="shared" si="21"/>
        <v>0</v>
      </c>
      <c r="AB177" s="51">
        <f t="shared" si="22"/>
        <v>0</v>
      </c>
      <c r="AC177" s="51">
        <f t="shared" si="23"/>
        <v>0</v>
      </c>
      <c r="AD177" s="51">
        <f t="shared" si="24"/>
        <v>0</v>
      </c>
      <c r="AE177" s="51">
        <f t="shared" si="25"/>
        <v>0</v>
      </c>
      <c r="AF177" s="51">
        <f t="shared" si="26"/>
        <v>0</v>
      </c>
      <c r="AG177" s="51">
        <f t="shared" si="27"/>
        <v>0</v>
      </c>
      <c r="AH177" s="51">
        <f t="shared" si="28"/>
        <v>0</v>
      </c>
      <c r="AI177" s="35" t="s">
        <v>4</v>
      </c>
      <c r="AJ177" s="51">
        <f t="shared" si="29"/>
        <v>0</v>
      </c>
      <c r="AK177" s="51">
        <f t="shared" si="30"/>
        <v>0</v>
      </c>
      <c r="AL177" s="51">
        <f t="shared" si="31"/>
        <v>0</v>
      </c>
      <c r="AN177" s="51">
        <v>12</v>
      </c>
      <c r="AO177" s="51">
        <f>G177*0.015294118</f>
        <v>0</v>
      </c>
      <c r="AP177" s="51">
        <f>G177*(1-0.015294118)</f>
        <v>0</v>
      </c>
      <c r="AQ177" s="53" t="s">
        <v>148</v>
      </c>
      <c r="AV177" s="51">
        <f t="shared" si="32"/>
        <v>0</v>
      </c>
      <c r="AW177" s="51">
        <f t="shared" si="33"/>
        <v>0</v>
      </c>
      <c r="AX177" s="51">
        <f t="shared" si="34"/>
        <v>0</v>
      </c>
      <c r="AY177" s="53" t="s">
        <v>428</v>
      </c>
      <c r="AZ177" s="53" t="s">
        <v>387</v>
      </c>
      <c r="BA177" s="35" t="s">
        <v>117</v>
      </c>
      <c r="BC177" s="51">
        <f t="shared" si="35"/>
        <v>0</v>
      </c>
      <c r="BD177" s="51">
        <f t="shared" si="36"/>
        <v>0</v>
      </c>
      <c r="BE177" s="51">
        <v>0</v>
      </c>
      <c r="BF177" s="51">
        <f>177</f>
        <v>177</v>
      </c>
      <c r="BH177" s="51">
        <f t="shared" si="37"/>
        <v>0</v>
      </c>
      <c r="BI177" s="51">
        <f t="shared" si="38"/>
        <v>0</v>
      </c>
      <c r="BJ177" s="51">
        <f t="shared" si="39"/>
        <v>0</v>
      </c>
      <c r="BK177" s="51"/>
      <c r="BL177" s="51">
        <v>722</v>
      </c>
      <c r="BW177" s="51">
        <v>12</v>
      </c>
      <c r="BX177" s="3" t="s">
        <v>456</v>
      </c>
    </row>
    <row r="178" spans="1:76">
      <c r="A178" s="1" t="s">
        <v>457</v>
      </c>
      <c r="B178" s="2" t="s">
        <v>458</v>
      </c>
      <c r="C178" s="75" t="s">
        <v>459</v>
      </c>
      <c r="D178" s="70"/>
      <c r="E178" s="2" t="s">
        <v>318</v>
      </c>
      <c r="F178" s="51">
        <v>0.04</v>
      </c>
      <c r="G178" s="52">
        <v>0</v>
      </c>
      <c r="H178" s="51">
        <f t="shared" si="20"/>
        <v>0</v>
      </c>
      <c r="J178" s="41"/>
      <c r="Z178" s="51">
        <f t="shared" si="21"/>
        <v>0</v>
      </c>
      <c r="AB178" s="51">
        <f t="shared" si="22"/>
        <v>0</v>
      </c>
      <c r="AC178" s="51">
        <f t="shared" si="23"/>
        <v>0</v>
      </c>
      <c r="AD178" s="51">
        <f t="shared" si="24"/>
        <v>0</v>
      </c>
      <c r="AE178" s="51">
        <f t="shared" si="25"/>
        <v>0</v>
      </c>
      <c r="AF178" s="51">
        <f t="shared" si="26"/>
        <v>0</v>
      </c>
      <c r="AG178" s="51">
        <f t="shared" si="27"/>
        <v>0</v>
      </c>
      <c r="AH178" s="51">
        <f t="shared" si="28"/>
        <v>0</v>
      </c>
      <c r="AI178" s="35" t="s">
        <v>4</v>
      </c>
      <c r="AJ178" s="51">
        <f t="shared" si="29"/>
        <v>0</v>
      </c>
      <c r="AK178" s="51">
        <f t="shared" si="30"/>
        <v>0</v>
      </c>
      <c r="AL178" s="51">
        <f t="shared" si="31"/>
        <v>0</v>
      </c>
      <c r="AN178" s="51">
        <v>12</v>
      </c>
      <c r="AO178" s="51">
        <f>G178*0</f>
        <v>0</v>
      </c>
      <c r="AP178" s="51">
        <f>G178*(1-0)</f>
        <v>0</v>
      </c>
      <c r="AQ178" s="53" t="s">
        <v>137</v>
      </c>
      <c r="AV178" s="51">
        <f t="shared" si="32"/>
        <v>0</v>
      </c>
      <c r="AW178" s="51">
        <f t="shared" si="33"/>
        <v>0</v>
      </c>
      <c r="AX178" s="51">
        <f t="shared" si="34"/>
        <v>0</v>
      </c>
      <c r="AY178" s="53" t="s">
        <v>428</v>
      </c>
      <c r="AZ178" s="53" t="s">
        <v>387</v>
      </c>
      <c r="BA178" s="35" t="s">
        <v>117</v>
      </c>
      <c r="BC178" s="51">
        <f t="shared" si="35"/>
        <v>0</v>
      </c>
      <c r="BD178" s="51">
        <f t="shared" si="36"/>
        <v>0</v>
      </c>
      <c r="BE178" s="51">
        <v>0</v>
      </c>
      <c r="BF178" s="51">
        <f>178</f>
        <v>178</v>
      </c>
      <c r="BH178" s="51">
        <f t="shared" si="37"/>
        <v>0</v>
      </c>
      <c r="BI178" s="51">
        <f t="shared" si="38"/>
        <v>0</v>
      </c>
      <c r="BJ178" s="51">
        <f t="shared" si="39"/>
        <v>0</v>
      </c>
      <c r="BK178" s="51"/>
      <c r="BL178" s="51">
        <v>722</v>
      </c>
      <c r="BW178" s="51">
        <v>12</v>
      </c>
      <c r="BX178" s="3" t="s">
        <v>459</v>
      </c>
    </row>
    <row r="179" spans="1:76">
      <c r="A179" s="47" t="s">
        <v>4</v>
      </c>
      <c r="B179" s="48" t="s">
        <v>460</v>
      </c>
      <c r="C179" s="150" t="s">
        <v>461</v>
      </c>
      <c r="D179" s="151"/>
      <c r="E179" s="49" t="s">
        <v>79</v>
      </c>
      <c r="F179" s="49" t="s">
        <v>79</v>
      </c>
      <c r="G179" s="50" t="s">
        <v>79</v>
      </c>
      <c r="H179" s="28">
        <f>SUM(H180:H208)</f>
        <v>0</v>
      </c>
      <c r="J179" s="41"/>
      <c r="AI179" s="35" t="s">
        <v>4</v>
      </c>
      <c r="AS179" s="28">
        <f>SUM(AJ180:AJ208)</f>
        <v>0</v>
      </c>
      <c r="AT179" s="28">
        <f>SUM(AK180:AK208)</f>
        <v>0</v>
      </c>
      <c r="AU179" s="28">
        <f>SUM(AL180:AL208)</f>
        <v>0</v>
      </c>
    </row>
    <row r="180" spans="1:76">
      <c r="A180" s="1" t="s">
        <v>462</v>
      </c>
      <c r="B180" s="2" t="s">
        <v>463</v>
      </c>
      <c r="C180" s="75" t="s">
        <v>464</v>
      </c>
      <c r="D180" s="70"/>
      <c r="E180" s="2" t="s">
        <v>259</v>
      </c>
      <c r="F180" s="51">
        <v>1</v>
      </c>
      <c r="G180" s="52">
        <v>0</v>
      </c>
      <c r="H180" s="51">
        <f t="shared" ref="H180:H188" si="40">F180*G180</f>
        <v>0</v>
      </c>
      <c r="J180" s="41"/>
      <c r="Z180" s="51">
        <f t="shared" ref="Z180:Z188" si="41">IF(AQ180="5",BJ180,0)</f>
        <v>0</v>
      </c>
      <c r="AB180" s="51">
        <f t="shared" ref="AB180:AB188" si="42">IF(AQ180="1",BH180,0)</f>
        <v>0</v>
      </c>
      <c r="AC180" s="51">
        <f t="shared" ref="AC180:AC188" si="43">IF(AQ180="1",BI180,0)</f>
        <v>0</v>
      </c>
      <c r="AD180" s="51">
        <f t="shared" ref="AD180:AD188" si="44">IF(AQ180="7",BH180,0)</f>
        <v>0</v>
      </c>
      <c r="AE180" s="51">
        <f t="shared" ref="AE180:AE188" si="45">IF(AQ180="7",BI180,0)</f>
        <v>0</v>
      </c>
      <c r="AF180" s="51">
        <f t="shared" ref="AF180:AF188" si="46">IF(AQ180="2",BH180,0)</f>
        <v>0</v>
      </c>
      <c r="AG180" s="51">
        <f t="shared" ref="AG180:AG188" si="47">IF(AQ180="2",BI180,0)</f>
        <v>0</v>
      </c>
      <c r="AH180" s="51">
        <f t="shared" ref="AH180:AH188" si="48">IF(AQ180="0",BJ180,0)</f>
        <v>0</v>
      </c>
      <c r="AI180" s="35" t="s">
        <v>4</v>
      </c>
      <c r="AJ180" s="51">
        <f t="shared" ref="AJ180:AJ188" si="49">IF(AN180=0,H180,0)</f>
        <v>0</v>
      </c>
      <c r="AK180" s="51">
        <f t="shared" ref="AK180:AK188" si="50">IF(AN180=12,H180,0)</f>
        <v>0</v>
      </c>
      <c r="AL180" s="51">
        <f t="shared" ref="AL180:AL188" si="51">IF(AN180=21,H180,0)</f>
        <v>0</v>
      </c>
      <c r="AN180" s="51">
        <v>12</v>
      </c>
      <c r="AO180" s="51">
        <f t="shared" ref="AO180:AO188" si="52">G180*0</f>
        <v>0</v>
      </c>
      <c r="AP180" s="51">
        <f t="shared" ref="AP180:AP188" si="53">G180*(1-0)</f>
        <v>0</v>
      </c>
      <c r="AQ180" s="53" t="s">
        <v>148</v>
      </c>
      <c r="AV180" s="51">
        <f t="shared" ref="AV180:AV188" si="54">AW180+AX180</f>
        <v>0</v>
      </c>
      <c r="AW180" s="51">
        <f t="shared" ref="AW180:AW188" si="55">F180*AO180</f>
        <v>0</v>
      </c>
      <c r="AX180" s="51">
        <f t="shared" ref="AX180:AX188" si="56">F180*AP180</f>
        <v>0</v>
      </c>
      <c r="AY180" s="53" t="s">
        <v>465</v>
      </c>
      <c r="AZ180" s="53" t="s">
        <v>387</v>
      </c>
      <c r="BA180" s="35" t="s">
        <v>117</v>
      </c>
      <c r="BC180" s="51">
        <f t="shared" ref="BC180:BC188" si="57">AW180+AX180</f>
        <v>0</v>
      </c>
      <c r="BD180" s="51">
        <f t="shared" ref="BD180:BD188" si="58">G180/(100-BE180)*100</f>
        <v>0</v>
      </c>
      <c r="BE180" s="51">
        <v>0</v>
      </c>
      <c r="BF180" s="51">
        <f>180</f>
        <v>180</v>
      </c>
      <c r="BH180" s="51">
        <f t="shared" ref="BH180:BH188" si="59">F180*AO180</f>
        <v>0</v>
      </c>
      <c r="BI180" s="51">
        <f t="shared" ref="BI180:BI188" si="60">F180*AP180</f>
        <v>0</v>
      </c>
      <c r="BJ180" s="51">
        <f t="shared" ref="BJ180:BJ188" si="61">F180*G180</f>
        <v>0</v>
      </c>
      <c r="BK180" s="51"/>
      <c r="BL180" s="51">
        <v>725</v>
      </c>
      <c r="BW180" s="51">
        <v>12</v>
      </c>
      <c r="BX180" s="3" t="s">
        <v>464</v>
      </c>
    </row>
    <row r="181" spans="1:76">
      <c r="A181" s="1" t="s">
        <v>466</v>
      </c>
      <c r="B181" s="2" t="s">
        <v>467</v>
      </c>
      <c r="C181" s="75" t="s">
        <v>468</v>
      </c>
      <c r="D181" s="70"/>
      <c r="E181" s="2" t="s">
        <v>259</v>
      </c>
      <c r="F181" s="51">
        <v>1</v>
      </c>
      <c r="G181" s="52">
        <v>0</v>
      </c>
      <c r="H181" s="51">
        <f t="shared" si="40"/>
        <v>0</v>
      </c>
      <c r="J181" s="41"/>
      <c r="Z181" s="51">
        <f t="shared" si="41"/>
        <v>0</v>
      </c>
      <c r="AB181" s="51">
        <f t="shared" si="42"/>
        <v>0</v>
      </c>
      <c r="AC181" s="51">
        <f t="shared" si="43"/>
        <v>0</v>
      </c>
      <c r="AD181" s="51">
        <f t="shared" si="44"/>
        <v>0</v>
      </c>
      <c r="AE181" s="51">
        <f t="shared" si="45"/>
        <v>0</v>
      </c>
      <c r="AF181" s="51">
        <f t="shared" si="46"/>
        <v>0</v>
      </c>
      <c r="AG181" s="51">
        <f t="shared" si="47"/>
        <v>0</v>
      </c>
      <c r="AH181" s="51">
        <f t="shared" si="48"/>
        <v>0</v>
      </c>
      <c r="AI181" s="35" t="s">
        <v>4</v>
      </c>
      <c r="AJ181" s="51">
        <f t="shared" si="49"/>
        <v>0</v>
      </c>
      <c r="AK181" s="51">
        <f t="shared" si="50"/>
        <v>0</v>
      </c>
      <c r="AL181" s="51">
        <f t="shared" si="51"/>
        <v>0</v>
      </c>
      <c r="AN181" s="51">
        <v>12</v>
      </c>
      <c r="AO181" s="51">
        <f t="shared" si="52"/>
        <v>0</v>
      </c>
      <c r="AP181" s="51">
        <f t="shared" si="53"/>
        <v>0</v>
      </c>
      <c r="AQ181" s="53" t="s">
        <v>148</v>
      </c>
      <c r="AV181" s="51">
        <f t="shared" si="54"/>
        <v>0</v>
      </c>
      <c r="AW181" s="51">
        <f t="shared" si="55"/>
        <v>0</v>
      </c>
      <c r="AX181" s="51">
        <f t="shared" si="56"/>
        <v>0</v>
      </c>
      <c r="AY181" s="53" t="s">
        <v>465</v>
      </c>
      <c r="AZ181" s="53" t="s">
        <v>387</v>
      </c>
      <c r="BA181" s="35" t="s">
        <v>117</v>
      </c>
      <c r="BC181" s="51">
        <f t="shared" si="57"/>
        <v>0</v>
      </c>
      <c r="BD181" s="51">
        <f t="shared" si="58"/>
        <v>0</v>
      </c>
      <c r="BE181" s="51">
        <v>0</v>
      </c>
      <c r="BF181" s="51">
        <f>181</f>
        <v>181</v>
      </c>
      <c r="BH181" s="51">
        <f t="shared" si="59"/>
        <v>0</v>
      </c>
      <c r="BI181" s="51">
        <f t="shared" si="60"/>
        <v>0</v>
      </c>
      <c r="BJ181" s="51">
        <f t="shared" si="61"/>
        <v>0</v>
      </c>
      <c r="BK181" s="51"/>
      <c r="BL181" s="51">
        <v>725</v>
      </c>
      <c r="BW181" s="51">
        <v>12</v>
      </c>
      <c r="BX181" s="3" t="s">
        <v>468</v>
      </c>
    </row>
    <row r="182" spans="1:76">
      <c r="A182" s="1" t="s">
        <v>469</v>
      </c>
      <c r="B182" s="2" t="s">
        <v>470</v>
      </c>
      <c r="C182" s="75" t="s">
        <v>471</v>
      </c>
      <c r="D182" s="70"/>
      <c r="E182" s="2" t="s">
        <v>114</v>
      </c>
      <c r="F182" s="51">
        <v>1</v>
      </c>
      <c r="G182" s="52">
        <v>0</v>
      </c>
      <c r="H182" s="51">
        <f t="shared" si="40"/>
        <v>0</v>
      </c>
      <c r="J182" s="41"/>
      <c r="Z182" s="51">
        <f t="shared" si="41"/>
        <v>0</v>
      </c>
      <c r="AB182" s="51">
        <f t="shared" si="42"/>
        <v>0</v>
      </c>
      <c r="AC182" s="51">
        <f t="shared" si="43"/>
        <v>0</v>
      </c>
      <c r="AD182" s="51">
        <f t="shared" si="44"/>
        <v>0</v>
      </c>
      <c r="AE182" s="51">
        <f t="shared" si="45"/>
        <v>0</v>
      </c>
      <c r="AF182" s="51">
        <f t="shared" si="46"/>
        <v>0</v>
      </c>
      <c r="AG182" s="51">
        <f t="shared" si="47"/>
        <v>0</v>
      </c>
      <c r="AH182" s="51">
        <f t="shared" si="48"/>
        <v>0</v>
      </c>
      <c r="AI182" s="35" t="s">
        <v>4</v>
      </c>
      <c r="AJ182" s="51">
        <f t="shared" si="49"/>
        <v>0</v>
      </c>
      <c r="AK182" s="51">
        <f t="shared" si="50"/>
        <v>0</v>
      </c>
      <c r="AL182" s="51">
        <f t="shared" si="51"/>
        <v>0</v>
      </c>
      <c r="AN182" s="51">
        <v>12</v>
      </c>
      <c r="AO182" s="51">
        <f t="shared" si="52"/>
        <v>0</v>
      </c>
      <c r="AP182" s="51">
        <f t="shared" si="53"/>
        <v>0</v>
      </c>
      <c r="AQ182" s="53" t="s">
        <v>148</v>
      </c>
      <c r="AV182" s="51">
        <f t="shared" si="54"/>
        <v>0</v>
      </c>
      <c r="AW182" s="51">
        <f t="shared" si="55"/>
        <v>0</v>
      </c>
      <c r="AX182" s="51">
        <f t="shared" si="56"/>
        <v>0</v>
      </c>
      <c r="AY182" s="53" t="s">
        <v>465</v>
      </c>
      <c r="AZ182" s="53" t="s">
        <v>387</v>
      </c>
      <c r="BA182" s="35" t="s">
        <v>117</v>
      </c>
      <c r="BC182" s="51">
        <f t="shared" si="57"/>
        <v>0</v>
      </c>
      <c r="BD182" s="51">
        <f t="shared" si="58"/>
        <v>0</v>
      </c>
      <c r="BE182" s="51">
        <v>0</v>
      </c>
      <c r="BF182" s="51">
        <f>182</f>
        <v>182</v>
      </c>
      <c r="BH182" s="51">
        <f t="shared" si="59"/>
        <v>0</v>
      </c>
      <c r="BI182" s="51">
        <f t="shared" si="60"/>
        <v>0</v>
      </c>
      <c r="BJ182" s="51">
        <f t="shared" si="61"/>
        <v>0</v>
      </c>
      <c r="BK182" s="51"/>
      <c r="BL182" s="51">
        <v>725</v>
      </c>
      <c r="BW182" s="51">
        <v>12</v>
      </c>
      <c r="BX182" s="3" t="s">
        <v>471</v>
      </c>
    </row>
    <row r="183" spans="1:76">
      <c r="A183" s="1" t="s">
        <v>472</v>
      </c>
      <c r="B183" s="2" t="s">
        <v>473</v>
      </c>
      <c r="C183" s="75" t="s">
        <v>474</v>
      </c>
      <c r="D183" s="70"/>
      <c r="E183" s="2" t="s">
        <v>259</v>
      </c>
      <c r="F183" s="51">
        <v>2</v>
      </c>
      <c r="G183" s="52">
        <v>0</v>
      </c>
      <c r="H183" s="51">
        <f t="shared" si="40"/>
        <v>0</v>
      </c>
      <c r="J183" s="41"/>
      <c r="Z183" s="51">
        <f t="shared" si="41"/>
        <v>0</v>
      </c>
      <c r="AB183" s="51">
        <f t="shared" si="42"/>
        <v>0</v>
      </c>
      <c r="AC183" s="51">
        <f t="shared" si="43"/>
        <v>0</v>
      </c>
      <c r="AD183" s="51">
        <f t="shared" si="44"/>
        <v>0</v>
      </c>
      <c r="AE183" s="51">
        <f t="shared" si="45"/>
        <v>0</v>
      </c>
      <c r="AF183" s="51">
        <f t="shared" si="46"/>
        <v>0</v>
      </c>
      <c r="AG183" s="51">
        <f t="shared" si="47"/>
        <v>0</v>
      </c>
      <c r="AH183" s="51">
        <f t="shared" si="48"/>
        <v>0</v>
      </c>
      <c r="AI183" s="35" t="s">
        <v>4</v>
      </c>
      <c r="AJ183" s="51">
        <f t="shared" si="49"/>
        <v>0</v>
      </c>
      <c r="AK183" s="51">
        <f t="shared" si="50"/>
        <v>0</v>
      </c>
      <c r="AL183" s="51">
        <f t="shared" si="51"/>
        <v>0</v>
      </c>
      <c r="AN183" s="51">
        <v>12</v>
      </c>
      <c r="AO183" s="51">
        <f t="shared" si="52"/>
        <v>0</v>
      </c>
      <c r="AP183" s="51">
        <f t="shared" si="53"/>
        <v>0</v>
      </c>
      <c r="AQ183" s="53" t="s">
        <v>148</v>
      </c>
      <c r="AV183" s="51">
        <f t="shared" si="54"/>
        <v>0</v>
      </c>
      <c r="AW183" s="51">
        <f t="shared" si="55"/>
        <v>0</v>
      </c>
      <c r="AX183" s="51">
        <f t="shared" si="56"/>
        <v>0</v>
      </c>
      <c r="AY183" s="53" t="s">
        <v>465</v>
      </c>
      <c r="AZ183" s="53" t="s">
        <v>387</v>
      </c>
      <c r="BA183" s="35" t="s">
        <v>117</v>
      </c>
      <c r="BC183" s="51">
        <f t="shared" si="57"/>
        <v>0</v>
      </c>
      <c r="BD183" s="51">
        <f t="shared" si="58"/>
        <v>0</v>
      </c>
      <c r="BE183" s="51">
        <v>0</v>
      </c>
      <c r="BF183" s="51">
        <f>183</f>
        <v>183</v>
      </c>
      <c r="BH183" s="51">
        <f t="shared" si="59"/>
        <v>0</v>
      </c>
      <c r="BI183" s="51">
        <f t="shared" si="60"/>
        <v>0</v>
      </c>
      <c r="BJ183" s="51">
        <f t="shared" si="61"/>
        <v>0</v>
      </c>
      <c r="BK183" s="51"/>
      <c r="BL183" s="51">
        <v>725</v>
      </c>
      <c r="BW183" s="51">
        <v>12</v>
      </c>
      <c r="BX183" s="3" t="s">
        <v>474</v>
      </c>
    </row>
    <row r="184" spans="1:76">
      <c r="A184" s="1" t="s">
        <v>475</v>
      </c>
      <c r="B184" s="2" t="s">
        <v>476</v>
      </c>
      <c r="C184" s="75" t="s">
        <v>477</v>
      </c>
      <c r="D184" s="70"/>
      <c r="E184" s="2" t="s">
        <v>114</v>
      </c>
      <c r="F184" s="51">
        <v>3</v>
      </c>
      <c r="G184" s="52">
        <v>0</v>
      </c>
      <c r="H184" s="51">
        <f t="shared" si="40"/>
        <v>0</v>
      </c>
      <c r="J184" s="41"/>
      <c r="Z184" s="51">
        <f t="shared" si="41"/>
        <v>0</v>
      </c>
      <c r="AB184" s="51">
        <f t="shared" si="42"/>
        <v>0</v>
      </c>
      <c r="AC184" s="51">
        <f t="shared" si="43"/>
        <v>0</v>
      </c>
      <c r="AD184" s="51">
        <f t="shared" si="44"/>
        <v>0</v>
      </c>
      <c r="AE184" s="51">
        <f t="shared" si="45"/>
        <v>0</v>
      </c>
      <c r="AF184" s="51">
        <f t="shared" si="46"/>
        <v>0</v>
      </c>
      <c r="AG184" s="51">
        <f t="shared" si="47"/>
        <v>0</v>
      </c>
      <c r="AH184" s="51">
        <f t="shared" si="48"/>
        <v>0</v>
      </c>
      <c r="AI184" s="35" t="s">
        <v>4</v>
      </c>
      <c r="AJ184" s="51">
        <f t="shared" si="49"/>
        <v>0</v>
      </c>
      <c r="AK184" s="51">
        <f t="shared" si="50"/>
        <v>0</v>
      </c>
      <c r="AL184" s="51">
        <f t="shared" si="51"/>
        <v>0</v>
      </c>
      <c r="AN184" s="51">
        <v>12</v>
      </c>
      <c r="AO184" s="51">
        <f t="shared" si="52"/>
        <v>0</v>
      </c>
      <c r="AP184" s="51">
        <f t="shared" si="53"/>
        <v>0</v>
      </c>
      <c r="AQ184" s="53" t="s">
        <v>148</v>
      </c>
      <c r="AV184" s="51">
        <f t="shared" si="54"/>
        <v>0</v>
      </c>
      <c r="AW184" s="51">
        <f t="shared" si="55"/>
        <v>0</v>
      </c>
      <c r="AX184" s="51">
        <f t="shared" si="56"/>
        <v>0</v>
      </c>
      <c r="AY184" s="53" t="s">
        <v>465</v>
      </c>
      <c r="AZ184" s="53" t="s">
        <v>387</v>
      </c>
      <c r="BA184" s="35" t="s">
        <v>117</v>
      </c>
      <c r="BC184" s="51">
        <f t="shared" si="57"/>
        <v>0</v>
      </c>
      <c r="BD184" s="51">
        <f t="shared" si="58"/>
        <v>0</v>
      </c>
      <c r="BE184" s="51">
        <v>0</v>
      </c>
      <c r="BF184" s="51">
        <f>184</f>
        <v>184</v>
      </c>
      <c r="BH184" s="51">
        <f t="shared" si="59"/>
        <v>0</v>
      </c>
      <c r="BI184" s="51">
        <f t="shared" si="60"/>
        <v>0</v>
      </c>
      <c r="BJ184" s="51">
        <f t="shared" si="61"/>
        <v>0</v>
      </c>
      <c r="BK184" s="51"/>
      <c r="BL184" s="51">
        <v>725</v>
      </c>
      <c r="BW184" s="51">
        <v>12</v>
      </c>
      <c r="BX184" s="3" t="s">
        <v>477</v>
      </c>
    </row>
    <row r="185" spans="1:76">
      <c r="A185" s="1" t="s">
        <v>478</v>
      </c>
      <c r="B185" s="2" t="s">
        <v>479</v>
      </c>
      <c r="C185" s="75" t="s">
        <v>480</v>
      </c>
      <c r="D185" s="70"/>
      <c r="E185" s="2" t="s">
        <v>259</v>
      </c>
      <c r="F185" s="51">
        <v>1</v>
      </c>
      <c r="G185" s="52">
        <v>0</v>
      </c>
      <c r="H185" s="51">
        <f t="shared" si="40"/>
        <v>0</v>
      </c>
      <c r="J185" s="41"/>
      <c r="Z185" s="51">
        <f t="shared" si="41"/>
        <v>0</v>
      </c>
      <c r="AB185" s="51">
        <f t="shared" si="42"/>
        <v>0</v>
      </c>
      <c r="AC185" s="51">
        <f t="shared" si="43"/>
        <v>0</v>
      </c>
      <c r="AD185" s="51">
        <f t="shared" si="44"/>
        <v>0</v>
      </c>
      <c r="AE185" s="51">
        <f t="shared" si="45"/>
        <v>0</v>
      </c>
      <c r="AF185" s="51">
        <f t="shared" si="46"/>
        <v>0</v>
      </c>
      <c r="AG185" s="51">
        <f t="shared" si="47"/>
        <v>0</v>
      </c>
      <c r="AH185" s="51">
        <f t="shared" si="48"/>
        <v>0</v>
      </c>
      <c r="AI185" s="35" t="s">
        <v>4</v>
      </c>
      <c r="AJ185" s="51">
        <f t="shared" si="49"/>
        <v>0</v>
      </c>
      <c r="AK185" s="51">
        <f t="shared" si="50"/>
        <v>0</v>
      </c>
      <c r="AL185" s="51">
        <f t="shared" si="51"/>
        <v>0</v>
      </c>
      <c r="AN185" s="51">
        <v>12</v>
      </c>
      <c r="AO185" s="51">
        <f t="shared" si="52"/>
        <v>0</v>
      </c>
      <c r="AP185" s="51">
        <f t="shared" si="53"/>
        <v>0</v>
      </c>
      <c r="AQ185" s="53" t="s">
        <v>148</v>
      </c>
      <c r="AV185" s="51">
        <f t="shared" si="54"/>
        <v>0</v>
      </c>
      <c r="AW185" s="51">
        <f t="shared" si="55"/>
        <v>0</v>
      </c>
      <c r="AX185" s="51">
        <f t="shared" si="56"/>
        <v>0</v>
      </c>
      <c r="AY185" s="53" t="s">
        <v>465</v>
      </c>
      <c r="AZ185" s="53" t="s">
        <v>387</v>
      </c>
      <c r="BA185" s="35" t="s">
        <v>117</v>
      </c>
      <c r="BC185" s="51">
        <f t="shared" si="57"/>
        <v>0</v>
      </c>
      <c r="BD185" s="51">
        <f t="shared" si="58"/>
        <v>0</v>
      </c>
      <c r="BE185" s="51">
        <v>0</v>
      </c>
      <c r="BF185" s="51">
        <f>185</f>
        <v>185</v>
      </c>
      <c r="BH185" s="51">
        <f t="shared" si="59"/>
        <v>0</v>
      </c>
      <c r="BI185" s="51">
        <f t="shared" si="60"/>
        <v>0</v>
      </c>
      <c r="BJ185" s="51">
        <f t="shared" si="61"/>
        <v>0</v>
      </c>
      <c r="BK185" s="51"/>
      <c r="BL185" s="51">
        <v>725</v>
      </c>
      <c r="BW185" s="51">
        <v>12</v>
      </c>
      <c r="BX185" s="3" t="s">
        <v>480</v>
      </c>
    </row>
    <row r="186" spans="1:76">
      <c r="A186" s="1" t="s">
        <v>481</v>
      </c>
      <c r="B186" s="2" t="s">
        <v>482</v>
      </c>
      <c r="C186" s="75" t="s">
        <v>483</v>
      </c>
      <c r="D186" s="70"/>
      <c r="E186" s="2" t="s">
        <v>259</v>
      </c>
      <c r="F186" s="51">
        <v>3</v>
      </c>
      <c r="G186" s="52">
        <v>0</v>
      </c>
      <c r="H186" s="51">
        <f t="shared" si="40"/>
        <v>0</v>
      </c>
      <c r="J186" s="41"/>
      <c r="Z186" s="51">
        <f t="shared" si="41"/>
        <v>0</v>
      </c>
      <c r="AB186" s="51">
        <f t="shared" si="42"/>
        <v>0</v>
      </c>
      <c r="AC186" s="51">
        <f t="shared" si="43"/>
        <v>0</v>
      </c>
      <c r="AD186" s="51">
        <f t="shared" si="44"/>
        <v>0</v>
      </c>
      <c r="AE186" s="51">
        <f t="shared" si="45"/>
        <v>0</v>
      </c>
      <c r="AF186" s="51">
        <f t="shared" si="46"/>
        <v>0</v>
      </c>
      <c r="AG186" s="51">
        <f t="shared" si="47"/>
        <v>0</v>
      </c>
      <c r="AH186" s="51">
        <f t="shared" si="48"/>
        <v>0</v>
      </c>
      <c r="AI186" s="35" t="s">
        <v>4</v>
      </c>
      <c r="AJ186" s="51">
        <f t="shared" si="49"/>
        <v>0</v>
      </c>
      <c r="AK186" s="51">
        <f t="shared" si="50"/>
        <v>0</v>
      </c>
      <c r="AL186" s="51">
        <f t="shared" si="51"/>
        <v>0</v>
      </c>
      <c r="AN186" s="51">
        <v>12</v>
      </c>
      <c r="AO186" s="51">
        <f t="shared" si="52"/>
        <v>0</v>
      </c>
      <c r="AP186" s="51">
        <f t="shared" si="53"/>
        <v>0</v>
      </c>
      <c r="AQ186" s="53" t="s">
        <v>148</v>
      </c>
      <c r="AV186" s="51">
        <f t="shared" si="54"/>
        <v>0</v>
      </c>
      <c r="AW186" s="51">
        <f t="shared" si="55"/>
        <v>0</v>
      </c>
      <c r="AX186" s="51">
        <f t="shared" si="56"/>
        <v>0</v>
      </c>
      <c r="AY186" s="53" t="s">
        <v>465</v>
      </c>
      <c r="AZ186" s="53" t="s">
        <v>387</v>
      </c>
      <c r="BA186" s="35" t="s">
        <v>117</v>
      </c>
      <c r="BC186" s="51">
        <f t="shared" si="57"/>
        <v>0</v>
      </c>
      <c r="BD186" s="51">
        <f t="shared" si="58"/>
        <v>0</v>
      </c>
      <c r="BE186" s="51">
        <v>0</v>
      </c>
      <c r="BF186" s="51">
        <f>186</f>
        <v>186</v>
      </c>
      <c r="BH186" s="51">
        <f t="shared" si="59"/>
        <v>0</v>
      </c>
      <c r="BI186" s="51">
        <f t="shared" si="60"/>
        <v>0</v>
      </c>
      <c r="BJ186" s="51">
        <f t="shared" si="61"/>
        <v>0</v>
      </c>
      <c r="BK186" s="51"/>
      <c r="BL186" s="51">
        <v>725</v>
      </c>
      <c r="BW186" s="51">
        <v>12</v>
      </c>
      <c r="BX186" s="3" t="s">
        <v>483</v>
      </c>
    </row>
    <row r="187" spans="1:76">
      <c r="A187" s="1" t="s">
        <v>484</v>
      </c>
      <c r="B187" s="2" t="s">
        <v>476</v>
      </c>
      <c r="C187" s="75" t="s">
        <v>477</v>
      </c>
      <c r="D187" s="70"/>
      <c r="E187" s="2" t="s">
        <v>114</v>
      </c>
      <c r="F187" s="51">
        <v>3</v>
      </c>
      <c r="G187" s="52">
        <v>0</v>
      </c>
      <c r="H187" s="51">
        <f t="shared" si="40"/>
        <v>0</v>
      </c>
      <c r="J187" s="41"/>
      <c r="Z187" s="51">
        <f t="shared" si="41"/>
        <v>0</v>
      </c>
      <c r="AB187" s="51">
        <f t="shared" si="42"/>
        <v>0</v>
      </c>
      <c r="AC187" s="51">
        <f t="shared" si="43"/>
        <v>0</v>
      </c>
      <c r="AD187" s="51">
        <f t="shared" si="44"/>
        <v>0</v>
      </c>
      <c r="AE187" s="51">
        <f t="shared" si="45"/>
        <v>0</v>
      </c>
      <c r="AF187" s="51">
        <f t="shared" si="46"/>
        <v>0</v>
      </c>
      <c r="AG187" s="51">
        <f t="shared" si="47"/>
        <v>0</v>
      </c>
      <c r="AH187" s="51">
        <f t="shared" si="48"/>
        <v>0</v>
      </c>
      <c r="AI187" s="35" t="s">
        <v>4</v>
      </c>
      <c r="AJ187" s="51">
        <f t="shared" si="49"/>
        <v>0</v>
      </c>
      <c r="AK187" s="51">
        <f t="shared" si="50"/>
        <v>0</v>
      </c>
      <c r="AL187" s="51">
        <f t="shared" si="51"/>
        <v>0</v>
      </c>
      <c r="AN187" s="51">
        <v>12</v>
      </c>
      <c r="AO187" s="51">
        <f t="shared" si="52"/>
        <v>0</v>
      </c>
      <c r="AP187" s="51">
        <f t="shared" si="53"/>
        <v>0</v>
      </c>
      <c r="AQ187" s="53" t="s">
        <v>148</v>
      </c>
      <c r="AV187" s="51">
        <f t="shared" si="54"/>
        <v>0</v>
      </c>
      <c r="AW187" s="51">
        <f t="shared" si="55"/>
        <v>0</v>
      </c>
      <c r="AX187" s="51">
        <f t="shared" si="56"/>
        <v>0</v>
      </c>
      <c r="AY187" s="53" t="s">
        <v>465</v>
      </c>
      <c r="AZ187" s="53" t="s">
        <v>387</v>
      </c>
      <c r="BA187" s="35" t="s">
        <v>117</v>
      </c>
      <c r="BC187" s="51">
        <f t="shared" si="57"/>
        <v>0</v>
      </c>
      <c r="BD187" s="51">
        <f t="shared" si="58"/>
        <v>0</v>
      </c>
      <c r="BE187" s="51">
        <v>0</v>
      </c>
      <c r="BF187" s="51">
        <f>187</f>
        <v>187</v>
      </c>
      <c r="BH187" s="51">
        <f t="shared" si="59"/>
        <v>0</v>
      </c>
      <c r="BI187" s="51">
        <f t="shared" si="60"/>
        <v>0</v>
      </c>
      <c r="BJ187" s="51">
        <f t="shared" si="61"/>
        <v>0</v>
      </c>
      <c r="BK187" s="51"/>
      <c r="BL187" s="51">
        <v>725</v>
      </c>
      <c r="BW187" s="51">
        <v>12</v>
      </c>
      <c r="BX187" s="3" t="s">
        <v>477</v>
      </c>
    </row>
    <row r="188" spans="1:76">
      <c r="A188" s="1" t="s">
        <v>485</v>
      </c>
      <c r="B188" s="2" t="s">
        <v>486</v>
      </c>
      <c r="C188" s="75" t="s">
        <v>487</v>
      </c>
      <c r="D188" s="70"/>
      <c r="E188" s="2" t="s">
        <v>114</v>
      </c>
      <c r="F188" s="51">
        <v>1</v>
      </c>
      <c r="G188" s="52">
        <v>0</v>
      </c>
      <c r="H188" s="51">
        <f t="shared" si="40"/>
        <v>0</v>
      </c>
      <c r="J188" s="41"/>
      <c r="Z188" s="51">
        <f t="shared" si="41"/>
        <v>0</v>
      </c>
      <c r="AB188" s="51">
        <f t="shared" si="42"/>
        <v>0</v>
      </c>
      <c r="AC188" s="51">
        <f t="shared" si="43"/>
        <v>0</v>
      </c>
      <c r="AD188" s="51">
        <f t="shared" si="44"/>
        <v>0</v>
      </c>
      <c r="AE188" s="51">
        <f t="shared" si="45"/>
        <v>0</v>
      </c>
      <c r="AF188" s="51">
        <f t="shared" si="46"/>
        <v>0</v>
      </c>
      <c r="AG188" s="51">
        <f t="shared" si="47"/>
        <v>0</v>
      </c>
      <c r="AH188" s="51">
        <f t="shared" si="48"/>
        <v>0</v>
      </c>
      <c r="AI188" s="35" t="s">
        <v>4</v>
      </c>
      <c r="AJ188" s="51">
        <f t="shared" si="49"/>
        <v>0</v>
      </c>
      <c r="AK188" s="51">
        <f t="shared" si="50"/>
        <v>0</v>
      </c>
      <c r="AL188" s="51">
        <f t="shared" si="51"/>
        <v>0</v>
      </c>
      <c r="AN188" s="51">
        <v>12</v>
      </c>
      <c r="AO188" s="51">
        <f t="shared" si="52"/>
        <v>0</v>
      </c>
      <c r="AP188" s="51">
        <f t="shared" si="53"/>
        <v>0</v>
      </c>
      <c r="AQ188" s="53" t="s">
        <v>148</v>
      </c>
      <c r="AV188" s="51">
        <f t="shared" si="54"/>
        <v>0</v>
      </c>
      <c r="AW188" s="51">
        <f t="shared" si="55"/>
        <v>0</v>
      </c>
      <c r="AX188" s="51">
        <f t="shared" si="56"/>
        <v>0</v>
      </c>
      <c r="AY188" s="53" t="s">
        <v>465</v>
      </c>
      <c r="AZ188" s="53" t="s">
        <v>387</v>
      </c>
      <c r="BA188" s="35" t="s">
        <v>117</v>
      </c>
      <c r="BC188" s="51">
        <f t="shared" si="57"/>
        <v>0</v>
      </c>
      <c r="BD188" s="51">
        <f t="shared" si="58"/>
        <v>0</v>
      </c>
      <c r="BE188" s="51">
        <v>0</v>
      </c>
      <c r="BF188" s="51">
        <f>188</f>
        <v>188</v>
      </c>
      <c r="BH188" s="51">
        <f t="shared" si="59"/>
        <v>0</v>
      </c>
      <c r="BI188" s="51">
        <f t="shared" si="60"/>
        <v>0</v>
      </c>
      <c r="BJ188" s="51">
        <f t="shared" si="61"/>
        <v>0</v>
      </c>
      <c r="BK188" s="51"/>
      <c r="BL188" s="51">
        <v>725</v>
      </c>
      <c r="BW188" s="51">
        <v>12</v>
      </c>
      <c r="BX188" s="3" t="s">
        <v>487</v>
      </c>
    </row>
    <row r="189" spans="1:76">
      <c r="A189" s="54"/>
      <c r="C189" s="56" t="s">
        <v>111</v>
      </c>
      <c r="D189" s="57" t="s">
        <v>488</v>
      </c>
      <c r="F189" s="58">
        <v>1</v>
      </c>
      <c r="J189" s="41"/>
    </row>
    <row r="190" spans="1:76">
      <c r="A190" s="1" t="s">
        <v>489</v>
      </c>
      <c r="B190" s="2" t="s">
        <v>490</v>
      </c>
      <c r="C190" s="75" t="s">
        <v>491</v>
      </c>
      <c r="D190" s="70"/>
      <c r="E190" s="2" t="s">
        <v>259</v>
      </c>
      <c r="F190" s="51">
        <v>1</v>
      </c>
      <c r="G190" s="52">
        <v>0</v>
      </c>
      <c r="H190" s="51">
        <f t="shared" ref="H190:H208" si="62">F190*G190</f>
        <v>0</v>
      </c>
      <c r="J190" s="41"/>
      <c r="Z190" s="51">
        <f t="shared" ref="Z190:Z208" si="63">IF(AQ190="5",BJ190,0)</f>
        <v>0</v>
      </c>
      <c r="AB190" s="51">
        <f t="shared" ref="AB190:AB208" si="64">IF(AQ190="1",BH190,0)</f>
        <v>0</v>
      </c>
      <c r="AC190" s="51">
        <f t="shared" ref="AC190:AC208" si="65">IF(AQ190="1",BI190,0)</f>
        <v>0</v>
      </c>
      <c r="AD190" s="51">
        <f t="shared" ref="AD190:AD208" si="66">IF(AQ190="7",BH190,0)</f>
        <v>0</v>
      </c>
      <c r="AE190" s="51">
        <f t="shared" ref="AE190:AE208" si="67">IF(AQ190="7",BI190,0)</f>
        <v>0</v>
      </c>
      <c r="AF190" s="51">
        <f t="shared" ref="AF190:AF208" si="68">IF(AQ190="2",BH190,0)</f>
        <v>0</v>
      </c>
      <c r="AG190" s="51">
        <f t="shared" ref="AG190:AG208" si="69">IF(AQ190="2",BI190,0)</f>
        <v>0</v>
      </c>
      <c r="AH190" s="51">
        <f t="shared" ref="AH190:AH208" si="70">IF(AQ190="0",BJ190,0)</f>
        <v>0</v>
      </c>
      <c r="AI190" s="35" t="s">
        <v>4</v>
      </c>
      <c r="AJ190" s="51">
        <f t="shared" ref="AJ190:AJ208" si="71">IF(AN190=0,H190,0)</f>
        <v>0</v>
      </c>
      <c r="AK190" s="51">
        <f t="shared" ref="AK190:AK208" si="72">IF(AN190=12,H190,0)</f>
        <v>0</v>
      </c>
      <c r="AL190" s="51">
        <f t="shared" ref="AL190:AL208" si="73">IF(AN190=21,H190,0)</f>
        <v>0</v>
      </c>
      <c r="AN190" s="51">
        <v>12</v>
      </c>
      <c r="AO190" s="51">
        <f>G190*0.154873047</f>
        <v>0</v>
      </c>
      <c r="AP190" s="51">
        <f>G190*(1-0.154873047)</f>
        <v>0</v>
      </c>
      <c r="AQ190" s="53" t="s">
        <v>148</v>
      </c>
      <c r="AV190" s="51">
        <f t="shared" ref="AV190:AV208" si="74">AW190+AX190</f>
        <v>0</v>
      </c>
      <c r="AW190" s="51">
        <f t="shared" ref="AW190:AW208" si="75">F190*AO190</f>
        <v>0</v>
      </c>
      <c r="AX190" s="51">
        <f t="shared" ref="AX190:AX208" si="76">F190*AP190</f>
        <v>0</v>
      </c>
      <c r="AY190" s="53" t="s">
        <v>465</v>
      </c>
      <c r="AZ190" s="53" t="s">
        <v>387</v>
      </c>
      <c r="BA190" s="35" t="s">
        <v>117</v>
      </c>
      <c r="BC190" s="51">
        <f t="shared" ref="BC190:BC208" si="77">AW190+AX190</f>
        <v>0</v>
      </c>
      <c r="BD190" s="51">
        <f t="shared" ref="BD190:BD208" si="78">G190/(100-BE190)*100</f>
        <v>0</v>
      </c>
      <c r="BE190" s="51">
        <v>0</v>
      </c>
      <c r="BF190" s="51">
        <f>190</f>
        <v>190</v>
      </c>
      <c r="BH190" s="51">
        <f t="shared" ref="BH190:BH208" si="79">F190*AO190</f>
        <v>0</v>
      </c>
      <c r="BI190" s="51">
        <f t="shared" ref="BI190:BI208" si="80">F190*AP190</f>
        <v>0</v>
      </c>
      <c r="BJ190" s="51">
        <f t="shared" ref="BJ190:BJ208" si="81">F190*G190</f>
        <v>0</v>
      </c>
      <c r="BK190" s="51"/>
      <c r="BL190" s="51">
        <v>725</v>
      </c>
      <c r="BW190" s="51">
        <v>12</v>
      </c>
      <c r="BX190" s="3" t="s">
        <v>491</v>
      </c>
    </row>
    <row r="191" spans="1:76">
      <c r="A191" s="1" t="s">
        <v>492</v>
      </c>
      <c r="B191" s="2" t="s">
        <v>493</v>
      </c>
      <c r="C191" s="75" t="s">
        <v>494</v>
      </c>
      <c r="D191" s="70"/>
      <c r="E191" s="2" t="s">
        <v>259</v>
      </c>
      <c r="F191" s="51">
        <v>1</v>
      </c>
      <c r="G191" s="52">
        <v>0</v>
      </c>
      <c r="H191" s="51">
        <f t="shared" si="62"/>
        <v>0</v>
      </c>
      <c r="J191" s="41"/>
      <c r="Z191" s="51">
        <f t="shared" si="63"/>
        <v>0</v>
      </c>
      <c r="AB191" s="51">
        <f t="shared" si="64"/>
        <v>0</v>
      </c>
      <c r="AC191" s="51">
        <f t="shared" si="65"/>
        <v>0</v>
      </c>
      <c r="AD191" s="51">
        <f t="shared" si="66"/>
        <v>0</v>
      </c>
      <c r="AE191" s="51">
        <f t="shared" si="67"/>
        <v>0</v>
      </c>
      <c r="AF191" s="51">
        <f t="shared" si="68"/>
        <v>0</v>
      </c>
      <c r="AG191" s="51">
        <f t="shared" si="69"/>
        <v>0</v>
      </c>
      <c r="AH191" s="51">
        <f t="shared" si="70"/>
        <v>0</v>
      </c>
      <c r="AI191" s="35" t="s">
        <v>4</v>
      </c>
      <c r="AJ191" s="51">
        <f t="shared" si="71"/>
        <v>0</v>
      </c>
      <c r="AK191" s="51">
        <f t="shared" si="72"/>
        <v>0</v>
      </c>
      <c r="AL191" s="51">
        <f t="shared" si="73"/>
        <v>0</v>
      </c>
      <c r="AN191" s="51">
        <v>12</v>
      </c>
      <c r="AO191" s="51">
        <f>G191*0.689555556</f>
        <v>0</v>
      </c>
      <c r="AP191" s="51">
        <f>G191*(1-0.689555556)</f>
        <v>0</v>
      </c>
      <c r="AQ191" s="53" t="s">
        <v>148</v>
      </c>
      <c r="AV191" s="51">
        <f t="shared" si="74"/>
        <v>0</v>
      </c>
      <c r="AW191" s="51">
        <f t="shared" si="75"/>
        <v>0</v>
      </c>
      <c r="AX191" s="51">
        <f t="shared" si="76"/>
        <v>0</v>
      </c>
      <c r="AY191" s="53" t="s">
        <v>465</v>
      </c>
      <c r="AZ191" s="53" t="s">
        <v>387</v>
      </c>
      <c r="BA191" s="35" t="s">
        <v>117</v>
      </c>
      <c r="BC191" s="51">
        <f t="shared" si="77"/>
        <v>0</v>
      </c>
      <c r="BD191" s="51">
        <f t="shared" si="78"/>
        <v>0</v>
      </c>
      <c r="BE191" s="51">
        <v>0</v>
      </c>
      <c r="BF191" s="51">
        <f>191</f>
        <v>191</v>
      </c>
      <c r="BH191" s="51">
        <f t="shared" si="79"/>
        <v>0</v>
      </c>
      <c r="BI191" s="51">
        <f t="shared" si="80"/>
        <v>0</v>
      </c>
      <c r="BJ191" s="51">
        <f t="shared" si="81"/>
        <v>0</v>
      </c>
      <c r="BK191" s="51"/>
      <c r="BL191" s="51">
        <v>725</v>
      </c>
      <c r="BW191" s="51">
        <v>12</v>
      </c>
      <c r="BX191" s="3" t="s">
        <v>494</v>
      </c>
    </row>
    <row r="192" spans="1:76">
      <c r="A192" s="1" t="s">
        <v>495</v>
      </c>
      <c r="B192" s="2" t="s">
        <v>496</v>
      </c>
      <c r="C192" s="75" t="s">
        <v>497</v>
      </c>
      <c r="D192" s="70"/>
      <c r="E192" s="2" t="s">
        <v>114</v>
      </c>
      <c r="F192" s="51">
        <v>2</v>
      </c>
      <c r="G192" s="52">
        <v>0</v>
      </c>
      <c r="H192" s="51">
        <f t="shared" si="62"/>
        <v>0</v>
      </c>
      <c r="J192" s="41"/>
      <c r="Z192" s="51">
        <f t="shared" si="63"/>
        <v>0</v>
      </c>
      <c r="AB192" s="51">
        <f t="shared" si="64"/>
        <v>0</v>
      </c>
      <c r="AC192" s="51">
        <f t="shared" si="65"/>
        <v>0</v>
      </c>
      <c r="AD192" s="51">
        <f t="shared" si="66"/>
        <v>0</v>
      </c>
      <c r="AE192" s="51">
        <f t="shared" si="67"/>
        <v>0</v>
      </c>
      <c r="AF192" s="51">
        <f t="shared" si="68"/>
        <v>0</v>
      </c>
      <c r="AG192" s="51">
        <f t="shared" si="69"/>
        <v>0</v>
      </c>
      <c r="AH192" s="51">
        <f t="shared" si="70"/>
        <v>0</v>
      </c>
      <c r="AI192" s="35" t="s">
        <v>4</v>
      </c>
      <c r="AJ192" s="51">
        <f t="shared" si="71"/>
        <v>0</v>
      </c>
      <c r="AK192" s="51">
        <f t="shared" si="72"/>
        <v>0</v>
      </c>
      <c r="AL192" s="51">
        <f t="shared" si="73"/>
        <v>0</v>
      </c>
      <c r="AN192" s="51">
        <v>12</v>
      </c>
      <c r="AO192" s="51">
        <f>G192*0.672366589</f>
        <v>0</v>
      </c>
      <c r="AP192" s="51">
        <f>G192*(1-0.672366589)</f>
        <v>0</v>
      </c>
      <c r="AQ192" s="53" t="s">
        <v>148</v>
      </c>
      <c r="AV192" s="51">
        <f t="shared" si="74"/>
        <v>0</v>
      </c>
      <c r="AW192" s="51">
        <f t="shared" si="75"/>
        <v>0</v>
      </c>
      <c r="AX192" s="51">
        <f t="shared" si="76"/>
        <v>0</v>
      </c>
      <c r="AY192" s="53" t="s">
        <v>465</v>
      </c>
      <c r="AZ192" s="53" t="s">
        <v>387</v>
      </c>
      <c r="BA192" s="35" t="s">
        <v>117</v>
      </c>
      <c r="BC192" s="51">
        <f t="shared" si="77"/>
        <v>0</v>
      </c>
      <c r="BD192" s="51">
        <f t="shared" si="78"/>
        <v>0</v>
      </c>
      <c r="BE192" s="51">
        <v>0</v>
      </c>
      <c r="BF192" s="51">
        <f>192</f>
        <v>192</v>
      </c>
      <c r="BH192" s="51">
        <f t="shared" si="79"/>
        <v>0</v>
      </c>
      <c r="BI192" s="51">
        <f t="shared" si="80"/>
        <v>0</v>
      </c>
      <c r="BJ192" s="51">
        <f t="shared" si="81"/>
        <v>0</v>
      </c>
      <c r="BK192" s="51"/>
      <c r="BL192" s="51">
        <v>725</v>
      </c>
      <c r="BW192" s="51">
        <v>12</v>
      </c>
      <c r="BX192" s="3" t="s">
        <v>497</v>
      </c>
    </row>
    <row r="193" spans="1:76">
      <c r="A193" s="1" t="s">
        <v>498</v>
      </c>
      <c r="B193" s="2" t="s">
        <v>499</v>
      </c>
      <c r="C193" s="75" t="s">
        <v>500</v>
      </c>
      <c r="D193" s="70"/>
      <c r="E193" s="2" t="s">
        <v>114</v>
      </c>
      <c r="F193" s="51">
        <v>2</v>
      </c>
      <c r="G193" s="52">
        <v>0</v>
      </c>
      <c r="H193" s="51">
        <f t="shared" si="62"/>
        <v>0</v>
      </c>
      <c r="J193" s="41"/>
      <c r="Z193" s="51">
        <f t="shared" si="63"/>
        <v>0</v>
      </c>
      <c r="AB193" s="51">
        <f t="shared" si="64"/>
        <v>0</v>
      </c>
      <c r="AC193" s="51">
        <f t="shared" si="65"/>
        <v>0</v>
      </c>
      <c r="AD193" s="51">
        <f t="shared" si="66"/>
        <v>0</v>
      </c>
      <c r="AE193" s="51">
        <f t="shared" si="67"/>
        <v>0</v>
      </c>
      <c r="AF193" s="51">
        <f t="shared" si="68"/>
        <v>0</v>
      </c>
      <c r="AG193" s="51">
        <f t="shared" si="69"/>
        <v>0</v>
      </c>
      <c r="AH193" s="51">
        <f t="shared" si="70"/>
        <v>0</v>
      </c>
      <c r="AI193" s="35" t="s">
        <v>4</v>
      </c>
      <c r="AJ193" s="51">
        <f t="shared" si="71"/>
        <v>0</v>
      </c>
      <c r="AK193" s="51">
        <f t="shared" si="72"/>
        <v>0</v>
      </c>
      <c r="AL193" s="51">
        <f t="shared" si="73"/>
        <v>0</v>
      </c>
      <c r="AN193" s="51">
        <v>12</v>
      </c>
      <c r="AO193" s="51">
        <f>G193*0.530083195</f>
        <v>0</v>
      </c>
      <c r="AP193" s="51">
        <f>G193*(1-0.530083195)</f>
        <v>0</v>
      </c>
      <c r="AQ193" s="53" t="s">
        <v>148</v>
      </c>
      <c r="AV193" s="51">
        <f t="shared" si="74"/>
        <v>0</v>
      </c>
      <c r="AW193" s="51">
        <f t="shared" si="75"/>
        <v>0</v>
      </c>
      <c r="AX193" s="51">
        <f t="shared" si="76"/>
        <v>0</v>
      </c>
      <c r="AY193" s="53" t="s">
        <v>465</v>
      </c>
      <c r="AZ193" s="53" t="s">
        <v>387</v>
      </c>
      <c r="BA193" s="35" t="s">
        <v>117</v>
      </c>
      <c r="BC193" s="51">
        <f t="shared" si="77"/>
        <v>0</v>
      </c>
      <c r="BD193" s="51">
        <f t="shared" si="78"/>
        <v>0</v>
      </c>
      <c r="BE193" s="51">
        <v>0</v>
      </c>
      <c r="BF193" s="51">
        <f>193</f>
        <v>193</v>
      </c>
      <c r="BH193" s="51">
        <f t="shared" si="79"/>
        <v>0</v>
      </c>
      <c r="BI193" s="51">
        <f t="shared" si="80"/>
        <v>0</v>
      </c>
      <c r="BJ193" s="51">
        <f t="shared" si="81"/>
        <v>0</v>
      </c>
      <c r="BK193" s="51"/>
      <c r="BL193" s="51">
        <v>725</v>
      </c>
      <c r="BW193" s="51">
        <v>12</v>
      </c>
      <c r="BX193" s="3" t="s">
        <v>500</v>
      </c>
    </row>
    <row r="194" spans="1:76">
      <c r="A194" s="1" t="s">
        <v>501</v>
      </c>
      <c r="B194" s="2" t="s">
        <v>502</v>
      </c>
      <c r="C194" s="75" t="s">
        <v>503</v>
      </c>
      <c r="D194" s="70"/>
      <c r="E194" s="2" t="s">
        <v>114</v>
      </c>
      <c r="F194" s="51">
        <v>2</v>
      </c>
      <c r="G194" s="52">
        <v>0</v>
      </c>
      <c r="H194" s="51">
        <f t="shared" si="62"/>
        <v>0</v>
      </c>
      <c r="J194" s="41"/>
      <c r="Z194" s="51">
        <f t="shared" si="63"/>
        <v>0</v>
      </c>
      <c r="AB194" s="51">
        <f t="shared" si="64"/>
        <v>0</v>
      </c>
      <c r="AC194" s="51">
        <f t="shared" si="65"/>
        <v>0</v>
      </c>
      <c r="AD194" s="51">
        <f t="shared" si="66"/>
        <v>0</v>
      </c>
      <c r="AE194" s="51">
        <f t="shared" si="67"/>
        <v>0</v>
      </c>
      <c r="AF194" s="51">
        <f t="shared" si="68"/>
        <v>0</v>
      </c>
      <c r="AG194" s="51">
        <f t="shared" si="69"/>
        <v>0</v>
      </c>
      <c r="AH194" s="51">
        <f t="shared" si="70"/>
        <v>0</v>
      </c>
      <c r="AI194" s="35" t="s">
        <v>4</v>
      </c>
      <c r="AJ194" s="51">
        <f t="shared" si="71"/>
        <v>0</v>
      </c>
      <c r="AK194" s="51">
        <f t="shared" si="72"/>
        <v>0</v>
      </c>
      <c r="AL194" s="51">
        <f t="shared" si="73"/>
        <v>0</v>
      </c>
      <c r="AN194" s="51">
        <v>12</v>
      </c>
      <c r="AO194" s="51">
        <f>G194*0.033347196</f>
        <v>0</v>
      </c>
      <c r="AP194" s="51">
        <f>G194*(1-0.033347196)</f>
        <v>0</v>
      </c>
      <c r="AQ194" s="53" t="s">
        <v>148</v>
      </c>
      <c r="AV194" s="51">
        <f t="shared" si="74"/>
        <v>0</v>
      </c>
      <c r="AW194" s="51">
        <f t="shared" si="75"/>
        <v>0</v>
      </c>
      <c r="AX194" s="51">
        <f t="shared" si="76"/>
        <v>0</v>
      </c>
      <c r="AY194" s="53" t="s">
        <v>465</v>
      </c>
      <c r="AZ194" s="53" t="s">
        <v>387</v>
      </c>
      <c r="BA194" s="35" t="s">
        <v>117</v>
      </c>
      <c r="BC194" s="51">
        <f t="shared" si="77"/>
        <v>0</v>
      </c>
      <c r="BD194" s="51">
        <f t="shared" si="78"/>
        <v>0</v>
      </c>
      <c r="BE194" s="51">
        <v>0</v>
      </c>
      <c r="BF194" s="51">
        <f>194</f>
        <v>194</v>
      </c>
      <c r="BH194" s="51">
        <f t="shared" si="79"/>
        <v>0</v>
      </c>
      <c r="BI194" s="51">
        <f t="shared" si="80"/>
        <v>0</v>
      </c>
      <c r="BJ194" s="51">
        <f t="shared" si="81"/>
        <v>0</v>
      </c>
      <c r="BK194" s="51"/>
      <c r="BL194" s="51">
        <v>725</v>
      </c>
      <c r="BW194" s="51">
        <v>12</v>
      </c>
      <c r="BX194" s="3" t="s">
        <v>503</v>
      </c>
    </row>
    <row r="195" spans="1:76">
      <c r="A195" s="1" t="s">
        <v>504</v>
      </c>
      <c r="B195" s="2" t="s">
        <v>505</v>
      </c>
      <c r="C195" s="75" t="s">
        <v>506</v>
      </c>
      <c r="D195" s="70"/>
      <c r="E195" s="2" t="s">
        <v>114</v>
      </c>
      <c r="F195" s="51">
        <v>1</v>
      </c>
      <c r="G195" s="52">
        <v>0</v>
      </c>
      <c r="H195" s="51">
        <f t="shared" si="62"/>
        <v>0</v>
      </c>
      <c r="J195" s="41"/>
      <c r="Z195" s="51">
        <f t="shared" si="63"/>
        <v>0</v>
      </c>
      <c r="AB195" s="51">
        <f t="shared" si="64"/>
        <v>0</v>
      </c>
      <c r="AC195" s="51">
        <f t="shared" si="65"/>
        <v>0</v>
      </c>
      <c r="AD195" s="51">
        <f t="shared" si="66"/>
        <v>0</v>
      </c>
      <c r="AE195" s="51">
        <f t="shared" si="67"/>
        <v>0</v>
      </c>
      <c r="AF195" s="51">
        <f t="shared" si="68"/>
        <v>0</v>
      </c>
      <c r="AG195" s="51">
        <f t="shared" si="69"/>
        <v>0</v>
      </c>
      <c r="AH195" s="51">
        <f t="shared" si="70"/>
        <v>0</v>
      </c>
      <c r="AI195" s="35" t="s">
        <v>4</v>
      </c>
      <c r="AJ195" s="51">
        <f t="shared" si="71"/>
        <v>0</v>
      </c>
      <c r="AK195" s="51">
        <f t="shared" si="72"/>
        <v>0</v>
      </c>
      <c r="AL195" s="51">
        <f t="shared" si="73"/>
        <v>0</v>
      </c>
      <c r="AN195" s="51">
        <v>12</v>
      </c>
      <c r="AO195" s="51">
        <f>G195*0.216601901</f>
        <v>0</v>
      </c>
      <c r="AP195" s="51">
        <f>G195*(1-0.216601901)</f>
        <v>0</v>
      </c>
      <c r="AQ195" s="53" t="s">
        <v>148</v>
      </c>
      <c r="AV195" s="51">
        <f t="shared" si="74"/>
        <v>0</v>
      </c>
      <c r="AW195" s="51">
        <f t="shared" si="75"/>
        <v>0</v>
      </c>
      <c r="AX195" s="51">
        <f t="shared" si="76"/>
        <v>0</v>
      </c>
      <c r="AY195" s="53" t="s">
        <v>465</v>
      </c>
      <c r="AZ195" s="53" t="s">
        <v>387</v>
      </c>
      <c r="BA195" s="35" t="s">
        <v>117</v>
      </c>
      <c r="BC195" s="51">
        <f t="shared" si="77"/>
        <v>0</v>
      </c>
      <c r="BD195" s="51">
        <f t="shared" si="78"/>
        <v>0</v>
      </c>
      <c r="BE195" s="51">
        <v>0</v>
      </c>
      <c r="BF195" s="51">
        <f>195</f>
        <v>195</v>
      </c>
      <c r="BH195" s="51">
        <f t="shared" si="79"/>
        <v>0</v>
      </c>
      <c r="BI195" s="51">
        <f t="shared" si="80"/>
        <v>0</v>
      </c>
      <c r="BJ195" s="51">
        <f t="shared" si="81"/>
        <v>0</v>
      </c>
      <c r="BK195" s="51"/>
      <c r="BL195" s="51">
        <v>725</v>
      </c>
      <c r="BW195" s="51">
        <v>12</v>
      </c>
      <c r="BX195" s="3" t="s">
        <v>506</v>
      </c>
    </row>
    <row r="196" spans="1:76">
      <c r="A196" s="1" t="s">
        <v>507</v>
      </c>
      <c r="B196" s="2" t="s">
        <v>508</v>
      </c>
      <c r="C196" s="75" t="s">
        <v>509</v>
      </c>
      <c r="D196" s="70"/>
      <c r="E196" s="2" t="s">
        <v>114</v>
      </c>
      <c r="F196" s="51">
        <v>1</v>
      </c>
      <c r="G196" s="52">
        <v>0</v>
      </c>
      <c r="H196" s="51">
        <f t="shared" si="62"/>
        <v>0</v>
      </c>
      <c r="J196" s="41"/>
      <c r="Z196" s="51">
        <f t="shared" si="63"/>
        <v>0</v>
      </c>
      <c r="AB196" s="51">
        <f t="shared" si="64"/>
        <v>0</v>
      </c>
      <c r="AC196" s="51">
        <f t="shared" si="65"/>
        <v>0</v>
      </c>
      <c r="AD196" s="51">
        <f t="shared" si="66"/>
        <v>0</v>
      </c>
      <c r="AE196" s="51">
        <f t="shared" si="67"/>
        <v>0</v>
      </c>
      <c r="AF196" s="51">
        <f t="shared" si="68"/>
        <v>0</v>
      </c>
      <c r="AG196" s="51">
        <f t="shared" si="69"/>
        <v>0</v>
      </c>
      <c r="AH196" s="51">
        <f t="shared" si="70"/>
        <v>0</v>
      </c>
      <c r="AI196" s="35" t="s">
        <v>4</v>
      </c>
      <c r="AJ196" s="51">
        <f t="shared" si="71"/>
        <v>0</v>
      </c>
      <c r="AK196" s="51">
        <f t="shared" si="72"/>
        <v>0</v>
      </c>
      <c r="AL196" s="51">
        <f t="shared" si="73"/>
        <v>0</v>
      </c>
      <c r="AN196" s="51">
        <v>12</v>
      </c>
      <c r="AO196" s="51">
        <f>G196*0.915036101</f>
        <v>0</v>
      </c>
      <c r="AP196" s="51">
        <f>G196*(1-0.915036101)</f>
        <v>0</v>
      </c>
      <c r="AQ196" s="53" t="s">
        <v>148</v>
      </c>
      <c r="AV196" s="51">
        <f t="shared" si="74"/>
        <v>0</v>
      </c>
      <c r="AW196" s="51">
        <f t="shared" si="75"/>
        <v>0</v>
      </c>
      <c r="AX196" s="51">
        <f t="shared" si="76"/>
        <v>0</v>
      </c>
      <c r="AY196" s="53" t="s">
        <v>465</v>
      </c>
      <c r="AZ196" s="53" t="s">
        <v>387</v>
      </c>
      <c r="BA196" s="35" t="s">
        <v>117</v>
      </c>
      <c r="BC196" s="51">
        <f t="shared" si="77"/>
        <v>0</v>
      </c>
      <c r="BD196" s="51">
        <f t="shared" si="78"/>
        <v>0</v>
      </c>
      <c r="BE196" s="51">
        <v>0</v>
      </c>
      <c r="BF196" s="51">
        <f>196</f>
        <v>196</v>
      </c>
      <c r="BH196" s="51">
        <f t="shared" si="79"/>
        <v>0</v>
      </c>
      <c r="BI196" s="51">
        <f t="shared" si="80"/>
        <v>0</v>
      </c>
      <c r="BJ196" s="51">
        <f t="shared" si="81"/>
        <v>0</v>
      </c>
      <c r="BK196" s="51"/>
      <c r="BL196" s="51">
        <v>725</v>
      </c>
      <c r="BW196" s="51">
        <v>12</v>
      </c>
      <c r="BX196" s="3" t="s">
        <v>509</v>
      </c>
    </row>
    <row r="197" spans="1:76">
      <c r="A197" s="1" t="s">
        <v>510</v>
      </c>
      <c r="B197" s="2" t="s">
        <v>511</v>
      </c>
      <c r="C197" s="75" t="s">
        <v>512</v>
      </c>
      <c r="D197" s="70"/>
      <c r="E197" s="2" t="s">
        <v>114</v>
      </c>
      <c r="F197" s="51">
        <v>1</v>
      </c>
      <c r="G197" s="52">
        <v>0</v>
      </c>
      <c r="H197" s="51">
        <f t="shared" si="62"/>
        <v>0</v>
      </c>
      <c r="J197" s="41"/>
      <c r="Z197" s="51">
        <f t="shared" si="63"/>
        <v>0</v>
      </c>
      <c r="AB197" s="51">
        <f t="shared" si="64"/>
        <v>0</v>
      </c>
      <c r="AC197" s="51">
        <f t="shared" si="65"/>
        <v>0</v>
      </c>
      <c r="AD197" s="51">
        <f t="shared" si="66"/>
        <v>0</v>
      </c>
      <c r="AE197" s="51">
        <f t="shared" si="67"/>
        <v>0</v>
      </c>
      <c r="AF197" s="51">
        <f t="shared" si="68"/>
        <v>0</v>
      </c>
      <c r="AG197" s="51">
        <f t="shared" si="69"/>
        <v>0</v>
      </c>
      <c r="AH197" s="51">
        <f t="shared" si="70"/>
        <v>0</v>
      </c>
      <c r="AI197" s="35" t="s">
        <v>4</v>
      </c>
      <c r="AJ197" s="51">
        <f t="shared" si="71"/>
        <v>0</v>
      </c>
      <c r="AK197" s="51">
        <f t="shared" si="72"/>
        <v>0</v>
      </c>
      <c r="AL197" s="51">
        <f t="shared" si="73"/>
        <v>0</v>
      </c>
      <c r="AN197" s="51">
        <v>12</v>
      </c>
      <c r="AO197" s="51">
        <f>G197*0.828628641</f>
        <v>0</v>
      </c>
      <c r="AP197" s="51">
        <f>G197*(1-0.828628641)</f>
        <v>0</v>
      </c>
      <c r="AQ197" s="53" t="s">
        <v>148</v>
      </c>
      <c r="AV197" s="51">
        <f t="shared" si="74"/>
        <v>0</v>
      </c>
      <c r="AW197" s="51">
        <f t="shared" si="75"/>
        <v>0</v>
      </c>
      <c r="AX197" s="51">
        <f t="shared" si="76"/>
        <v>0</v>
      </c>
      <c r="AY197" s="53" t="s">
        <v>465</v>
      </c>
      <c r="AZ197" s="53" t="s">
        <v>387</v>
      </c>
      <c r="BA197" s="35" t="s">
        <v>117</v>
      </c>
      <c r="BC197" s="51">
        <f t="shared" si="77"/>
        <v>0</v>
      </c>
      <c r="BD197" s="51">
        <f t="shared" si="78"/>
        <v>0</v>
      </c>
      <c r="BE197" s="51">
        <v>0</v>
      </c>
      <c r="BF197" s="51">
        <f>197</f>
        <v>197</v>
      </c>
      <c r="BH197" s="51">
        <f t="shared" si="79"/>
        <v>0</v>
      </c>
      <c r="BI197" s="51">
        <f t="shared" si="80"/>
        <v>0</v>
      </c>
      <c r="BJ197" s="51">
        <f t="shared" si="81"/>
        <v>0</v>
      </c>
      <c r="BK197" s="51"/>
      <c r="BL197" s="51">
        <v>725</v>
      </c>
      <c r="BW197" s="51">
        <v>12</v>
      </c>
      <c r="BX197" s="3" t="s">
        <v>512</v>
      </c>
    </row>
    <row r="198" spans="1:76">
      <c r="A198" s="1" t="s">
        <v>513</v>
      </c>
      <c r="B198" s="2" t="s">
        <v>514</v>
      </c>
      <c r="C198" s="75" t="s">
        <v>515</v>
      </c>
      <c r="D198" s="70"/>
      <c r="E198" s="2" t="s">
        <v>259</v>
      </c>
      <c r="F198" s="51">
        <v>4</v>
      </c>
      <c r="G198" s="52">
        <v>0</v>
      </c>
      <c r="H198" s="51">
        <f t="shared" si="62"/>
        <v>0</v>
      </c>
      <c r="J198" s="41"/>
      <c r="Z198" s="51">
        <f t="shared" si="63"/>
        <v>0</v>
      </c>
      <c r="AB198" s="51">
        <f t="shared" si="64"/>
        <v>0</v>
      </c>
      <c r="AC198" s="51">
        <f t="shared" si="65"/>
        <v>0</v>
      </c>
      <c r="AD198" s="51">
        <f t="shared" si="66"/>
        <v>0</v>
      </c>
      <c r="AE198" s="51">
        <f t="shared" si="67"/>
        <v>0</v>
      </c>
      <c r="AF198" s="51">
        <f t="shared" si="68"/>
        <v>0</v>
      </c>
      <c r="AG198" s="51">
        <f t="shared" si="69"/>
        <v>0</v>
      </c>
      <c r="AH198" s="51">
        <f t="shared" si="70"/>
        <v>0</v>
      </c>
      <c r="AI198" s="35" t="s">
        <v>4</v>
      </c>
      <c r="AJ198" s="51">
        <f t="shared" si="71"/>
        <v>0</v>
      </c>
      <c r="AK198" s="51">
        <f t="shared" si="72"/>
        <v>0</v>
      </c>
      <c r="AL198" s="51">
        <f t="shared" si="73"/>
        <v>0</v>
      </c>
      <c r="AN198" s="51">
        <v>12</v>
      </c>
      <c r="AO198" s="51">
        <f>G198*0.522710623</f>
        <v>0</v>
      </c>
      <c r="AP198" s="51">
        <f>G198*(1-0.522710623)</f>
        <v>0</v>
      </c>
      <c r="AQ198" s="53" t="s">
        <v>148</v>
      </c>
      <c r="AV198" s="51">
        <f t="shared" si="74"/>
        <v>0</v>
      </c>
      <c r="AW198" s="51">
        <f t="shared" si="75"/>
        <v>0</v>
      </c>
      <c r="AX198" s="51">
        <f t="shared" si="76"/>
        <v>0</v>
      </c>
      <c r="AY198" s="53" t="s">
        <v>465</v>
      </c>
      <c r="AZ198" s="53" t="s">
        <v>387</v>
      </c>
      <c r="BA198" s="35" t="s">
        <v>117</v>
      </c>
      <c r="BC198" s="51">
        <f t="shared" si="77"/>
        <v>0</v>
      </c>
      <c r="BD198" s="51">
        <f t="shared" si="78"/>
        <v>0</v>
      </c>
      <c r="BE198" s="51">
        <v>0</v>
      </c>
      <c r="BF198" s="51">
        <f>198</f>
        <v>198</v>
      </c>
      <c r="BH198" s="51">
        <f t="shared" si="79"/>
        <v>0</v>
      </c>
      <c r="BI198" s="51">
        <f t="shared" si="80"/>
        <v>0</v>
      </c>
      <c r="BJ198" s="51">
        <f t="shared" si="81"/>
        <v>0</v>
      </c>
      <c r="BK198" s="51"/>
      <c r="BL198" s="51">
        <v>725</v>
      </c>
      <c r="BW198" s="51">
        <v>12</v>
      </c>
      <c r="BX198" s="3" t="s">
        <v>515</v>
      </c>
    </row>
    <row r="199" spans="1:76">
      <c r="A199" s="1" t="s">
        <v>516</v>
      </c>
      <c r="B199" s="2" t="s">
        <v>517</v>
      </c>
      <c r="C199" s="75" t="s">
        <v>518</v>
      </c>
      <c r="D199" s="70"/>
      <c r="E199" s="2" t="s">
        <v>259</v>
      </c>
      <c r="F199" s="51">
        <v>1</v>
      </c>
      <c r="G199" s="52">
        <v>0</v>
      </c>
      <c r="H199" s="51">
        <f t="shared" si="62"/>
        <v>0</v>
      </c>
      <c r="J199" s="41"/>
      <c r="Z199" s="51">
        <f t="shared" si="63"/>
        <v>0</v>
      </c>
      <c r="AB199" s="51">
        <f t="shared" si="64"/>
        <v>0</v>
      </c>
      <c r="AC199" s="51">
        <f t="shared" si="65"/>
        <v>0</v>
      </c>
      <c r="AD199" s="51">
        <f t="shared" si="66"/>
        <v>0</v>
      </c>
      <c r="AE199" s="51">
        <f t="shared" si="67"/>
        <v>0</v>
      </c>
      <c r="AF199" s="51">
        <f t="shared" si="68"/>
        <v>0</v>
      </c>
      <c r="AG199" s="51">
        <f t="shared" si="69"/>
        <v>0</v>
      </c>
      <c r="AH199" s="51">
        <f t="shared" si="70"/>
        <v>0</v>
      </c>
      <c r="AI199" s="35" t="s">
        <v>4</v>
      </c>
      <c r="AJ199" s="51">
        <f t="shared" si="71"/>
        <v>0</v>
      </c>
      <c r="AK199" s="51">
        <f t="shared" si="72"/>
        <v>0</v>
      </c>
      <c r="AL199" s="51">
        <f t="shared" si="73"/>
        <v>0</v>
      </c>
      <c r="AN199" s="51">
        <v>12</v>
      </c>
      <c r="AO199" s="51">
        <f>G199*0.318425141</f>
        <v>0</v>
      </c>
      <c r="AP199" s="51">
        <f>G199*(1-0.318425141)</f>
        <v>0</v>
      </c>
      <c r="AQ199" s="53" t="s">
        <v>148</v>
      </c>
      <c r="AV199" s="51">
        <f t="shared" si="74"/>
        <v>0</v>
      </c>
      <c r="AW199" s="51">
        <f t="shared" si="75"/>
        <v>0</v>
      </c>
      <c r="AX199" s="51">
        <f t="shared" si="76"/>
        <v>0</v>
      </c>
      <c r="AY199" s="53" t="s">
        <v>465</v>
      </c>
      <c r="AZ199" s="53" t="s">
        <v>387</v>
      </c>
      <c r="BA199" s="35" t="s">
        <v>117</v>
      </c>
      <c r="BC199" s="51">
        <f t="shared" si="77"/>
        <v>0</v>
      </c>
      <c r="BD199" s="51">
        <f t="shared" si="78"/>
        <v>0</v>
      </c>
      <c r="BE199" s="51">
        <v>0</v>
      </c>
      <c r="BF199" s="51">
        <f>199</f>
        <v>199</v>
      </c>
      <c r="BH199" s="51">
        <f t="shared" si="79"/>
        <v>0</v>
      </c>
      <c r="BI199" s="51">
        <f t="shared" si="80"/>
        <v>0</v>
      </c>
      <c r="BJ199" s="51">
        <f t="shared" si="81"/>
        <v>0</v>
      </c>
      <c r="BK199" s="51"/>
      <c r="BL199" s="51">
        <v>725</v>
      </c>
      <c r="BW199" s="51">
        <v>12</v>
      </c>
      <c r="BX199" s="3" t="s">
        <v>518</v>
      </c>
    </row>
    <row r="200" spans="1:76">
      <c r="A200" s="1" t="s">
        <v>247</v>
      </c>
      <c r="B200" s="2" t="s">
        <v>519</v>
      </c>
      <c r="C200" s="75" t="s">
        <v>520</v>
      </c>
      <c r="D200" s="70"/>
      <c r="E200" s="2" t="s">
        <v>114</v>
      </c>
      <c r="F200" s="51">
        <v>1</v>
      </c>
      <c r="G200" s="52">
        <v>0</v>
      </c>
      <c r="H200" s="51">
        <f t="shared" si="62"/>
        <v>0</v>
      </c>
      <c r="J200" s="41"/>
      <c r="Z200" s="51">
        <f t="shared" si="63"/>
        <v>0</v>
      </c>
      <c r="AB200" s="51">
        <f t="shared" si="64"/>
        <v>0</v>
      </c>
      <c r="AC200" s="51">
        <f t="shared" si="65"/>
        <v>0</v>
      </c>
      <c r="AD200" s="51">
        <f t="shared" si="66"/>
        <v>0</v>
      </c>
      <c r="AE200" s="51">
        <f t="shared" si="67"/>
        <v>0</v>
      </c>
      <c r="AF200" s="51">
        <f t="shared" si="68"/>
        <v>0</v>
      </c>
      <c r="AG200" s="51">
        <f t="shared" si="69"/>
        <v>0</v>
      </c>
      <c r="AH200" s="51">
        <f t="shared" si="70"/>
        <v>0</v>
      </c>
      <c r="AI200" s="35" t="s">
        <v>4</v>
      </c>
      <c r="AJ200" s="51">
        <f t="shared" si="71"/>
        <v>0</v>
      </c>
      <c r="AK200" s="51">
        <f t="shared" si="72"/>
        <v>0</v>
      </c>
      <c r="AL200" s="51">
        <f t="shared" si="73"/>
        <v>0</v>
      </c>
      <c r="AN200" s="51">
        <v>12</v>
      </c>
      <c r="AO200" s="51">
        <f>G200*0.902765125</f>
        <v>0</v>
      </c>
      <c r="AP200" s="51">
        <f>G200*(1-0.902765125)</f>
        <v>0</v>
      </c>
      <c r="AQ200" s="53" t="s">
        <v>148</v>
      </c>
      <c r="AV200" s="51">
        <f t="shared" si="74"/>
        <v>0</v>
      </c>
      <c r="AW200" s="51">
        <f t="shared" si="75"/>
        <v>0</v>
      </c>
      <c r="AX200" s="51">
        <f t="shared" si="76"/>
        <v>0</v>
      </c>
      <c r="AY200" s="53" t="s">
        <v>465</v>
      </c>
      <c r="AZ200" s="53" t="s">
        <v>387</v>
      </c>
      <c r="BA200" s="35" t="s">
        <v>117</v>
      </c>
      <c r="BC200" s="51">
        <f t="shared" si="77"/>
        <v>0</v>
      </c>
      <c r="BD200" s="51">
        <f t="shared" si="78"/>
        <v>0</v>
      </c>
      <c r="BE200" s="51">
        <v>0</v>
      </c>
      <c r="BF200" s="51">
        <f>200</f>
        <v>200</v>
      </c>
      <c r="BH200" s="51">
        <f t="shared" si="79"/>
        <v>0</v>
      </c>
      <c r="BI200" s="51">
        <f t="shared" si="80"/>
        <v>0</v>
      </c>
      <c r="BJ200" s="51">
        <f t="shared" si="81"/>
        <v>0</v>
      </c>
      <c r="BK200" s="51"/>
      <c r="BL200" s="51">
        <v>725</v>
      </c>
      <c r="BW200" s="51">
        <v>12</v>
      </c>
      <c r="BX200" s="3" t="s">
        <v>520</v>
      </c>
    </row>
    <row r="201" spans="1:76">
      <c r="A201" s="1" t="s">
        <v>272</v>
      </c>
      <c r="B201" s="2" t="s">
        <v>521</v>
      </c>
      <c r="C201" s="75" t="s">
        <v>522</v>
      </c>
      <c r="D201" s="70"/>
      <c r="E201" s="2" t="s">
        <v>114</v>
      </c>
      <c r="F201" s="51">
        <v>1</v>
      </c>
      <c r="G201" s="52">
        <v>0</v>
      </c>
      <c r="H201" s="51">
        <f t="shared" si="62"/>
        <v>0</v>
      </c>
      <c r="J201" s="41"/>
      <c r="Z201" s="51">
        <f t="shared" si="63"/>
        <v>0</v>
      </c>
      <c r="AB201" s="51">
        <f t="shared" si="64"/>
        <v>0</v>
      </c>
      <c r="AC201" s="51">
        <f t="shared" si="65"/>
        <v>0</v>
      </c>
      <c r="AD201" s="51">
        <f t="shared" si="66"/>
        <v>0</v>
      </c>
      <c r="AE201" s="51">
        <f t="shared" si="67"/>
        <v>0</v>
      </c>
      <c r="AF201" s="51">
        <f t="shared" si="68"/>
        <v>0</v>
      </c>
      <c r="AG201" s="51">
        <f t="shared" si="69"/>
        <v>0</v>
      </c>
      <c r="AH201" s="51">
        <f t="shared" si="70"/>
        <v>0</v>
      </c>
      <c r="AI201" s="35" t="s">
        <v>4</v>
      </c>
      <c r="AJ201" s="51">
        <f t="shared" si="71"/>
        <v>0</v>
      </c>
      <c r="AK201" s="51">
        <f t="shared" si="72"/>
        <v>0</v>
      </c>
      <c r="AL201" s="51">
        <f t="shared" si="73"/>
        <v>0</v>
      </c>
      <c r="AN201" s="51">
        <v>12</v>
      </c>
      <c r="AO201" s="51">
        <f>G201*0.88622221</f>
        <v>0</v>
      </c>
      <c r="AP201" s="51">
        <f>G201*(1-0.88622221)</f>
        <v>0</v>
      </c>
      <c r="AQ201" s="53" t="s">
        <v>148</v>
      </c>
      <c r="AV201" s="51">
        <f t="shared" si="74"/>
        <v>0</v>
      </c>
      <c r="AW201" s="51">
        <f t="shared" si="75"/>
        <v>0</v>
      </c>
      <c r="AX201" s="51">
        <f t="shared" si="76"/>
        <v>0</v>
      </c>
      <c r="AY201" s="53" t="s">
        <v>465</v>
      </c>
      <c r="AZ201" s="53" t="s">
        <v>387</v>
      </c>
      <c r="BA201" s="35" t="s">
        <v>117</v>
      </c>
      <c r="BC201" s="51">
        <f t="shared" si="77"/>
        <v>0</v>
      </c>
      <c r="BD201" s="51">
        <f t="shared" si="78"/>
        <v>0</v>
      </c>
      <c r="BE201" s="51">
        <v>0</v>
      </c>
      <c r="BF201" s="51">
        <f>201</f>
        <v>201</v>
      </c>
      <c r="BH201" s="51">
        <f t="shared" si="79"/>
        <v>0</v>
      </c>
      <c r="BI201" s="51">
        <f t="shared" si="80"/>
        <v>0</v>
      </c>
      <c r="BJ201" s="51">
        <f t="shared" si="81"/>
        <v>0</v>
      </c>
      <c r="BK201" s="51"/>
      <c r="BL201" s="51">
        <v>725</v>
      </c>
      <c r="BW201" s="51">
        <v>12</v>
      </c>
      <c r="BX201" s="3" t="s">
        <v>522</v>
      </c>
    </row>
    <row r="202" spans="1:76">
      <c r="A202" s="1" t="s">
        <v>523</v>
      </c>
      <c r="B202" s="2" t="s">
        <v>524</v>
      </c>
      <c r="C202" s="75" t="s">
        <v>525</v>
      </c>
      <c r="D202" s="70"/>
      <c r="E202" s="2" t="s">
        <v>114</v>
      </c>
      <c r="F202" s="51">
        <v>1</v>
      </c>
      <c r="G202" s="52">
        <v>0</v>
      </c>
      <c r="H202" s="51">
        <f t="shared" si="62"/>
        <v>0</v>
      </c>
      <c r="J202" s="41"/>
      <c r="Z202" s="51">
        <f t="shared" si="63"/>
        <v>0</v>
      </c>
      <c r="AB202" s="51">
        <f t="shared" si="64"/>
        <v>0</v>
      </c>
      <c r="AC202" s="51">
        <f t="shared" si="65"/>
        <v>0</v>
      </c>
      <c r="AD202" s="51">
        <f t="shared" si="66"/>
        <v>0</v>
      </c>
      <c r="AE202" s="51">
        <f t="shared" si="67"/>
        <v>0</v>
      </c>
      <c r="AF202" s="51">
        <f t="shared" si="68"/>
        <v>0</v>
      </c>
      <c r="AG202" s="51">
        <f t="shared" si="69"/>
        <v>0</v>
      </c>
      <c r="AH202" s="51">
        <f t="shared" si="70"/>
        <v>0</v>
      </c>
      <c r="AI202" s="35" t="s">
        <v>4</v>
      </c>
      <c r="AJ202" s="51">
        <f t="shared" si="71"/>
        <v>0</v>
      </c>
      <c r="AK202" s="51">
        <f t="shared" si="72"/>
        <v>0</v>
      </c>
      <c r="AL202" s="51">
        <f t="shared" si="73"/>
        <v>0</v>
      </c>
      <c r="AN202" s="51">
        <v>12</v>
      </c>
      <c r="AO202" s="51">
        <f>G202*0.852864629</f>
        <v>0</v>
      </c>
      <c r="AP202" s="51">
        <f>G202*(1-0.852864629)</f>
        <v>0</v>
      </c>
      <c r="AQ202" s="53" t="s">
        <v>148</v>
      </c>
      <c r="AV202" s="51">
        <f t="shared" si="74"/>
        <v>0</v>
      </c>
      <c r="AW202" s="51">
        <f t="shared" si="75"/>
        <v>0</v>
      </c>
      <c r="AX202" s="51">
        <f t="shared" si="76"/>
        <v>0</v>
      </c>
      <c r="AY202" s="53" t="s">
        <v>465</v>
      </c>
      <c r="AZ202" s="53" t="s">
        <v>387</v>
      </c>
      <c r="BA202" s="35" t="s">
        <v>117</v>
      </c>
      <c r="BC202" s="51">
        <f t="shared" si="77"/>
        <v>0</v>
      </c>
      <c r="BD202" s="51">
        <f t="shared" si="78"/>
        <v>0</v>
      </c>
      <c r="BE202" s="51">
        <v>0</v>
      </c>
      <c r="BF202" s="51">
        <f>202</f>
        <v>202</v>
      </c>
      <c r="BH202" s="51">
        <f t="shared" si="79"/>
        <v>0</v>
      </c>
      <c r="BI202" s="51">
        <f t="shared" si="80"/>
        <v>0</v>
      </c>
      <c r="BJ202" s="51">
        <f t="shared" si="81"/>
        <v>0</v>
      </c>
      <c r="BK202" s="51"/>
      <c r="BL202" s="51">
        <v>725</v>
      </c>
      <c r="BW202" s="51">
        <v>12</v>
      </c>
      <c r="BX202" s="3" t="s">
        <v>525</v>
      </c>
    </row>
    <row r="203" spans="1:76">
      <c r="A203" s="1" t="s">
        <v>526</v>
      </c>
      <c r="B203" s="2" t="s">
        <v>527</v>
      </c>
      <c r="C203" s="75" t="s">
        <v>528</v>
      </c>
      <c r="D203" s="70"/>
      <c r="E203" s="2" t="s">
        <v>259</v>
      </c>
      <c r="F203" s="51">
        <v>1</v>
      </c>
      <c r="G203" s="52">
        <v>0</v>
      </c>
      <c r="H203" s="51">
        <f t="shared" si="62"/>
        <v>0</v>
      </c>
      <c r="J203" s="41"/>
      <c r="Z203" s="51">
        <f t="shared" si="63"/>
        <v>0</v>
      </c>
      <c r="AB203" s="51">
        <f t="shared" si="64"/>
        <v>0</v>
      </c>
      <c r="AC203" s="51">
        <f t="shared" si="65"/>
        <v>0</v>
      </c>
      <c r="AD203" s="51">
        <f t="shared" si="66"/>
        <v>0</v>
      </c>
      <c r="AE203" s="51">
        <f t="shared" si="67"/>
        <v>0</v>
      </c>
      <c r="AF203" s="51">
        <f t="shared" si="68"/>
        <v>0</v>
      </c>
      <c r="AG203" s="51">
        <f t="shared" si="69"/>
        <v>0</v>
      </c>
      <c r="AH203" s="51">
        <f t="shared" si="70"/>
        <v>0</v>
      </c>
      <c r="AI203" s="35" t="s">
        <v>4</v>
      </c>
      <c r="AJ203" s="51">
        <f t="shared" si="71"/>
        <v>0</v>
      </c>
      <c r="AK203" s="51">
        <f t="shared" si="72"/>
        <v>0</v>
      </c>
      <c r="AL203" s="51">
        <f t="shared" si="73"/>
        <v>0</v>
      </c>
      <c r="AN203" s="51">
        <v>12</v>
      </c>
      <c r="AO203" s="51">
        <f>G203*0.908404118</f>
        <v>0</v>
      </c>
      <c r="AP203" s="51">
        <f>G203*(1-0.908404118)</f>
        <v>0</v>
      </c>
      <c r="AQ203" s="53" t="s">
        <v>148</v>
      </c>
      <c r="AV203" s="51">
        <f t="shared" si="74"/>
        <v>0</v>
      </c>
      <c r="AW203" s="51">
        <f t="shared" si="75"/>
        <v>0</v>
      </c>
      <c r="AX203" s="51">
        <f t="shared" si="76"/>
        <v>0</v>
      </c>
      <c r="AY203" s="53" t="s">
        <v>465</v>
      </c>
      <c r="AZ203" s="53" t="s">
        <v>387</v>
      </c>
      <c r="BA203" s="35" t="s">
        <v>117</v>
      </c>
      <c r="BC203" s="51">
        <f t="shared" si="77"/>
        <v>0</v>
      </c>
      <c r="BD203" s="51">
        <f t="shared" si="78"/>
        <v>0</v>
      </c>
      <c r="BE203" s="51">
        <v>0</v>
      </c>
      <c r="BF203" s="51">
        <f>203</f>
        <v>203</v>
      </c>
      <c r="BH203" s="51">
        <f t="shared" si="79"/>
        <v>0</v>
      </c>
      <c r="BI203" s="51">
        <f t="shared" si="80"/>
        <v>0</v>
      </c>
      <c r="BJ203" s="51">
        <f t="shared" si="81"/>
        <v>0</v>
      </c>
      <c r="BK203" s="51"/>
      <c r="BL203" s="51">
        <v>725</v>
      </c>
      <c r="BW203" s="51">
        <v>12</v>
      </c>
      <c r="BX203" s="3" t="s">
        <v>528</v>
      </c>
    </row>
    <row r="204" spans="1:76">
      <c r="A204" s="1" t="s">
        <v>348</v>
      </c>
      <c r="B204" s="2" t="s">
        <v>529</v>
      </c>
      <c r="C204" s="75" t="s">
        <v>530</v>
      </c>
      <c r="D204" s="70"/>
      <c r="E204" s="2" t="s">
        <v>259</v>
      </c>
      <c r="F204" s="51">
        <v>1</v>
      </c>
      <c r="G204" s="52">
        <v>0</v>
      </c>
      <c r="H204" s="51">
        <f t="shared" si="62"/>
        <v>0</v>
      </c>
      <c r="J204" s="41"/>
      <c r="Z204" s="51">
        <f t="shared" si="63"/>
        <v>0</v>
      </c>
      <c r="AB204" s="51">
        <f t="shared" si="64"/>
        <v>0</v>
      </c>
      <c r="AC204" s="51">
        <f t="shared" si="65"/>
        <v>0</v>
      </c>
      <c r="AD204" s="51">
        <f t="shared" si="66"/>
        <v>0</v>
      </c>
      <c r="AE204" s="51">
        <f t="shared" si="67"/>
        <v>0</v>
      </c>
      <c r="AF204" s="51">
        <f t="shared" si="68"/>
        <v>0</v>
      </c>
      <c r="AG204" s="51">
        <f t="shared" si="69"/>
        <v>0</v>
      </c>
      <c r="AH204" s="51">
        <f t="shared" si="70"/>
        <v>0</v>
      </c>
      <c r="AI204" s="35" t="s">
        <v>4</v>
      </c>
      <c r="AJ204" s="51">
        <f t="shared" si="71"/>
        <v>0</v>
      </c>
      <c r="AK204" s="51">
        <f t="shared" si="72"/>
        <v>0</v>
      </c>
      <c r="AL204" s="51">
        <f t="shared" si="73"/>
        <v>0</v>
      </c>
      <c r="AN204" s="51">
        <v>12</v>
      </c>
      <c r="AO204" s="51">
        <f>G204*0.460774648</f>
        <v>0</v>
      </c>
      <c r="AP204" s="51">
        <f>G204*(1-0.460774648)</f>
        <v>0</v>
      </c>
      <c r="AQ204" s="53" t="s">
        <v>148</v>
      </c>
      <c r="AV204" s="51">
        <f t="shared" si="74"/>
        <v>0</v>
      </c>
      <c r="AW204" s="51">
        <f t="shared" si="75"/>
        <v>0</v>
      </c>
      <c r="AX204" s="51">
        <f t="shared" si="76"/>
        <v>0</v>
      </c>
      <c r="AY204" s="53" t="s">
        <v>465</v>
      </c>
      <c r="AZ204" s="53" t="s">
        <v>387</v>
      </c>
      <c r="BA204" s="35" t="s">
        <v>117</v>
      </c>
      <c r="BC204" s="51">
        <f t="shared" si="77"/>
        <v>0</v>
      </c>
      <c r="BD204" s="51">
        <f t="shared" si="78"/>
        <v>0</v>
      </c>
      <c r="BE204" s="51">
        <v>0</v>
      </c>
      <c r="BF204" s="51">
        <f>204</f>
        <v>204</v>
      </c>
      <c r="BH204" s="51">
        <f t="shared" si="79"/>
        <v>0</v>
      </c>
      <c r="BI204" s="51">
        <f t="shared" si="80"/>
        <v>0</v>
      </c>
      <c r="BJ204" s="51">
        <f t="shared" si="81"/>
        <v>0</v>
      </c>
      <c r="BK204" s="51"/>
      <c r="BL204" s="51">
        <v>725</v>
      </c>
      <c r="BW204" s="51">
        <v>12</v>
      </c>
      <c r="BX204" s="3" t="s">
        <v>530</v>
      </c>
    </row>
    <row r="205" spans="1:76">
      <c r="A205" s="1" t="s">
        <v>531</v>
      </c>
      <c r="B205" s="2" t="s">
        <v>532</v>
      </c>
      <c r="C205" s="75" t="s">
        <v>533</v>
      </c>
      <c r="D205" s="70"/>
      <c r="E205" s="2" t="s">
        <v>259</v>
      </c>
      <c r="F205" s="51">
        <v>1</v>
      </c>
      <c r="G205" s="52">
        <v>0</v>
      </c>
      <c r="H205" s="51">
        <f t="shared" si="62"/>
        <v>0</v>
      </c>
      <c r="J205" s="41"/>
      <c r="Z205" s="51">
        <f t="shared" si="63"/>
        <v>0</v>
      </c>
      <c r="AB205" s="51">
        <f t="shared" si="64"/>
        <v>0</v>
      </c>
      <c r="AC205" s="51">
        <f t="shared" si="65"/>
        <v>0</v>
      </c>
      <c r="AD205" s="51">
        <f t="shared" si="66"/>
        <v>0</v>
      </c>
      <c r="AE205" s="51">
        <f t="shared" si="67"/>
        <v>0</v>
      </c>
      <c r="AF205" s="51">
        <f t="shared" si="68"/>
        <v>0</v>
      </c>
      <c r="AG205" s="51">
        <f t="shared" si="69"/>
        <v>0</v>
      </c>
      <c r="AH205" s="51">
        <f t="shared" si="70"/>
        <v>0</v>
      </c>
      <c r="AI205" s="35" t="s">
        <v>4</v>
      </c>
      <c r="AJ205" s="51">
        <f t="shared" si="71"/>
        <v>0</v>
      </c>
      <c r="AK205" s="51">
        <f t="shared" si="72"/>
        <v>0</v>
      </c>
      <c r="AL205" s="51">
        <f t="shared" si="73"/>
        <v>0</v>
      </c>
      <c r="AN205" s="51">
        <v>12</v>
      </c>
      <c r="AO205" s="51">
        <f>G205*0.861823964</f>
        <v>0</v>
      </c>
      <c r="AP205" s="51">
        <f>G205*(1-0.861823964)</f>
        <v>0</v>
      </c>
      <c r="AQ205" s="53" t="s">
        <v>148</v>
      </c>
      <c r="AV205" s="51">
        <f t="shared" si="74"/>
        <v>0</v>
      </c>
      <c r="AW205" s="51">
        <f t="shared" si="75"/>
        <v>0</v>
      </c>
      <c r="AX205" s="51">
        <f t="shared" si="76"/>
        <v>0</v>
      </c>
      <c r="AY205" s="53" t="s">
        <v>465</v>
      </c>
      <c r="AZ205" s="53" t="s">
        <v>387</v>
      </c>
      <c r="BA205" s="35" t="s">
        <v>117</v>
      </c>
      <c r="BC205" s="51">
        <f t="shared" si="77"/>
        <v>0</v>
      </c>
      <c r="BD205" s="51">
        <f t="shared" si="78"/>
        <v>0</v>
      </c>
      <c r="BE205" s="51">
        <v>0</v>
      </c>
      <c r="BF205" s="51">
        <f>205</f>
        <v>205</v>
      </c>
      <c r="BH205" s="51">
        <f t="shared" si="79"/>
        <v>0</v>
      </c>
      <c r="BI205" s="51">
        <f t="shared" si="80"/>
        <v>0</v>
      </c>
      <c r="BJ205" s="51">
        <f t="shared" si="81"/>
        <v>0</v>
      </c>
      <c r="BK205" s="51"/>
      <c r="BL205" s="51">
        <v>725</v>
      </c>
      <c r="BW205" s="51">
        <v>12</v>
      </c>
      <c r="BX205" s="3" t="s">
        <v>533</v>
      </c>
    </row>
    <row r="206" spans="1:76">
      <c r="A206" s="1" t="s">
        <v>534</v>
      </c>
      <c r="B206" s="2" t="s">
        <v>535</v>
      </c>
      <c r="C206" s="75" t="s">
        <v>536</v>
      </c>
      <c r="D206" s="70"/>
      <c r="E206" s="2" t="s">
        <v>114</v>
      </c>
      <c r="F206" s="51">
        <v>1</v>
      </c>
      <c r="G206" s="52">
        <v>0</v>
      </c>
      <c r="H206" s="51">
        <f t="shared" si="62"/>
        <v>0</v>
      </c>
      <c r="J206" s="41"/>
      <c r="Z206" s="51">
        <f t="shared" si="63"/>
        <v>0</v>
      </c>
      <c r="AB206" s="51">
        <f t="shared" si="64"/>
        <v>0</v>
      </c>
      <c r="AC206" s="51">
        <f t="shared" si="65"/>
        <v>0</v>
      </c>
      <c r="AD206" s="51">
        <f t="shared" si="66"/>
        <v>0</v>
      </c>
      <c r="AE206" s="51">
        <f t="shared" si="67"/>
        <v>0</v>
      </c>
      <c r="AF206" s="51">
        <f t="shared" si="68"/>
        <v>0</v>
      </c>
      <c r="AG206" s="51">
        <f t="shared" si="69"/>
        <v>0</v>
      </c>
      <c r="AH206" s="51">
        <f t="shared" si="70"/>
        <v>0</v>
      </c>
      <c r="AI206" s="35" t="s">
        <v>4</v>
      </c>
      <c r="AJ206" s="51">
        <f t="shared" si="71"/>
        <v>0</v>
      </c>
      <c r="AK206" s="51">
        <f t="shared" si="72"/>
        <v>0</v>
      </c>
      <c r="AL206" s="51">
        <f t="shared" si="73"/>
        <v>0</v>
      </c>
      <c r="AN206" s="51">
        <v>12</v>
      </c>
      <c r="AO206" s="51">
        <f>G206*1</f>
        <v>0</v>
      </c>
      <c r="AP206" s="51">
        <f>G206*(1-1)</f>
        <v>0</v>
      </c>
      <c r="AQ206" s="53" t="s">
        <v>148</v>
      </c>
      <c r="AV206" s="51">
        <f t="shared" si="74"/>
        <v>0</v>
      </c>
      <c r="AW206" s="51">
        <f t="shared" si="75"/>
        <v>0</v>
      </c>
      <c r="AX206" s="51">
        <f t="shared" si="76"/>
        <v>0</v>
      </c>
      <c r="AY206" s="53" t="s">
        <v>465</v>
      </c>
      <c r="AZ206" s="53" t="s">
        <v>387</v>
      </c>
      <c r="BA206" s="35" t="s">
        <v>117</v>
      </c>
      <c r="BC206" s="51">
        <f t="shared" si="77"/>
        <v>0</v>
      </c>
      <c r="BD206" s="51">
        <f t="shared" si="78"/>
        <v>0</v>
      </c>
      <c r="BE206" s="51">
        <v>0</v>
      </c>
      <c r="BF206" s="51">
        <f>206</f>
        <v>206</v>
      </c>
      <c r="BH206" s="51">
        <f t="shared" si="79"/>
        <v>0</v>
      </c>
      <c r="BI206" s="51">
        <f t="shared" si="80"/>
        <v>0</v>
      </c>
      <c r="BJ206" s="51">
        <f t="shared" si="81"/>
        <v>0</v>
      </c>
      <c r="BK206" s="51"/>
      <c r="BL206" s="51">
        <v>725</v>
      </c>
      <c r="BW206" s="51">
        <v>12</v>
      </c>
      <c r="BX206" s="3" t="s">
        <v>536</v>
      </c>
    </row>
    <row r="207" spans="1:76">
      <c r="A207" s="1" t="s">
        <v>537</v>
      </c>
      <c r="B207" s="2" t="s">
        <v>538</v>
      </c>
      <c r="C207" s="75" t="s">
        <v>539</v>
      </c>
      <c r="D207" s="70"/>
      <c r="E207" s="2" t="s">
        <v>114</v>
      </c>
      <c r="F207" s="51">
        <v>1</v>
      </c>
      <c r="G207" s="52">
        <v>0</v>
      </c>
      <c r="H207" s="51">
        <f t="shared" si="62"/>
        <v>0</v>
      </c>
      <c r="J207" s="41"/>
      <c r="Z207" s="51">
        <f t="shared" si="63"/>
        <v>0</v>
      </c>
      <c r="AB207" s="51">
        <f t="shared" si="64"/>
        <v>0</v>
      </c>
      <c r="AC207" s="51">
        <f t="shared" si="65"/>
        <v>0</v>
      </c>
      <c r="AD207" s="51">
        <f t="shared" si="66"/>
        <v>0</v>
      </c>
      <c r="AE207" s="51">
        <f t="shared" si="67"/>
        <v>0</v>
      </c>
      <c r="AF207" s="51">
        <f t="shared" si="68"/>
        <v>0</v>
      </c>
      <c r="AG207" s="51">
        <f t="shared" si="69"/>
        <v>0</v>
      </c>
      <c r="AH207" s="51">
        <f t="shared" si="70"/>
        <v>0</v>
      </c>
      <c r="AI207" s="35" t="s">
        <v>4</v>
      </c>
      <c r="AJ207" s="51">
        <f t="shared" si="71"/>
        <v>0</v>
      </c>
      <c r="AK207" s="51">
        <f t="shared" si="72"/>
        <v>0</v>
      </c>
      <c r="AL207" s="51">
        <f t="shared" si="73"/>
        <v>0</v>
      </c>
      <c r="AN207" s="51">
        <v>12</v>
      </c>
      <c r="AO207" s="51">
        <f>G207*1</f>
        <v>0</v>
      </c>
      <c r="AP207" s="51">
        <f>G207*(1-1)</f>
        <v>0</v>
      </c>
      <c r="AQ207" s="53" t="s">
        <v>148</v>
      </c>
      <c r="AV207" s="51">
        <f t="shared" si="74"/>
        <v>0</v>
      </c>
      <c r="AW207" s="51">
        <f t="shared" si="75"/>
        <v>0</v>
      </c>
      <c r="AX207" s="51">
        <f t="shared" si="76"/>
        <v>0</v>
      </c>
      <c r="AY207" s="53" t="s">
        <v>465</v>
      </c>
      <c r="AZ207" s="53" t="s">
        <v>387</v>
      </c>
      <c r="BA207" s="35" t="s">
        <v>117</v>
      </c>
      <c r="BC207" s="51">
        <f t="shared" si="77"/>
        <v>0</v>
      </c>
      <c r="BD207" s="51">
        <f t="shared" si="78"/>
        <v>0</v>
      </c>
      <c r="BE207" s="51">
        <v>0</v>
      </c>
      <c r="BF207" s="51">
        <f>207</f>
        <v>207</v>
      </c>
      <c r="BH207" s="51">
        <f t="shared" si="79"/>
        <v>0</v>
      </c>
      <c r="BI207" s="51">
        <f t="shared" si="80"/>
        <v>0</v>
      </c>
      <c r="BJ207" s="51">
        <f t="shared" si="81"/>
        <v>0</v>
      </c>
      <c r="BK207" s="51"/>
      <c r="BL207" s="51">
        <v>725</v>
      </c>
      <c r="BW207" s="51">
        <v>12</v>
      </c>
      <c r="BX207" s="3" t="s">
        <v>539</v>
      </c>
    </row>
    <row r="208" spans="1:76">
      <c r="A208" s="1" t="s">
        <v>540</v>
      </c>
      <c r="B208" s="2" t="s">
        <v>541</v>
      </c>
      <c r="C208" s="75" t="s">
        <v>542</v>
      </c>
      <c r="D208" s="70"/>
      <c r="E208" s="2" t="s">
        <v>318</v>
      </c>
      <c r="F208" s="51">
        <v>0.16400000000000001</v>
      </c>
      <c r="G208" s="52">
        <v>0</v>
      </c>
      <c r="H208" s="51">
        <f t="shared" si="62"/>
        <v>0</v>
      </c>
      <c r="J208" s="41"/>
      <c r="Z208" s="51">
        <f t="shared" si="63"/>
        <v>0</v>
      </c>
      <c r="AB208" s="51">
        <f t="shared" si="64"/>
        <v>0</v>
      </c>
      <c r="AC208" s="51">
        <f t="shared" si="65"/>
        <v>0</v>
      </c>
      <c r="AD208" s="51">
        <f t="shared" si="66"/>
        <v>0</v>
      </c>
      <c r="AE208" s="51">
        <f t="shared" si="67"/>
        <v>0</v>
      </c>
      <c r="AF208" s="51">
        <f t="shared" si="68"/>
        <v>0</v>
      </c>
      <c r="AG208" s="51">
        <f t="shared" si="69"/>
        <v>0</v>
      </c>
      <c r="AH208" s="51">
        <f t="shared" si="70"/>
        <v>0</v>
      </c>
      <c r="AI208" s="35" t="s">
        <v>4</v>
      </c>
      <c r="AJ208" s="51">
        <f t="shared" si="71"/>
        <v>0</v>
      </c>
      <c r="AK208" s="51">
        <f t="shared" si="72"/>
        <v>0</v>
      </c>
      <c r="AL208" s="51">
        <f t="shared" si="73"/>
        <v>0</v>
      </c>
      <c r="AN208" s="51">
        <v>12</v>
      </c>
      <c r="AO208" s="51">
        <f>G208*0</f>
        <v>0</v>
      </c>
      <c r="AP208" s="51">
        <f>G208*(1-0)</f>
        <v>0</v>
      </c>
      <c r="AQ208" s="53" t="s">
        <v>137</v>
      </c>
      <c r="AV208" s="51">
        <f t="shared" si="74"/>
        <v>0</v>
      </c>
      <c r="AW208" s="51">
        <f t="shared" si="75"/>
        <v>0</v>
      </c>
      <c r="AX208" s="51">
        <f t="shared" si="76"/>
        <v>0</v>
      </c>
      <c r="AY208" s="53" t="s">
        <v>465</v>
      </c>
      <c r="AZ208" s="53" t="s">
        <v>387</v>
      </c>
      <c r="BA208" s="35" t="s">
        <v>117</v>
      </c>
      <c r="BC208" s="51">
        <f t="shared" si="77"/>
        <v>0</v>
      </c>
      <c r="BD208" s="51">
        <f t="shared" si="78"/>
        <v>0</v>
      </c>
      <c r="BE208" s="51">
        <v>0</v>
      </c>
      <c r="BF208" s="51">
        <f>208</f>
        <v>208</v>
      </c>
      <c r="BH208" s="51">
        <f t="shared" si="79"/>
        <v>0</v>
      </c>
      <c r="BI208" s="51">
        <f t="shared" si="80"/>
        <v>0</v>
      </c>
      <c r="BJ208" s="51">
        <f t="shared" si="81"/>
        <v>0</v>
      </c>
      <c r="BK208" s="51"/>
      <c r="BL208" s="51">
        <v>725</v>
      </c>
      <c r="BW208" s="51">
        <v>12</v>
      </c>
      <c r="BX208" s="3" t="s">
        <v>542</v>
      </c>
    </row>
    <row r="209" spans="1:76">
      <c r="A209" s="47" t="s">
        <v>4</v>
      </c>
      <c r="B209" s="48" t="s">
        <v>543</v>
      </c>
      <c r="C209" s="150" t="s">
        <v>544</v>
      </c>
      <c r="D209" s="151"/>
      <c r="E209" s="49" t="s">
        <v>79</v>
      </c>
      <c r="F209" s="49" t="s">
        <v>79</v>
      </c>
      <c r="G209" s="50" t="s">
        <v>79</v>
      </c>
      <c r="H209" s="28">
        <f>SUM(H210:H211)</f>
        <v>0</v>
      </c>
      <c r="J209" s="41"/>
      <c r="AI209" s="35" t="s">
        <v>4</v>
      </c>
      <c r="AS209" s="28">
        <f>SUM(AJ210:AJ211)</f>
        <v>0</v>
      </c>
      <c r="AT209" s="28">
        <f>SUM(AK210:AK211)</f>
        <v>0</v>
      </c>
      <c r="AU209" s="28">
        <f>SUM(AL210:AL211)</f>
        <v>0</v>
      </c>
    </row>
    <row r="210" spans="1:76">
      <c r="A210" s="1" t="s">
        <v>545</v>
      </c>
      <c r="B210" s="2" t="s">
        <v>546</v>
      </c>
      <c r="C210" s="75" t="s">
        <v>547</v>
      </c>
      <c r="D210" s="70"/>
      <c r="E210" s="2" t="s">
        <v>270</v>
      </c>
      <c r="F210" s="51">
        <v>1</v>
      </c>
      <c r="G210" s="52">
        <v>0</v>
      </c>
      <c r="H210" s="51">
        <f>F210*G210</f>
        <v>0</v>
      </c>
      <c r="J210" s="41"/>
      <c r="Z210" s="51">
        <f>IF(AQ210="5",BJ210,0)</f>
        <v>0</v>
      </c>
      <c r="AB210" s="51">
        <f>IF(AQ210="1",BH210,0)</f>
        <v>0</v>
      </c>
      <c r="AC210" s="51">
        <f>IF(AQ210="1",BI210,0)</f>
        <v>0</v>
      </c>
      <c r="AD210" s="51">
        <f>IF(AQ210="7",BH210,0)</f>
        <v>0</v>
      </c>
      <c r="AE210" s="51">
        <f>IF(AQ210="7",BI210,0)</f>
        <v>0</v>
      </c>
      <c r="AF210" s="51">
        <f>IF(AQ210="2",BH210,0)</f>
        <v>0</v>
      </c>
      <c r="AG210" s="51">
        <f>IF(AQ210="2",BI210,0)</f>
        <v>0</v>
      </c>
      <c r="AH210" s="51">
        <f>IF(AQ210="0",BJ210,0)</f>
        <v>0</v>
      </c>
      <c r="AI210" s="35" t="s">
        <v>4</v>
      </c>
      <c r="AJ210" s="51">
        <f>IF(AN210=0,H210,0)</f>
        <v>0</v>
      </c>
      <c r="AK210" s="51">
        <f>IF(AN210=12,H210,0)</f>
        <v>0</v>
      </c>
      <c r="AL210" s="51">
        <f>IF(AN210=21,H210,0)</f>
        <v>0</v>
      </c>
      <c r="AN210" s="51">
        <v>12</v>
      </c>
      <c r="AO210" s="51">
        <f>G210*0.3452</f>
        <v>0</v>
      </c>
      <c r="AP210" s="51">
        <f>G210*(1-0.3452)</f>
        <v>0</v>
      </c>
      <c r="AQ210" s="53" t="s">
        <v>148</v>
      </c>
      <c r="AV210" s="51">
        <f>AW210+AX210</f>
        <v>0</v>
      </c>
      <c r="AW210" s="51">
        <f>F210*AO210</f>
        <v>0</v>
      </c>
      <c r="AX210" s="51">
        <f>F210*AP210</f>
        <v>0</v>
      </c>
      <c r="AY210" s="53" t="s">
        <v>548</v>
      </c>
      <c r="AZ210" s="53" t="s">
        <v>549</v>
      </c>
      <c r="BA210" s="35" t="s">
        <v>117</v>
      </c>
      <c r="BC210" s="51">
        <f>AW210+AX210</f>
        <v>0</v>
      </c>
      <c r="BD210" s="51">
        <f>G210/(100-BE210)*100</f>
        <v>0</v>
      </c>
      <c r="BE210" s="51">
        <v>0</v>
      </c>
      <c r="BF210" s="51">
        <f>210</f>
        <v>210</v>
      </c>
      <c r="BH210" s="51">
        <f>F210*AO210</f>
        <v>0</v>
      </c>
      <c r="BI210" s="51">
        <f>F210*AP210</f>
        <v>0</v>
      </c>
      <c r="BJ210" s="51">
        <f>F210*G210</f>
        <v>0</v>
      </c>
      <c r="BK210" s="51"/>
      <c r="BL210" s="51">
        <v>735</v>
      </c>
      <c r="BW210" s="51">
        <v>12</v>
      </c>
      <c r="BX210" s="3" t="s">
        <v>547</v>
      </c>
    </row>
    <row r="211" spans="1:76">
      <c r="A211" s="1" t="s">
        <v>550</v>
      </c>
      <c r="B211" s="2" t="s">
        <v>551</v>
      </c>
      <c r="C211" s="75" t="s">
        <v>552</v>
      </c>
      <c r="D211" s="70"/>
      <c r="E211" s="2" t="s">
        <v>259</v>
      </c>
      <c r="F211" s="51">
        <v>1</v>
      </c>
      <c r="G211" s="52">
        <v>0</v>
      </c>
      <c r="H211" s="51">
        <f>F211*G211</f>
        <v>0</v>
      </c>
      <c r="J211" s="41"/>
      <c r="Z211" s="51">
        <f>IF(AQ211="5",BJ211,0)</f>
        <v>0</v>
      </c>
      <c r="AB211" s="51">
        <f>IF(AQ211="1",BH211,0)</f>
        <v>0</v>
      </c>
      <c r="AC211" s="51">
        <f>IF(AQ211="1",BI211,0)</f>
        <v>0</v>
      </c>
      <c r="AD211" s="51">
        <f>IF(AQ211="7",BH211,0)</f>
        <v>0</v>
      </c>
      <c r="AE211" s="51">
        <f>IF(AQ211="7",BI211,0)</f>
        <v>0</v>
      </c>
      <c r="AF211" s="51">
        <f>IF(AQ211="2",BH211,0)</f>
        <v>0</v>
      </c>
      <c r="AG211" s="51">
        <f>IF(AQ211="2",BI211,0)</f>
        <v>0</v>
      </c>
      <c r="AH211" s="51">
        <f>IF(AQ211="0",BJ211,0)</f>
        <v>0</v>
      </c>
      <c r="AI211" s="35" t="s">
        <v>4</v>
      </c>
      <c r="AJ211" s="51">
        <f>IF(AN211=0,H211,0)</f>
        <v>0</v>
      </c>
      <c r="AK211" s="51">
        <f>IF(AN211=12,H211,0)</f>
        <v>0</v>
      </c>
      <c r="AL211" s="51">
        <f>IF(AN211=21,H211,0)</f>
        <v>0</v>
      </c>
      <c r="AN211" s="51">
        <v>12</v>
      </c>
      <c r="AO211" s="51">
        <f>G211*0.629222</f>
        <v>0</v>
      </c>
      <c r="AP211" s="51">
        <f>G211*(1-0.629222)</f>
        <v>0</v>
      </c>
      <c r="AQ211" s="53" t="s">
        <v>148</v>
      </c>
      <c r="AV211" s="51">
        <f>AW211+AX211</f>
        <v>0</v>
      </c>
      <c r="AW211" s="51">
        <f>F211*AO211</f>
        <v>0</v>
      </c>
      <c r="AX211" s="51">
        <f>F211*AP211</f>
        <v>0</v>
      </c>
      <c r="AY211" s="53" t="s">
        <v>548</v>
      </c>
      <c r="AZ211" s="53" t="s">
        <v>549</v>
      </c>
      <c r="BA211" s="35" t="s">
        <v>117</v>
      </c>
      <c r="BC211" s="51">
        <f>AW211+AX211</f>
        <v>0</v>
      </c>
      <c r="BD211" s="51">
        <f>G211/(100-BE211)*100</f>
        <v>0</v>
      </c>
      <c r="BE211" s="51">
        <v>0</v>
      </c>
      <c r="BF211" s="51">
        <f>211</f>
        <v>211</v>
      </c>
      <c r="BH211" s="51">
        <f>F211*AO211</f>
        <v>0</v>
      </c>
      <c r="BI211" s="51">
        <f>F211*AP211</f>
        <v>0</v>
      </c>
      <c r="BJ211" s="51">
        <f>F211*G211</f>
        <v>0</v>
      </c>
      <c r="BK211" s="51"/>
      <c r="BL211" s="51">
        <v>735</v>
      </c>
      <c r="BW211" s="51">
        <v>12</v>
      </c>
      <c r="BX211" s="3" t="s">
        <v>552</v>
      </c>
    </row>
    <row r="212" spans="1:76">
      <c r="A212" s="47" t="s">
        <v>4</v>
      </c>
      <c r="B212" s="48" t="s">
        <v>553</v>
      </c>
      <c r="C212" s="150" t="s">
        <v>554</v>
      </c>
      <c r="D212" s="151"/>
      <c r="E212" s="49" t="s">
        <v>79</v>
      </c>
      <c r="F212" s="49" t="s">
        <v>79</v>
      </c>
      <c r="G212" s="50" t="s">
        <v>79</v>
      </c>
      <c r="H212" s="28">
        <f>SUM(H213:H228)</f>
        <v>0</v>
      </c>
      <c r="J212" s="41"/>
      <c r="AI212" s="35" t="s">
        <v>4</v>
      </c>
      <c r="AS212" s="28">
        <f>SUM(AJ213:AJ228)</f>
        <v>0</v>
      </c>
      <c r="AT212" s="28">
        <f>SUM(AK213:AK228)</f>
        <v>0</v>
      </c>
      <c r="AU212" s="28">
        <f>SUM(AL213:AL228)</f>
        <v>0</v>
      </c>
    </row>
    <row r="213" spans="1:76">
      <c r="A213" s="1" t="s">
        <v>555</v>
      </c>
      <c r="B213" s="2" t="s">
        <v>556</v>
      </c>
      <c r="C213" s="75" t="s">
        <v>557</v>
      </c>
      <c r="D213" s="70"/>
      <c r="E213" s="2" t="s">
        <v>114</v>
      </c>
      <c r="F213" s="51">
        <v>4</v>
      </c>
      <c r="G213" s="52">
        <v>0</v>
      </c>
      <c r="H213" s="51">
        <f t="shared" ref="H213:H222" si="82">F213*G213</f>
        <v>0</v>
      </c>
      <c r="J213" s="41"/>
      <c r="Z213" s="51">
        <f t="shared" ref="Z213:Z222" si="83">IF(AQ213="5",BJ213,0)</f>
        <v>0</v>
      </c>
      <c r="AB213" s="51">
        <f t="shared" ref="AB213:AB222" si="84">IF(AQ213="1",BH213,0)</f>
        <v>0</v>
      </c>
      <c r="AC213" s="51">
        <f t="shared" ref="AC213:AC222" si="85">IF(AQ213="1",BI213,0)</f>
        <v>0</v>
      </c>
      <c r="AD213" s="51">
        <f t="shared" ref="AD213:AD222" si="86">IF(AQ213="7",BH213,0)</f>
        <v>0</v>
      </c>
      <c r="AE213" s="51">
        <f t="shared" ref="AE213:AE222" si="87">IF(AQ213="7",BI213,0)</f>
        <v>0</v>
      </c>
      <c r="AF213" s="51">
        <f t="shared" ref="AF213:AF222" si="88">IF(AQ213="2",BH213,0)</f>
        <v>0</v>
      </c>
      <c r="AG213" s="51">
        <f t="shared" ref="AG213:AG222" si="89">IF(AQ213="2",BI213,0)</f>
        <v>0</v>
      </c>
      <c r="AH213" s="51">
        <f t="shared" ref="AH213:AH222" si="90">IF(AQ213="0",BJ213,0)</f>
        <v>0</v>
      </c>
      <c r="AI213" s="35" t="s">
        <v>4</v>
      </c>
      <c r="AJ213" s="51">
        <f t="shared" ref="AJ213:AJ222" si="91">IF(AN213=0,H213,0)</f>
        <v>0</v>
      </c>
      <c r="AK213" s="51">
        <f t="shared" ref="AK213:AK222" si="92">IF(AN213=12,H213,0)</f>
        <v>0</v>
      </c>
      <c r="AL213" s="51">
        <f t="shared" ref="AL213:AL222" si="93">IF(AN213=21,H213,0)</f>
        <v>0</v>
      </c>
      <c r="AN213" s="51">
        <v>12</v>
      </c>
      <c r="AO213" s="51">
        <f t="shared" ref="AO213:AO221" si="94">G213*0</f>
        <v>0</v>
      </c>
      <c r="AP213" s="51">
        <f t="shared" ref="AP213:AP221" si="95">G213*(1-0)</f>
        <v>0</v>
      </c>
      <c r="AQ213" s="53" t="s">
        <v>148</v>
      </c>
      <c r="AV213" s="51">
        <f t="shared" ref="AV213:AV222" si="96">AW213+AX213</f>
        <v>0</v>
      </c>
      <c r="AW213" s="51">
        <f t="shared" ref="AW213:AW222" si="97">F213*AO213</f>
        <v>0</v>
      </c>
      <c r="AX213" s="51">
        <f t="shared" ref="AX213:AX222" si="98">F213*AP213</f>
        <v>0</v>
      </c>
      <c r="AY213" s="53" t="s">
        <v>558</v>
      </c>
      <c r="AZ213" s="53" t="s">
        <v>559</v>
      </c>
      <c r="BA213" s="35" t="s">
        <v>117</v>
      </c>
      <c r="BC213" s="51">
        <f t="shared" ref="BC213:BC222" si="99">AW213+AX213</f>
        <v>0</v>
      </c>
      <c r="BD213" s="51">
        <f t="shared" ref="BD213:BD222" si="100">G213/(100-BE213)*100</f>
        <v>0</v>
      </c>
      <c r="BE213" s="51">
        <v>0</v>
      </c>
      <c r="BF213" s="51">
        <f>213</f>
        <v>213</v>
      </c>
      <c r="BH213" s="51">
        <f t="shared" ref="BH213:BH222" si="101">F213*AO213</f>
        <v>0</v>
      </c>
      <c r="BI213" s="51">
        <f t="shared" ref="BI213:BI222" si="102">F213*AP213</f>
        <v>0</v>
      </c>
      <c r="BJ213" s="51">
        <f t="shared" ref="BJ213:BJ222" si="103">F213*G213</f>
        <v>0</v>
      </c>
      <c r="BK213" s="51"/>
      <c r="BL213" s="51">
        <v>766</v>
      </c>
      <c r="BW213" s="51">
        <v>12</v>
      </c>
      <c r="BX213" s="3" t="s">
        <v>557</v>
      </c>
    </row>
    <row r="214" spans="1:76">
      <c r="A214" s="1" t="s">
        <v>560</v>
      </c>
      <c r="B214" s="2" t="s">
        <v>561</v>
      </c>
      <c r="C214" s="75" t="s">
        <v>562</v>
      </c>
      <c r="D214" s="70"/>
      <c r="E214" s="2" t="s">
        <v>114</v>
      </c>
      <c r="F214" s="51">
        <v>1</v>
      </c>
      <c r="G214" s="52">
        <v>0</v>
      </c>
      <c r="H214" s="51">
        <f t="shared" si="82"/>
        <v>0</v>
      </c>
      <c r="J214" s="41"/>
      <c r="Z214" s="51">
        <f t="shared" si="83"/>
        <v>0</v>
      </c>
      <c r="AB214" s="51">
        <f t="shared" si="84"/>
        <v>0</v>
      </c>
      <c r="AC214" s="51">
        <f t="shared" si="85"/>
        <v>0</v>
      </c>
      <c r="AD214" s="51">
        <f t="shared" si="86"/>
        <v>0</v>
      </c>
      <c r="AE214" s="51">
        <f t="shared" si="87"/>
        <v>0</v>
      </c>
      <c r="AF214" s="51">
        <f t="shared" si="88"/>
        <v>0</v>
      </c>
      <c r="AG214" s="51">
        <f t="shared" si="89"/>
        <v>0</v>
      </c>
      <c r="AH214" s="51">
        <f t="shared" si="90"/>
        <v>0</v>
      </c>
      <c r="AI214" s="35" t="s">
        <v>4</v>
      </c>
      <c r="AJ214" s="51">
        <f t="shared" si="91"/>
        <v>0</v>
      </c>
      <c r="AK214" s="51">
        <f t="shared" si="92"/>
        <v>0</v>
      </c>
      <c r="AL214" s="51">
        <f t="shared" si="93"/>
        <v>0</v>
      </c>
      <c r="AN214" s="51">
        <v>12</v>
      </c>
      <c r="AO214" s="51">
        <f t="shared" si="94"/>
        <v>0</v>
      </c>
      <c r="AP214" s="51">
        <f t="shared" si="95"/>
        <v>0</v>
      </c>
      <c r="AQ214" s="53" t="s">
        <v>148</v>
      </c>
      <c r="AV214" s="51">
        <f t="shared" si="96"/>
        <v>0</v>
      </c>
      <c r="AW214" s="51">
        <f t="shared" si="97"/>
        <v>0</v>
      </c>
      <c r="AX214" s="51">
        <f t="shared" si="98"/>
        <v>0</v>
      </c>
      <c r="AY214" s="53" t="s">
        <v>558</v>
      </c>
      <c r="AZ214" s="53" t="s">
        <v>559</v>
      </c>
      <c r="BA214" s="35" t="s">
        <v>117</v>
      </c>
      <c r="BC214" s="51">
        <f t="shared" si="99"/>
        <v>0</v>
      </c>
      <c r="BD214" s="51">
        <f t="shared" si="100"/>
        <v>0</v>
      </c>
      <c r="BE214" s="51">
        <v>0</v>
      </c>
      <c r="BF214" s="51">
        <f>214</f>
        <v>214</v>
      </c>
      <c r="BH214" s="51">
        <f t="shared" si="101"/>
        <v>0</v>
      </c>
      <c r="BI214" s="51">
        <f t="shared" si="102"/>
        <v>0</v>
      </c>
      <c r="BJ214" s="51">
        <f t="shared" si="103"/>
        <v>0</v>
      </c>
      <c r="BK214" s="51"/>
      <c r="BL214" s="51">
        <v>766</v>
      </c>
      <c r="BW214" s="51">
        <v>12</v>
      </c>
      <c r="BX214" s="3" t="s">
        <v>562</v>
      </c>
    </row>
    <row r="215" spans="1:76">
      <c r="A215" s="1" t="s">
        <v>563</v>
      </c>
      <c r="B215" s="2" t="s">
        <v>564</v>
      </c>
      <c r="C215" s="75" t="s">
        <v>565</v>
      </c>
      <c r="D215" s="70"/>
      <c r="E215" s="2" t="s">
        <v>114</v>
      </c>
      <c r="F215" s="51">
        <v>1</v>
      </c>
      <c r="G215" s="52">
        <v>0</v>
      </c>
      <c r="H215" s="51">
        <f t="shared" si="82"/>
        <v>0</v>
      </c>
      <c r="J215" s="41"/>
      <c r="Z215" s="51">
        <f t="shared" si="83"/>
        <v>0</v>
      </c>
      <c r="AB215" s="51">
        <f t="shared" si="84"/>
        <v>0</v>
      </c>
      <c r="AC215" s="51">
        <f t="shared" si="85"/>
        <v>0</v>
      </c>
      <c r="AD215" s="51">
        <f t="shared" si="86"/>
        <v>0</v>
      </c>
      <c r="AE215" s="51">
        <f t="shared" si="87"/>
        <v>0</v>
      </c>
      <c r="AF215" s="51">
        <f t="shared" si="88"/>
        <v>0</v>
      </c>
      <c r="AG215" s="51">
        <f t="shared" si="89"/>
        <v>0</v>
      </c>
      <c r="AH215" s="51">
        <f t="shared" si="90"/>
        <v>0</v>
      </c>
      <c r="AI215" s="35" t="s">
        <v>4</v>
      </c>
      <c r="AJ215" s="51">
        <f t="shared" si="91"/>
        <v>0</v>
      </c>
      <c r="AK215" s="51">
        <f t="shared" si="92"/>
        <v>0</v>
      </c>
      <c r="AL215" s="51">
        <f t="shared" si="93"/>
        <v>0</v>
      </c>
      <c r="AN215" s="51">
        <v>12</v>
      </c>
      <c r="AO215" s="51">
        <f t="shared" si="94"/>
        <v>0</v>
      </c>
      <c r="AP215" s="51">
        <f t="shared" si="95"/>
        <v>0</v>
      </c>
      <c r="AQ215" s="53" t="s">
        <v>148</v>
      </c>
      <c r="AV215" s="51">
        <f t="shared" si="96"/>
        <v>0</v>
      </c>
      <c r="AW215" s="51">
        <f t="shared" si="97"/>
        <v>0</v>
      </c>
      <c r="AX215" s="51">
        <f t="shared" si="98"/>
        <v>0</v>
      </c>
      <c r="AY215" s="53" t="s">
        <v>558</v>
      </c>
      <c r="AZ215" s="53" t="s">
        <v>559</v>
      </c>
      <c r="BA215" s="35" t="s">
        <v>117</v>
      </c>
      <c r="BC215" s="51">
        <f t="shared" si="99"/>
        <v>0</v>
      </c>
      <c r="BD215" s="51">
        <f t="shared" si="100"/>
        <v>0</v>
      </c>
      <c r="BE215" s="51">
        <v>0</v>
      </c>
      <c r="BF215" s="51">
        <f>215</f>
        <v>215</v>
      </c>
      <c r="BH215" s="51">
        <f t="shared" si="101"/>
        <v>0</v>
      </c>
      <c r="BI215" s="51">
        <f t="shared" si="102"/>
        <v>0</v>
      </c>
      <c r="BJ215" s="51">
        <f t="shared" si="103"/>
        <v>0</v>
      </c>
      <c r="BK215" s="51"/>
      <c r="BL215" s="51">
        <v>766</v>
      </c>
      <c r="BW215" s="51">
        <v>12</v>
      </c>
      <c r="BX215" s="3" t="s">
        <v>565</v>
      </c>
    </row>
    <row r="216" spans="1:76">
      <c r="A216" s="1" t="s">
        <v>566</v>
      </c>
      <c r="B216" s="2" t="s">
        <v>567</v>
      </c>
      <c r="C216" s="75" t="s">
        <v>568</v>
      </c>
      <c r="D216" s="70"/>
      <c r="E216" s="2" t="s">
        <v>114</v>
      </c>
      <c r="F216" s="51">
        <v>1</v>
      </c>
      <c r="G216" s="52">
        <v>0</v>
      </c>
      <c r="H216" s="51">
        <f t="shared" si="82"/>
        <v>0</v>
      </c>
      <c r="J216" s="41"/>
      <c r="Z216" s="51">
        <f t="shared" si="83"/>
        <v>0</v>
      </c>
      <c r="AB216" s="51">
        <f t="shared" si="84"/>
        <v>0</v>
      </c>
      <c r="AC216" s="51">
        <f t="shared" si="85"/>
        <v>0</v>
      </c>
      <c r="AD216" s="51">
        <f t="shared" si="86"/>
        <v>0</v>
      </c>
      <c r="AE216" s="51">
        <f t="shared" si="87"/>
        <v>0</v>
      </c>
      <c r="AF216" s="51">
        <f t="shared" si="88"/>
        <v>0</v>
      </c>
      <c r="AG216" s="51">
        <f t="shared" si="89"/>
        <v>0</v>
      </c>
      <c r="AH216" s="51">
        <f t="shared" si="90"/>
        <v>0</v>
      </c>
      <c r="AI216" s="35" t="s">
        <v>4</v>
      </c>
      <c r="AJ216" s="51">
        <f t="shared" si="91"/>
        <v>0</v>
      </c>
      <c r="AK216" s="51">
        <f t="shared" si="92"/>
        <v>0</v>
      </c>
      <c r="AL216" s="51">
        <f t="shared" si="93"/>
        <v>0</v>
      </c>
      <c r="AN216" s="51">
        <v>12</v>
      </c>
      <c r="AO216" s="51">
        <f t="shared" si="94"/>
        <v>0</v>
      </c>
      <c r="AP216" s="51">
        <f t="shared" si="95"/>
        <v>0</v>
      </c>
      <c r="AQ216" s="53" t="s">
        <v>148</v>
      </c>
      <c r="AV216" s="51">
        <f t="shared" si="96"/>
        <v>0</v>
      </c>
      <c r="AW216" s="51">
        <f t="shared" si="97"/>
        <v>0</v>
      </c>
      <c r="AX216" s="51">
        <f t="shared" si="98"/>
        <v>0</v>
      </c>
      <c r="AY216" s="53" t="s">
        <v>558</v>
      </c>
      <c r="AZ216" s="53" t="s">
        <v>559</v>
      </c>
      <c r="BA216" s="35" t="s">
        <v>117</v>
      </c>
      <c r="BC216" s="51">
        <f t="shared" si="99"/>
        <v>0</v>
      </c>
      <c r="BD216" s="51">
        <f t="shared" si="100"/>
        <v>0</v>
      </c>
      <c r="BE216" s="51">
        <v>0</v>
      </c>
      <c r="BF216" s="51">
        <f>216</f>
        <v>216</v>
      </c>
      <c r="BH216" s="51">
        <f t="shared" si="101"/>
        <v>0</v>
      </c>
      <c r="BI216" s="51">
        <f t="shared" si="102"/>
        <v>0</v>
      </c>
      <c r="BJ216" s="51">
        <f t="shared" si="103"/>
        <v>0</v>
      </c>
      <c r="BK216" s="51"/>
      <c r="BL216" s="51">
        <v>766</v>
      </c>
      <c r="BW216" s="51">
        <v>12</v>
      </c>
      <c r="BX216" s="3" t="s">
        <v>568</v>
      </c>
    </row>
    <row r="217" spans="1:76">
      <c r="A217" s="1" t="s">
        <v>569</v>
      </c>
      <c r="B217" s="2" t="s">
        <v>570</v>
      </c>
      <c r="C217" s="75" t="s">
        <v>571</v>
      </c>
      <c r="D217" s="70"/>
      <c r="E217" s="2" t="s">
        <v>114</v>
      </c>
      <c r="F217" s="51">
        <v>3</v>
      </c>
      <c r="G217" s="52">
        <v>0</v>
      </c>
      <c r="H217" s="51">
        <f t="shared" si="82"/>
        <v>0</v>
      </c>
      <c r="J217" s="41"/>
      <c r="Z217" s="51">
        <f t="shared" si="83"/>
        <v>0</v>
      </c>
      <c r="AB217" s="51">
        <f t="shared" si="84"/>
        <v>0</v>
      </c>
      <c r="AC217" s="51">
        <f t="shared" si="85"/>
        <v>0</v>
      </c>
      <c r="AD217" s="51">
        <f t="shared" si="86"/>
        <v>0</v>
      </c>
      <c r="AE217" s="51">
        <f t="shared" si="87"/>
        <v>0</v>
      </c>
      <c r="AF217" s="51">
        <f t="shared" si="88"/>
        <v>0</v>
      </c>
      <c r="AG217" s="51">
        <f t="shared" si="89"/>
        <v>0</v>
      </c>
      <c r="AH217" s="51">
        <f t="shared" si="90"/>
        <v>0</v>
      </c>
      <c r="AI217" s="35" t="s">
        <v>4</v>
      </c>
      <c r="AJ217" s="51">
        <f t="shared" si="91"/>
        <v>0</v>
      </c>
      <c r="AK217" s="51">
        <f t="shared" si="92"/>
        <v>0</v>
      </c>
      <c r="AL217" s="51">
        <f t="shared" si="93"/>
        <v>0</v>
      </c>
      <c r="AN217" s="51">
        <v>12</v>
      </c>
      <c r="AO217" s="51">
        <f t="shared" si="94"/>
        <v>0</v>
      </c>
      <c r="AP217" s="51">
        <f t="shared" si="95"/>
        <v>0</v>
      </c>
      <c r="AQ217" s="53" t="s">
        <v>148</v>
      </c>
      <c r="AV217" s="51">
        <f t="shared" si="96"/>
        <v>0</v>
      </c>
      <c r="AW217" s="51">
        <f t="shared" si="97"/>
        <v>0</v>
      </c>
      <c r="AX217" s="51">
        <f t="shared" si="98"/>
        <v>0</v>
      </c>
      <c r="AY217" s="53" t="s">
        <v>558</v>
      </c>
      <c r="AZ217" s="53" t="s">
        <v>559</v>
      </c>
      <c r="BA217" s="35" t="s">
        <v>117</v>
      </c>
      <c r="BC217" s="51">
        <f t="shared" si="99"/>
        <v>0</v>
      </c>
      <c r="BD217" s="51">
        <f t="shared" si="100"/>
        <v>0</v>
      </c>
      <c r="BE217" s="51">
        <v>0</v>
      </c>
      <c r="BF217" s="51">
        <f>217</f>
        <v>217</v>
      </c>
      <c r="BH217" s="51">
        <f t="shared" si="101"/>
        <v>0</v>
      </c>
      <c r="BI217" s="51">
        <f t="shared" si="102"/>
        <v>0</v>
      </c>
      <c r="BJ217" s="51">
        <f t="shared" si="103"/>
        <v>0</v>
      </c>
      <c r="BK217" s="51"/>
      <c r="BL217" s="51">
        <v>766</v>
      </c>
      <c r="BW217" s="51">
        <v>12</v>
      </c>
      <c r="BX217" s="3" t="s">
        <v>571</v>
      </c>
    </row>
    <row r="218" spans="1:76">
      <c r="A218" s="1" t="s">
        <v>572</v>
      </c>
      <c r="B218" s="2" t="s">
        <v>573</v>
      </c>
      <c r="C218" s="75" t="s">
        <v>574</v>
      </c>
      <c r="D218" s="70"/>
      <c r="E218" s="2" t="s">
        <v>114</v>
      </c>
      <c r="F218" s="51">
        <v>1</v>
      </c>
      <c r="G218" s="52">
        <v>0</v>
      </c>
      <c r="H218" s="51">
        <f t="shared" si="82"/>
        <v>0</v>
      </c>
      <c r="J218" s="41"/>
      <c r="Z218" s="51">
        <f t="shared" si="83"/>
        <v>0</v>
      </c>
      <c r="AB218" s="51">
        <f t="shared" si="84"/>
        <v>0</v>
      </c>
      <c r="AC218" s="51">
        <f t="shared" si="85"/>
        <v>0</v>
      </c>
      <c r="AD218" s="51">
        <f t="shared" si="86"/>
        <v>0</v>
      </c>
      <c r="AE218" s="51">
        <f t="shared" si="87"/>
        <v>0</v>
      </c>
      <c r="AF218" s="51">
        <f t="shared" si="88"/>
        <v>0</v>
      </c>
      <c r="AG218" s="51">
        <f t="shared" si="89"/>
        <v>0</v>
      </c>
      <c r="AH218" s="51">
        <f t="shared" si="90"/>
        <v>0</v>
      </c>
      <c r="AI218" s="35" t="s">
        <v>4</v>
      </c>
      <c r="AJ218" s="51">
        <f t="shared" si="91"/>
        <v>0</v>
      </c>
      <c r="AK218" s="51">
        <f t="shared" si="92"/>
        <v>0</v>
      </c>
      <c r="AL218" s="51">
        <f t="shared" si="93"/>
        <v>0</v>
      </c>
      <c r="AN218" s="51">
        <v>12</v>
      </c>
      <c r="AO218" s="51">
        <f t="shared" si="94"/>
        <v>0</v>
      </c>
      <c r="AP218" s="51">
        <f t="shared" si="95"/>
        <v>0</v>
      </c>
      <c r="AQ218" s="53" t="s">
        <v>148</v>
      </c>
      <c r="AV218" s="51">
        <f t="shared" si="96"/>
        <v>0</v>
      </c>
      <c r="AW218" s="51">
        <f t="shared" si="97"/>
        <v>0</v>
      </c>
      <c r="AX218" s="51">
        <f t="shared" si="98"/>
        <v>0</v>
      </c>
      <c r="AY218" s="53" t="s">
        <v>558</v>
      </c>
      <c r="AZ218" s="53" t="s">
        <v>559</v>
      </c>
      <c r="BA218" s="35" t="s">
        <v>117</v>
      </c>
      <c r="BC218" s="51">
        <f t="shared" si="99"/>
        <v>0</v>
      </c>
      <c r="BD218" s="51">
        <f t="shared" si="100"/>
        <v>0</v>
      </c>
      <c r="BE218" s="51">
        <v>0</v>
      </c>
      <c r="BF218" s="51">
        <f>218</f>
        <v>218</v>
      </c>
      <c r="BH218" s="51">
        <f t="shared" si="101"/>
        <v>0</v>
      </c>
      <c r="BI218" s="51">
        <f t="shared" si="102"/>
        <v>0</v>
      </c>
      <c r="BJ218" s="51">
        <f t="shared" si="103"/>
        <v>0</v>
      </c>
      <c r="BK218" s="51"/>
      <c r="BL218" s="51">
        <v>766</v>
      </c>
      <c r="BW218" s="51">
        <v>12</v>
      </c>
      <c r="BX218" s="3" t="s">
        <v>574</v>
      </c>
    </row>
    <row r="219" spans="1:76">
      <c r="A219" s="1" t="s">
        <v>575</v>
      </c>
      <c r="B219" s="2" t="s">
        <v>576</v>
      </c>
      <c r="C219" s="75" t="s">
        <v>577</v>
      </c>
      <c r="D219" s="70"/>
      <c r="E219" s="2" t="s">
        <v>114</v>
      </c>
      <c r="F219" s="51">
        <v>1</v>
      </c>
      <c r="G219" s="52">
        <v>0</v>
      </c>
      <c r="H219" s="51">
        <f t="shared" si="82"/>
        <v>0</v>
      </c>
      <c r="J219" s="41"/>
      <c r="Z219" s="51">
        <f t="shared" si="83"/>
        <v>0</v>
      </c>
      <c r="AB219" s="51">
        <f t="shared" si="84"/>
        <v>0</v>
      </c>
      <c r="AC219" s="51">
        <f t="shared" si="85"/>
        <v>0</v>
      </c>
      <c r="AD219" s="51">
        <f t="shared" si="86"/>
        <v>0</v>
      </c>
      <c r="AE219" s="51">
        <f t="shared" si="87"/>
        <v>0</v>
      </c>
      <c r="AF219" s="51">
        <f t="shared" si="88"/>
        <v>0</v>
      </c>
      <c r="AG219" s="51">
        <f t="shared" si="89"/>
        <v>0</v>
      </c>
      <c r="AH219" s="51">
        <f t="shared" si="90"/>
        <v>0</v>
      </c>
      <c r="AI219" s="35" t="s">
        <v>4</v>
      </c>
      <c r="AJ219" s="51">
        <f t="shared" si="91"/>
        <v>0</v>
      </c>
      <c r="AK219" s="51">
        <f t="shared" si="92"/>
        <v>0</v>
      </c>
      <c r="AL219" s="51">
        <f t="shared" si="93"/>
        <v>0</v>
      </c>
      <c r="AN219" s="51">
        <v>12</v>
      </c>
      <c r="AO219" s="51">
        <f t="shared" si="94"/>
        <v>0</v>
      </c>
      <c r="AP219" s="51">
        <f t="shared" si="95"/>
        <v>0</v>
      </c>
      <c r="AQ219" s="53" t="s">
        <v>148</v>
      </c>
      <c r="AV219" s="51">
        <f t="shared" si="96"/>
        <v>0</v>
      </c>
      <c r="AW219" s="51">
        <f t="shared" si="97"/>
        <v>0</v>
      </c>
      <c r="AX219" s="51">
        <f t="shared" si="98"/>
        <v>0</v>
      </c>
      <c r="AY219" s="53" t="s">
        <v>558</v>
      </c>
      <c r="AZ219" s="53" t="s">
        <v>559</v>
      </c>
      <c r="BA219" s="35" t="s">
        <v>117</v>
      </c>
      <c r="BC219" s="51">
        <f t="shared" si="99"/>
        <v>0</v>
      </c>
      <c r="BD219" s="51">
        <f t="shared" si="100"/>
        <v>0</v>
      </c>
      <c r="BE219" s="51">
        <v>0</v>
      </c>
      <c r="BF219" s="51">
        <f>219</f>
        <v>219</v>
      </c>
      <c r="BH219" s="51">
        <f t="shared" si="101"/>
        <v>0</v>
      </c>
      <c r="BI219" s="51">
        <f t="shared" si="102"/>
        <v>0</v>
      </c>
      <c r="BJ219" s="51">
        <f t="shared" si="103"/>
        <v>0</v>
      </c>
      <c r="BK219" s="51"/>
      <c r="BL219" s="51">
        <v>766</v>
      </c>
      <c r="BW219" s="51">
        <v>12</v>
      </c>
      <c r="BX219" s="3" t="s">
        <v>577</v>
      </c>
    </row>
    <row r="220" spans="1:76">
      <c r="A220" s="1" t="s">
        <v>578</v>
      </c>
      <c r="B220" s="2" t="s">
        <v>579</v>
      </c>
      <c r="C220" s="75" t="s">
        <v>580</v>
      </c>
      <c r="D220" s="70"/>
      <c r="E220" s="2" t="s">
        <v>114</v>
      </c>
      <c r="F220" s="51">
        <v>1</v>
      </c>
      <c r="G220" s="52">
        <v>0</v>
      </c>
      <c r="H220" s="51">
        <f t="shared" si="82"/>
        <v>0</v>
      </c>
      <c r="J220" s="41"/>
      <c r="Z220" s="51">
        <f t="shared" si="83"/>
        <v>0</v>
      </c>
      <c r="AB220" s="51">
        <f t="shared" si="84"/>
        <v>0</v>
      </c>
      <c r="AC220" s="51">
        <f t="shared" si="85"/>
        <v>0</v>
      </c>
      <c r="AD220" s="51">
        <f t="shared" si="86"/>
        <v>0</v>
      </c>
      <c r="AE220" s="51">
        <f t="shared" si="87"/>
        <v>0</v>
      </c>
      <c r="AF220" s="51">
        <f t="shared" si="88"/>
        <v>0</v>
      </c>
      <c r="AG220" s="51">
        <f t="shared" si="89"/>
        <v>0</v>
      </c>
      <c r="AH220" s="51">
        <f t="shared" si="90"/>
        <v>0</v>
      </c>
      <c r="AI220" s="35" t="s">
        <v>4</v>
      </c>
      <c r="AJ220" s="51">
        <f t="shared" si="91"/>
        <v>0</v>
      </c>
      <c r="AK220" s="51">
        <f t="shared" si="92"/>
        <v>0</v>
      </c>
      <c r="AL220" s="51">
        <f t="shared" si="93"/>
        <v>0</v>
      </c>
      <c r="AN220" s="51">
        <v>12</v>
      </c>
      <c r="AO220" s="51">
        <f t="shared" si="94"/>
        <v>0</v>
      </c>
      <c r="AP220" s="51">
        <f t="shared" si="95"/>
        <v>0</v>
      </c>
      <c r="AQ220" s="53" t="s">
        <v>148</v>
      </c>
      <c r="AV220" s="51">
        <f t="shared" si="96"/>
        <v>0</v>
      </c>
      <c r="AW220" s="51">
        <f t="shared" si="97"/>
        <v>0</v>
      </c>
      <c r="AX220" s="51">
        <f t="shared" si="98"/>
        <v>0</v>
      </c>
      <c r="AY220" s="53" t="s">
        <v>558</v>
      </c>
      <c r="AZ220" s="53" t="s">
        <v>559</v>
      </c>
      <c r="BA220" s="35" t="s">
        <v>117</v>
      </c>
      <c r="BC220" s="51">
        <f t="shared" si="99"/>
        <v>0</v>
      </c>
      <c r="BD220" s="51">
        <f t="shared" si="100"/>
        <v>0</v>
      </c>
      <c r="BE220" s="51">
        <v>0</v>
      </c>
      <c r="BF220" s="51">
        <f>220</f>
        <v>220</v>
      </c>
      <c r="BH220" s="51">
        <f t="shared" si="101"/>
        <v>0</v>
      </c>
      <c r="BI220" s="51">
        <f t="shared" si="102"/>
        <v>0</v>
      </c>
      <c r="BJ220" s="51">
        <f t="shared" si="103"/>
        <v>0</v>
      </c>
      <c r="BK220" s="51"/>
      <c r="BL220" s="51">
        <v>766</v>
      </c>
      <c r="BW220" s="51">
        <v>12</v>
      </c>
      <c r="BX220" s="3" t="s">
        <v>580</v>
      </c>
    </row>
    <row r="221" spans="1:76">
      <c r="A221" s="1" t="s">
        <v>581</v>
      </c>
      <c r="B221" s="2" t="s">
        <v>582</v>
      </c>
      <c r="C221" s="75" t="s">
        <v>583</v>
      </c>
      <c r="D221" s="70"/>
      <c r="E221" s="2" t="s">
        <v>584</v>
      </c>
      <c r="F221" s="51">
        <v>2</v>
      </c>
      <c r="G221" s="52">
        <v>0</v>
      </c>
      <c r="H221" s="51">
        <f t="shared" si="82"/>
        <v>0</v>
      </c>
      <c r="J221" s="41"/>
      <c r="Z221" s="51">
        <f t="shared" si="83"/>
        <v>0</v>
      </c>
      <c r="AB221" s="51">
        <f t="shared" si="84"/>
        <v>0</v>
      </c>
      <c r="AC221" s="51">
        <f t="shared" si="85"/>
        <v>0</v>
      </c>
      <c r="AD221" s="51">
        <f t="shared" si="86"/>
        <v>0</v>
      </c>
      <c r="AE221" s="51">
        <f t="shared" si="87"/>
        <v>0</v>
      </c>
      <c r="AF221" s="51">
        <f t="shared" si="88"/>
        <v>0</v>
      </c>
      <c r="AG221" s="51">
        <f t="shared" si="89"/>
        <v>0</v>
      </c>
      <c r="AH221" s="51">
        <f t="shared" si="90"/>
        <v>0</v>
      </c>
      <c r="AI221" s="35" t="s">
        <v>4</v>
      </c>
      <c r="AJ221" s="51">
        <f t="shared" si="91"/>
        <v>0</v>
      </c>
      <c r="AK221" s="51">
        <f t="shared" si="92"/>
        <v>0</v>
      </c>
      <c r="AL221" s="51">
        <f t="shared" si="93"/>
        <v>0</v>
      </c>
      <c r="AN221" s="51">
        <v>12</v>
      </c>
      <c r="AO221" s="51">
        <f t="shared" si="94"/>
        <v>0</v>
      </c>
      <c r="AP221" s="51">
        <f t="shared" si="95"/>
        <v>0</v>
      </c>
      <c r="AQ221" s="53" t="s">
        <v>148</v>
      </c>
      <c r="AV221" s="51">
        <f t="shared" si="96"/>
        <v>0</v>
      </c>
      <c r="AW221" s="51">
        <f t="shared" si="97"/>
        <v>0</v>
      </c>
      <c r="AX221" s="51">
        <f t="shared" si="98"/>
        <v>0</v>
      </c>
      <c r="AY221" s="53" t="s">
        <v>558</v>
      </c>
      <c r="AZ221" s="53" t="s">
        <v>559</v>
      </c>
      <c r="BA221" s="35" t="s">
        <v>117</v>
      </c>
      <c r="BC221" s="51">
        <f t="shared" si="99"/>
        <v>0</v>
      </c>
      <c r="BD221" s="51">
        <f t="shared" si="100"/>
        <v>0</v>
      </c>
      <c r="BE221" s="51">
        <v>0</v>
      </c>
      <c r="BF221" s="51">
        <f>221</f>
        <v>221</v>
      </c>
      <c r="BH221" s="51">
        <f t="shared" si="101"/>
        <v>0</v>
      </c>
      <c r="BI221" s="51">
        <f t="shared" si="102"/>
        <v>0</v>
      </c>
      <c r="BJ221" s="51">
        <f t="shared" si="103"/>
        <v>0</v>
      </c>
      <c r="BK221" s="51"/>
      <c r="BL221" s="51">
        <v>766</v>
      </c>
      <c r="BW221" s="51">
        <v>12</v>
      </c>
      <c r="BX221" s="3" t="s">
        <v>583</v>
      </c>
    </row>
    <row r="222" spans="1:76">
      <c r="A222" s="1" t="s">
        <v>585</v>
      </c>
      <c r="B222" s="2" t="s">
        <v>586</v>
      </c>
      <c r="C222" s="75" t="s">
        <v>587</v>
      </c>
      <c r="D222" s="70"/>
      <c r="E222" s="2" t="s">
        <v>114</v>
      </c>
      <c r="F222" s="51">
        <v>1</v>
      </c>
      <c r="G222" s="52">
        <v>0</v>
      </c>
      <c r="H222" s="51">
        <f t="shared" si="82"/>
        <v>0</v>
      </c>
      <c r="J222" s="41"/>
      <c r="Z222" s="51">
        <f t="shared" si="83"/>
        <v>0</v>
      </c>
      <c r="AB222" s="51">
        <f t="shared" si="84"/>
        <v>0</v>
      </c>
      <c r="AC222" s="51">
        <f t="shared" si="85"/>
        <v>0</v>
      </c>
      <c r="AD222" s="51">
        <f t="shared" si="86"/>
        <v>0</v>
      </c>
      <c r="AE222" s="51">
        <f t="shared" si="87"/>
        <v>0</v>
      </c>
      <c r="AF222" s="51">
        <f t="shared" si="88"/>
        <v>0</v>
      </c>
      <c r="AG222" s="51">
        <f t="shared" si="89"/>
        <v>0</v>
      </c>
      <c r="AH222" s="51">
        <f t="shared" si="90"/>
        <v>0</v>
      </c>
      <c r="AI222" s="35" t="s">
        <v>4</v>
      </c>
      <c r="AJ222" s="51">
        <f t="shared" si="91"/>
        <v>0</v>
      </c>
      <c r="AK222" s="51">
        <f t="shared" si="92"/>
        <v>0</v>
      </c>
      <c r="AL222" s="51">
        <f t="shared" si="93"/>
        <v>0</v>
      </c>
      <c r="AN222" s="51">
        <v>12</v>
      </c>
      <c r="AO222" s="51">
        <f>G222*0.036979861</f>
        <v>0</v>
      </c>
      <c r="AP222" s="51">
        <f>G222*(1-0.036979861)</f>
        <v>0</v>
      </c>
      <c r="AQ222" s="53" t="s">
        <v>148</v>
      </c>
      <c r="AV222" s="51">
        <f t="shared" si="96"/>
        <v>0</v>
      </c>
      <c r="AW222" s="51">
        <f t="shared" si="97"/>
        <v>0</v>
      </c>
      <c r="AX222" s="51">
        <f t="shared" si="98"/>
        <v>0</v>
      </c>
      <c r="AY222" s="53" t="s">
        <v>558</v>
      </c>
      <c r="AZ222" s="53" t="s">
        <v>559</v>
      </c>
      <c r="BA222" s="35" t="s">
        <v>117</v>
      </c>
      <c r="BC222" s="51">
        <f t="shared" si="99"/>
        <v>0</v>
      </c>
      <c r="BD222" s="51">
        <f t="shared" si="100"/>
        <v>0</v>
      </c>
      <c r="BE222" s="51">
        <v>0</v>
      </c>
      <c r="BF222" s="51">
        <f>222</f>
        <v>222</v>
      </c>
      <c r="BH222" s="51">
        <f t="shared" si="101"/>
        <v>0</v>
      </c>
      <c r="BI222" s="51">
        <f t="shared" si="102"/>
        <v>0</v>
      </c>
      <c r="BJ222" s="51">
        <f t="shared" si="103"/>
        <v>0</v>
      </c>
      <c r="BK222" s="51"/>
      <c r="BL222" s="51">
        <v>766</v>
      </c>
      <c r="BW222" s="51">
        <v>12</v>
      </c>
      <c r="BX222" s="3" t="s">
        <v>587</v>
      </c>
    </row>
    <row r="223" spans="1:76">
      <c r="A223" s="54"/>
      <c r="C223" s="56" t="s">
        <v>111</v>
      </c>
      <c r="D223" s="57" t="s">
        <v>194</v>
      </c>
      <c r="F223" s="58">
        <v>1</v>
      </c>
      <c r="J223" s="41"/>
    </row>
    <row r="224" spans="1:76" ht="25.5">
      <c r="A224" s="1" t="s">
        <v>588</v>
      </c>
      <c r="B224" s="2" t="s">
        <v>589</v>
      </c>
      <c r="C224" s="75" t="s">
        <v>590</v>
      </c>
      <c r="D224" s="70"/>
      <c r="E224" s="2" t="s">
        <v>114</v>
      </c>
      <c r="F224" s="51">
        <v>2</v>
      </c>
      <c r="G224" s="52">
        <v>0</v>
      </c>
      <c r="H224" s="51">
        <f>F224*G224</f>
        <v>0</v>
      </c>
      <c r="J224" s="41"/>
      <c r="Z224" s="51">
        <f>IF(AQ224="5",BJ224,0)</f>
        <v>0</v>
      </c>
      <c r="AB224" s="51">
        <f>IF(AQ224="1",BH224,0)</f>
        <v>0</v>
      </c>
      <c r="AC224" s="51">
        <f>IF(AQ224="1",BI224,0)</f>
        <v>0</v>
      </c>
      <c r="AD224" s="51">
        <f>IF(AQ224="7",BH224,0)</f>
        <v>0</v>
      </c>
      <c r="AE224" s="51">
        <f>IF(AQ224="7",BI224,0)</f>
        <v>0</v>
      </c>
      <c r="AF224" s="51">
        <f>IF(AQ224="2",BH224,0)</f>
        <v>0</v>
      </c>
      <c r="AG224" s="51">
        <f>IF(AQ224="2",BI224,0)</f>
        <v>0</v>
      </c>
      <c r="AH224" s="51">
        <f>IF(AQ224="0",BJ224,0)</f>
        <v>0</v>
      </c>
      <c r="AI224" s="35" t="s">
        <v>4</v>
      </c>
      <c r="AJ224" s="51">
        <f>IF(AN224=0,H224,0)</f>
        <v>0</v>
      </c>
      <c r="AK224" s="51">
        <f>IF(AN224=12,H224,0)</f>
        <v>0</v>
      </c>
      <c r="AL224" s="51">
        <f>IF(AN224=21,H224,0)</f>
        <v>0</v>
      </c>
      <c r="AN224" s="51">
        <v>12</v>
      </c>
      <c r="AO224" s="51">
        <f>G224*1</f>
        <v>0</v>
      </c>
      <c r="AP224" s="51">
        <f>G224*(1-1)</f>
        <v>0</v>
      </c>
      <c r="AQ224" s="53" t="s">
        <v>148</v>
      </c>
      <c r="AV224" s="51">
        <f>AW224+AX224</f>
        <v>0</v>
      </c>
      <c r="AW224" s="51">
        <f>F224*AO224</f>
        <v>0</v>
      </c>
      <c r="AX224" s="51">
        <f>F224*AP224</f>
        <v>0</v>
      </c>
      <c r="AY224" s="53" t="s">
        <v>558</v>
      </c>
      <c r="AZ224" s="53" t="s">
        <v>559</v>
      </c>
      <c r="BA224" s="35" t="s">
        <v>117</v>
      </c>
      <c r="BC224" s="51">
        <f>AW224+AX224</f>
        <v>0</v>
      </c>
      <c r="BD224" s="51">
        <f>G224/(100-BE224)*100</f>
        <v>0</v>
      </c>
      <c r="BE224" s="51">
        <v>0</v>
      </c>
      <c r="BF224" s="51">
        <f>224</f>
        <v>224</v>
      </c>
      <c r="BH224" s="51">
        <f>F224*AO224</f>
        <v>0</v>
      </c>
      <c r="BI224" s="51">
        <f>F224*AP224</f>
        <v>0</v>
      </c>
      <c r="BJ224" s="51">
        <f>F224*G224</f>
        <v>0</v>
      </c>
      <c r="BK224" s="51"/>
      <c r="BL224" s="51">
        <v>766</v>
      </c>
      <c r="BW224" s="51">
        <v>12</v>
      </c>
      <c r="BX224" s="3" t="s">
        <v>590</v>
      </c>
    </row>
    <row r="225" spans="1:76" ht="25.5">
      <c r="A225" s="1" t="s">
        <v>591</v>
      </c>
      <c r="B225" s="2" t="s">
        <v>592</v>
      </c>
      <c r="C225" s="75" t="s">
        <v>593</v>
      </c>
      <c r="D225" s="70"/>
      <c r="E225" s="2" t="s">
        <v>114</v>
      </c>
      <c r="F225" s="51">
        <v>1</v>
      </c>
      <c r="G225" s="52">
        <v>0</v>
      </c>
      <c r="H225" s="51">
        <f>F225*G225</f>
        <v>0</v>
      </c>
      <c r="J225" s="41"/>
      <c r="Z225" s="51">
        <f>IF(AQ225="5",BJ225,0)</f>
        <v>0</v>
      </c>
      <c r="AB225" s="51">
        <f>IF(AQ225="1",BH225,0)</f>
        <v>0</v>
      </c>
      <c r="AC225" s="51">
        <f>IF(AQ225="1",BI225,0)</f>
        <v>0</v>
      </c>
      <c r="AD225" s="51">
        <f>IF(AQ225="7",BH225,0)</f>
        <v>0</v>
      </c>
      <c r="AE225" s="51">
        <f>IF(AQ225="7",BI225,0)</f>
        <v>0</v>
      </c>
      <c r="AF225" s="51">
        <f>IF(AQ225="2",BH225,0)</f>
        <v>0</v>
      </c>
      <c r="AG225" s="51">
        <f>IF(AQ225="2",BI225,0)</f>
        <v>0</v>
      </c>
      <c r="AH225" s="51">
        <f>IF(AQ225="0",BJ225,0)</f>
        <v>0</v>
      </c>
      <c r="AI225" s="35" t="s">
        <v>4</v>
      </c>
      <c r="AJ225" s="51">
        <f>IF(AN225=0,H225,0)</f>
        <v>0</v>
      </c>
      <c r="AK225" s="51">
        <f>IF(AN225=12,H225,0)</f>
        <v>0</v>
      </c>
      <c r="AL225" s="51">
        <f>IF(AN225=21,H225,0)</f>
        <v>0</v>
      </c>
      <c r="AN225" s="51">
        <v>12</v>
      </c>
      <c r="AO225" s="51">
        <f>G225*1</f>
        <v>0</v>
      </c>
      <c r="AP225" s="51">
        <f>G225*(1-1)</f>
        <v>0</v>
      </c>
      <c r="AQ225" s="53" t="s">
        <v>148</v>
      </c>
      <c r="AV225" s="51">
        <f>AW225+AX225</f>
        <v>0</v>
      </c>
      <c r="AW225" s="51">
        <f>F225*AO225</f>
        <v>0</v>
      </c>
      <c r="AX225" s="51">
        <f>F225*AP225</f>
        <v>0</v>
      </c>
      <c r="AY225" s="53" t="s">
        <v>558</v>
      </c>
      <c r="AZ225" s="53" t="s">
        <v>559</v>
      </c>
      <c r="BA225" s="35" t="s">
        <v>117</v>
      </c>
      <c r="BC225" s="51">
        <f>AW225+AX225</f>
        <v>0</v>
      </c>
      <c r="BD225" s="51">
        <f>G225/(100-BE225)*100</f>
        <v>0</v>
      </c>
      <c r="BE225" s="51">
        <v>0</v>
      </c>
      <c r="BF225" s="51">
        <f>225</f>
        <v>225</v>
      </c>
      <c r="BH225" s="51">
        <f>F225*AO225</f>
        <v>0</v>
      </c>
      <c r="BI225" s="51">
        <f>F225*AP225</f>
        <v>0</v>
      </c>
      <c r="BJ225" s="51">
        <f>F225*G225</f>
        <v>0</v>
      </c>
      <c r="BK225" s="51"/>
      <c r="BL225" s="51">
        <v>766</v>
      </c>
      <c r="BW225" s="51">
        <v>12</v>
      </c>
      <c r="BX225" s="3" t="s">
        <v>593</v>
      </c>
    </row>
    <row r="226" spans="1:76" ht="25.5">
      <c r="A226" s="1" t="s">
        <v>594</v>
      </c>
      <c r="B226" s="2" t="s">
        <v>595</v>
      </c>
      <c r="C226" s="75" t="s">
        <v>596</v>
      </c>
      <c r="D226" s="70"/>
      <c r="E226" s="2" t="s">
        <v>114</v>
      </c>
      <c r="F226" s="51">
        <v>1</v>
      </c>
      <c r="G226" s="52">
        <v>0</v>
      </c>
      <c r="H226" s="51">
        <f>F226*G226</f>
        <v>0</v>
      </c>
      <c r="J226" s="41"/>
      <c r="Z226" s="51">
        <f>IF(AQ226="5",BJ226,0)</f>
        <v>0</v>
      </c>
      <c r="AB226" s="51">
        <f>IF(AQ226="1",BH226,0)</f>
        <v>0</v>
      </c>
      <c r="AC226" s="51">
        <f>IF(AQ226="1",BI226,0)</f>
        <v>0</v>
      </c>
      <c r="AD226" s="51">
        <f>IF(AQ226="7",BH226,0)</f>
        <v>0</v>
      </c>
      <c r="AE226" s="51">
        <f>IF(AQ226="7",BI226,0)</f>
        <v>0</v>
      </c>
      <c r="AF226" s="51">
        <f>IF(AQ226="2",BH226,0)</f>
        <v>0</v>
      </c>
      <c r="AG226" s="51">
        <f>IF(AQ226="2",BI226,0)</f>
        <v>0</v>
      </c>
      <c r="AH226" s="51">
        <f>IF(AQ226="0",BJ226,0)</f>
        <v>0</v>
      </c>
      <c r="AI226" s="35" t="s">
        <v>4</v>
      </c>
      <c r="AJ226" s="51">
        <f>IF(AN226=0,H226,0)</f>
        <v>0</v>
      </c>
      <c r="AK226" s="51">
        <f>IF(AN226=12,H226,0)</f>
        <v>0</v>
      </c>
      <c r="AL226" s="51">
        <f>IF(AN226=21,H226,0)</f>
        <v>0</v>
      </c>
      <c r="AN226" s="51">
        <v>12</v>
      </c>
      <c r="AO226" s="51">
        <f>G226*1</f>
        <v>0</v>
      </c>
      <c r="AP226" s="51">
        <f>G226*(1-1)</f>
        <v>0</v>
      </c>
      <c r="AQ226" s="53" t="s">
        <v>148</v>
      </c>
      <c r="AV226" s="51">
        <f>AW226+AX226</f>
        <v>0</v>
      </c>
      <c r="AW226" s="51">
        <f>F226*AO226</f>
        <v>0</v>
      </c>
      <c r="AX226" s="51">
        <f>F226*AP226</f>
        <v>0</v>
      </c>
      <c r="AY226" s="53" t="s">
        <v>558</v>
      </c>
      <c r="AZ226" s="53" t="s">
        <v>559</v>
      </c>
      <c r="BA226" s="35" t="s">
        <v>117</v>
      </c>
      <c r="BC226" s="51">
        <f>AW226+AX226</f>
        <v>0</v>
      </c>
      <c r="BD226" s="51">
        <f>G226/(100-BE226)*100</f>
        <v>0</v>
      </c>
      <c r="BE226" s="51">
        <v>0</v>
      </c>
      <c r="BF226" s="51">
        <f>226</f>
        <v>226</v>
      </c>
      <c r="BH226" s="51">
        <f>F226*AO226</f>
        <v>0</v>
      </c>
      <c r="BI226" s="51">
        <f>F226*AP226</f>
        <v>0</v>
      </c>
      <c r="BJ226" s="51">
        <f>F226*G226</f>
        <v>0</v>
      </c>
      <c r="BK226" s="51"/>
      <c r="BL226" s="51">
        <v>766</v>
      </c>
      <c r="BW226" s="51">
        <v>12</v>
      </c>
      <c r="BX226" s="3" t="s">
        <v>596</v>
      </c>
    </row>
    <row r="227" spans="1:76">
      <c r="A227" s="1" t="s">
        <v>597</v>
      </c>
      <c r="B227" s="2" t="s">
        <v>598</v>
      </c>
      <c r="C227" s="75" t="s">
        <v>599</v>
      </c>
      <c r="D227" s="70"/>
      <c r="E227" s="2" t="s">
        <v>114</v>
      </c>
      <c r="F227" s="51">
        <v>1</v>
      </c>
      <c r="G227" s="52">
        <v>0</v>
      </c>
      <c r="H227" s="51">
        <f>F227*G227</f>
        <v>0</v>
      </c>
      <c r="J227" s="41"/>
      <c r="Z227" s="51">
        <f>IF(AQ227="5",BJ227,0)</f>
        <v>0</v>
      </c>
      <c r="AB227" s="51">
        <f>IF(AQ227="1",BH227,0)</f>
        <v>0</v>
      </c>
      <c r="AC227" s="51">
        <f>IF(AQ227="1",BI227,0)</f>
        <v>0</v>
      </c>
      <c r="AD227" s="51">
        <f>IF(AQ227="7",BH227,0)</f>
        <v>0</v>
      </c>
      <c r="AE227" s="51">
        <f>IF(AQ227="7",BI227,0)</f>
        <v>0</v>
      </c>
      <c r="AF227" s="51">
        <f>IF(AQ227="2",BH227,0)</f>
        <v>0</v>
      </c>
      <c r="AG227" s="51">
        <f>IF(AQ227="2",BI227,0)</f>
        <v>0</v>
      </c>
      <c r="AH227" s="51">
        <f>IF(AQ227="0",BJ227,0)</f>
        <v>0</v>
      </c>
      <c r="AI227" s="35" t="s">
        <v>4</v>
      </c>
      <c r="AJ227" s="51">
        <f>IF(AN227=0,H227,0)</f>
        <v>0</v>
      </c>
      <c r="AK227" s="51">
        <f>IF(AN227=12,H227,0)</f>
        <v>0</v>
      </c>
      <c r="AL227" s="51">
        <f>IF(AN227=21,H227,0)</f>
        <v>0</v>
      </c>
      <c r="AN227" s="51">
        <v>12</v>
      </c>
      <c r="AO227" s="51">
        <f>G227*1</f>
        <v>0</v>
      </c>
      <c r="AP227" s="51">
        <f>G227*(1-1)</f>
        <v>0</v>
      </c>
      <c r="AQ227" s="53" t="s">
        <v>148</v>
      </c>
      <c r="AV227" s="51">
        <f>AW227+AX227</f>
        <v>0</v>
      </c>
      <c r="AW227" s="51">
        <f>F227*AO227</f>
        <v>0</v>
      </c>
      <c r="AX227" s="51">
        <f>F227*AP227</f>
        <v>0</v>
      </c>
      <c r="AY227" s="53" t="s">
        <v>558</v>
      </c>
      <c r="AZ227" s="53" t="s">
        <v>559</v>
      </c>
      <c r="BA227" s="35" t="s">
        <v>117</v>
      </c>
      <c r="BC227" s="51">
        <f>AW227+AX227</f>
        <v>0</v>
      </c>
      <c r="BD227" s="51">
        <f>G227/(100-BE227)*100</f>
        <v>0</v>
      </c>
      <c r="BE227" s="51">
        <v>0</v>
      </c>
      <c r="BF227" s="51">
        <f>227</f>
        <v>227</v>
      </c>
      <c r="BH227" s="51">
        <f>F227*AO227</f>
        <v>0</v>
      </c>
      <c r="BI227" s="51">
        <f>F227*AP227</f>
        <v>0</v>
      </c>
      <c r="BJ227" s="51">
        <f>F227*G227</f>
        <v>0</v>
      </c>
      <c r="BK227" s="51"/>
      <c r="BL227" s="51">
        <v>766</v>
      </c>
      <c r="BW227" s="51">
        <v>12</v>
      </c>
      <c r="BX227" s="3" t="s">
        <v>599</v>
      </c>
    </row>
    <row r="228" spans="1:76">
      <c r="A228" s="1" t="s">
        <v>600</v>
      </c>
      <c r="B228" s="2" t="s">
        <v>601</v>
      </c>
      <c r="C228" s="75" t="s">
        <v>602</v>
      </c>
      <c r="D228" s="70"/>
      <c r="E228" s="2" t="s">
        <v>318</v>
      </c>
      <c r="F228" s="51">
        <v>0.56100000000000005</v>
      </c>
      <c r="G228" s="52">
        <v>0</v>
      </c>
      <c r="H228" s="51">
        <f>F228*G228</f>
        <v>0</v>
      </c>
      <c r="J228" s="41"/>
      <c r="Z228" s="51">
        <f>IF(AQ228="5",BJ228,0)</f>
        <v>0</v>
      </c>
      <c r="AB228" s="51">
        <f>IF(AQ228="1",BH228,0)</f>
        <v>0</v>
      </c>
      <c r="AC228" s="51">
        <f>IF(AQ228="1",BI228,0)</f>
        <v>0</v>
      </c>
      <c r="AD228" s="51">
        <f>IF(AQ228="7",BH228,0)</f>
        <v>0</v>
      </c>
      <c r="AE228" s="51">
        <f>IF(AQ228="7",BI228,0)</f>
        <v>0</v>
      </c>
      <c r="AF228" s="51">
        <f>IF(AQ228="2",BH228,0)</f>
        <v>0</v>
      </c>
      <c r="AG228" s="51">
        <f>IF(AQ228="2",BI228,0)</f>
        <v>0</v>
      </c>
      <c r="AH228" s="51">
        <f>IF(AQ228="0",BJ228,0)</f>
        <v>0</v>
      </c>
      <c r="AI228" s="35" t="s">
        <v>4</v>
      </c>
      <c r="AJ228" s="51">
        <f>IF(AN228=0,H228,0)</f>
        <v>0</v>
      </c>
      <c r="AK228" s="51">
        <f>IF(AN228=12,H228,0)</f>
        <v>0</v>
      </c>
      <c r="AL228" s="51">
        <f>IF(AN228=21,H228,0)</f>
        <v>0</v>
      </c>
      <c r="AN228" s="51">
        <v>12</v>
      </c>
      <c r="AO228" s="51">
        <f>G228*0</f>
        <v>0</v>
      </c>
      <c r="AP228" s="51">
        <f>G228*(1-0)</f>
        <v>0</v>
      </c>
      <c r="AQ228" s="53" t="s">
        <v>137</v>
      </c>
      <c r="AV228" s="51">
        <f>AW228+AX228</f>
        <v>0</v>
      </c>
      <c r="AW228" s="51">
        <f>F228*AO228</f>
        <v>0</v>
      </c>
      <c r="AX228" s="51">
        <f>F228*AP228</f>
        <v>0</v>
      </c>
      <c r="AY228" s="53" t="s">
        <v>558</v>
      </c>
      <c r="AZ228" s="53" t="s">
        <v>559</v>
      </c>
      <c r="BA228" s="35" t="s">
        <v>117</v>
      </c>
      <c r="BC228" s="51">
        <f>AW228+AX228</f>
        <v>0</v>
      </c>
      <c r="BD228" s="51">
        <f>G228/(100-BE228)*100</f>
        <v>0</v>
      </c>
      <c r="BE228" s="51">
        <v>0</v>
      </c>
      <c r="BF228" s="51">
        <f>228</f>
        <v>228</v>
      </c>
      <c r="BH228" s="51">
        <f>F228*AO228</f>
        <v>0</v>
      </c>
      <c r="BI228" s="51">
        <f>F228*AP228</f>
        <v>0</v>
      </c>
      <c r="BJ228" s="51">
        <f>F228*G228</f>
        <v>0</v>
      </c>
      <c r="BK228" s="51"/>
      <c r="BL228" s="51">
        <v>766</v>
      </c>
      <c r="BW228" s="51">
        <v>12</v>
      </c>
      <c r="BX228" s="3" t="s">
        <v>602</v>
      </c>
    </row>
    <row r="229" spans="1:76">
      <c r="A229" s="47" t="s">
        <v>4</v>
      </c>
      <c r="B229" s="48" t="s">
        <v>603</v>
      </c>
      <c r="C229" s="150" t="s">
        <v>604</v>
      </c>
      <c r="D229" s="151"/>
      <c r="E229" s="49" t="s">
        <v>79</v>
      </c>
      <c r="F229" s="49" t="s">
        <v>79</v>
      </c>
      <c r="G229" s="50" t="s">
        <v>79</v>
      </c>
      <c r="H229" s="28">
        <f>SUM(H230:H239)</f>
        <v>0</v>
      </c>
      <c r="J229" s="41"/>
      <c r="AI229" s="35" t="s">
        <v>4</v>
      </c>
      <c r="AS229" s="28">
        <f>SUM(AJ230:AJ239)</f>
        <v>0</v>
      </c>
      <c r="AT229" s="28">
        <f>SUM(AK230:AK239)</f>
        <v>0</v>
      </c>
      <c r="AU229" s="28">
        <f>SUM(AL230:AL239)</f>
        <v>0</v>
      </c>
    </row>
    <row r="230" spans="1:76">
      <c r="A230" s="1" t="s">
        <v>605</v>
      </c>
      <c r="B230" s="2" t="s">
        <v>606</v>
      </c>
      <c r="C230" s="75" t="s">
        <v>607</v>
      </c>
      <c r="D230" s="70"/>
      <c r="E230" s="2" t="s">
        <v>124</v>
      </c>
      <c r="F230" s="51">
        <v>2.6</v>
      </c>
      <c r="G230" s="52">
        <v>0</v>
      </c>
      <c r="H230" s="51">
        <f>F230*G230</f>
        <v>0</v>
      </c>
      <c r="J230" s="41"/>
      <c r="Z230" s="51">
        <f>IF(AQ230="5",BJ230,0)</f>
        <v>0</v>
      </c>
      <c r="AB230" s="51">
        <f>IF(AQ230="1",BH230,0)</f>
        <v>0</v>
      </c>
      <c r="AC230" s="51">
        <f>IF(AQ230="1",BI230,0)</f>
        <v>0</v>
      </c>
      <c r="AD230" s="51">
        <f>IF(AQ230="7",BH230,0)</f>
        <v>0</v>
      </c>
      <c r="AE230" s="51">
        <f>IF(AQ230="7",BI230,0)</f>
        <v>0</v>
      </c>
      <c r="AF230" s="51">
        <f>IF(AQ230="2",BH230,0)</f>
        <v>0</v>
      </c>
      <c r="AG230" s="51">
        <f>IF(AQ230="2",BI230,0)</f>
        <v>0</v>
      </c>
      <c r="AH230" s="51">
        <f>IF(AQ230="0",BJ230,0)</f>
        <v>0</v>
      </c>
      <c r="AI230" s="35" t="s">
        <v>4</v>
      </c>
      <c r="AJ230" s="51">
        <f>IF(AN230=0,H230,0)</f>
        <v>0</v>
      </c>
      <c r="AK230" s="51">
        <f>IF(AN230=12,H230,0)</f>
        <v>0</v>
      </c>
      <c r="AL230" s="51">
        <f>IF(AN230=21,H230,0)</f>
        <v>0</v>
      </c>
      <c r="AN230" s="51">
        <v>12</v>
      </c>
      <c r="AO230" s="51">
        <f>G230*0.472426471</f>
        <v>0</v>
      </c>
      <c r="AP230" s="51">
        <f>G230*(1-0.472426471)</f>
        <v>0</v>
      </c>
      <c r="AQ230" s="53" t="s">
        <v>148</v>
      </c>
      <c r="AV230" s="51">
        <f>AW230+AX230</f>
        <v>0</v>
      </c>
      <c r="AW230" s="51">
        <f>F230*AO230</f>
        <v>0</v>
      </c>
      <c r="AX230" s="51">
        <f>F230*AP230</f>
        <v>0</v>
      </c>
      <c r="AY230" s="53" t="s">
        <v>608</v>
      </c>
      <c r="AZ230" s="53" t="s">
        <v>609</v>
      </c>
      <c r="BA230" s="35" t="s">
        <v>117</v>
      </c>
      <c r="BC230" s="51">
        <f>AW230+AX230</f>
        <v>0</v>
      </c>
      <c r="BD230" s="51">
        <f>G230/(100-BE230)*100</f>
        <v>0</v>
      </c>
      <c r="BE230" s="51">
        <v>0</v>
      </c>
      <c r="BF230" s="51">
        <f>230</f>
        <v>230</v>
      </c>
      <c r="BH230" s="51">
        <f>F230*AO230</f>
        <v>0</v>
      </c>
      <c r="BI230" s="51">
        <f>F230*AP230</f>
        <v>0</v>
      </c>
      <c r="BJ230" s="51">
        <f>F230*G230</f>
        <v>0</v>
      </c>
      <c r="BK230" s="51"/>
      <c r="BL230" s="51">
        <v>771</v>
      </c>
      <c r="BW230" s="51">
        <v>12</v>
      </c>
      <c r="BX230" s="3" t="s">
        <v>607</v>
      </c>
    </row>
    <row r="231" spans="1:76">
      <c r="A231" s="1" t="s">
        <v>610</v>
      </c>
      <c r="B231" s="2" t="s">
        <v>611</v>
      </c>
      <c r="C231" s="75" t="s">
        <v>612</v>
      </c>
      <c r="D231" s="70"/>
      <c r="E231" s="2" t="s">
        <v>124</v>
      </c>
      <c r="F231" s="51">
        <v>2.6</v>
      </c>
      <c r="G231" s="52">
        <v>0</v>
      </c>
      <c r="H231" s="51">
        <f>F231*G231</f>
        <v>0</v>
      </c>
      <c r="J231" s="41"/>
      <c r="Z231" s="51">
        <f>IF(AQ231="5",BJ231,0)</f>
        <v>0</v>
      </c>
      <c r="AB231" s="51">
        <f>IF(AQ231="1",BH231,0)</f>
        <v>0</v>
      </c>
      <c r="AC231" s="51">
        <f>IF(AQ231="1",BI231,0)</f>
        <v>0</v>
      </c>
      <c r="AD231" s="51">
        <f>IF(AQ231="7",BH231,0)</f>
        <v>0</v>
      </c>
      <c r="AE231" s="51">
        <f>IF(AQ231="7",BI231,0)</f>
        <v>0</v>
      </c>
      <c r="AF231" s="51">
        <f>IF(AQ231="2",BH231,0)</f>
        <v>0</v>
      </c>
      <c r="AG231" s="51">
        <f>IF(AQ231="2",BI231,0)</f>
        <v>0</v>
      </c>
      <c r="AH231" s="51">
        <f>IF(AQ231="0",BJ231,0)</f>
        <v>0</v>
      </c>
      <c r="AI231" s="35" t="s">
        <v>4</v>
      </c>
      <c r="AJ231" s="51">
        <f>IF(AN231=0,H231,0)</f>
        <v>0</v>
      </c>
      <c r="AK231" s="51">
        <f>IF(AN231=12,H231,0)</f>
        <v>0</v>
      </c>
      <c r="AL231" s="51">
        <f>IF(AN231=21,H231,0)</f>
        <v>0</v>
      </c>
      <c r="AN231" s="51">
        <v>12</v>
      </c>
      <c r="AO231" s="51">
        <f>G231*0.245838926</f>
        <v>0</v>
      </c>
      <c r="AP231" s="51">
        <f>G231*(1-0.245838926)</f>
        <v>0</v>
      </c>
      <c r="AQ231" s="53" t="s">
        <v>148</v>
      </c>
      <c r="AV231" s="51">
        <f>AW231+AX231</f>
        <v>0</v>
      </c>
      <c r="AW231" s="51">
        <f>F231*AO231</f>
        <v>0</v>
      </c>
      <c r="AX231" s="51">
        <f>F231*AP231</f>
        <v>0</v>
      </c>
      <c r="AY231" s="53" t="s">
        <v>608</v>
      </c>
      <c r="AZ231" s="53" t="s">
        <v>609</v>
      </c>
      <c r="BA231" s="35" t="s">
        <v>117</v>
      </c>
      <c r="BC231" s="51">
        <f>AW231+AX231</f>
        <v>0</v>
      </c>
      <c r="BD231" s="51">
        <f>G231/(100-BE231)*100</f>
        <v>0</v>
      </c>
      <c r="BE231" s="51">
        <v>0</v>
      </c>
      <c r="BF231" s="51">
        <f>231</f>
        <v>231</v>
      </c>
      <c r="BH231" s="51">
        <f>F231*AO231</f>
        <v>0</v>
      </c>
      <c r="BI231" s="51">
        <f>F231*AP231</f>
        <v>0</v>
      </c>
      <c r="BJ231" s="51">
        <f>F231*G231</f>
        <v>0</v>
      </c>
      <c r="BK231" s="51"/>
      <c r="BL231" s="51">
        <v>771</v>
      </c>
      <c r="BW231" s="51">
        <v>12</v>
      </c>
      <c r="BX231" s="3" t="s">
        <v>612</v>
      </c>
    </row>
    <row r="232" spans="1:76">
      <c r="A232" s="54"/>
      <c r="C232" s="56" t="s">
        <v>613</v>
      </c>
      <c r="D232" s="57" t="s">
        <v>365</v>
      </c>
      <c r="F232" s="58">
        <v>2.6</v>
      </c>
      <c r="J232" s="41"/>
    </row>
    <row r="233" spans="1:76">
      <c r="A233" s="1" t="s">
        <v>614</v>
      </c>
      <c r="B233" s="2" t="s">
        <v>615</v>
      </c>
      <c r="C233" s="75" t="s">
        <v>616</v>
      </c>
      <c r="D233" s="70"/>
      <c r="E233" s="2" t="s">
        <v>124</v>
      </c>
      <c r="F233" s="51">
        <v>2.6</v>
      </c>
      <c r="G233" s="52">
        <v>0</v>
      </c>
      <c r="H233" s="51">
        <f>F233*G233</f>
        <v>0</v>
      </c>
      <c r="J233" s="41"/>
      <c r="Z233" s="51">
        <f>IF(AQ233="5",BJ233,0)</f>
        <v>0</v>
      </c>
      <c r="AB233" s="51">
        <f>IF(AQ233="1",BH233,0)</f>
        <v>0</v>
      </c>
      <c r="AC233" s="51">
        <f>IF(AQ233="1",BI233,0)</f>
        <v>0</v>
      </c>
      <c r="AD233" s="51">
        <f>IF(AQ233="7",BH233,0)</f>
        <v>0</v>
      </c>
      <c r="AE233" s="51">
        <f>IF(AQ233="7",BI233,0)</f>
        <v>0</v>
      </c>
      <c r="AF233" s="51">
        <f>IF(AQ233="2",BH233,0)</f>
        <v>0</v>
      </c>
      <c r="AG233" s="51">
        <f>IF(AQ233="2",BI233,0)</f>
        <v>0</v>
      </c>
      <c r="AH233" s="51">
        <f>IF(AQ233="0",BJ233,0)</f>
        <v>0</v>
      </c>
      <c r="AI233" s="35" t="s">
        <v>4</v>
      </c>
      <c r="AJ233" s="51">
        <f>IF(AN233=0,H233,0)</f>
        <v>0</v>
      </c>
      <c r="AK233" s="51">
        <f>IF(AN233=12,H233,0)</f>
        <v>0</v>
      </c>
      <c r="AL233" s="51">
        <f>IF(AN233=21,H233,0)</f>
        <v>0</v>
      </c>
      <c r="AN233" s="51">
        <v>12</v>
      </c>
      <c r="AO233" s="51">
        <f>G233*0</f>
        <v>0</v>
      </c>
      <c r="AP233" s="51">
        <f>G233*(1-0)</f>
        <v>0</v>
      </c>
      <c r="AQ233" s="53" t="s">
        <v>148</v>
      </c>
      <c r="AV233" s="51">
        <f>AW233+AX233</f>
        <v>0</v>
      </c>
      <c r="AW233" s="51">
        <f>F233*AO233</f>
        <v>0</v>
      </c>
      <c r="AX233" s="51">
        <f>F233*AP233</f>
        <v>0</v>
      </c>
      <c r="AY233" s="53" t="s">
        <v>608</v>
      </c>
      <c r="AZ233" s="53" t="s">
        <v>609</v>
      </c>
      <c r="BA233" s="35" t="s">
        <v>117</v>
      </c>
      <c r="BC233" s="51">
        <f>AW233+AX233</f>
        <v>0</v>
      </c>
      <c r="BD233" s="51">
        <f>G233/(100-BE233)*100</f>
        <v>0</v>
      </c>
      <c r="BE233" s="51">
        <v>0</v>
      </c>
      <c r="BF233" s="51">
        <f>233</f>
        <v>233</v>
      </c>
      <c r="BH233" s="51">
        <f>F233*AO233</f>
        <v>0</v>
      </c>
      <c r="BI233" s="51">
        <f>F233*AP233</f>
        <v>0</v>
      </c>
      <c r="BJ233" s="51">
        <f>F233*G233</f>
        <v>0</v>
      </c>
      <c r="BK233" s="51"/>
      <c r="BL233" s="51">
        <v>771</v>
      </c>
      <c r="BW233" s="51">
        <v>12</v>
      </c>
      <c r="BX233" s="3" t="s">
        <v>616</v>
      </c>
    </row>
    <row r="234" spans="1:76">
      <c r="A234" s="1" t="s">
        <v>617</v>
      </c>
      <c r="B234" s="2" t="s">
        <v>618</v>
      </c>
      <c r="C234" s="75" t="s">
        <v>619</v>
      </c>
      <c r="D234" s="70"/>
      <c r="E234" s="2" t="s">
        <v>134</v>
      </c>
      <c r="F234" s="51">
        <v>14.35</v>
      </c>
      <c r="G234" s="52">
        <v>0</v>
      </c>
      <c r="H234" s="51">
        <f>F234*G234</f>
        <v>0</v>
      </c>
      <c r="J234" s="41"/>
      <c r="Z234" s="51">
        <f>IF(AQ234="5",BJ234,0)</f>
        <v>0</v>
      </c>
      <c r="AB234" s="51">
        <f>IF(AQ234="1",BH234,0)</f>
        <v>0</v>
      </c>
      <c r="AC234" s="51">
        <f>IF(AQ234="1",BI234,0)</f>
        <v>0</v>
      </c>
      <c r="AD234" s="51">
        <f>IF(AQ234="7",BH234,0)</f>
        <v>0</v>
      </c>
      <c r="AE234" s="51">
        <f>IF(AQ234="7",BI234,0)</f>
        <v>0</v>
      </c>
      <c r="AF234" s="51">
        <f>IF(AQ234="2",BH234,0)</f>
        <v>0</v>
      </c>
      <c r="AG234" s="51">
        <f>IF(AQ234="2",BI234,0)</f>
        <v>0</v>
      </c>
      <c r="AH234" s="51">
        <f>IF(AQ234="0",BJ234,0)</f>
        <v>0</v>
      </c>
      <c r="AI234" s="35" t="s">
        <v>4</v>
      </c>
      <c r="AJ234" s="51">
        <f>IF(AN234=0,H234,0)</f>
        <v>0</v>
      </c>
      <c r="AK234" s="51">
        <f>IF(AN234=12,H234,0)</f>
        <v>0</v>
      </c>
      <c r="AL234" s="51">
        <f>IF(AN234=21,H234,0)</f>
        <v>0</v>
      </c>
      <c r="AN234" s="51">
        <v>12</v>
      </c>
      <c r="AO234" s="51">
        <f>G234*0.495226131</f>
        <v>0</v>
      </c>
      <c r="AP234" s="51">
        <f>G234*(1-0.495226131)</f>
        <v>0</v>
      </c>
      <c r="AQ234" s="53" t="s">
        <v>148</v>
      </c>
      <c r="AV234" s="51">
        <f>AW234+AX234</f>
        <v>0</v>
      </c>
      <c r="AW234" s="51">
        <f>F234*AO234</f>
        <v>0</v>
      </c>
      <c r="AX234" s="51">
        <f>F234*AP234</f>
        <v>0</v>
      </c>
      <c r="AY234" s="53" t="s">
        <v>608</v>
      </c>
      <c r="AZ234" s="53" t="s">
        <v>609</v>
      </c>
      <c r="BA234" s="35" t="s">
        <v>117</v>
      </c>
      <c r="BC234" s="51">
        <f>AW234+AX234</f>
        <v>0</v>
      </c>
      <c r="BD234" s="51">
        <f>G234/(100-BE234)*100</f>
        <v>0</v>
      </c>
      <c r="BE234" s="51">
        <v>0</v>
      </c>
      <c r="BF234" s="51">
        <f>234</f>
        <v>234</v>
      </c>
      <c r="BH234" s="51">
        <f>F234*AO234</f>
        <v>0</v>
      </c>
      <c r="BI234" s="51">
        <f>F234*AP234</f>
        <v>0</v>
      </c>
      <c r="BJ234" s="51">
        <f>F234*G234</f>
        <v>0</v>
      </c>
      <c r="BK234" s="51"/>
      <c r="BL234" s="51">
        <v>771</v>
      </c>
      <c r="BW234" s="51">
        <v>12</v>
      </c>
      <c r="BX234" s="3" t="s">
        <v>619</v>
      </c>
    </row>
    <row r="235" spans="1:76">
      <c r="A235" s="54"/>
      <c r="C235" s="56" t="s">
        <v>374</v>
      </c>
      <c r="D235" s="57" t="s">
        <v>620</v>
      </c>
      <c r="F235" s="58">
        <v>5.65</v>
      </c>
      <c r="J235" s="41"/>
    </row>
    <row r="236" spans="1:76">
      <c r="A236" s="54"/>
      <c r="C236" s="56" t="s">
        <v>621</v>
      </c>
      <c r="D236" s="57" t="s">
        <v>136</v>
      </c>
      <c r="F236" s="58">
        <v>7.5</v>
      </c>
      <c r="J236" s="41"/>
    </row>
    <row r="237" spans="1:76">
      <c r="A237" s="54"/>
      <c r="C237" s="56" t="s">
        <v>622</v>
      </c>
      <c r="D237" s="57" t="s">
        <v>623</v>
      </c>
      <c r="F237" s="58">
        <v>1.2</v>
      </c>
      <c r="J237" s="41"/>
    </row>
    <row r="238" spans="1:76">
      <c r="A238" s="1" t="s">
        <v>624</v>
      </c>
      <c r="B238" s="2" t="s">
        <v>625</v>
      </c>
      <c r="C238" s="75" t="s">
        <v>626</v>
      </c>
      <c r="D238" s="70"/>
      <c r="E238" s="2" t="s">
        <v>124</v>
      </c>
      <c r="F238" s="51">
        <v>3</v>
      </c>
      <c r="G238" s="52">
        <v>0</v>
      </c>
      <c r="H238" s="51">
        <f>F238*G238</f>
        <v>0</v>
      </c>
      <c r="J238" s="41"/>
      <c r="Z238" s="51">
        <f>IF(AQ238="5",BJ238,0)</f>
        <v>0</v>
      </c>
      <c r="AB238" s="51">
        <f>IF(AQ238="1",BH238,0)</f>
        <v>0</v>
      </c>
      <c r="AC238" s="51">
        <f>IF(AQ238="1",BI238,0)</f>
        <v>0</v>
      </c>
      <c r="AD238" s="51">
        <f>IF(AQ238="7",BH238,0)</f>
        <v>0</v>
      </c>
      <c r="AE238" s="51">
        <f>IF(AQ238="7",BI238,0)</f>
        <v>0</v>
      </c>
      <c r="AF238" s="51">
        <f>IF(AQ238="2",BH238,0)</f>
        <v>0</v>
      </c>
      <c r="AG238" s="51">
        <f>IF(AQ238="2",BI238,0)</f>
        <v>0</v>
      </c>
      <c r="AH238" s="51">
        <f>IF(AQ238="0",BJ238,0)</f>
        <v>0</v>
      </c>
      <c r="AI238" s="35" t="s">
        <v>4</v>
      </c>
      <c r="AJ238" s="51">
        <f>IF(AN238=0,H238,0)</f>
        <v>0</v>
      </c>
      <c r="AK238" s="51">
        <f>IF(AN238=12,H238,0)</f>
        <v>0</v>
      </c>
      <c r="AL238" s="51">
        <f>IF(AN238=21,H238,0)</f>
        <v>0</v>
      </c>
      <c r="AN238" s="51">
        <v>12</v>
      </c>
      <c r="AO238" s="51">
        <f>G238*1</f>
        <v>0</v>
      </c>
      <c r="AP238" s="51">
        <f>G238*(1-1)</f>
        <v>0</v>
      </c>
      <c r="AQ238" s="53" t="s">
        <v>148</v>
      </c>
      <c r="AV238" s="51">
        <f>AW238+AX238</f>
        <v>0</v>
      </c>
      <c r="AW238" s="51">
        <f>F238*AO238</f>
        <v>0</v>
      </c>
      <c r="AX238" s="51">
        <f>F238*AP238</f>
        <v>0</v>
      </c>
      <c r="AY238" s="53" t="s">
        <v>608</v>
      </c>
      <c r="AZ238" s="53" t="s">
        <v>609</v>
      </c>
      <c r="BA238" s="35" t="s">
        <v>117</v>
      </c>
      <c r="BC238" s="51">
        <f>AW238+AX238</f>
        <v>0</v>
      </c>
      <c r="BD238" s="51">
        <f>G238/(100-BE238)*100</f>
        <v>0</v>
      </c>
      <c r="BE238" s="51">
        <v>0</v>
      </c>
      <c r="BF238" s="51">
        <f>238</f>
        <v>238</v>
      </c>
      <c r="BH238" s="51">
        <f>F238*AO238</f>
        <v>0</v>
      </c>
      <c r="BI238" s="51">
        <f>F238*AP238</f>
        <v>0</v>
      </c>
      <c r="BJ238" s="51">
        <f>F238*G238</f>
        <v>0</v>
      </c>
      <c r="BK238" s="51"/>
      <c r="BL238" s="51">
        <v>771</v>
      </c>
      <c r="BW238" s="51">
        <v>12</v>
      </c>
      <c r="BX238" s="3" t="s">
        <v>626</v>
      </c>
    </row>
    <row r="239" spans="1:76">
      <c r="A239" s="1" t="s">
        <v>627</v>
      </c>
      <c r="B239" s="2" t="s">
        <v>628</v>
      </c>
      <c r="C239" s="75" t="s">
        <v>629</v>
      </c>
      <c r="D239" s="70"/>
      <c r="E239" s="2" t="s">
        <v>318</v>
      </c>
      <c r="F239" s="51">
        <v>7.1999999999999995E-2</v>
      </c>
      <c r="G239" s="52">
        <v>0</v>
      </c>
      <c r="H239" s="51">
        <f>F239*G239</f>
        <v>0</v>
      </c>
      <c r="J239" s="41"/>
      <c r="Z239" s="51">
        <f>IF(AQ239="5",BJ239,0)</f>
        <v>0</v>
      </c>
      <c r="AB239" s="51">
        <f>IF(AQ239="1",BH239,0)</f>
        <v>0</v>
      </c>
      <c r="AC239" s="51">
        <f>IF(AQ239="1",BI239,0)</f>
        <v>0</v>
      </c>
      <c r="AD239" s="51">
        <f>IF(AQ239="7",BH239,0)</f>
        <v>0</v>
      </c>
      <c r="AE239" s="51">
        <f>IF(AQ239="7",BI239,0)</f>
        <v>0</v>
      </c>
      <c r="AF239" s="51">
        <f>IF(AQ239="2",BH239,0)</f>
        <v>0</v>
      </c>
      <c r="AG239" s="51">
        <f>IF(AQ239="2",BI239,0)</f>
        <v>0</v>
      </c>
      <c r="AH239" s="51">
        <f>IF(AQ239="0",BJ239,0)</f>
        <v>0</v>
      </c>
      <c r="AI239" s="35" t="s">
        <v>4</v>
      </c>
      <c r="AJ239" s="51">
        <f>IF(AN239=0,H239,0)</f>
        <v>0</v>
      </c>
      <c r="AK239" s="51">
        <f>IF(AN239=12,H239,0)</f>
        <v>0</v>
      </c>
      <c r="AL239" s="51">
        <f>IF(AN239=21,H239,0)</f>
        <v>0</v>
      </c>
      <c r="AN239" s="51">
        <v>12</v>
      </c>
      <c r="AO239" s="51">
        <f>G239*0</f>
        <v>0</v>
      </c>
      <c r="AP239" s="51">
        <f>G239*(1-0)</f>
        <v>0</v>
      </c>
      <c r="AQ239" s="53" t="s">
        <v>137</v>
      </c>
      <c r="AV239" s="51">
        <f>AW239+AX239</f>
        <v>0</v>
      </c>
      <c r="AW239" s="51">
        <f>F239*AO239</f>
        <v>0</v>
      </c>
      <c r="AX239" s="51">
        <f>F239*AP239</f>
        <v>0</v>
      </c>
      <c r="AY239" s="53" t="s">
        <v>608</v>
      </c>
      <c r="AZ239" s="53" t="s">
        <v>609</v>
      </c>
      <c r="BA239" s="35" t="s">
        <v>117</v>
      </c>
      <c r="BC239" s="51">
        <f>AW239+AX239</f>
        <v>0</v>
      </c>
      <c r="BD239" s="51">
        <f>G239/(100-BE239)*100</f>
        <v>0</v>
      </c>
      <c r="BE239" s="51">
        <v>0</v>
      </c>
      <c r="BF239" s="51">
        <f>239</f>
        <v>239</v>
      </c>
      <c r="BH239" s="51">
        <f>F239*AO239</f>
        <v>0</v>
      </c>
      <c r="BI239" s="51">
        <f>F239*AP239</f>
        <v>0</v>
      </c>
      <c r="BJ239" s="51">
        <f>F239*G239</f>
        <v>0</v>
      </c>
      <c r="BK239" s="51"/>
      <c r="BL239" s="51">
        <v>771</v>
      </c>
      <c r="BW239" s="51">
        <v>12</v>
      </c>
      <c r="BX239" s="3" t="s">
        <v>629</v>
      </c>
    </row>
    <row r="240" spans="1:76">
      <c r="A240" s="47" t="s">
        <v>4</v>
      </c>
      <c r="B240" s="48" t="s">
        <v>630</v>
      </c>
      <c r="C240" s="150" t="s">
        <v>631</v>
      </c>
      <c r="D240" s="151"/>
      <c r="E240" s="49" t="s">
        <v>79</v>
      </c>
      <c r="F240" s="49" t="s">
        <v>79</v>
      </c>
      <c r="G240" s="50" t="s">
        <v>79</v>
      </c>
      <c r="H240" s="28">
        <f>SUM(H241:H258)</f>
        <v>0</v>
      </c>
      <c r="J240" s="41"/>
      <c r="AI240" s="35" t="s">
        <v>4</v>
      </c>
      <c r="AS240" s="28">
        <f>SUM(AJ241:AJ258)</f>
        <v>0</v>
      </c>
      <c r="AT240" s="28">
        <f>SUM(AK241:AK258)</f>
        <v>0</v>
      </c>
      <c r="AU240" s="28">
        <f>SUM(AL241:AL258)</f>
        <v>0</v>
      </c>
    </row>
    <row r="241" spans="1:76">
      <c r="A241" s="1" t="s">
        <v>632</v>
      </c>
      <c r="B241" s="2" t="s">
        <v>633</v>
      </c>
      <c r="C241" s="75" t="s">
        <v>634</v>
      </c>
      <c r="D241" s="70"/>
      <c r="E241" s="2" t="s">
        <v>134</v>
      </c>
      <c r="F241" s="51">
        <v>30.29</v>
      </c>
      <c r="G241" s="52">
        <v>0</v>
      </c>
      <c r="H241" s="51">
        <f>F241*G241</f>
        <v>0</v>
      </c>
      <c r="J241" s="41"/>
      <c r="Z241" s="51">
        <f>IF(AQ241="5",BJ241,0)</f>
        <v>0</v>
      </c>
      <c r="AB241" s="51">
        <f>IF(AQ241="1",BH241,0)</f>
        <v>0</v>
      </c>
      <c r="AC241" s="51">
        <f>IF(AQ241="1",BI241,0)</f>
        <v>0</v>
      </c>
      <c r="AD241" s="51">
        <f>IF(AQ241="7",BH241,0)</f>
        <v>0</v>
      </c>
      <c r="AE241" s="51">
        <f>IF(AQ241="7",BI241,0)</f>
        <v>0</v>
      </c>
      <c r="AF241" s="51">
        <f>IF(AQ241="2",BH241,0)</f>
        <v>0</v>
      </c>
      <c r="AG241" s="51">
        <f>IF(AQ241="2",BI241,0)</f>
        <v>0</v>
      </c>
      <c r="AH241" s="51">
        <f>IF(AQ241="0",BJ241,0)</f>
        <v>0</v>
      </c>
      <c r="AI241" s="35" t="s">
        <v>4</v>
      </c>
      <c r="AJ241" s="51">
        <f>IF(AN241=0,H241,0)</f>
        <v>0</v>
      </c>
      <c r="AK241" s="51">
        <f>IF(AN241=12,H241,0)</f>
        <v>0</v>
      </c>
      <c r="AL241" s="51">
        <f>IF(AN241=21,H241,0)</f>
        <v>0</v>
      </c>
      <c r="AN241" s="51">
        <v>12</v>
      </c>
      <c r="AO241" s="51">
        <f>G241*0</f>
        <v>0</v>
      </c>
      <c r="AP241" s="51">
        <f>G241*(1-0)</f>
        <v>0</v>
      </c>
      <c r="AQ241" s="53" t="s">
        <v>148</v>
      </c>
      <c r="AV241" s="51">
        <f>AW241+AX241</f>
        <v>0</v>
      </c>
      <c r="AW241" s="51">
        <f>F241*AO241</f>
        <v>0</v>
      </c>
      <c r="AX241" s="51">
        <f>F241*AP241</f>
        <v>0</v>
      </c>
      <c r="AY241" s="53" t="s">
        <v>635</v>
      </c>
      <c r="AZ241" s="53" t="s">
        <v>609</v>
      </c>
      <c r="BA241" s="35" t="s">
        <v>117</v>
      </c>
      <c r="BC241" s="51">
        <f>AW241+AX241</f>
        <v>0</v>
      </c>
      <c r="BD241" s="51">
        <f>G241/(100-BE241)*100</f>
        <v>0</v>
      </c>
      <c r="BE241" s="51">
        <v>0</v>
      </c>
      <c r="BF241" s="51">
        <f>241</f>
        <v>241</v>
      </c>
      <c r="BH241" s="51">
        <f>F241*AO241</f>
        <v>0</v>
      </c>
      <c r="BI241" s="51">
        <f>F241*AP241</f>
        <v>0</v>
      </c>
      <c r="BJ241" s="51">
        <f>F241*G241</f>
        <v>0</v>
      </c>
      <c r="BK241" s="51"/>
      <c r="BL241" s="51">
        <v>776</v>
      </c>
      <c r="BW241" s="51">
        <v>12</v>
      </c>
      <c r="BX241" s="3" t="s">
        <v>634</v>
      </c>
    </row>
    <row r="242" spans="1:76">
      <c r="A242" s="54"/>
      <c r="C242" s="56" t="s">
        <v>636</v>
      </c>
      <c r="D242" s="57" t="s">
        <v>637</v>
      </c>
      <c r="F242" s="58">
        <v>4.49</v>
      </c>
      <c r="J242" s="41"/>
    </row>
    <row r="243" spans="1:76">
      <c r="A243" s="54"/>
      <c r="C243" s="56" t="s">
        <v>638</v>
      </c>
      <c r="D243" s="57" t="s">
        <v>222</v>
      </c>
      <c r="F243" s="58">
        <v>14.65</v>
      </c>
      <c r="J243" s="41"/>
    </row>
    <row r="244" spans="1:76">
      <c r="A244" s="54"/>
      <c r="C244" s="56" t="s">
        <v>639</v>
      </c>
      <c r="D244" s="57" t="s">
        <v>219</v>
      </c>
      <c r="F244" s="58">
        <v>11.15</v>
      </c>
      <c r="J244" s="41"/>
    </row>
    <row r="245" spans="1:76">
      <c r="A245" s="1" t="s">
        <v>640</v>
      </c>
      <c r="B245" s="2" t="s">
        <v>641</v>
      </c>
      <c r="C245" s="75" t="s">
        <v>642</v>
      </c>
      <c r="D245" s="70"/>
      <c r="E245" s="2" t="s">
        <v>124</v>
      </c>
      <c r="F245" s="51">
        <v>26.428999999999998</v>
      </c>
      <c r="G245" s="52">
        <v>0</v>
      </c>
      <c r="H245" s="51">
        <f>F245*G245</f>
        <v>0</v>
      </c>
      <c r="J245" s="41"/>
      <c r="Z245" s="51">
        <f>IF(AQ245="5",BJ245,0)</f>
        <v>0</v>
      </c>
      <c r="AB245" s="51">
        <f>IF(AQ245="1",BH245,0)</f>
        <v>0</v>
      </c>
      <c r="AC245" s="51">
        <f>IF(AQ245="1",BI245,0)</f>
        <v>0</v>
      </c>
      <c r="AD245" s="51">
        <f>IF(AQ245="7",BH245,0)</f>
        <v>0</v>
      </c>
      <c r="AE245" s="51">
        <f>IF(AQ245="7",BI245,0)</f>
        <v>0</v>
      </c>
      <c r="AF245" s="51">
        <f>IF(AQ245="2",BH245,0)</f>
        <v>0</v>
      </c>
      <c r="AG245" s="51">
        <f>IF(AQ245="2",BI245,0)</f>
        <v>0</v>
      </c>
      <c r="AH245" s="51">
        <f>IF(AQ245="0",BJ245,0)</f>
        <v>0</v>
      </c>
      <c r="AI245" s="35" t="s">
        <v>4</v>
      </c>
      <c r="AJ245" s="51">
        <f>IF(AN245=0,H245,0)</f>
        <v>0</v>
      </c>
      <c r="AK245" s="51">
        <f>IF(AN245=12,H245,0)</f>
        <v>0</v>
      </c>
      <c r="AL245" s="51">
        <f>IF(AN245=21,H245,0)</f>
        <v>0</v>
      </c>
      <c r="AN245" s="51">
        <v>12</v>
      </c>
      <c r="AO245" s="51">
        <f>G245*0</f>
        <v>0</v>
      </c>
      <c r="AP245" s="51">
        <f>G245*(1-0)</f>
        <v>0</v>
      </c>
      <c r="AQ245" s="53" t="s">
        <v>148</v>
      </c>
      <c r="AV245" s="51">
        <f>AW245+AX245</f>
        <v>0</v>
      </c>
      <c r="AW245" s="51">
        <f>F245*AO245</f>
        <v>0</v>
      </c>
      <c r="AX245" s="51">
        <f>F245*AP245</f>
        <v>0</v>
      </c>
      <c r="AY245" s="53" t="s">
        <v>635</v>
      </c>
      <c r="AZ245" s="53" t="s">
        <v>609</v>
      </c>
      <c r="BA245" s="35" t="s">
        <v>117</v>
      </c>
      <c r="BC245" s="51">
        <f>AW245+AX245</f>
        <v>0</v>
      </c>
      <c r="BD245" s="51">
        <f>G245/(100-BE245)*100</f>
        <v>0</v>
      </c>
      <c r="BE245" s="51">
        <v>0</v>
      </c>
      <c r="BF245" s="51">
        <f>245</f>
        <v>245</v>
      </c>
      <c r="BH245" s="51">
        <f>F245*AO245</f>
        <v>0</v>
      </c>
      <c r="BI245" s="51">
        <f>F245*AP245</f>
        <v>0</v>
      </c>
      <c r="BJ245" s="51">
        <f>F245*G245</f>
        <v>0</v>
      </c>
      <c r="BK245" s="51"/>
      <c r="BL245" s="51">
        <v>776</v>
      </c>
      <c r="BW245" s="51">
        <v>12</v>
      </c>
      <c r="BX245" s="3" t="s">
        <v>642</v>
      </c>
    </row>
    <row r="246" spans="1:76">
      <c r="A246" s="54"/>
      <c r="C246" s="56" t="s">
        <v>643</v>
      </c>
      <c r="D246" s="57" t="s">
        <v>637</v>
      </c>
      <c r="F246" s="58">
        <v>2.9620000000000002</v>
      </c>
      <c r="J246" s="41"/>
    </row>
    <row r="247" spans="1:76">
      <c r="A247" s="54"/>
      <c r="C247" s="56" t="s">
        <v>644</v>
      </c>
      <c r="D247" s="57" t="s">
        <v>222</v>
      </c>
      <c r="F247" s="58">
        <v>14.805</v>
      </c>
      <c r="J247" s="41"/>
    </row>
    <row r="248" spans="1:76">
      <c r="A248" s="54"/>
      <c r="C248" s="56" t="s">
        <v>645</v>
      </c>
      <c r="D248" s="57" t="s">
        <v>219</v>
      </c>
      <c r="F248" s="58">
        <v>8.6620000000000008</v>
      </c>
      <c r="J248" s="41"/>
    </row>
    <row r="249" spans="1:76">
      <c r="A249" s="1" t="s">
        <v>646</v>
      </c>
      <c r="B249" s="2" t="s">
        <v>647</v>
      </c>
      <c r="C249" s="75" t="s">
        <v>648</v>
      </c>
      <c r="D249" s="70"/>
      <c r="E249" s="2" t="s">
        <v>134</v>
      </c>
      <c r="F249" s="51">
        <v>30.29</v>
      </c>
      <c r="G249" s="52">
        <v>0</v>
      </c>
      <c r="H249" s="51">
        <f>F249*G249</f>
        <v>0</v>
      </c>
      <c r="J249" s="41"/>
      <c r="Z249" s="51">
        <f>IF(AQ249="5",BJ249,0)</f>
        <v>0</v>
      </c>
      <c r="AB249" s="51">
        <f>IF(AQ249="1",BH249,0)</f>
        <v>0</v>
      </c>
      <c r="AC249" s="51">
        <f>IF(AQ249="1",BI249,0)</f>
        <v>0</v>
      </c>
      <c r="AD249" s="51">
        <f>IF(AQ249="7",BH249,0)</f>
        <v>0</v>
      </c>
      <c r="AE249" s="51">
        <f>IF(AQ249="7",BI249,0)</f>
        <v>0</v>
      </c>
      <c r="AF249" s="51">
        <f>IF(AQ249="2",BH249,0)</f>
        <v>0</v>
      </c>
      <c r="AG249" s="51">
        <f>IF(AQ249="2",BI249,0)</f>
        <v>0</v>
      </c>
      <c r="AH249" s="51">
        <f>IF(AQ249="0",BJ249,0)</f>
        <v>0</v>
      </c>
      <c r="AI249" s="35" t="s">
        <v>4</v>
      </c>
      <c r="AJ249" s="51">
        <f>IF(AN249=0,H249,0)</f>
        <v>0</v>
      </c>
      <c r="AK249" s="51">
        <f>IF(AN249=12,H249,0)</f>
        <v>0</v>
      </c>
      <c r="AL249" s="51">
        <f>IF(AN249=21,H249,0)</f>
        <v>0</v>
      </c>
      <c r="AN249" s="51">
        <v>12</v>
      </c>
      <c r="AO249" s="51">
        <f>G249*0.357142376</f>
        <v>0</v>
      </c>
      <c r="AP249" s="51">
        <f>G249*(1-0.357142376)</f>
        <v>0</v>
      </c>
      <c r="AQ249" s="53" t="s">
        <v>148</v>
      </c>
      <c r="AV249" s="51">
        <f>AW249+AX249</f>
        <v>0</v>
      </c>
      <c r="AW249" s="51">
        <f>F249*AO249</f>
        <v>0</v>
      </c>
      <c r="AX249" s="51">
        <f>F249*AP249</f>
        <v>0</v>
      </c>
      <c r="AY249" s="53" t="s">
        <v>635</v>
      </c>
      <c r="AZ249" s="53" t="s">
        <v>609</v>
      </c>
      <c r="BA249" s="35" t="s">
        <v>117</v>
      </c>
      <c r="BC249" s="51">
        <f>AW249+AX249</f>
        <v>0</v>
      </c>
      <c r="BD249" s="51">
        <f>G249/(100-BE249)*100</f>
        <v>0</v>
      </c>
      <c r="BE249" s="51">
        <v>0</v>
      </c>
      <c r="BF249" s="51">
        <f>249</f>
        <v>249</v>
      </c>
      <c r="BH249" s="51">
        <f>F249*AO249</f>
        <v>0</v>
      </c>
      <c r="BI249" s="51">
        <f>F249*AP249</f>
        <v>0</v>
      </c>
      <c r="BJ249" s="51">
        <f>F249*G249</f>
        <v>0</v>
      </c>
      <c r="BK249" s="51"/>
      <c r="BL249" s="51">
        <v>776</v>
      </c>
      <c r="BW249" s="51">
        <v>12</v>
      </c>
      <c r="BX249" s="3" t="s">
        <v>648</v>
      </c>
    </row>
    <row r="250" spans="1:76" ht="13.5" customHeight="1">
      <c r="A250" s="54"/>
      <c r="B250" s="55" t="s">
        <v>118</v>
      </c>
      <c r="C250" s="152" t="s">
        <v>649</v>
      </c>
      <c r="D250" s="153"/>
      <c r="E250" s="153"/>
      <c r="F250" s="153"/>
      <c r="G250" s="154"/>
      <c r="H250" s="153"/>
      <c r="I250" s="153"/>
      <c r="J250" s="155"/>
    </row>
    <row r="251" spans="1:76">
      <c r="A251" s="54"/>
      <c r="C251" s="56" t="s">
        <v>636</v>
      </c>
      <c r="D251" s="57" t="s">
        <v>650</v>
      </c>
      <c r="F251" s="58">
        <v>4.49</v>
      </c>
      <c r="J251" s="41"/>
    </row>
    <row r="252" spans="1:76">
      <c r="A252" s="54"/>
      <c r="C252" s="56" t="s">
        <v>638</v>
      </c>
      <c r="D252" s="57" t="s">
        <v>222</v>
      </c>
      <c r="F252" s="58">
        <v>14.65</v>
      </c>
      <c r="J252" s="41"/>
    </row>
    <row r="253" spans="1:76">
      <c r="A253" s="54"/>
      <c r="C253" s="56" t="s">
        <v>639</v>
      </c>
      <c r="D253" s="57" t="s">
        <v>219</v>
      </c>
      <c r="F253" s="58">
        <v>11.15</v>
      </c>
      <c r="J253" s="41"/>
    </row>
    <row r="254" spans="1:76">
      <c r="A254" s="1" t="s">
        <v>651</v>
      </c>
      <c r="B254" s="2" t="s">
        <v>652</v>
      </c>
      <c r="C254" s="75" t="s">
        <v>653</v>
      </c>
      <c r="D254" s="70"/>
      <c r="E254" s="2" t="s">
        <v>124</v>
      </c>
      <c r="F254" s="51">
        <v>26.425000000000001</v>
      </c>
      <c r="G254" s="52">
        <v>0</v>
      </c>
      <c r="H254" s="51">
        <f>F254*G254</f>
        <v>0</v>
      </c>
      <c r="J254" s="41"/>
      <c r="Z254" s="51">
        <f>IF(AQ254="5",BJ254,0)</f>
        <v>0</v>
      </c>
      <c r="AB254" s="51">
        <f>IF(AQ254="1",BH254,0)</f>
        <v>0</v>
      </c>
      <c r="AC254" s="51">
        <f>IF(AQ254="1",BI254,0)</f>
        <v>0</v>
      </c>
      <c r="AD254" s="51">
        <f>IF(AQ254="7",BH254,0)</f>
        <v>0</v>
      </c>
      <c r="AE254" s="51">
        <f>IF(AQ254="7",BI254,0)</f>
        <v>0</v>
      </c>
      <c r="AF254" s="51">
        <f>IF(AQ254="2",BH254,0)</f>
        <v>0</v>
      </c>
      <c r="AG254" s="51">
        <f>IF(AQ254="2",BI254,0)</f>
        <v>0</v>
      </c>
      <c r="AH254" s="51">
        <f>IF(AQ254="0",BJ254,0)</f>
        <v>0</v>
      </c>
      <c r="AI254" s="35" t="s">
        <v>4</v>
      </c>
      <c r="AJ254" s="51">
        <f>IF(AN254=0,H254,0)</f>
        <v>0</v>
      </c>
      <c r="AK254" s="51">
        <f>IF(AN254=12,H254,0)</f>
        <v>0</v>
      </c>
      <c r="AL254" s="51">
        <f>IF(AN254=21,H254,0)</f>
        <v>0</v>
      </c>
      <c r="AN254" s="51">
        <v>12</v>
      </c>
      <c r="AO254" s="51">
        <f>G254*0.207381377</f>
        <v>0</v>
      </c>
      <c r="AP254" s="51">
        <f>G254*(1-0.207381377)</f>
        <v>0</v>
      </c>
      <c r="AQ254" s="53" t="s">
        <v>148</v>
      </c>
      <c r="AV254" s="51">
        <f>AW254+AX254</f>
        <v>0</v>
      </c>
      <c r="AW254" s="51">
        <f>F254*AO254</f>
        <v>0</v>
      </c>
      <c r="AX254" s="51">
        <f>F254*AP254</f>
        <v>0</v>
      </c>
      <c r="AY254" s="53" t="s">
        <v>635</v>
      </c>
      <c r="AZ254" s="53" t="s">
        <v>609</v>
      </c>
      <c r="BA254" s="35" t="s">
        <v>117</v>
      </c>
      <c r="BC254" s="51">
        <f>AW254+AX254</f>
        <v>0</v>
      </c>
      <c r="BD254" s="51">
        <f>G254/(100-BE254)*100</f>
        <v>0</v>
      </c>
      <c r="BE254" s="51">
        <v>0</v>
      </c>
      <c r="BF254" s="51">
        <f>254</f>
        <v>254</v>
      </c>
      <c r="BH254" s="51">
        <f>F254*AO254</f>
        <v>0</v>
      </c>
      <c r="BI254" s="51">
        <f>F254*AP254</f>
        <v>0</v>
      </c>
      <c r="BJ254" s="51">
        <f>F254*G254</f>
        <v>0</v>
      </c>
      <c r="BK254" s="51"/>
      <c r="BL254" s="51">
        <v>776</v>
      </c>
      <c r="BW254" s="51">
        <v>12</v>
      </c>
      <c r="BX254" s="3" t="s">
        <v>653</v>
      </c>
    </row>
    <row r="255" spans="1:76">
      <c r="A255" s="1" t="s">
        <v>654</v>
      </c>
      <c r="B255" s="2" t="s">
        <v>655</v>
      </c>
      <c r="C255" s="75" t="s">
        <v>656</v>
      </c>
      <c r="D255" s="70"/>
      <c r="E255" s="2" t="s">
        <v>584</v>
      </c>
      <c r="F255" s="51">
        <v>1</v>
      </c>
      <c r="G255" s="52">
        <v>0</v>
      </c>
      <c r="H255" s="51">
        <f>F255*G255</f>
        <v>0</v>
      </c>
      <c r="J255" s="41"/>
      <c r="Z255" s="51">
        <f>IF(AQ255="5",BJ255,0)</f>
        <v>0</v>
      </c>
      <c r="AB255" s="51">
        <f>IF(AQ255="1",BH255,0)</f>
        <v>0</v>
      </c>
      <c r="AC255" s="51">
        <f>IF(AQ255="1",BI255,0)</f>
        <v>0</v>
      </c>
      <c r="AD255" s="51">
        <f>IF(AQ255="7",BH255,0)</f>
        <v>0</v>
      </c>
      <c r="AE255" s="51">
        <f>IF(AQ255="7",BI255,0)</f>
        <v>0</v>
      </c>
      <c r="AF255" s="51">
        <f>IF(AQ255="2",BH255,0)</f>
        <v>0</v>
      </c>
      <c r="AG255" s="51">
        <f>IF(AQ255="2",BI255,0)</f>
        <v>0</v>
      </c>
      <c r="AH255" s="51">
        <f>IF(AQ255="0",BJ255,0)</f>
        <v>0</v>
      </c>
      <c r="AI255" s="35" t="s">
        <v>4</v>
      </c>
      <c r="AJ255" s="51">
        <f>IF(AN255=0,H255,0)</f>
        <v>0</v>
      </c>
      <c r="AK255" s="51">
        <f>IF(AN255=12,H255,0)</f>
        <v>0</v>
      </c>
      <c r="AL255" s="51">
        <f>IF(AN255=21,H255,0)</f>
        <v>0</v>
      </c>
      <c r="AN255" s="51">
        <v>12</v>
      </c>
      <c r="AO255" s="51">
        <f>G255*0</f>
        <v>0</v>
      </c>
      <c r="AP255" s="51">
        <f>G255*(1-0)</f>
        <v>0</v>
      </c>
      <c r="AQ255" s="53" t="s">
        <v>148</v>
      </c>
      <c r="AV255" s="51">
        <f>AW255+AX255</f>
        <v>0</v>
      </c>
      <c r="AW255" s="51">
        <f>F255*AO255</f>
        <v>0</v>
      </c>
      <c r="AX255" s="51">
        <f>F255*AP255</f>
        <v>0</v>
      </c>
      <c r="AY255" s="53" t="s">
        <v>635</v>
      </c>
      <c r="AZ255" s="53" t="s">
        <v>609</v>
      </c>
      <c r="BA255" s="35" t="s">
        <v>117</v>
      </c>
      <c r="BC255" s="51">
        <f>AW255+AX255</f>
        <v>0</v>
      </c>
      <c r="BD255" s="51">
        <f>G255/(100-BE255)*100</f>
        <v>0</v>
      </c>
      <c r="BE255" s="51">
        <v>0</v>
      </c>
      <c r="BF255" s="51">
        <f>255</f>
        <v>255</v>
      </c>
      <c r="BH255" s="51">
        <f>F255*AO255</f>
        <v>0</v>
      </c>
      <c r="BI255" s="51">
        <f>F255*AP255</f>
        <v>0</v>
      </c>
      <c r="BJ255" s="51">
        <f>F255*G255</f>
        <v>0</v>
      </c>
      <c r="BK255" s="51"/>
      <c r="BL255" s="51">
        <v>776</v>
      </c>
      <c r="BW255" s="51">
        <v>12</v>
      </c>
      <c r="BX255" s="3" t="s">
        <v>656</v>
      </c>
    </row>
    <row r="256" spans="1:76">
      <c r="A256" s="1" t="s">
        <v>657</v>
      </c>
      <c r="B256" s="2" t="s">
        <v>658</v>
      </c>
      <c r="C256" s="75" t="s">
        <v>659</v>
      </c>
      <c r="D256" s="70"/>
      <c r="E256" s="2" t="s">
        <v>124</v>
      </c>
      <c r="F256" s="51">
        <v>29.071999999999999</v>
      </c>
      <c r="G256" s="52">
        <v>0</v>
      </c>
      <c r="H256" s="51">
        <f>F256*G256</f>
        <v>0</v>
      </c>
      <c r="J256" s="41"/>
      <c r="Z256" s="51">
        <f>IF(AQ256="5",BJ256,0)</f>
        <v>0</v>
      </c>
      <c r="AB256" s="51">
        <f>IF(AQ256="1",BH256,0)</f>
        <v>0</v>
      </c>
      <c r="AC256" s="51">
        <f>IF(AQ256="1",BI256,0)</f>
        <v>0</v>
      </c>
      <c r="AD256" s="51">
        <f>IF(AQ256="7",BH256,0)</f>
        <v>0</v>
      </c>
      <c r="AE256" s="51">
        <f>IF(AQ256="7",BI256,0)</f>
        <v>0</v>
      </c>
      <c r="AF256" s="51">
        <f>IF(AQ256="2",BH256,0)</f>
        <v>0</v>
      </c>
      <c r="AG256" s="51">
        <f>IF(AQ256="2",BI256,0)</f>
        <v>0</v>
      </c>
      <c r="AH256" s="51">
        <f>IF(AQ256="0",BJ256,0)</f>
        <v>0</v>
      </c>
      <c r="AI256" s="35" t="s">
        <v>4</v>
      </c>
      <c r="AJ256" s="51">
        <f>IF(AN256=0,H256,0)</f>
        <v>0</v>
      </c>
      <c r="AK256" s="51">
        <f>IF(AN256=12,H256,0)</f>
        <v>0</v>
      </c>
      <c r="AL256" s="51">
        <f>IF(AN256=21,H256,0)</f>
        <v>0</v>
      </c>
      <c r="AN256" s="51">
        <v>12</v>
      </c>
      <c r="AO256" s="51">
        <f>G256*1</f>
        <v>0</v>
      </c>
      <c r="AP256" s="51">
        <f>G256*(1-1)</f>
        <v>0</v>
      </c>
      <c r="AQ256" s="53" t="s">
        <v>148</v>
      </c>
      <c r="AV256" s="51">
        <f>AW256+AX256</f>
        <v>0</v>
      </c>
      <c r="AW256" s="51">
        <f>F256*AO256</f>
        <v>0</v>
      </c>
      <c r="AX256" s="51">
        <f>F256*AP256</f>
        <v>0</v>
      </c>
      <c r="AY256" s="53" t="s">
        <v>635</v>
      </c>
      <c r="AZ256" s="53" t="s">
        <v>609</v>
      </c>
      <c r="BA256" s="35" t="s">
        <v>117</v>
      </c>
      <c r="BC256" s="51">
        <f>AW256+AX256</f>
        <v>0</v>
      </c>
      <c r="BD256" s="51">
        <f>G256/(100-BE256)*100</f>
        <v>0</v>
      </c>
      <c r="BE256" s="51">
        <v>0</v>
      </c>
      <c r="BF256" s="51">
        <f>256</f>
        <v>256</v>
      </c>
      <c r="BH256" s="51">
        <f>F256*AO256</f>
        <v>0</v>
      </c>
      <c r="BI256" s="51">
        <f>F256*AP256</f>
        <v>0</v>
      </c>
      <c r="BJ256" s="51">
        <f>F256*G256</f>
        <v>0</v>
      </c>
      <c r="BK256" s="51"/>
      <c r="BL256" s="51">
        <v>776</v>
      </c>
      <c r="BW256" s="51">
        <v>12</v>
      </c>
      <c r="BX256" s="3" t="s">
        <v>659</v>
      </c>
    </row>
    <row r="257" spans="1:76">
      <c r="A257" s="54"/>
      <c r="C257" s="56" t="s">
        <v>660</v>
      </c>
      <c r="D257" s="57" t="s">
        <v>4</v>
      </c>
      <c r="F257" s="58">
        <v>29.071999999999999</v>
      </c>
      <c r="J257" s="41"/>
    </row>
    <row r="258" spans="1:76">
      <c r="A258" s="1" t="s">
        <v>661</v>
      </c>
      <c r="B258" s="2" t="s">
        <v>662</v>
      </c>
      <c r="C258" s="75" t="s">
        <v>663</v>
      </c>
      <c r="D258" s="70"/>
      <c r="E258" s="2" t="s">
        <v>318</v>
      </c>
      <c r="F258" s="51">
        <v>0.183</v>
      </c>
      <c r="G258" s="52">
        <v>0</v>
      </c>
      <c r="H258" s="51">
        <f>F258*G258</f>
        <v>0</v>
      </c>
      <c r="J258" s="41"/>
      <c r="Z258" s="51">
        <f>IF(AQ258="5",BJ258,0)</f>
        <v>0</v>
      </c>
      <c r="AB258" s="51">
        <f>IF(AQ258="1",BH258,0)</f>
        <v>0</v>
      </c>
      <c r="AC258" s="51">
        <f>IF(AQ258="1",BI258,0)</f>
        <v>0</v>
      </c>
      <c r="AD258" s="51">
        <f>IF(AQ258="7",BH258,0)</f>
        <v>0</v>
      </c>
      <c r="AE258" s="51">
        <f>IF(AQ258="7",BI258,0)</f>
        <v>0</v>
      </c>
      <c r="AF258" s="51">
        <f>IF(AQ258="2",BH258,0)</f>
        <v>0</v>
      </c>
      <c r="AG258" s="51">
        <f>IF(AQ258="2",BI258,0)</f>
        <v>0</v>
      </c>
      <c r="AH258" s="51">
        <f>IF(AQ258="0",BJ258,0)</f>
        <v>0</v>
      </c>
      <c r="AI258" s="35" t="s">
        <v>4</v>
      </c>
      <c r="AJ258" s="51">
        <f>IF(AN258=0,H258,0)</f>
        <v>0</v>
      </c>
      <c r="AK258" s="51">
        <f>IF(AN258=12,H258,0)</f>
        <v>0</v>
      </c>
      <c r="AL258" s="51">
        <f>IF(AN258=21,H258,0)</f>
        <v>0</v>
      </c>
      <c r="AN258" s="51">
        <v>12</v>
      </c>
      <c r="AO258" s="51">
        <f>G258*0</f>
        <v>0</v>
      </c>
      <c r="AP258" s="51">
        <f>G258*(1-0)</f>
        <v>0</v>
      </c>
      <c r="AQ258" s="53" t="s">
        <v>137</v>
      </c>
      <c r="AV258" s="51">
        <f>AW258+AX258</f>
        <v>0</v>
      </c>
      <c r="AW258" s="51">
        <f>F258*AO258</f>
        <v>0</v>
      </c>
      <c r="AX258" s="51">
        <f>F258*AP258</f>
        <v>0</v>
      </c>
      <c r="AY258" s="53" t="s">
        <v>635</v>
      </c>
      <c r="AZ258" s="53" t="s">
        <v>609</v>
      </c>
      <c r="BA258" s="35" t="s">
        <v>117</v>
      </c>
      <c r="BC258" s="51">
        <f>AW258+AX258</f>
        <v>0</v>
      </c>
      <c r="BD258" s="51">
        <f>G258/(100-BE258)*100</f>
        <v>0</v>
      </c>
      <c r="BE258" s="51">
        <v>0</v>
      </c>
      <c r="BF258" s="51">
        <f>258</f>
        <v>258</v>
      </c>
      <c r="BH258" s="51">
        <f>F258*AO258</f>
        <v>0</v>
      </c>
      <c r="BI258" s="51">
        <f>F258*AP258</f>
        <v>0</v>
      </c>
      <c r="BJ258" s="51">
        <f>F258*G258</f>
        <v>0</v>
      </c>
      <c r="BK258" s="51"/>
      <c r="BL258" s="51">
        <v>776</v>
      </c>
      <c r="BW258" s="51">
        <v>12</v>
      </c>
      <c r="BX258" s="3" t="s">
        <v>663</v>
      </c>
    </row>
    <row r="259" spans="1:76">
      <c r="A259" s="47" t="s">
        <v>4</v>
      </c>
      <c r="B259" s="48" t="s">
        <v>664</v>
      </c>
      <c r="C259" s="150" t="s">
        <v>665</v>
      </c>
      <c r="D259" s="151"/>
      <c r="E259" s="49" t="s">
        <v>79</v>
      </c>
      <c r="F259" s="49" t="s">
        <v>79</v>
      </c>
      <c r="G259" s="50" t="s">
        <v>79</v>
      </c>
      <c r="H259" s="28">
        <f>SUM(H260:H265)</f>
        <v>0</v>
      </c>
      <c r="J259" s="41"/>
      <c r="AI259" s="35" t="s">
        <v>4</v>
      </c>
      <c r="AS259" s="28">
        <f>SUM(AJ260:AJ265)</f>
        <v>0</v>
      </c>
      <c r="AT259" s="28">
        <f>SUM(AK260:AK265)</f>
        <v>0</v>
      </c>
      <c r="AU259" s="28">
        <f>SUM(AL260:AL265)</f>
        <v>0</v>
      </c>
    </row>
    <row r="260" spans="1:76">
      <c r="A260" s="1" t="s">
        <v>666</v>
      </c>
      <c r="B260" s="2" t="s">
        <v>667</v>
      </c>
      <c r="C260" s="75" t="s">
        <v>668</v>
      </c>
      <c r="D260" s="70"/>
      <c r="E260" s="2" t="s">
        <v>124</v>
      </c>
      <c r="F260" s="51">
        <v>26.428999999999998</v>
      </c>
      <c r="G260" s="52">
        <v>0</v>
      </c>
      <c r="H260" s="51">
        <f>F260*G260</f>
        <v>0</v>
      </c>
      <c r="J260" s="41"/>
      <c r="Z260" s="51">
        <f>IF(AQ260="5",BJ260,0)</f>
        <v>0</v>
      </c>
      <c r="AB260" s="51">
        <f>IF(AQ260="1",BH260,0)</f>
        <v>0</v>
      </c>
      <c r="AC260" s="51">
        <f>IF(AQ260="1",BI260,0)</f>
        <v>0</v>
      </c>
      <c r="AD260" s="51">
        <f>IF(AQ260="7",BH260,0)</f>
        <v>0</v>
      </c>
      <c r="AE260" s="51">
        <f>IF(AQ260="7",BI260,0)</f>
        <v>0</v>
      </c>
      <c r="AF260" s="51">
        <f>IF(AQ260="2",BH260,0)</f>
        <v>0</v>
      </c>
      <c r="AG260" s="51">
        <f>IF(AQ260="2",BI260,0)</f>
        <v>0</v>
      </c>
      <c r="AH260" s="51">
        <f>IF(AQ260="0",BJ260,0)</f>
        <v>0</v>
      </c>
      <c r="AI260" s="35" t="s">
        <v>4</v>
      </c>
      <c r="AJ260" s="51">
        <f>IF(AN260=0,H260,0)</f>
        <v>0</v>
      </c>
      <c r="AK260" s="51">
        <f>IF(AN260=12,H260,0)</f>
        <v>0</v>
      </c>
      <c r="AL260" s="51">
        <f>IF(AN260=21,H260,0)</f>
        <v>0</v>
      </c>
      <c r="AN260" s="51">
        <v>12</v>
      </c>
      <c r="AO260" s="51">
        <f>G260*0.1743364</f>
        <v>0</v>
      </c>
      <c r="AP260" s="51">
        <f>G260*(1-0.1743364)</f>
        <v>0</v>
      </c>
      <c r="AQ260" s="53" t="s">
        <v>148</v>
      </c>
      <c r="AV260" s="51">
        <f>AW260+AX260</f>
        <v>0</v>
      </c>
      <c r="AW260" s="51">
        <f>F260*AO260</f>
        <v>0</v>
      </c>
      <c r="AX260" s="51">
        <f>F260*AP260</f>
        <v>0</v>
      </c>
      <c r="AY260" s="53" t="s">
        <v>669</v>
      </c>
      <c r="AZ260" s="53" t="s">
        <v>609</v>
      </c>
      <c r="BA260" s="35" t="s">
        <v>117</v>
      </c>
      <c r="BC260" s="51">
        <f>AW260+AX260</f>
        <v>0</v>
      </c>
      <c r="BD260" s="51">
        <f>G260/(100-BE260)*100</f>
        <v>0</v>
      </c>
      <c r="BE260" s="51">
        <v>0</v>
      </c>
      <c r="BF260" s="51">
        <f>260</f>
        <v>260</v>
      </c>
      <c r="BH260" s="51">
        <f>F260*AO260</f>
        <v>0</v>
      </c>
      <c r="BI260" s="51">
        <f>F260*AP260</f>
        <v>0</v>
      </c>
      <c r="BJ260" s="51">
        <f>F260*G260</f>
        <v>0</v>
      </c>
      <c r="BK260" s="51"/>
      <c r="BL260" s="51">
        <v>777</v>
      </c>
      <c r="BW260" s="51">
        <v>12</v>
      </c>
      <c r="BX260" s="3" t="s">
        <v>668</v>
      </c>
    </row>
    <row r="261" spans="1:76">
      <c r="A261" s="54"/>
      <c r="C261" s="56" t="s">
        <v>643</v>
      </c>
      <c r="D261" s="57" t="s">
        <v>650</v>
      </c>
      <c r="F261" s="58">
        <v>2.9620000000000002</v>
      </c>
      <c r="J261" s="41"/>
    </row>
    <row r="262" spans="1:76">
      <c r="A262" s="54"/>
      <c r="C262" s="56" t="s">
        <v>644</v>
      </c>
      <c r="D262" s="57" t="s">
        <v>222</v>
      </c>
      <c r="F262" s="58">
        <v>14.805</v>
      </c>
      <c r="J262" s="41"/>
    </row>
    <row r="263" spans="1:76">
      <c r="A263" s="54"/>
      <c r="C263" s="56" t="s">
        <v>645</v>
      </c>
      <c r="D263" s="57" t="s">
        <v>219</v>
      </c>
      <c r="F263" s="58">
        <v>8.6620000000000008</v>
      </c>
      <c r="J263" s="41"/>
    </row>
    <row r="264" spans="1:76">
      <c r="A264" s="1" t="s">
        <v>670</v>
      </c>
      <c r="B264" s="2" t="s">
        <v>671</v>
      </c>
      <c r="C264" s="75" t="s">
        <v>672</v>
      </c>
      <c r="D264" s="70"/>
      <c r="E264" s="2" t="s">
        <v>124</v>
      </c>
      <c r="F264" s="51">
        <v>26.428999999999998</v>
      </c>
      <c r="G264" s="52">
        <v>0</v>
      </c>
      <c r="H264" s="51">
        <f>F264*G264</f>
        <v>0</v>
      </c>
      <c r="J264" s="41"/>
      <c r="Z264" s="51">
        <f>IF(AQ264="5",BJ264,0)</f>
        <v>0</v>
      </c>
      <c r="AB264" s="51">
        <f>IF(AQ264="1",BH264,0)</f>
        <v>0</v>
      </c>
      <c r="AC264" s="51">
        <f>IF(AQ264="1",BI264,0)</f>
        <v>0</v>
      </c>
      <c r="AD264" s="51">
        <f>IF(AQ264="7",BH264,0)</f>
        <v>0</v>
      </c>
      <c r="AE264" s="51">
        <f>IF(AQ264="7",BI264,0)</f>
        <v>0</v>
      </c>
      <c r="AF264" s="51">
        <f>IF(AQ264="2",BH264,0)</f>
        <v>0</v>
      </c>
      <c r="AG264" s="51">
        <f>IF(AQ264="2",BI264,0)</f>
        <v>0</v>
      </c>
      <c r="AH264" s="51">
        <f>IF(AQ264="0",BJ264,0)</f>
        <v>0</v>
      </c>
      <c r="AI264" s="35" t="s">
        <v>4</v>
      </c>
      <c r="AJ264" s="51">
        <f>IF(AN264=0,H264,0)</f>
        <v>0</v>
      </c>
      <c r="AK264" s="51">
        <f>IF(AN264=12,H264,0)</f>
        <v>0</v>
      </c>
      <c r="AL264" s="51">
        <f>IF(AN264=21,H264,0)</f>
        <v>0</v>
      </c>
      <c r="AN264" s="51">
        <v>12</v>
      </c>
      <c r="AO264" s="51">
        <f>G264*0.231018875</f>
        <v>0</v>
      </c>
      <c r="AP264" s="51">
        <f>G264*(1-0.231018875)</f>
        <v>0</v>
      </c>
      <c r="AQ264" s="53" t="s">
        <v>148</v>
      </c>
      <c r="AV264" s="51">
        <f>AW264+AX264</f>
        <v>0</v>
      </c>
      <c r="AW264" s="51">
        <f>F264*AO264</f>
        <v>0</v>
      </c>
      <c r="AX264" s="51">
        <f>F264*AP264</f>
        <v>0</v>
      </c>
      <c r="AY264" s="53" t="s">
        <v>669</v>
      </c>
      <c r="AZ264" s="53" t="s">
        <v>609</v>
      </c>
      <c r="BA264" s="35" t="s">
        <v>117</v>
      </c>
      <c r="BC264" s="51">
        <f>AW264+AX264</f>
        <v>0</v>
      </c>
      <c r="BD264" s="51">
        <f>G264/(100-BE264)*100</f>
        <v>0</v>
      </c>
      <c r="BE264" s="51">
        <v>0</v>
      </c>
      <c r="BF264" s="51">
        <f>264</f>
        <v>264</v>
      </c>
      <c r="BH264" s="51">
        <f>F264*AO264</f>
        <v>0</v>
      </c>
      <c r="BI264" s="51">
        <f>F264*AP264</f>
        <v>0</v>
      </c>
      <c r="BJ264" s="51">
        <f>F264*G264</f>
        <v>0</v>
      </c>
      <c r="BK264" s="51"/>
      <c r="BL264" s="51">
        <v>777</v>
      </c>
      <c r="BW264" s="51">
        <v>12</v>
      </c>
      <c r="BX264" s="3" t="s">
        <v>672</v>
      </c>
    </row>
    <row r="265" spans="1:76">
      <c r="A265" s="1" t="s">
        <v>673</v>
      </c>
      <c r="B265" s="2" t="s">
        <v>674</v>
      </c>
      <c r="C265" s="75" t="s">
        <v>675</v>
      </c>
      <c r="D265" s="70"/>
      <c r="E265" s="2" t="s">
        <v>318</v>
      </c>
      <c r="F265" s="51">
        <v>8.1000000000000003E-2</v>
      </c>
      <c r="G265" s="52">
        <v>0</v>
      </c>
      <c r="H265" s="51">
        <f>F265*G265</f>
        <v>0</v>
      </c>
      <c r="J265" s="41"/>
      <c r="Z265" s="51">
        <f>IF(AQ265="5",BJ265,0)</f>
        <v>0</v>
      </c>
      <c r="AB265" s="51">
        <f>IF(AQ265="1",BH265,0)</f>
        <v>0</v>
      </c>
      <c r="AC265" s="51">
        <f>IF(AQ265="1",BI265,0)</f>
        <v>0</v>
      </c>
      <c r="AD265" s="51">
        <f>IF(AQ265="7",BH265,0)</f>
        <v>0</v>
      </c>
      <c r="AE265" s="51">
        <f>IF(AQ265="7",BI265,0)</f>
        <v>0</v>
      </c>
      <c r="AF265" s="51">
        <f>IF(AQ265="2",BH265,0)</f>
        <v>0</v>
      </c>
      <c r="AG265" s="51">
        <f>IF(AQ265="2",BI265,0)</f>
        <v>0</v>
      </c>
      <c r="AH265" s="51">
        <f>IF(AQ265="0",BJ265,0)</f>
        <v>0</v>
      </c>
      <c r="AI265" s="35" t="s">
        <v>4</v>
      </c>
      <c r="AJ265" s="51">
        <f>IF(AN265=0,H265,0)</f>
        <v>0</v>
      </c>
      <c r="AK265" s="51">
        <f>IF(AN265=12,H265,0)</f>
        <v>0</v>
      </c>
      <c r="AL265" s="51">
        <f>IF(AN265=21,H265,0)</f>
        <v>0</v>
      </c>
      <c r="AN265" s="51">
        <v>12</v>
      </c>
      <c r="AO265" s="51">
        <f>G265*0</f>
        <v>0</v>
      </c>
      <c r="AP265" s="51">
        <f>G265*(1-0)</f>
        <v>0</v>
      </c>
      <c r="AQ265" s="53" t="s">
        <v>137</v>
      </c>
      <c r="AV265" s="51">
        <f>AW265+AX265</f>
        <v>0</v>
      </c>
      <c r="AW265" s="51">
        <f>F265*AO265</f>
        <v>0</v>
      </c>
      <c r="AX265" s="51">
        <f>F265*AP265</f>
        <v>0</v>
      </c>
      <c r="AY265" s="53" t="s">
        <v>669</v>
      </c>
      <c r="AZ265" s="53" t="s">
        <v>609</v>
      </c>
      <c r="BA265" s="35" t="s">
        <v>117</v>
      </c>
      <c r="BC265" s="51">
        <f>AW265+AX265</f>
        <v>0</v>
      </c>
      <c r="BD265" s="51">
        <f>G265/(100-BE265)*100</f>
        <v>0</v>
      </c>
      <c r="BE265" s="51">
        <v>0</v>
      </c>
      <c r="BF265" s="51">
        <f>265</f>
        <v>265</v>
      </c>
      <c r="BH265" s="51">
        <f>F265*AO265</f>
        <v>0</v>
      </c>
      <c r="BI265" s="51">
        <f>F265*AP265</f>
        <v>0</v>
      </c>
      <c r="BJ265" s="51">
        <f>F265*G265</f>
        <v>0</v>
      </c>
      <c r="BK265" s="51"/>
      <c r="BL265" s="51">
        <v>777</v>
      </c>
      <c r="BW265" s="51">
        <v>12</v>
      </c>
      <c r="BX265" s="3" t="s">
        <v>675</v>
      </c>
    </row>
    <row r="266" spans="1:76">
      <c r="A266" s="47" t="s">
        <v>4</v>
      </c>
      <c r="B266" s="48" t="s">
        <v>676</v>
      </c>
      <c r="C266" s="150" t="s">
        <v>677</v>
      </c>
      <c r="D266" s="151"/>
      <c r="E266" s="49" t="s">
        <v>79</v>
      </c>
      <c r="F266" s="49" t="s">
        <v>79</v>
      </c>
      <c r="G266" s="50" t="s">
        <v>79</v>
      </c>
      <c r="H266" s="28">
        <f>SUM(H267:H278)</f>
        <v>0</v>
      </c>
      <c r="J266" s="41"/>
      <c r="AI266" s="35" t="s">
        <v>4</v>
      </c>
      <c r="AS266" s="28">
        <f>SUM(AJ267:AJ278)</f>
        <v>0</v>
      </c>
      <c r="AT266" s="28">
        <f>SUM(AK267:AK278)</f>
        <v>0</v>
      </c>
      <c r="AU266" s="28">
        <f>SUM(AL267:AL278)</f>
        <v>0</v>
      </c>
    </row>
    <row r="267" spans="1:76">
      <c r="A267" s="1" t="s">
        <v>678</v>
      </c>
      <c r="B267" s="2" t="s">
        <v>679</v>
      </c>
      <c r="C267" s="75" t="s">
        <v>680</v>
      </c>
      <c r="D267" s="70"/>
      <c r="E267" s="2" t="s">
        <v>124</v>
      </c>
      <c r="F267" s="51">
        <v>13.555</v>
      </c>
      <c r="G267" s="52">
        <v>0</v>
      </c>
      <c r="H267" s="51">
        <f>F267*G267</f>
        <v>0</v>
      </c>
      <c r="J267" s="41"/>
      <c r="Z267" s="51">
        <f>IF(AQ267="5",BJ267,0)</f>
        <v>0</v>
      </c>
      <c r="AB267" s="51">
        <f>IF(AQ267="1",BH267,0)</f>
        <v>0</v>
      </c>
      <c r="AC267" s="51">
        <f>IF(AQ267="1",BI267,0)</f>
        <v>0</v>
      </c>
      <c r="AD267" s="51">
        <f>IF(AQ267="7",BH267,0)</f>
        <v>0</v>
      </c>
      <c r="AE267" s="51">
        <f>IF(AQ267="7",BI267,0)</f>
        <v>0</v>
      </c>
      <c r="AF267" s="51">
        <f>IF(AQ267="2",BH267,0)</f>
        <v>0</v>
      </c>
      <c r="AG267" s="51">
        <f>IF(AQ267="2",BI267,0)</f>
        <v>0</v>
      </c>
      <c r="AH267" s="51">
        <f>IF(AQ267="0",BJ267,0)</f>
        <v>0</v>
      </c>
      <c r="AI267" s="35" t="s">
        <v>4</v>
      </c>
      <c r="AJ267" s="51">
        <f>IF(AN267=0,H267,0)</f>
        <v>0</v>
      </c>
      <c r="AK267" s="51">
        <f>IF(AN267=12,H267,0)</f>
        <v>0</v>
      </c>
      <c r="AL267" s="51">
        <f>IF(AN267=21,H267,0)</f>
        <v>0</v>
      </c>
      <c r="AN267" s="51">
        <v>12</v>
      </c>
      <c r="AO267" s="51">
        <f>G267*0.182075209</f>
        <v>0</v>
      </c>
      <c r="AP267" s="51">
        <f>G267*(1-0.182075209)</f>
        <v>0</v>
      </c>
      <c r="AQ267" s="53" t="s">
        <v>148</v>
      </c>
      <c r="AV267" s="51">
        <f>AW267+AX267</f>
        <v>0</v>
      </c>
      <c r="AW267" s="51">
        <f>F267*AO267</f>
        <v>0</v>
      </c>
      <c r="AX267" s="51">
        <f>F267*AP267</f>
        <v>0</v>
      </c>
      <c r="AY267" s="53" t="s">
        <v>681</v>
      </c>
      <c r="AZ267" s="53" t="s">
        <v>682</v>
      </c>
      <c r="BA267" s="35" t="s">
        <v>117</v>
      </c>
      <c r="BC267" s="51">
        <f>AW267+AX267</f>
        <v>0</v>
      </c>
      <c r="BD267" s="51">
        <f>G267/(100-BE267)*100</f>
        <v>0</v>
      </c>
      <c r="BE267" s="51">
        <v>0</v>
      </c>
      <c r="BF267" s="51">
        <f>267</f>
        <v>267</v>
      </c>
      <c r="BH267" s="51">
        <f>F267*AO267</f>
        <v>0</v>
      </c>
      <c r="BI267" s="51">
        <f>F267*AP267</f>
        <v>0</v>
      </c>
      <c r="BJ267" s="51">
        <f>F267*G267</f>
        <v>0</v>
      </c>
      <c r="BK267" s="51"/>
      <c r="BL267" s="51">
        <v>781</v>
      </c>
      <c r="BW267" s="51">
        <v>12</v>
      </c>
      <c r="BX267" s="3" t="s">
        <v>680</v>
      </c>
    </row>
    <row r="268" spans="1:76">
      <c r="A268" s="54"/>
      <c r="C268" s="56" t="s">
        <v>307</v>
      </c>
      <c r="D268" s="57" t="s">
        <v>190</v>
      </c>
      <c r="F268" s="58">
        <v>10.17</v>
      </c>
      <c r="J268" s="41"/>
    </row>
    <row r="269" spans="1:76">
      <c r="A269" s="54"/>
      <c r="C269" s="56" t="s">
        <v>683</v>
      </c>
      <c r="D269" s="57" t="s">
        <v>4</v>
      </c>
      <c r="F269" s="58">
        <v>0.6</v>
      </c>
      <c r="J269" s="41"/>
    </row>
    <row r="270" spans="1:76">
      <c r="A270" s="54"/>
      <c r="C270" s="56" t="s">
        <v>162</v>
      </c>
      <c r="D270" s="57" t="s">
        <v>623</v>
      </c>
      <c r="F270" s="58">
        <v>2.2050000000000001</v>
      </c>
      <c r="J270" s="41"/>
    </row>
    <row r="271" spans="1:76">
      <c r="A271" s="54"/>
      <c r="C271" s="56" t="s">
        <v>164</v>
      </c>
      <c r="D271" s="57" t="s">
        <v>4</v>
      </c>
      <c r="F271" s="58">
        <v>0.57999999999999996</v>
      </c>
      <c r="J271" s="41"/>
    </row>
    <row r="272" spans="1:76">
      <c r="A272" s="1" t="s">
        <v>684</v>
      </c>
      <c r="B272" s="2" t="s">
        <v>685</v>
      </c>
      <c r="C272" s="75" t="s">
        <v>686</v>
      </c>
      <c r="D272" s="70"/>
      <c r="E272" s="2" t="s">
        <v>124</v>
      </c>
      <c r="F272" s="51">
        <v>2.7850000000000001</v>
      </c>
      <c r="G272" s="52">
        <v>0</v>
      </c>
      <c r="H272" s="51">
        <f>F272*G272</f>
        <v>0</v>
      </c>
      <c r="J272" s="41"/>
      <c r="Z272" s="51">
        <f>IF(AQ272="5",BJ272,0)</f>
        <v>0</v>
      </c>
      <c r="AB272" s="51">
        <f>IF(AQ272="1",BH272,0)</f>
        <v>0</v>
      </c>
      <c r="AC272" s="51">
        <f>IF(AQ272="1",BI272,0)</f>
        <v>0</v>
      </c>
      <c r="AD272" s="51">
        <f>IF(AQ272="7",BH272,0)</f>
        <v>0</v>
      </c>
      <c r="AE272" s="51">
        <f>IF(AQ272="7",BI272,0)</f>
        <v>0</v>
      </c>
      <c r="AF272" s="51">
        <f>IF(AQ272="2",BH272,0)</f>
        <v>0</v>
      </c>
      <c r="AG272" s="51">
        <f>IF(AQ272="2",BI272,0)</f>
        <v>0</v>
      </c>
      <c r="AH272" s="51">
        <f>IF(AQ272="0",BJ272,0)</f>
        <v>0</v>
      </c>
      <c r="AI272" s="35" t="s">
        <v>4</v>
      </c>
      <c r="AJ272" s="51">
        <f>IF(AN272=0,H272,0)</f>
        <v>0</v>
      </c>
      <c r="AK272" s="51">
        <f>IF(AN272=12,H272,0)</f>
        <v>0</v>
      </c>
      <c r="AL272" s="51">
        <f>IF(AN272=21,H272,0)</f>
        <v>0</v>
      </c>
      <c r="AN272" s="51">
        <v>12</v>
      </c>
      <c r="AO272" s="51">
        <f>G272*0</f>
        <v>0</v>
      </c>
      <c r="AP272" s="51">
        <f>G272*(1-0)</f>
        <v>0</v>
      </c>
      <c r="AQ272" s="53" t="s">
        <v>148</v>
      </c>
      <c r="AV272" s="51">
        <f>AW272+AX272</f>
        <v>0</v>
      </c>
      <c r="AW272" s="51">
        <f>F272*AO272</f>
        <v>0</v>
      </c>
      <c r="AX272" s="51">
        <f>F272*AP272</f>
        <v>0</v>
      </c>
      <c r="AY272" s="53" t="s">
        <v>681</v>
      </c>
      <c r="AZ272" s="53" t="s">
        <v>682</v>
      </c>
      <c r="BA272" s="35" t="s">
        <v>117</v>
      </c>
      <c r="BC272" s="51">
        <f>AW272+AX272</f>
        <v>0</v>
      </c>
      <c r="BD272" s="51">
        <f>G272/(100-BE272)*100</f>
        <v>0</v>
      </c>
      <c r="BE272" s="51">
        <v>0</v>
      </c>
      <c r="BF272" s="51">
        <f>272</f>
        <v>272</v>
      </c>
      <c r="BH272" s="51">
        <f>F272*AO272</f>
        <v>0</v>
      </c>
      <c r="BI272" s="51">
        <f>F272*AP272</f>
        <v>0</v>
      </c>
      <c r="BJ272" s="51">
        <f>F272*G272</f>
        <v>0</v>
      </c>
      <c r="BK272" s="51"/>
      <c r="BL272" s="51">
        <v>781</v>
      </c>
      <c r="BW272" s="51">
        <v>12</v>
      </c>
      <c r="BX272" s="3" t="s">
        <v>686</v>
      </c>
    </row>
    <row r="273" spans="1:76">
      <c r="A273" s="1" t="s">
        <v>687</v>
      </c>
      <c r="B273" s="2" t="s">
        <v>688</v>
      </c>
      <c r="C273" s="75" t="s">
        <v>689</v>
      </c>
      <c r="D273" s="70"/>
      <c r="E273" s="2" t="s">
        <v>134</v>
      </c>
      <c r="F273" s="51">
        <v>7.5</v>
      </c>
      <c r="G273" s="52">
        <v>0</v>
      </c>
      <c r="H273" s="51">
        <f>F273*G273</f>
        <v>0</v>
      </c>
      <c r="J273" s="41"/>
      <c r="Z273" s="51">
        <f>IF(AQ273="5",BJ273,0)</f>
        <v>0</v>
      </c>
      <c r="AB273" s="51">
        <f>IF(AQ273="1",BH273,0)</f>
        <v>0</v>
      </c>
      <c r="AC273" s="51">
        <f>IF(AQ273="1",BI273,0)</f>
        <v>0</v>
      </c>
      <c r="AD273" s="51">
        <f>IF(AQ273="7",BH273,0)</f>
        <v>0</v>
      </c>
      <c r="AE273" s="51">
        <f>IF(AQ273="7",BI273,0)</f>
        <v>0</v>
      </c>
      <c r="AF273" s="51">
        <f>IF(AQ273="2",BH273,0)</f>
        <v>0</v>
      </c>
      <c r="AG273" s="51">
        <f>IF(AQ273="2",BI273,0)</f>
        <v>0</v>
      </c>
      <c r="AH273" s="51">
        <f>IF(AQ273="0",BJ273,0)</f>
        <v>0</v>
      </c>
      <c r="AI273" s="35" t="s">
        <v>4</v>
      </c>
      <c r="AJ273" s="51">
        <f>IF(AN273=0,H273,0)</f>
        <v>0</v>
      </c>
      <c r="AK273" s="51">
        <f>IF(AN273=12,H273,0)</f>
        <v>0</v>
      </c>
      <c r="AL273" s="51">
        <f>IF(AN273=21,H273,0)</f>
        <v>0</v>
      </c>
      <c r="AN273" s="51">
        <v>12</v>
      </c>
      <c r="AO273" s="51">
        <f>G273*0.05314554</f>
        <v>0</v>
      </c>
      <c r="AP273" s="51">
        <f>G273*(1-0.05314554)</f>
        <v>0</v>
      </c>
      <c r="AQ273" s="53" t="s">
        <v>148</v>
      </c>
      <c r="AV273" s="51">
        <f>AW273+AX273</f>
        <v>0</v>
      </c>
      <c r="AW273" s="51">
        <f>F273*AO273</f>
        <v>0</v>
      </c>
      <c r="AX273" s="51">
        <f>F273*AP273</f>
        <v>0</v>
      </c>
      <c r="AY273" s="53" t="s">
        <v>681</v>
      </c>
      <c r="AZ273" s="53" t="s">
        <v>682</v>
      </c>
      <c r="BA273" s="35" t="s">
        <v>117</v>
      </c>
      <c r="BC273" s="51">
        <f>AW273+AX273</f>
        <v>0</v>
      </c>
      <c r="BD273" s="51">
        <f>G273/(100-BE273)*100</f>
        <v>0</v>
      </c>
      <c r="BE273" s="51">
        <v>0</v>
      </c>
      <c r="BF273" s="51">
        <f>273</f>
        <v>273</v>
      </c>
      <c r="BH273" s="51">
        <f>F273*AO273</f>
        <v>0</v>
      </c>
      <c r="BI273" s="51">
        <f>F273*AP273</f>
        <v>0</v>
      </c>
      <c r="BJ273" s="51">
        <f>F273*G273</f>
        <v>0</v>
      </c>
      <c r="BK273" s="51"/>
      <c r="BL273" s="51">
        <v>781</v>
      </c>
      <c r="BW273" s="51">
        <v>12</v>
      </c>
      <c r="BX273" s="3" t="s">
        <v>689</v>
      </c>
    </row>
    <row r="274" spans="1:76">
      <c r="A274" s="54"/>
      <c r="C274" s="56" t="s">
        <v>621</v>
      </c>
      <c r="D274" s="57" t="s">
        <v>4</v>
      </c>
      <c r="F274" s="58">
        <v>7.5</v>
      </c>
      <c r="J274" s="41"/>
    </row>
    <row r="275" spans="1:76">
      <c r="A275" s="1" t="s">
        <v>690</v>
      </c>
      <c r="B275" s="2" t="s">
        <v>691</v>
      </c>
      <c r="C275" s="75" t="s">
        <v>692</v>
      </c>
      <c r="D275" s="70"/>
      <c r="E275" s="2" t="s">
        <v>114</v>
      </c>
      <c r="F275" s="51">
        <v>8</v>
      </c>
      <c r="G275" s="52">
        <v>0</v>
      </c>
      <c r="H275" s="51">
        <f>F275*G275</f>
        <v>0</v>
      </c>
      <c r="J275" s="41"/>
      <c r="Z275" s="51">
        <f>IF(AQ275="5",BJ275,0)</f>
        <v>0</v>
      </c>
      <c r="AB275" s="51">
        <f>IF(AQ275="1",BH275,0)</f>
        <v>0</v>
      </c>
      <c r="AC275" s="51">
        <f>IF(AQ275="1",BI275,0)</f>
        <v>0</v>
      </c>
      <c r="AD275" s="51">
        <f>IF(AQ275="7",BH275,0)</f>
        <v>0</v>
      </c>
      <c r="AE275" s="51">
        <f>IF(AQ275="7",BI275,0)</f>
        <v>0</v>
      </c>
      <c r="AF275" s="51">
        <f>IF(AQ275="2",BH275,0)</f>
        <v>0</v>
      </c>
      <c r="AG275" s="51">
        <f>IF(AQ275="2",BI275,0)</f>
        <v>0</v>
      </c>
      <c r="AH275" s="51">
        <f>IF(AQ275="0",BJ275,0)</f>
        <v>0</v>
      </c>
      <c r="AI275" s="35" t="s">
        <v>4</v>
      </c>
      <c r="AJ275" s="51">
        <f>IF(AN275=0,H275,0)</f>
        <v>0</v>
      </c>
      <c r="AK275" s="51">
        <f>IF(AN275=12,H275,0)</f>
        <v>0</v>
      </c>
      <c r="AL275" s="51">
        <f>IF(AN275=21,H275,0)</f>
        <v>0</v>
      </c>
      <c r="AN275" s="51">
        <v>12</v>
      </c>
      <c r="AO275" s="51">
        <f>G275*0.062462908</f>
        <v>0</v>
      </c>
      <c r="AP275" s="51">
        <f>G275*(1-0.062462908)</f>
        <v>0</v>
      </c>
      <c r="AQ275" s="53" t="s">
        <v>148</v>
      </c>
      <c r="AV275" s="51">
        <f>AW275+AX275</f>
        <v>0</v>
      </c>
      <c r="AW275" s="51">
        <f>F275*AO275</f>
        <v>0</v>
      </c>
      <c r="AX275" s="51">
        <f>F275*AP275</f>
        <v>0</v>
      </c>
      <c r="AY275" s="53" t="s">
        <v>681</v>
      </c>
      <c r="AZ275" s="53" t="s">
        <v>682</v>
      </c>
      <c r="BA275" s="35" t="s">
        <v>117</v>
      </c>
      <c r="BC275" s="51">
        <f>AW275+AX275</f>
        <v>0</v>
      </c>
      <c r="BD275" s="51">
        <f>G275/(100-BE275)*100</f>
        <v>0</v>
      </c>
      <c r="BE275" s="51">
        <v>0</v>
      </c>
      <c r="BF275" s="51">
        <f>275</f>
        <v>275</v>
      </c>
      <c r="BH275" s="51">
        <f>F275*AO275</f>
        <v>0</v>
      </c>
      <c r="BI275" s="51">
        <f>F275*AP275</f>
        <v>0</v>
      </c>
      <c r="BJ275" s="51">
        <f>F275*G275</f>
        <v>0</v>
      </c>
      <c r="BK275" s="51"/>
      <c r="BL275" s="51">
        <v>781</v>
      </c>
      <c r="BW275" s="51">
        <v>12</v>
      </c>
      <c r="BX275" s="3" t="s">
        <v>692</v>
      </c>
    </row>
    <row r="276" spans="1:76">
      <c r="A276" s="1" t="s">
        <v>693</v>
      </c>
      <c r="B276" s="2" t="s">
        <v>694</v>
      </c>
      <c r="C276" s="75" t="s">
        <v>695</v>
      </c>
      <c r="D276" s="70"/>
      <c r="E276" s="2" t="s">
        <v>124</v>
      </c>
      <c r="F276" s="51">
        <v>14.911</v>
      </c>
      <c r="G276" s="52">
        <v>0</v>
      </c>
      <c r="H276" s="51">
        <f>F276*G276</f>
        <v>0</v>
      </c>
      <c r="J276" s="41"/>
      <c r="Z276" s="51">
        <f>IF(AQ276="5",BJ276,0)</f>
        <v>0</v>
      </c>
      <c r="AB276" s="51">
        <f>IF(AQ276="1",BH276,0)</f>
        <v>0</v>
      </c>
      <c r="AC276" s="51">
        <f>IF(AQ276="1",BI276,0)</f>
        <v>0</v>
      </c>
      <c r="AD276" s="51">
        <f>IF(AQ276="7",BH276,0)</f>
        <v>0</v>
      </c>
      <c r="AE276" s="51">
        <f>IF(AQ276="7",BI276,0)</f>
        <v>0</v>
      </c>
      <c r="AF276" s="51">
        <f>IF(AQ276="2",BH276,0)</f>
        <v>0</v>
      </c>
      <c r="AG276" s="51">
        <f>IF(AQ276="2",BI276,0)</f>
        <v>0</v>
      </c>
      <c r="AH276" s="51">
        <f>IF(AQ276="0",BJ276,0)</f>
        <v>0</v>
      </c>
      <c r="AI276" s="35" t="s">
        <v>4</v>
      </c>
      <c r="AJ276" s="51">
        <f>IF(AN276=0,H276,0)</f>
        <v>0</v>
      </c>
      <c r="AK276" s="51">
        <f>IF(AN276=12,H276,0)</f>
        <v>0</v>
      </c>
      <c r="AL276" s="51">
        <f>IF(AN276=21,H276,0)</f>
        <v>0</v>
      </c>
      <c r="AN276" s="51">
        <v>12</v>
      </c>
      <c r="AO276" s="51">
        <f>G276*1</f>
        <v>0</v>
      </c>
      <c r="AP276" s="51">
        <f>G276*(1-1)</f>
        <v>0</v>
      </c>
      <c r="AQ276" s="53" t="s">
        <v>148</v>
      </c>
      <c r="AV276" s="51">
        <f>AW276+AX276</f>
        <v>0</v>
      </c>
      <c r="AW276" s="51">
        <f>F276*AO276</f>
        <v>0</v>
      </c>
      <c r="AX276" s="51">
        <f>F276*AP276</f>
        <v>0</v>
      </c>
      <c r="AY276" s="53" t="s">
        <v>681</v>
      </c>
      <c r="AZ276" s="53" t="s">
        <v>682</v>
      </c>
      <c r="BA276" s="35" t="s">
        <v>117</v>
      </c>
      <c r="BC276" s="51">
        <f>AW276+AX276</f>
        <v>0</v>
      </c>
      <c r="BD276" s="51">
        <f>G276/(100-BE276)*100</f>
        <v>0</v>
      </c>
      <c r="BE276" s="51">
        <v>0</v>
      </c>
      <c r="BF276" s="51">
        <f>276</f>
        <v>276</v>
      </c>
      <c r="BH276" s="51">
        <f>F276*AO276</f>
        <v>0</v>
      </c>
      <c r="BI276" s="51">
        <f>F276*AP276</f>
        <v>0</v>
      </c>
      <c r="BJ276" s="51">
        <f>F276*G276</f>
        <v>0</v>
      </c>
      <c r="BK276" s="51"/>
      <c r="BL276" s="51">
        <v>781</v>
      </c>
      <c r="BW276" s="51">
        <v>12</v>
      </c>
      <c r="BX276" s="3" t="s">
        <v>695</v>
      </c>
    </row>
    <row r="277" spans="1:76">
      <c r="A277" s="54"/>
      <c r="C277" s="56" t="s">
        <v>696</v>
      </c>
      <c r="D277" s="57" t="s">
        <v>4</v>
      </c>
      <c r="F277" s="58">
        <v>14.911</v>
      </c>
      <c r="J277" s="41"/>
    </row>
    <row r="278" spans="1:76">
      <c r="A278" s="1" t="s">
        <v>697</v>
      </c>
      <c r="B278" s="2" t="s">
        <v>698</v>
      </c>
      <c r="C278" s="75" t="s">
        <v>699</v>
      </c>
      <c r="D278" s="70"/>
      <c r="E278" s="2" t="s">
        <v>318</v>
      </c>
      <c r="F278" s="51">
        <v>0.249</v>
      </c>
      <c r="G278" s="52">
        <v>0</v>
      </c>
      <c r="H278" s="51">
        <f>F278*G278</f>
        <v>0</v>
      </c>
      <c r="J278" s="41"/>
      <c r="Z278" s="51">
        <f>IF(AQ278="5",BJ278,0)</f>
        <v>0</v>
      </c>
      <c r="AB278" s="51">
        <f>IF(AQ278="1",BH278,0)</f>
        <v>0</v>
      </c>
      <c r="AC278" s="51">
        <f>IF(AQ278="1",BI278,0)</f>
        <v>0</v>
      </c>
      <c r="AD278" s="51">
        <f>IF(AQ278="7",BH278,0)</f>
        <v>0</v>
      </c>
      <c r="AE278" s="51">
        <f>IF(AQ278="7",BI278,0)</f>
        <v>0</v>
      </c>
      <c r="AF278" s="51">
        <f>IF(AQ278="2",BH278,0)</f>
        <v>0</v>
      </c>
      <c r="AG278" s="51">
        <f>IF(AQ278="2",BI278,0)</f>
        <v>0</v>
      </c>
      <c r="AH278" s="51">
        <f>IF(AQ278="0",BJ278,0)</f>
        <v>0</v>
      </c>
      <c r="AI278" s="35" t="s">
        <v>4</v>
      </c>
      <c r="AJ278" s="51">
        <f>IF(AN278=0,H278,0)</f>
        <v>0</v>
      </c>
      <c r="AK278" s="51">
        <f>IF(AN278=12,H278,0)</f>
        <v>0</v>
      </c>
      <c r="AL278" s="51">
        <f>IF(AN278=21,H278,0)</f>
        <v>0</v>
      </c>
      <c r="AN278" s="51">
        <v>12</v>
      </c>
      <c r="AO278" s="51">
        <f>G278*0</f>
        <v>0</v>
      </c>
      <c r="AP278" s="51">
        <f>G278*(1-0)</f>
        <v>0</v>
      </c>
      <c r="AQ278" s="53" t="s">
        <v>137</v>
      </c>
      <c r="AV278" s="51">
        <f>AW278+AX278</f>
        <v>0</v>
      </c>
      <c r="AW278" s="51">
        <f>F278*AO278</f>
        <v>0</v>
      </c>
      <c r="AX278" s="51">
        <f>F278*AP278</f>
        <v>0</v>
      </c>
      <c r="AY278" s="53" t="s">
        <v>681</v>
      </c>
      <c r="AZ278" s="53" t="s">
        <v>682</v>
      </c>
      <c r="BA278" s="35" t="s">
        <v>117</v>
      </c>
      <c r="BC278" s="51">
        <f>AW278+AX278</f>
        <v>0</v>
      </c>
      <c r="BD278" s="51">
        <f>G278/(100-BE278)*100</f>
        <v>0</v>
      </c>
      <c r="BE278" s="51">
        <v>0</v>
      </c>
      <c r="BF278" s="51">
        <f>278</f>
        <v>278</v>
      </c>
      <c r="BH278" s="51">
        <f>F278*AO278</f>
        <v>0</v>
      </c>
      <c r="BI278" s="51">
        <f>F278*AP278</f>
        <v>0</v>
      </c>
      <c r="BJ278" s="51">
        <f>F278*G278</f>
        <v>0</v>
      </c>
      <c r="BK278" s="51"/>
      <c r="BL278" s="51">
        <v>781</v>
      </c>
      <c r="BW278" s="51">
        <v>12</v>
      </c>
      <c r="BX278" s="3" t="s">
        <v>699</v>
      </c>
    </row>
    <row r="279" spans="1:76">
      <c r="A279" s="47" t="s">
        <v>4</v>
      </c>
      <c r="B279" s="48" t="s">
        <v>700</v>
      </c>
      <c r="C279" s="150" t="s">
        <v>701</v>
      </c>
      <c r="D279" s="151"/>
      <c r="E279" s="49" t="s">
        <v>79</v>
      </c>
      <c r="F279" s="49" t="s">
        <v>79</v>
      </c>
      <c r="G279" s="50" t="s">
        <v>79</v>
      </c>
      <c r="H279" s="28">
        <f>SUM(H280:H280)</f>
        <v>0</v>
      </c>
      <c r="J279" s="41"/>
      <c r="AI279" s="35" t="s">
        <v>4</v>
      </c>
      <c r="AS279" s="28">
        <f>SUM(AJ280:AJ280)</f>
        <v>0</v>
      </c>
      <c r="AT279" s="28">
        <f>SUM(AK280:AK280)</f>
        <v>0</v>
      </c>
      <c r="AU279" s="28">
        <f>SUM(AL280:AL280)</f>
        <v>0</v>
      </c>
    </row>
    <row r="280" spans="1:76">
      <c r="A280" s="1" t="s">
        <v>702</v>
      </c>
      <c r="B280" s="2" t="s">
        <v>703</v>
      </c>
      <c r="C280" s="75" t="s">
        <v>704</v>
      </c>
      <c r="D280" s="70"/>
      <c r="E280" s="2" t="s">
        <v>584</v>
      </c>
      <c r="F280" s="51">
        <v>4</v>
      </c>
      <c r="G280" s="52">
        <v>0</v>
      </c>
      <c r="H280" s="51">
        <f>F280*G280</f>
        <v>0</v>
      </c>
      <c r="J280" s="41"/>
      <c r="Z280" s="51">
        <f>IF(AQ280="5",BJ280,0)</f>
        <v>0</v>
      </c>
      <c r="AB280" s="51">
        <f>IF(AQ280="1",BH280,0)</f>
        <v>0</v>
      </c>
      <c r="AC280" s="51">
        <f>IF(AQ280="1",BI280,0)</f>
        <v>0</v>
      </c>
      <c r="AD280" s="51">
        <f>IF(AQ280="7",BH280,0)</f>
        <v>0</v>
      </c>
      <c r="AE280" s="51">
        <f>IF(AQ280="7",BI280,0)</f>
        <v>0</v>
      </c>
      <c r="AF280" s="51">
        <f>IF(AQ280="2",BH280,0)</f>
        <v>0</v>
      </c>
      <c r="AG280" s="51">
        <f>IF(AQ280="2",BI280,0)</f>
        <v>0</v>
      </c>
      <c r="AH280" s="51">
        <f>IF(AQ280="0",BJ280,0)</f>
        <v>0</v>
      </c>
      <c r="AI280" s="35" t="s">
        <v>4</v>
      </c>
      <c r="AJ280" s="51">
        <f>IF(AN280=0,H280,0)</f>
        <v>0</v>
      </c>
      <c r="AK280" s="51">
        <f>IF(AN280=12,H280,0)</f>
        <v>0</v>
      </c>
      <c r="AL280" s="51">
        <f>IF(AN280=21,H280,0)</f>
        <v>0</v>
      </c>
      <c r="AN280" s="51">
        <v>12</v>
      </c>
      <c r="AO280" s="51">
        <f>G280*0.194314286</f>
        <v>0</v>
      </c>
      <c r="AP280" s="51">
        <f>G280*(1-0.194314286)</f>
        <v>0</v>
      </c>
      <c r="AQ280" s="53" t="s">
        <v>148</v>
      </c>
      <c r="AV280" s="51">
        <f>AW280+AX280</f>
        <v>0</v>
      </c>
      <c r="AW280" s="51">
        <f>F280*AO280</f>
        <v>0</v>
      </c>
      <c r="AX280" s="51">
        <f>F280*AP280</f>
        <v>0</v>
      </c>
      <c r="AY280" s="53" t="s">
        <v>705</v>
      </c>
      <c r="AZ280" s="53" t="s">
        <v>682</v>
      </c>
      <c r="BA280" s="35" t="s">
        <v>117</v>
      </c>
      <c r="BC280" s="51">
        <f>AW280+AX280</f>
        <v>0</v>
      </c>
      <c r="BD280" s="51">
        <f>G280/(100-BE280)*100</f>
        <v>0</v>
      </c>
      <c r="BE280" s="51">
        <v>0</v>
      </c>
      <c r="BF280" s="51">
        <f>280</f>
        <v>280</v>
      </c>
      <c r="BH280" s="51">
        <f>F280*AO280</f>
        <v>0</v>
      </c>
      <c r="BI280" s="51">
        <f>F280*AP280</f>
        <v>0</v>
      </c>
      <c r="BJ280" s="51">
        <f>F280*G280</f>
        <v>0</v>
      </c>
      <c r="BK280" s="51"/>
      <c r="BL280" s="51">
        <v>783</v>
      </c>
      <c r="BW280" s="51">
        <v>12</v>
      </c>
      <c r="BX280" s="3" t="s">
        <v>704</v>
      </c>
    </row>
    <row r="281" spans="1:76" ht="13.5" customHeight="1">
      <c r="A281" s="54"/>
      <c r="B281" s="55" t="s">
        <v>118</v>
      </c>
      <c r="C281" s="152" t="s">
        <v>706</v>
      </c>
      <c r="D281" s="153"/>
      <c r="E281" s="153"/>
      <c r="F281" s="153"/>
      <c r="G281" s="154"/>
      <c r="H281" s="153"/>
      <c r="I281" s="153"/>
      <c r="J281" s="155"/>
    </row>
    <row r="282" spans="1:76">
      <c r="A282" s="47" t="s">
        <v>4</v>
      </c>
      <c r="B282" s="48" t="s">
        <v>707</v>
      </c>
      <c r="C282" s="150" t="s">
        <v>708</v>
      </c>
      <c r="D282" s="151"/>
      <c r="E282" s="49" t="s">
        <v>79</v>
      </c>
      <c r="F282" s="49" t="s">
        <v>79</v>
      </c>
      <c r="G282" s="50" t="s">
        <v>79</v>
      </c>
      <c r="H282" s="28">
        <f>SUM(H283:H284)</f>
        <v>0</v>
      </c>
      <c r="J282" s="41"/>
      <c r="AI282" s="35" t="s">
        <v>4</v>
      </c>
      <c r="AS282" s="28">
        <f>SUM(AJ283:AJ284)</f>
        <v>0</v>
      </c>
      <c r="AT282" s="28">
        <f>SUM(AK283:AK284)</f>
        <v>0</v>
      </c>
      <c r="AU282" s="28">
        <f>SUM(AL283:AL284)</f>
        <v>0</v>
      </c>
    </row>
    <row r="283" spans="1:76">
      <c r="A283" s="1" t="s">
        <v>709</v>
      </c>
      <c r="B283" s="2" t="s">
        <v>710</v>
      </c>
      <c r="C283" s="75" t="s">
        <v>711</v>
      </c>
      <c r="D283" s="70"/>
      <c r="E283" s="2" t="s">
        <v>124</v>
      </c>
      <c r="F283" s="51">
        <v>127</v>
      </c>
      <c r="G283" s="52">
        <v>0</v>
      </c>
      <c r="H283" s="51">
        <f>F283*G283</f>
        <v>0</v>
      </c>
      <c r="J283" s="41"/>
      <c r="Z283" s="51">
        <f>IF(AQ283="5",BJ283,0)</f>
        <v>0</v>
      </c>
      <c r="AB283" s="51">
        <f>IF(AQ283="1",BH283,0)</f>
        <v>0</v>
      </c>
      <c r="AC283" s="51">
        <f>IF(AQ283="1",BI283,0)</f>
        <v>0</v>
      </c>
      <c r="AD283" s="51">
        <f>IF(AQ283="7",BH283,0)</f>
        <v>0</v>
      </c>
      <c r="AE283" s="51">
        <f>IF(AQ283="7",BI283,0)</f>
        <v>0</v>
      </c>
      <c r="AF283" s="51">
        <f>IF(AQ283="2",BH283,0)</f>
        <v>0</v>
      </c>
      <c r="AG283" s="51">
        <f>IF(AQ283="2",BI283,0)</f>
        <v>0</v>
      </c>
      <c r="AH283" s="51">
        <f>IF(AQ283="0",BJ283,0)</f>
        <v>0</v>
      </c>
      <c r="AI283" s="35" t="s">
        <v>4</v>
      </c>
      <c r="AJ283" s="51">
        <f>IF(AN283=0,H283,0)</f>
        <v>0</v>
      </c>
      <c r="AK283" s="51">
        <f>IF(AN283=12,H283,0)</f>
        <v>0</v>
      </c>
      <c r="AL283" s="51">
        <f>IF(AN283=21,H283,0)</f>
        <v>0</v>
      </c>
      <c r="AN283" s="51">
        <v>12</v>
      </c>
      <c r="AO283" s="51">
        <f>G283*0.271311794</f>
        <v>0</v>
      </c>
      <c r="AP283" s="51">
        <f>G283*(1-0.271311794)</f>
        <v>0</v>
      </c>
      <c r="AQ283" s="53" t="s">
        <v>148</v>
      </c>
      <c r="AV283" s="51">
        <f>AW283+AX283</f>
        <v>0</v>
      </c>
      <c r="AW283" s="51">
        <f>F283*AO283</f>
        <v>0</v>
      </c>
      <c r="AX283" s="51">
        <f>F283*AP283</f>
        <v>0</v>
      </c>
      <c r="AY283" s="53" t="s">
        <v>712</v>
      </c>
      <c r="AZ283" s="53" t="s">
        <v>682</v>
      </c>
      <c r="BA283" s="35" t="s">
        <v>117</v>
      </c>
      <c r="BC283" s="51">
        <f>AW283+AX283</f>
        <v>0</v>
      </c>
      <c r="BD283" s="51">
        <f>G283/(100-BE283)*100</f>
        <v>0</v>
      </c>
      <c r="BE283" s="51">
        <v>0</v>
      </c>
      <c r="BF283" s="51">
        <f>283</f>
        <v>283</v>
      </c>
      <c r="BH283" s="51">
        <f>F283*AO283</f>
        <v>0</v>
      </c>
      <c r="BI283" s="51">
        <f>F283*AP283</f>
        <v>0</v>
      </c>
      <c r="BJ283" s="51">
        <f>F283*G283</f>
        <v>0</v>
      </c>
      <c r="BK283" s="51"/>
      <c r="BL283" s="51">
        <v>784</v>
      </c>
      <c r="BW283" s="51">
        <v>12</v>
      </c>
      <c r="BX283" s="3" t="s">
        <v>711</v>
      </c>
    </row>
    <row r="284" spans="1:76">
      <c r="A284" s="1" t="s">
        <v>713</v>
      </c>
      <c r="B284" s="2" t="s">
        <v>714</v>
      </c>
      <c r="C284" s="75" t="s">
        <v>715</v>
      </c>
      <c r="D284" s="70"/>
      <c r="E284" s="2" t="s">
        <v>124</v>
      </c>
      <c r="F284" s="51">
        <v>127</v>
      </c>
      <c r="G284" s="52">
        <v>0</v>
      </c>
      <c r="H284" s="51">
        <f>F284*G284</f>
        <v>0</v>
      </c>
      <c r="J284" s="41"/>
      <c r="Z284" s="51">
        <f>IF(AQ284="5",BJ284,0)</f>
        <v>0</v>
      </c>
      <c r="AB284" s="51">
        <f>IF(AQ284="1",BH284,0)</f>
        <v>0</v>
      </c>
      <c r="AC284" s="51">
        <f>IF(AQ284="1",BI284,0)</f>
        <v>0</v>
      </c>
      <c r="AD284" s="51">
        <f>IF(AQ284="7",BH284,0)</f>
        <v>0</v>
      </c>
      <c r="AE284" s="51">
        <f>IF(AQ284="7",BI284,0)</f>
        <v>0</v>
      </c>
      <c r="AF284" s="51">
        <f>IF(AQ284="2",BH284,0)</f>
        <v>0</v>
      </c>
      <c r="AG284" s="51">
        <f>IF(AQ284="2",BI284,0)</f>
        <v>0</v>
      </c>
      <c r="AH284" s="51">
        <f>IF(AQ284="0",BJ284,0)</f>
        <v>0</v>
      </c>
      <c r="AI284" s="35" t="s">
        <v>4</v>
      </c>
      <c r="AJ284" s="51">
        <f>IF(AN284=0,H284,0)</f>
        <v>0</v>
      </c>
      <c r="AK284" s="51">
        <f>IF(AN284=12,H284,0)</f>
        <v>0</v>
      </c>
      <c r="AL284" s="51">
        <f>IF(AN284=21,H284,0)</f>
        <v>0</v>
      </c>
      <c r="AN284" s="51">
        <v>12</v>
      </c>
      <c r="AO284" s="51">
        <f>G284*0.242142026</f>
        <v>0</v>
      </c>
      <c r="AP284" s="51">
        <f>G284*(1-0.242142026)</f>
        <v>0</v>
      </c>
      <c r="AQ284" s="53" t="s">
        <v>148</v>
      </c>
      <c r="AV284" s="51">
        <f>AW284+AX284</f>
        <v>0</v>
      </c>
      <c r="AW284" s="51">
        <f>F284*AO284</f>
        <v>0</v>
      </c>
      <c r="AX284" s="51">
        <f>F284*AP284</f>
        <v>0</v>
      </c>
      <c r="AY284" s="53" t="s">
        <v>712</v>
      </c>
      <c r="AZ284" s="53" t="s">
        <v>682</v>
      </c>
      <c r="BA284" s="35" t="s">
        <v>117</v>
      </c>
      <c r="BC284" s="51">
        <f>AW284+AX284</f>
        <v>0</v>
      </c>
      <c r="BD284" s="51">
        <f>G284/(100-BE284)*100</f>
        <v>0</v>
      </c>
      <c r="BE284" s="51">
        <v>0</v>
      </c>
      <c r="BF284" s="51">
        <f>284</f>
        <v>284</v>
      </c>
      <c r="BH284" s="51">
        <f>F284*AO284</f>
        <v>0</v>
      </c>
      <c r="BI284" s="51">
        <f>F284*AP284</f>
        <v>0</v>
      </c>
      <c r="BJ284" s="51">
        <f>F284*G284</f>
        <v>0</v>
      </c>
      <c r="BK284" s="51"/>
      <c r="BL284" s="51">
        <v>784</v>
      </c>
      <c r="BW284" s="51">
        <v>12</v>
      </c>
      <c r="BX284" s="3" t="s">
        <v>715</v>
      </c>
    </row>
    <row r="285" spans="1:76">
      <c r="A285" s="54"/>
      <c r="C285" s="56" t="s">
        <v>716</v>
      </c>
      <c r="D285" s="57" t="s">
        <v>4</v>
      </c>
      <c r="F285" s="58">
        <v>127</v>
      </c>
      <c r="J285" s="41"/>
    </row>
    <row r="286" spans="1:76">
      <c r="A286" s="47" t="s">
        <v>4</v>
      </c>
      <c r="B286" s="48" t="s">
        <v>717</v>
      </c>
      <c r="C286" s="150" t="s">
        <v>718</v>
      </c>
      <c r="D286" s="151"/>
      <c r="E286" s="49" t="s">
        <v>79</v>
      </c>
      <c r="F286" s="49" t="s">
        <v>79</v>
      </c>
      <c r="G286" s="50" t="s">
        <v>79</v>
      </c>
      <c r="H286" s="28">
        <f>SUM(H287:H291)</f>
        <v>0</v>
      </c>
      <c r="J286" s="41"/>
      <c r="AI286" s="35" t="s">
        <v>4</v>
      </c>
      <c r="AS286" s="28">
        <f>SUM(AJ287:AJ291)</f>
        <v>0</v>
      </c>
      <c r="AT286" s="28">
        <f>SUM(AK287:AK291)</f>
        <v>0</v>
      </c>
      <c r="AU286" s="28">
        <f>SUM(AL287:AL291)</f>
        <v>0</v>
      </c>
    </row>
    <row r="287" spans="1:76">
      <c r="A287" s="1" t="s">
        <v>719</v>
      </c>
      <c r="B287" s="2" t="s">
        <v>720</v>
      </c>
      <c r="C287" s="75" t="s">
        <v>721</v>
      </c>
      <c r="D287" s="70"/>
      <c r="E287" s="2" t="s">
        <v>114</v>
      </c>
      <c r="F287" s="51">
        <v>1</v>
      </c>
      <c r="G287" s="52">
        <v>0</v>
      </c>
      <c r="H287" s="51">
        <f>F287*G287</f>
        <v>0</v>
      </c>
      <c r="J287" s="41"/>
      <c r="Z287" s="51">
        <f>IF(AQ287="5",BJ287,0)</f>
        <v>0</v>
      </c>
      <c r="AB287" s="51">
        <f>IF(AQ287="1",BH287,0)</f>
        <v>0</v>
      </c>
      <c r="AC287" s="51">
        <f>IF(AQ287="1",BI287,0)</f>
        <v>0</v>
      </c>
      <c r="AD287" s="51">
        <f>IF(AQ287="7",BH287,0)</f>
        <v>0</v>
      </c>
      <c r="AE287" s="51">
        <f>IF(AQ287="7",BI287,0)</f>
        <v>0</v>
      </c>
      <c r="AF287" s="51">
        <f>IF(AQ287="2",BH287,0)</f>
        <v>0</v>
      </c>
      <c r="AG287" s="51">
        <f>IF(AQ287="2",BI287,0)</f>
        <v>0</v>
      </c>
      <c r="AH287" s="51">
        <f>IF(AQ287="0",BJ287,0)</f>
        <v>0</v>
      </c>
      <c r="AI287" s="35" t="s">
        <v>4</v>
      </c>
      <c r="AJ287" s="51">
        <f>IF(AN287=0,H287,0)</f>
        <v>0</v>
      </c>
      <c r="AK287" s="51">
        <f>IF(AN287=12,H287,0)</f>
        <v>0</v>
      </c>
      <c r="AL287" s="51">
        <f>IF(AN287=21,H287,0)</f>
        <v>0</v>
      </c>
      <c r="AN287" s="51">
        <v>12</v>
      </c>
      <c r="AO287" s="51">
        <f>G287*0</f>
        <v>0</v>
      </c>
      <c r="AP287" s="51">
        <f>G287*(1-0)</f>
        <v>0</v>
      </c>
      <c r="AQ287" s="53" t="s">
        <v>120</v>
      </c>
      <c r="AV287" s="51">
        <f>AW287+AX287</f>
        <v>0</v>
      </c>
      <c r="AW287" s="51">
        <f>F287*AO287</f>
        <v>0</v>
      </c>
      <c r="AX287" s="51">
        <f>F287*AP287</f>
        <v>0</v>
      </c>
      <c r="AY287" s="53" t="s">
        <v>722</v>
      </c>
      <c r="AZ287" s="53" t="s">
        <v>254</v>
      </c>
      <c r="BA287" s="35" t="s">
        <v>117</v>
      </c>
      <c r="BC287" s="51">
        <f>AW287+AX287</f>
        <v>0</v>
      </c>
      <c r="BD287" s="51">
        <f>G287/(100-BE287)*100</f>
        <v>0</v>
      </c>
      <c r="BE287" s="51">
        <v>0</v>
      </c>
      <c r="BF287" s="51">
        <f>287</f>
        <v>287</v>
      </c>
      <c r="BH287" s="51">
        <f>F287*AO287</f>
        <v>0</v>
      </c>
      <c r="BI287" s="51">
        <f>F287*AP287</f>
        <v>0</v>
      </c>
      <c r="BJ287" s="51">
        <f>F287*G287</f>
        <v>0</v>
      </c>
      <c r="BK287" s="51"/>
      <c r="BL287" s="51"/>
      <c r="BW287" s="51">
        <v>12</v>
      </c>
      <c r="BX287" s="3" t="s">
        <v>721</v>
      </c>
    </row>
    <row r="288" spans="1:76">
      <c r="A288" s="1" t="s">
        <v>723</v>
      </c>
      <c r="B288" s="2" t="s">
        <v>724</v>
      </c>
      <c r="C288" s="75" t="s">
        <v>725</v>
      </c>
      <c r="D288" s="70"/>
      <c r="E288" s="2" t="s">
        <v>114</v>
      </c>
      <c r="F288" s="51">
        <v>1</v>
      </c>
      <c r="G288" s="52">
        <v>0</v>
      </c>
      <c r="H288" s="51">
        <f>F288*G288</f>
        <v>0</v>
      </c>
      <c r="J288" s="41"/>
      <c r="Z288" s="51">
        <f>IF(AQ288="5",BJ288,0)</f>
        <v>0</v>
      </c>
      <c r="AB288" s="51">
        <f>IF(AQ288="1",BH288,0)</f>
        <v>0</v>
      </c>
      <c r="AC288" s="51">
        <f>IF(AQ288="1",BI288,0)</f>
        <v>0</v>
      </c>
      <c r="AD288" s="51">
        <f>IF(AQ288="7",BH288,0)</f>
        <v>0</v>
      </c>
      <c r="AE288" s="51">
        <f>IF(AQ288="7",BI288,0)</f>
        <v>0</v>
      </c>
      <c r="AF288" s="51">
        <f>IF(AQ288="2",BH288,0)</f>
        <v>0</v>
      </c>
      <c r="AG288" s="51">
        <f>IF(AQ288="2",BI288,0)</f>
        <v>0</v>
      </c>
      <c r="AH288" s="51">
        <f>IF(AQ288="0",BJ288,0)</f>
        <v>0</v>
      </c>
      <c r="AI288" s="35" t="s">
        <v>4</v>
      </c>
      <c r="AJ288" s="51">
        <f>IF(AN288=0,H288,0)</f>
        <v>0</v>
      </c>
      <c r="AK288" s="51">
        <f>IF(AN288=12,H288,0)</f>
        <v>0</v>
      </c>
      <c r="AL288" s="51">
        <f>IF(AN288=21,H288,0)</f>
        <v>0</v>
      </c>
      <c r="AN288" s="51">
        <v>12</v>
      </c>
      <c r="AO288" s="51">
        <f>G288*0</f>
        <v>0</v>
      </c>
      <c r="AP288" s="51">
        <f>G288*(1-0)</f>
        <v>0</v>
      </c>
      <c r="AQ288" s="53" t="s">
        <v>120</v>
      </c>
      <c r="AV288" s="51">
        <f>AW288+AX288</f>
        <v>0</v>
      </c>
      <c r="AW288" s="51">
        <f>F288*AO288</f>
        <v>0</v>
      </c>
      <c r="AX288" s="51">
        <f>F288*AP288</f>
        <v>0</v>
      </c>
      <c r="AY288" s="53" t="s">
        <v>722</v>
      </c>
      <c r="AZ288" s="53" t="s">
        <v>254</v>
      </c>
      <c r="BA288" s="35" t="s">
        <v>117</v>
      </c>
      <c r="BC288" s="51">
        <f>AW288+AX288</f>
        <v>0</v>
      </c>
      <c r="BD288" s="51">
        <f>G288/(100-BE288)*100</f>
        <v>0</v>
      </c>
      <c r="BE288" s="51">
        <v>0</v>
      </c>
      <c r="BF288" s="51">
        <f>288</f>
        <v>288</v>
      </c>
      <c r="BH288" s="51">
        <f>F288*AO288</f>
        <v>0</v>
      </c>
      <c r="BI288" s="51">
        <f>F288*AP288</f>
        <v>0</v>
      </c>
      <c r="BJ288" s="51">
        <f>F288*G288</f>
        <v>0</v>
      </c>
      <c r="BK288" s="51"/>
      <c r="BL288" s="51"/>
      <c r="BW288" s="51">
        <v>12</v>
      </c>
      <c r="BX288" s="3" t="s">
        <v>725</v>
      </c>
    </row>
    <row r="289" spans="1:76">
      <c r="A289" s="1" t="s">
        <v>726</v>
      </c>
      <c r="B289" s="2" t="s">
        <v>727</v>
      </c>
      <c r="C289" s="75" t="s">
        <v>728</v>
      </c>
      <c r="D289" s="70"/>
      <c r="E289" s="2" t="s">
        <v>114</v>
      </c>
      <c r="F289" s="51">
        <v>1</v>
      </c>
      <c r="G289" s="52">
        <v>0</v>
      </c>
      <c r="H289" s="51">
        <f>F289*G289</f>
        <v>0</v>
      </c>
      <c r="J289" s="41"/>
      <c r="Z289" s="51">
        <f>IF(AQ289="5",BJ289,0)</f>
        <v>0</v>
      </c>
      <c r="AB289" s="51">
        <f>IF(AQ289="1",BH289,0)</f>
        <v>0</v>
      </c>
      <c r="AC289" s="51">
        <f>IF(AQ289="1",BI289,0)</f>
        <v>0</v>
      </c>
      <c r="AD289" s="51">
        <f>IF(AQ289="7",BH289,0)</f>
        <v>0</v>
      </c>
      <c r="AE289" s="51">
        <f>IF(AQ289="7",BI289,0)</f>
        <v>0</v>
      </c>
      <c r="AF289" s="51">
        <f>IF(AQ289="2",BH289,0)</f>
        <v>0</v>
      </c>
      <c r="AG289" s="51">
        <f>IF(AQ289="2",BI289,0)</f>
        <v>0</v>
      </c>
      <c r="AH289" s="51">
        <f>IF(AQ289="0",BJ289,0)</f>
        <v>0</v>
      </c>
      <c r="AI289" s="35" t="s">
        <v>4</v>
      </c>
      <c r="AJ289" s="51">
        <f>IF(AN289=0,H289,0)</f>
        <v>0</v>
      </c>
      <c r="AK289" s="51">
        <f>IF(AN289=12,H289,0)</f>
        <v>0</v>
      </c>
      <c r="AL289" s="51">
        <f>IF(AN289=21,H289,0)</f>
        <v>0</v>
      </c>
      <c r="AN289" s="51">
        <v>12</v>
      </c>
      <c r="AO289" s="51">
        <f>G289*0</f>
        <v>0</v>
      </c>
      <c r="AP289" s="51">
        <f>G289*(1-0)</f>
        <v>0</v>
      </c>
      <c r="AQ289" s="53" t="s">
        <v>120</v>
      </c>
      <c r="AV289" s="51">
        <f>AW289+AX289</f>
        <v>0</v>
      </c>
      <c r="AW289" s="51">
        <f>F289*AO289</f>
        <v>0</v>
      </c>
      <c r="AX289" s="51">
        <f>F289*AP289</f>
        <v>0</v>
      </c>
      <c r="AY289" s="53" t="s">
        <v>722</v>
      </c>
      <c r="AZ289" s="53" t="s">
        <v>254</v>
      </c>
      <c r="BA289" s="35" t="s">
        <v>117</v>
      </c>
      <c r="BC289" s="51">
        <f>AW289+AX289</f>
        <v>0</v>
      </c>
      <c r="BD289" s="51">
        <f>G289/(100-BE289)*100</f>
        <v>0</v>
      </c>
      <c r="BE289" s="51">
        <v>0</v>
      </c>
      <c r="BF289" s="51">
        <f>289</f>
        <v>289</v>
      </c>
      <c r="BH289" s="51">
        <f>F289*AO289</f>
        <v>0</v>
      </c>
      <c r="BI289" s="51">
        <f>F289*AP289</f>
        <v>0</v>
      </c>
      <c r="BJ289" s="51">
        <f>F289*G289</f>
        <v>0</v>
      </c>
      <c r="BK289" s="51"/>
      <c r="BL289" s="51"/>
      <c r="BW289" s="51">
        <v>12</v>
      </c>
      <c r="BX289" s="3" t="s">
        <v>728</v>
      </c>
    </row>
    <row r="290" spans="1:76">
      <c r="A290" s="1" t="s">
        <v>729</v>
      </c>
      <c r="B290" s="2" t="s">
        <v>730</v>
      </c>
      <c r="C290" s="75" t="s">
        <v>731</v>
      </c>
      <c r="D290" s="70"/>
      <c r="E290" s="2" t="s">
        <v>259</v>
      </c>
      <c r="F290" s="51">
        <v>1</v>
      </c>
      <c r="G290" s="52">
        <v>0</v>
      </c>
      <c r="H290" s="51">
        <f>F290*G290</f>
        <v>0</v>
      </c>
      <c r="J290" s="41"/>
      <c r="Z290" s="51">
        <f>IF(AQ290="5",BJ290,0)</f>
        <v>0</v>
      </c>
      <c r="AB290" s="51">
        <f>IF(AQ290="1",BH290,0)</f>
        <v>0</v>
      </c>
      <c r="AC290" s="51">
        <f>IF(AQ290="1",BI290,0)</f>
        <v>0</v>
      </c>
      <c r="AD290" s="51">
        <f>IF(AQ290="7",BH290,0)</f>
        <v>0</v>
      </c>
      <c r="AE290" s="51">
        <f>IF(AQ290="7",BI290,0)</f>
        <v>0</v>
      </c>
      <c r="AF290" s="51">
        <f>IF(AQ290="2",BH290,0)</f>
        <v>0</v>
      </c>
      <c r="AG290" s="51">
        <f>IF(AQ290="2",BI290,0)</f>
        <v>0</v>
      </c>
      <c r="AH290" s="51">
        <f>IF(AQ290="0",BJ290,0)</f>
        <v>0</v>
      </c>
      <c r="AI290" s="35" t="s">
        <v>4</v>
      </c>
      <c r="AJ290" s="51">
        <f>IF(AN290=0,H290,0)</f>
        <v>0</v>
      </c>
      <c r="AK290" s="51">
        <f>IF(AN290=12,H290,0)</f>
        <v>0</v>
      </c>
      <c r="AL290" s="51">
        <f>IF(AN290=21,H290,0)</f>
        <v>0</v>
      </c>
      <c r="AN290" s="51">
        <v>12</v>
      </c>
      <c r="AO290" s="51">
        <f>G290*0</f>
        <v>0</v>
      </c>
      <c r="AP290" s="51">
        <f>G290*(1-0)</f>
        <v>0</v>
      </c>
      <c r="AQ290" s="53" t="s">
        <v>120</v>
      </c>
      <c r="AV290" s="51">
        <f>AW290+AX290</f>
        <v>0</v>
      </c>
      <c r="AW290" s="51">
        <f>F290*AO290</f>
        <v>0</v>
      </c>
      <c r="AX290" s="51">
        <f>F290*AP290</f>
        <v>0</v>
      </c>
      <c r="AY290" s="53" t="s">
        <v>722</v>
      </c>
      <c r="AZ290" s="53" t="s">
        <v>254</v>
      </c>
      <c r="BA290" s="35" t="s">
        <v>117</v>
      </c>
      <c r="BC290" s="51">
        <f>AW290+AX290</f>
        <v>0</v>
      </c>
      <c r="BD290" s="51">
        <f>G290/(100-BE290)*100</f>
        <v>0</v>
      </c>
      <c r="BE290" s="51">
        <v>0</v>
      </c>
      <c r="BF290" s="51">
        <f>290</f>
        <v>290</v>
      </c>
      <c r="BH290" s="51">
        <f>F290*AO290</f>
        <v>0</v>
      </c>
      <c r="BI290" s="51">
        <f>F290*AP290</f>
        <v>0</v>
      </c>
      <c r="BJ290" s="51">
        <f>F290*G290</f>
        <v>0</v>
      </c>
      <c r="BK290" s="51"/>
      <c r="BL290" s="51"/>
      <c r="BW290" s="51">
        <v>12</v>
      </c>
      <c r="BX290" s="3" t="s">
        <v>731</v>
      </c>
    </row>
    <row r="291" spans="1:76">
      <c r="A291" s="1" t="s">
        <v>732</v>
      </c>
      <c r="B291" s="2" t="s">
        <v>733</v>
      </c>
      <c r="C291" s="75" t="s">
        <v>734</v>
      </c>
      <c r="D291" s="70"/>
      <c r="E291" s="2" t="s">
        <v>259</v>
      </c>
      <c r="F291" s="51">
        <v>1</v>
      </c>
      <c r="G291" s="52">
        <v>0</v>
      </c>
      <c r="H291" s="51">
        <f>F291*G291</f>
        <v>0</v>
      </c>
      <c r="J291" s="41"/>
      <c r="Z291" s="51">
        <f>IF(AQ291="5",BJ291,0)</f>
        <v>0</v>
      </c>
      <c r="AB291" s="51">
        <f>IF(AQ291="1",BH291,0)</f>
        <v>0</v>
      </c>
      <c r="AC291" s="51">
        <f>IF(AQ291="1",BI291,0)</f>
        <v>0</v>
      </c>
      <c r="AD291" s="51">
        <f>IF(AQ291="7",BH291,0)</f>
        <v>0</v>
      </c>
      <c r="AE291" s="51">
        <f>IF(AQ291="7",BI291,0)</f>
        <v>0</v>
      </c>
      <c r="AF291" s="51">
        <f>IF(AQ291="2",BH291,0)</f>
        <v>0</v>
      </c>
      <c r="AG291" s="51">
        <f>IF(AQ291="2",BI291,0)</f>
        <v>0</v>
      </c>
      <c r="AH291" s="51">
        <f>IF(AQ291="0",BJ291,0)</f>
        <v>0</v>
      </c>
      <c r="AI291" s="35" t="s">
        <v>4</v>
      </c>
      <c r="AJ291" s="51">
        <f>IF(AN291=0,H291,0)</f>
        <v>0</v>
      </c>
      <c r="AK291" s="51">
        <f>IF(AN291=12,H291,0)</f>
        <v>0</v>
      </c>
      <c r="AL291" s="51">
        <f>IF(AN291=21,H291,0)</f>
        <v>0</v>
      </c>
      <c r="AN291" s="51">
        <v>12</v>
      </c>
      <c r="AO291" s="51">
        <f>G291*0</f>
        <v>0</v>
      </c>
      <c r="AP291" s="51">
        <f>G291*(1-0)</f>
        <v>0</v>
      </c>
      <c r="AQ291" s="53" t="s">
        <v>120</v>
      </c>
      <c r="AV291" s="51">
        <f>AW291+AX291</f>
        <v>0</v>
      </c>
      <c r="AW291" s="51">
        <f>F291*AO291</f>
        <v>0</v>
      </c>
      <c r="AX291" s="51">
        <f>F291*AP291</f>
        <v>0</v>
      </c>
      <c r="AY291" s="53" t="s">
        <v>722</v>
      </c>
      <c r="AZ291" s="53" t="s">
        <v>254</v>
      </c>
      <c r="BA291" s="35" t="s">
        <v>117</v>
      </c>
      <c r="BC291" s="51">
        <f>AW291+AX291</f>
        <v>0</v>
      </c>
      <c r="BD291" s="51">
        <f>G291/(100-BE291)*100</f>
        <v>0</v>
      </c>
      <c r="BE291" s="51">
        <v>0</v>
      </c>
      <c r="BF291" s="51">
        <f>291</f>
        <v>291</v>
      </c>
      <c r="BH291" s="51">
        <f>F291*AO291</f>
        <v>0</v>
      </c>
      <c r="BI291" s="51">
        <f>F291*AP291</f>
        <v>0</v>
      </c>
      <c r="BJ291" s="51">
        <f>F291*G291</f>
        <v>0</v>
      </c>
      <c r="BK291" s="51"/>
      <c r="BL291" s="51"/>
      <c r="BW291" s="51">
        <v>12</v>
      </c>
      <c r="BX291" s="3" t="s">
        <v>734</v>
      </c>
    </row>
    <row r="292" spans="1:76">
      <c r="A292" s="47" t="s">
        <v>4</v>
      </c>
      <c r="B292" s="48" t="s">
        <v>735</v>
      </c>
      <c r="C292" s="150" t="s">
        <v>57</v>
      </c>
      <c r="D292" s="151"/>
      <c r="E292" s="49" t="s">
        <v>79</v>
      </c>
      <c r="F292" s="49" t="s">
        <v>79</v>
      </c>
      <c r="G292" s="50" t="s">
        <v>79</v>
      </c>
      <c r="H292" s="28">
        <f>H293+H295</f>
        <v>0</v>
      </c>
      <c r="J292" s="41"/>
      <c r="AI292" s="35" t="s">
        <v>4</v>
      </c>
    </row>
    <row r="293" spans="1:76">
      <c r="A293" s="47" t="s">
        <v>4</v>
      </c>
      <c r="B293" s="48" t="s">
        <v>736</v>
      </c>
      <c r="C293" s="150" t="s">
        <v>25</v>
      </c>
      <c r="D293" s="151"/>
      <c r="E293" s="49" t="s">
        <v>79</v>
      </c>
      <c r="F293" s="49" t="s">
        <v>79</v>
      </c>
      <c r="G293" s="50" t="s">
        <v>79</v>
      </c>
      <c r="H293" s="28">
        <f>SUM(H294:H294)</f>
        <v>0</v>
      </c>
      <c r="J293" s="41"/>
      <c r="AI293" s="35" t="s">
        <v>4</v>
      </c>
      <c r="AS293" s="28">
        <f>SUM(AJ294:AJ294)</f>
        <v>0</v>
      </c>
      <c r="AT293" s="28">
        <f>SUM(AK294:AK294)</f>
        <v>0</v>
      </c>
      <c r="AU293" s="28">
        <f>SUM(AL294:AL294)</f>
        <v>0</v>
      </c>
    </row>
    <row r="294" spans="1:76">
      <c r="A294" s="1" t="s">
        <v>737</v>
      </c>
      <c r="B294" s="2" t="s">
        <v>738</v>
      </c>
      <c r="C294" s="75" t="s">
        <v>25</v>
      </c>
      <c r="D294" s="70"/>
      <c r="E294" s="2" t="s">
        <v>739</v>
      </c>
      <c r="F294" s="51">
        <v>1</v>
      </c>
      <c r="G294" s="52">
        <v>0</v>
      </c>
      <c r="H294" s="51">
        <f>F294*G294</f>
        <v>0</v>
      </c>
      <c r="J294" s="41"/>
      <c r="Z294" s="51">
        <f>IF(AQ294="5",BJ294,0)</f>
        <v>0</v>
      </c>
      <c r="AB294" s="51">
        <f>IF(AQ294="1",BH294,0)</f>
        <v>0</v>
      </c>
      <c r="AC294" s="51">
        <f>IF(AQ294="1",BI294,0)</f>
        <v>0</v>
      </c>
      <c r="AD294" s="51">
        <f>IF(AQ294="7",BH294,0)</f>
        <v>0</v>
      </c>
      <c r="AE294" s="51">
        <f>IF(AQ294="7",BI294,0)</f>
        <v>0</v>
      </c>
      <c r="AF294" s="51">
        <f>IF(AQ294="2",BH294,0)</f>
        <v>0</v>
      </c>
      <c r="AG294" s="51">
        <f>IF(AQ294="2",BI294,0)</f>
        <v>0</v>
      </c>
      <c r="AH294" s="51">
        <f>IF(AQ294="0",BJ294,0)</f>
        <v>0</v>
      </c>
      <c r="AI294" s="35" t="s">
        <v>4</v>
      </c>
      <c r="AJ294" s="51">
        <f>IF(AN294=0,H294,0)</f>
        <v>0</v>
      </c>
      <c r="AK294" s="51">
        <f>IF(AN294=12,H294,0)</f>
        <v>0</v>
      </c>
      <c r="AL294" s="51">
        <f>IF(AN294=21,H294,0)</f>
        <v>0</v>
      </c>
      <c r="AN294" s="51">
        <v>12</v>
      </c>
      <c r="AO294" s="51">
        <f>G294*0</f>
        <v>0</v>
      </c>
      <c r="AP294" s="51">
        <f>G294*(1-0)</f>
        <v>0</v>
      </c>
      <c r="AQ294" s="53" t="s">
        <v>348</v>
      </c>
      <c r="AV294" s="51">
        <f>AW294+AX294</f>
        <v>0</v>
      </c>
      <c r="AW294" s="51">
        <f>F294*AO294</f>
        <v>0</v>
      </c>
      <c r="AX294" s="51">
        <f>F294*AP294</f>
        <v>0</v>
      </c>
      <c r="AY294" s="53" t="s">
        <v>740</v>
      </c>
      <c r="AZ294" s="53" t="s">
        <v>741</v>
      </c>
      <c r="BA294" s="35" t="s">
        <v>117</v>
      </c>
      <c r="BC294" s="51">
        <f>AW294+AX294</f>
        <v>0</v>
      </c>
      <c r="BD294" s="51">
        <f>G294/(100-BE294)*100</f>
        <v>0</v>
      </c>
      <c r="BE294" s="51">
        <v>0</v>
      </c>
      <c r="BF294" s="51">
        <f>294</f>
        <v>294</v>
      </c>
      <c r="BH294" s="51">
        <f>F294*AO294</f>
        <v>0</v>
      </c>
      <c r="BI294" s="51">
        <f>F294*AP294</f>
        <v>0</v>
      </c>
      <c r="BJ294" s="51">
        <f>F294*G294</f>
        <v>0</v>
      </c>
      <c r="BK294" s="51"/>
      <c r="BL294" s="51"/>
      <c r="BO294" s="51">
        <f>F294*G294</f>
        <v>0</v>
      </c>
      <c r="BW294" s="51">
        <v>12</v>
      </c>
      <c r="BX294" s="3" t="s">
        <v>25</v>
      </c>
    </row>
    <row r="295" spans="1:76">
      <c r="A295" s="47" t="s">
        <v>4</v>
      </c>
      <c r="B295" s="48" t="s">
        <v>742</v>
      </c>
      <c r="C295" s="150" t="s">
        <v>31</v>
      </c>
      <c r="D295" s="151"/>
      <c r="E295" s="49" t="s">
        <v>79</v>
      </c>
      <c r="F295" s="49" t="s">
        <v>79</v>
      </c>
      <c r="G295" s="50" t="s">
        <v>79</v>
      </c>
      <c r="H295" s="28">
        <f>SUM(H296:H296)</f>
        <v>0</v>
      </c>
      <c r="J295" s="41"/>
      <c r="AI295" s="35" t="s">
        <v>4</v>
      </c>
      <c r="AS295" s="28">
        <f>SUM(AJ296:AJ296)</f>
        <v>0</v>
      </c>
      <c r="AT295" s="28">
        <f>SUM(AK296:AK296)</f>
        <v>0</v>
      </c>
      <c r="AU295" s="28">
        <f>SUM(AL296:AL296)</f>
        <v>0</v>
      </c>
    </row>
    <row r="296" spans="1:76">
      <c r="A296" s="4" t="s">
        <v>743</v>
      </c>
      <c r="B296" s="5" t="s">
        <v>744</v>
      </c>
      <c r="C296" s="156" t="s">
        <v>745</v>
      </c>
      <c r="D296" s="73"/>
      <c r="E296" s="5" t="s">
        <v>739</v>
      </c>
      <c r="F296" s="59">
        <v>1</v>
      </c>
      <c r="G296" s="60">
        <v>0</v>
      </c>
      <c r="H296" s="59">
        <f>F296*G296</f>
        <v>0</v>
      </c>
      <c r="I296" s="61"/>
      <c r="J296" s="62"/>
      <c r="Z296" s="51">
        <f>IF(AQ296="5",BJ296,0)</f>
        <v>0</v>
      </c>
      <c r="AB296" s="51">
        <f>IF(AQ296="1",BH296,0)</f>
        <v>0</v>
      </c>
      <c r="AC296" s="51">
        <f>IF(AQ296="1",BI296,0)</f>
        <v>0</v>
      </c>
      <c r="AD296" s="51">
        <f>IF(AQ296="7",BH296,0)</f>
        <v>0</v>
      </c>
      <c r="AE296" s="51">
        <f>IF(AQ296="7",BI296,0)</f>
        <v>0</v>
      </c>
      <c r="AF296" s="51">
        <f>IF(AQ296="2",BH296,0)</f>
        <v>0</v>
      </c>
      <c r="AG296" s="51">
        <f>IF(AQ296="2",BI296,0)</f>
        <v>0</v>
      </c>
      <c r="AH296" s="51">
        <f>IF(AQ296="0",BJ296,0)</f>
        <v>0</v>
      </c>
      <c r="AI296" s="35" t="s">
        <v>4</v>
      </c>
      <c r="AJ296" s="51">
        <f>IF(AN296=0,H296,0)</f>
        <v>0</v>
      </c>
      <c r="AK296" s="51">
        <f>IF(AN296=12,H296,0)</f>
        <v>0</v>
      </c>
      <c r="AL296" s="51">
        <f>IF(AN296=21,H296,0)</f>
        <v>0</v>
      </c>
      <c r="AN296" s="51">
        <v>12</v>
      </c>
      <c r="AO296" s="51">
        <f>G296*0</f>
        <v>0</v>
      </c>
      <c r="AP296" s="51">
        <f>G296*(1-0)</f>
        <v>0</v>
      </c>
      <c r="AQ296" s="53" t="s">
        <v>348</v>
      </c>
      <c r="AV296" s="51">
        <f>AW296+AX296</f>
        <v>0</v>
      </c>
      <c r="AW296" s="51">
        <f>F296*AO296</f>
        <v>0</v>
      </c>
      <c r="AX296" s="51">
        <f>F296*AP296</f>
        <v>0</v>
      </c>
      <c r="AY296" s="53" t="s">
        <v>746</v>
      </c>
      <c r="AZ296" s="53" t="s">
        <v>741</v>
      </c>
      <c r="BA296" s="35" t="s">
        <v>117</v>
      </c>
      <c r="BC296" s="51">
        <f>AW296+AX296</f>
        <v>0</v>
      </c>
      <c r="BD296" s="51">
        <f>G296/(100-BE296)*100</f>
        <v>0</v>
      </c>
      <c r="BE296" s="51">
        <v>0</v>
      </c>
      <c r="BF296" s="51">
        <f>296</f>
        <v>296</v>
      </c>
      <c r="BH296" s="51">
        <f>F296*AO296</f>
        <v>0</v>
      </c>
      <c r="BI296" s="51">
        <f>F296*AP296</f>
        <v>0</v>
      </c>
      <c r="BJ296" s="51">
        <f>F296*G296</f>
        <v>0</v>
      </c>
      <c r="BK296" s="51"/>
      <c r="BL296" s="51"/>
      <c r="BR296" s="51">
        <f>F296*G296</f>
        <v>0</v>
      </c>
      <c r="BW296" s="51">
        <v>12</v>
      </c>
      <c r="BX296" s="3" t="s">
        <v>745</v>
      </c>
    </row>
    <row r="297" spans="1:76">
      <c r="H297" s="63">
        <f>H13+H26+H78+H84+H93+H138+H140+H152+H167+H179+H209+H212+H229+H240+H259+H266+H279+H282+H286+H293+H295</f>
        <v>0</v>
      </c>
    </row>
    <row r="298" spans="1:76">
      <c r="A298" s="64" t="s">
        <v>56</v>
      </c>
    </row>
    <row r="299" spans="1:76" ht="12.75" customHeight="1">
      <c r="A299" s="75" t="s">
        <v>4</v>
      </c>
      <c r="B299" s="70"/>
      <c r="C299" s="70"/>
      <c r="D299" s="70"/>
      <c r="E299" s="70"/>
      <c r="F299" s="70"/>
      <c r="G299" s="70"/>
      <c r="H299" s="70"/>
      <c r="I299" s="70"/>
      <c r="J299" s="70"/>
    </row>
  </sheetData>
  <sheetProtection password="CF7A" sheet="1"/>
  <mergeCells count="220">
    <mergeCell ref="C294:D294"/>
    <mergeCell ref="C295:D295"/>
    <mergeCell ref="C296:D296"/>
    <mergeCell ref="A299:J299"/>
    <mergeCell ref="C289:D289"/>
    <mergeCell ref="C290:D290"/>
    <mergeCell ref="C291:D291"/>
    <mergeCell ref="C292:D292"/>
    <mergeCell ref="C293:D293"/>
    <mergeCell ref="C283:D283"/>
    <mergeCell ref="C284:D284"/>
    <mergeCell ref="C286:D286"/>
    <mergeCell ref="C287:D287"/>
    <mergeCell ref="C288:D288"/>
    <mergeCell ref="C278:D278"/>
    <mergeCell ref="C279:D279"/>
    <mergeCell ref="C280:D280"/>
    <mergeCell ref="C281:J281"/>
    <mergeCell ref="C282:D282"/>
    <mergeCell ref="C267:D267"/>
    <mergeCell ref="C272:D272"/>
    <mergeCell ref="C273:D273"/>
    <mergeCell ref="C275:D275"/>
    <mergeCell ref="C276:D276"/>
    <mergeCell ref="C259:D259"/>
    <mergeCell ref="C260:D260"/>
    <mergeCell ref="C264:D264"/>
    <mergeCell ref="C265:D265"/>
    <mergeCell ref="C266:D266"/>
    <mergeCell ref="C250:J250"/>
    <mergeCell ref="C254:D254"/>
    <mergeCell ref="C255:D255"/>
    <mergeCell ref="C256:D256"/>
    <mergeCell ref="C258:D258"/>
    <mergeCell ref="C239:D239"/>
    <mergeCell ref="C240:D240"/>
    <mergeCell ref="C241:D241"/>
    <mergeCell ref="C245:D245"/>
    <mergeCell ref="C249:D249"/>
    <mergeCell ref="C230:D230"/>
    <mergeCell ref="C231:D231"/>
    <mergeCell ref="C233:D233"/>
    <mergeCell ref="C234:D234"/>
    <mergeCell ref="C238:D238"/>
    <mergeCell ref="C225:D225"/>
    <mergeCell ref="C226:D226"/>
    <mergeCell ref="C227:D227"/>
    <mergeCell ref="C228:D228"/>
    <mergeCell ref="C229:D229"/>
    <mergeCell ref="C219:D219"/>
    <mergeCell ref="C220:D220"/>
    <mergeCell ref="C221:D221"/>
    <mergeCell ref="C222:D222"/>
    <mergeCell ref="C224:D224"/>
    <mergeCell ref="C214:D214"/>
    <mergeCell ref="C215:D215"/>
    <mergeCell ref="C216:D216"/>
    <mergeCell ref="C217:D217"/>
    <mergeCell ref="C218:D218"/>
    <mergeCell ref="C209:D209"/>
    <mergeCell ref="C210:D210"/>
    <mergeCell ref="C211:D211"/>
    <mergeCell ref="C212:D212"/>
    <mergeCell ref="C213:D213"/>
    <mergeCell ref="C204:D204"/>
    <mergeCell ref="C205:D205"/>
    <mergeCell ref="C206:D206"/>
    <mergeCell ref="C207:D207"/>
    <mergeCell ref="C208:D208"/>
    <mergeCell ref="C199:D199"/>
    <mergeCell ref="C200:D200"/>
    <mergeCell ref="C201:D201"/>
    <mergeCell ref="C202:D202"/>
    <mergeCell ref="C203:D203"/>
    <mergeCell ref="C194:D194"/>
    <mergeCell ref="C195:D195"/>
    <mergeCell ref="C196:D196"/>
    <mergeCell ref="C197:D197"/>
    <mergeCell ref="C198:D198"/>
    <mergeCell ref="C188:D188"/>
    <mergeCell ref="C190:D190"/>
    <mergeCell ref="C191:D191"/>
    <mergeCell ref="C192:D192"/>
    <mergeCell ref="C193:D193"/>
    <mergeCell ref="C183:D183"/>
    <mergeCell ref="C184:D184"/>
    <mergeCell ref="C185:D185"/>
    <mergeCell ref="C186:D186"/>
    <mergeCell ref="C187:D187"/>
    <mergeCell ref="C178:D178"/>
    <mergeCell ref="C179:D179"/>
    <mergeCell ref="C180:D180"/>
    <mergeCell ref="C181:D181"/>
    <mergeCell ref="C182:D182"/>
    <mergeCell ref="C173:D173"/>
    <mergeCell ref="C174:D174"/>
    <mergeCell ref="C175:D175"/>
    <mergeCell ref="C176:D176"/>
    <mergeCell ref="C177:D177"/>
    <mergeCell ref="C168:D168"/>
    <mergeCell ref="C169:D169"/>
    <mergeCell ref="C170:D170"/>
    <mergeCell ref="C171:D171"/>
    <mergeCell ref="C172:D172"/>
    <mergeCell ref="C162:D162"/>
    <mergeCell ref="C164:D164"/>
    <mergeCell ref="C165:D165"/>
    <mergeCell ref="C166:D166"/>
    <mergeCell ref="C167:D167"/>
    <mergeCell ref="C157:D157"/>
    <mergeCell ref="C158:D158"/>
    <mergeCell ref="C159:D159"/>
    <mergeCell ref="C160:D160"/>
    <mergeCell ref="C161:D161"/>
    <mergeCell ref="C152:D152"/>
    <mergeCell ref="C153:D153"/>
    <mergeCell ref="C154:D154"/>
    <mergeCell ref="C155:D155"/>
    <mergeCell ref="C156:D156"/>
    <mergeCell ref="C142:D142"/>
    <mergeCell ref="C143:J143"/>
    <mergeCell ref="C147:D147"/>
    <mergeCell ref="C148:J148"/>
    <mergeCell ref="C151:D151"/>
    <mergeCell ref="C135:D135"/>
    <mergeCell ref="C138:D138"/>
    <mergeCell ref="C139:D139"/>
    <mergeCell ref="C140:D140"/>
    <mergeCell ref="C141:D141"/>
    <mergeCell ref="C127:D127"/>
    <mergeCell ref="C128:D128"/>
    <mergeCell ref="C130:D130"/>
    <mergeCell ref="C131:D131"/>
    <mergeCell ref="C133:D133"/>
    <mergeCell ref="C119:D119"/>
    <mergeCell ref="C121:D121"/>
    <mergeCell ref="C122:J122"/>
    <mergeCell ref="C124:D124"/>
    <mergeCell ref="C125:D125"/>
    <mergeCell ref="C104:D104"/>
    <mergeCell ref="C106:D106"/>
    <mergeCell ref="C108:D108"/>
    <mergeCell ref="C110:D110"/>
    <mergeCell ref="C117:D117"/>
    <mergeCell ref="C91:D91"/>
    <mergeCell ref="C93:D93"/>
    <mergeCell ref="C94:D94"/>
    <mergeCell ref="C97:D97"/>
    <mergeCell ref="C100:D100"/>
    <mergeCell ref="C86:J86"/>
    <mergeCell ref="C87:D87"/>
    <mergeCell ref="C88:D88"/>
    <mergeCell ref="C89:D89"/>
    <mergeCell ref="C90:J90"/>
    <mergeCell ref="C78:D78"/>
    <mergeCell ref="C79:D79"/>
    <mergeCell ref="C83:D83"/>
    <mergeCell ref="C84:D84"/>
    <mergeCell ref="C85:D85"/>
    <mergeCell ref="C64:J64"/>
    <mergeCell ref="C71:D71"/>
    <mergeCell ref="C72:J72"/>
    <mergeCell ref="C75:D75"/>
    <mergeCell ref="C76:J76"/>
    <mergeCell ref="C55:D55"/>
    <mergeCell ref="C56:J56"/>
    <mergeCell ref="C60:D60"/>
    <mergeCell ref="C61:J61"/>
    <mergeCell ref="C63:D63"/>
    <mergeCell ref="C47:J47"/>
    <mergeCell ref="C49:D49"/>
    <mergeCell ref="C50:J50"/>
    <mergeCell ref="C52:D52"/>
    <mergeCell ref="C54:D54"/>
    <mergeCell ref="C37:D37"/>
    <mergeCell ref="C41:D41"/>
    <mergeCell ref="C43:D43"/>
    <mergeCell ref="C44:J44"/>
    <mergeCell ref="C46:D46"/>
    <mergeCell ref="C26:D26"/>
    <mergeCell ref="C27:D27"/>
    <mergeCell ref="C28:D28"/>
    <mergeCell ref="C30:D30"/>
    <mergeCell ref="C32:D32"/>
    <mergeCell ref="C17:D17"/>
    <mergeCell ref="C20:D20"/>
    <mergeCell ref="C21:J21"/>
    <mergeCell ref="C22:D22"/>
    <mergeCell ref="C24:D24"/>
    <mergeCell ref="C11:D11"/>
    <mergeCell ref="C12:D12"/>
    <mergeCell ref="C13:D13"/>
    <mergeCell ref="C14:D14"/>
    <mergeCell ref="C15:J15"/>
    <mergeCell ref="I2:J3"/>
    <mergeCell ref="I4:J5"/>
    <mergeCell ref="I6:J7"/>
    <mergeCell ref="I8:J9"/>
    <mergeCell ref="C10:D10"/>
    <mergeCell ref="C8:D9"/>
    <mergeCell ref="G2:G3"/>
    <mergeCell ref="G4:G5"/>
    <mergeCell ref="G6:G7"/>
    <mergeCell ref="G8:G9"/>
    <mergeCell ref="A1:J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Franta</cp:lastModifiedBy>
  <dcterms:created xsi:type="dcterms:W3CDTF">2021-06-10T20:06:38Z</dcterms:created>
  <dcterms:modified xsi:type="dcterms:W3CDTF">2025-02-11T15:08:22Z</dcterms:modified>
</cp:coreProperties>
</file>