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<sst xmlns="http://schemas.openxmlformats.org/spreadsheetml/2006/main" count="2006" uniqueCount="785">
  <si>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</si>
  <si>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</si>
  <si>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</si>
  <si>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</si>
  <si>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</si>
  <si>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</si>
  <si>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</si>
  <si>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</si>
  <si>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</si>
  <si>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</si>
  <si>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</si>
  <si>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</si>
  <si>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</si>
  <si>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</si>
  <si>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</si>
  <si>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</si>
  <si>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</si>
  <si>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</si>
  <si>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</si>
  <si>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</si>
  <si>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</si>
  <si>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</si>
  <si>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</si>
  <si>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</si>
  <si>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</si>
  <si>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</si>
  <si>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</si>
  <si>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</si>
  <si>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</si>
  <si>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</si>
  <si>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</si>
  <si>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</si>
  <si>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</si>
  <si>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</si>
  <si>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</si>
  <si>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</si>
  <si>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</si>
  <si>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</si>
  <si>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</si>
  <si>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</si>
  <si>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</si>
  <si>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</si>
  <si>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</si>
  <si>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</si>
  <si>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</si>
  <si>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</si>
  <si>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</si>
  <si>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</si>
  <si>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</si>
  <si>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</si>
  <si>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</si>
  <si>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</si>
  <si>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</si>
  <si>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</si>
  <si>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</si>
  <si>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</si>
  <si>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00295841/CZ00295841</t>
  </si>
  <si>
    <t>45646597/</t>
  </si>
  <si>
    <t>153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</si>
  <si>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</si>
  <si>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</si>
  <si>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</si>
  <si>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</si>
  <si>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</si>
  <si>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</si>
  <si>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</si>
  <si>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</si>
  <si>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</si>
  <si>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</si>
  <si>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</si>
  <si>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</si>
  <si>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</si>
  <si>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</si>
  <si>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</si>
  <si>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</si>
  <si>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</si>
  <si>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</si>
  <si>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</si>
  <si>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</si>
  <si>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</si>
  <si>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</si>
  <si>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</si>
  <si>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</si>
  <si>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</si>
  <si>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</si>
  <si>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</si>
  <si>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</si>
  <si>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</si>
  <si>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</si>
  <si>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</si>
  <si>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</si>
  <si>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</si>
  <si>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</si>
  <si>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</si>
  <si>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</si>
  <si>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</si>
  <si>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</si>
  <si>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</si>
  <si>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</si>
  <si>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</si>
  <si>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</si>
  <si>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</si>
  <si>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</si>
  <si>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</si>
  <si>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</si>
  <si>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</si>
  <si>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</si>
  <si>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</si>
  <si>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</si>
  <si>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</si>
  <si>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</si>
  <si>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</si>
  <si>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</si>
  <si>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</si>
  <si>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</si>
  <si>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</si>
  <si>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</si>
  <si>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</si>
  <si>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</si>
  <si>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</si>
  <si>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</si>
  <si>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</si>
  <si>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</si>
  <si>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</si>
  <si>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</si>
  <si>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</si>
  <si>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</si>
  <si>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</si>
  <si>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</si>
  <si>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</si>
  <si>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</si>
  <si>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</si>
  <si>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</si>
  <si>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</si>
  <si>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</si>
  <si>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</si>
  <si>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</si>
  <si>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</si>
  <si>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</si>
  <si>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</si>
  <si>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</si>
  <si>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</si>
  <si>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</si>
  <si>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</si>
  <si>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</si>
  <si>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</si>
  <si>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</si>
  <si>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</si>
  <si>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</si>
  <si>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</si>
  <si>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</si>
  <si>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</si>
  <si>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</si>
  <si>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</si>
  <si>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</si>
  <si>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</si>
  <si>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</si>
  <si>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</si>
  <si>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</si>
  <si>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</si>
  <si>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</si>
  <si>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</si>
  <si>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</si>
  <si>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</si>
  <si>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</si>
  <si>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</si>
  <si>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</si>
  <si>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</si>
  <si>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</si>
  <si>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</si>
  <si>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</si>
  <si>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</si>
  <si>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</si>
  <si>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</si>
  <si>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</si>
  <si>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</si>
  <si>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</si>
  <si>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</si>
  <si>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</si>
  <si>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</si>
  <si>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</si>
  <si>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</si>
  <si>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</si>
  <si>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</si>
  <si>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</si>
  <si>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</si>
  <si>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</si>
  <si>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</si>
  <si>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</si>
  <si>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</si>
  <si>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</si>
  <si>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</si>
  <si>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</si>
  <si>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</si>
  <si>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</si>
  <si>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</si>
  <si>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</si>
  <si>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</si>
  <si>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</si>
  <si>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</si>
  <si>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</si>
  <si>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</si>
  <si>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</si>
  <si>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</si>
  <si>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</si>
  <si>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</si>
  <si>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</si>
  <si>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</si>
  <si>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</si>
  <si>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</si>
  <si>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</si>
  <si>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</si>
  <si>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</si>
  <si>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</si>
  <si>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</si>
  <si>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</si>
  <si>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</si>
  <si>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</si>
  <si>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</si>
  <si>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</si>
  <si>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</si>
  <si>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</si>
  <si>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</si>
  <si>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</si>
  <si>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</si>
  <si>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</si>
  <si>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Kód</t>
  </si>
  <si>
    <t>113107510R00</t>
  </si>
  <si>
    <t>113106121R00</t>
  </si>
  <si>
    <t>113107525R00</t>
  </si>
  <si>
    <t>465921112R00</t>
  </si>
  <si>
    <t>564231111R00</t>
  </si>
  <si>
    <t>59245601</t>
  </si>
  <si>
    <t>602023194R00</t>
  </si>
  <si>
    <t>612425931R00</t>
  </si>
  <si>
    <t>612401391R00</t>
  </si>
  <si>
    <t>610991111R00</t>
  </si>
  <si>
    <t>612473186R00</t>
  </si>
  <si>
    <t>622451131R00</t>
  </si>
  <si>
    <t>620991121R00</t>
  </si>
  <si>
    <t>622454511R00</t>
  </si>
  <si>
    <t>622904112R00</t>
  </si>
  <si>
    <t>622300154R00</t>
  </si>
  <si>
    <t>553420158</t>
  </si>
  <si>
    <t>553420164</t>
  </si>
  <si>
    <t>622390211R00</t>
  </si>
  <si>
    <t>622390311R00</t>
  </si>
  <si>
    <t>283762317</t>
  </si>
  <si>
    <t>283762319</t>
  </si>
  <si>
    <t>283754905</t>
  </si>
  <si>
    <t>622390511R00</t>
  </si>
  <si>
    <t>283754900</t>
  </si>
  <si>
    <t>283762312</t>
  </si>
  <si>
    <t>622481211RT2</t>
  </si>
  <si>
    <t>622323041R00</t>
  </si>
  <si>
    <t>602011189R00</t>
  </si>
  <si>
    <t>602022191R00</t>
  </si>
  <si>
    <t>602011187RT1</t>
  </si>
  <si>
    <t>622473187RT2</t>
  </si>
  <si>
    <t>283502845</t>
  </si>
  <si>
    <t>622300155R00</t>
  </si>
  <si>
    <t>55392760</t>
  </si>
  <si>
    <t>622391121RT2</t>
  </si>
  <si>
    <t>283502544</t>
  </si>
  <si>
    <t>629451112R00</t>
  </si>
  <si>
    <t>621481211RT2</t>
  </si>
  <si>
    <t>621412212R00</t>
  </si>
  <si>
    <t>VLASTNÍ</t>
  </si>
  <si>
    <t>622422231R00</t>
  </si>
  <si>
    <t>622454321R00</t>
  </si>
  <si>
    <t>622300131R00</t>
  </si>
  <si>
    <t>620991011R00</t>
  </si>
  <si>
    <t>622481292R00</t>
  </si>
  <si>
    <t>28350125</t>
  </si>
  <si>
    <t>622401937R00</t>
  </si>
  <si>
    <t>941955001R00</t>
  </si>
  <si>
    <t>941941042R00</t>
  </si>
  <si>
    <t>941941192R00</t>
  </si>
  <si>
    <t>941941842R00</t>
  </si>
  <si>
    <t>944944011R00</t>
  </si>
  <si>
    <t>944944031R00</t>
  </si>
  <si>
    <t>944944081R00</t>
  </si>
  <si>
    <t>944945012R00</t>
  </si>
  <si>
    <t>944945192R00</t>
  </si>
  <si>
    <t>944945812R00</t>
  </si>
  <si>
    <t>728415811R00</t>
  </si>
  <si>
    <t>952901111R00IM</t>
  </si>
  <si>
    <t>968083001R00</t>
  </si>
  <si>
    <t>968083003R00</t>
  </si>
  <si>
    <t>968071125R00</t>
  </si>
  <si>
    <t>968072455R00</t>
  </si>
  <si>
    <t>970031100R00</t>
  </si>
  <si>
    <t>978013141R00</t>
  </si>
  <si>
    <t>978036131R00</t>
  </si>
  <si>
    <t>978036191R00</t>
  </si>
  <si>
    <t>H01</t>
  </si>
  <si>
    <t>998011002R00</t>
  </si>
  <si>
    <t>713</t>
  </si>
  <si>
    <t>713111231RK4</t>
  </si>
  <si>
    <t>713111261RK2</t>
  </si>
  <si>
    <t>713111271RS2</t>
  </si>
  <si>
    <t>28329031</t>
  </si>
  <si>
    <t>713121121R00</t>
  </si>
  <si>
    <t>63140104</t>
  </si>
  <si>
    <t>713121111RT1</t>
  </si>
  <si>
    <t>283765805</t>
  </si>
  <si>
    <t>283765891</t>
  </si>
  <si>
    <t>998713103R00</t>
  </si>
  <si>
    <t>721</t>
  </si>
  <si>
    <t>721242803R00</t>
  </si>
  <si>
    <t>721242110RT1</t>
  </si>
  <si>
    <t>721176212R00</t>
  </si>
  <si>
    <t>998721101R00</t>
  </si>
  <si>
    <t>722</t>
  </si>
  <si>
    <t>722120815R00</t>
  </si>
  <si>
    <t>762</t>
  </si>
  <si>
    <t>762521104R00</t>
  </si>
  <si>
    <t>60512585</t>
  </si>
  <si>
    <t>59590751.A</t>
  </si>
  <si>
    <t>762595000R00</t>
  </si>
  <si>
    <t>762341914R00</t>
  </si>
  <si>
    <t>762342202RT4</t>
  </si>
  <si>
    <t>998762103R00</t>
  </si>
  <si>
    <t>763</t>
  </si>
  <si>
    <t>763613111RT1</t>
  </si>
  <si>
    <t>764</t>
  </si>
  <si>
    <t>764410850R00</t>
  </si>
  <si>
    <t>764352811R00</t>
  </si>
  <si>
    <t>764454801R00</t>
  </si>
  <si>
    <t>764351837R00</t>
  </si>
  <si>
    <t>764359810R00</t>
  </si>
  <si>
    <t>764928107R00</t>
  </si>
  <si>
    <t>764928105R00</t>
  </si>
  <si>
    <t>764908105R00</t>
  </si>
  <si>
    <t>764908109R00</t>
  </si>
  <si>
    <t>764908102R00</t>
  </si>
  <si>
    <t>764255492R00</t>
  </si>
  <si>
    <t>5534424042</t>
  </si>
  <si>
    <t>998764103R00</t>
  </si>
  <si>
    <t>765</t>
  </si>
  <si>
    <t>765312813R00</t>
  </si>
  <si>
    <t>765391931R00</t>
  </si>
  <si>
    <t>765339211R00</t>
  </si>
  <si>
    <t>998765103R00</t>
  </si>
  <si>
    <t>766</t>
  </si>
  <si>
    <t>766421822R00</t>
  </si>
  <si>
    <t>766421821R00</t>
  </si>
  <si>
    <t>766427112R00</t>
  </si>
  <si>
    <t>766422341R00</t>
  </si>
  <si>
    <t>59590778</t>
  </si>
  <si>
    <t>766629301R00</t>
  </si>
  <si>
    <t>766629302R00</t>
  </si>
  <si>
    <t>42972802</t>
  </si>
  <si>
    <t>766629310R00</t>
  </si>
  <si>
    <t>766601213R00</t>
  </si>
  <si>
    <t>766694122R00</t>
  </si>
  <si>
    <t>60780093</t>
  </si>
  <si>
    <t>998766103R00</t>
  </si>
  <si>
    <t>767</t>
  </si>
  <si>
    <t>767991912R00</t>
  </si>
  <si>
    <t>767995103R00</t>
  </si>
  <si>
    <t>767996801R00</t>
  </si>
  <si>
    <t>998767103R00</t>
  </si>
  <si>
    <t>784</t>
  </si>
  <si>
    <t>784195112R00</t>
  </si>
  <si>
    <t>784161101R00</t>
  </si>
  <si>
    <t>905      R01</t>
  </si>
  <si>
    <t>900      RT3</t>
  </si>
  <si>
    <t>M-21</t>
  </si>
  <si>
    <t>S0</t>
  </si>
  <si>
    <t>979011111R00</t>
  </si>
  <si>
    <t>979011121R00</t>
  </si>
  <si>
    <t>979082111R00</t>
  </si>
  <si>
    <t>979082121R00</t>
  </si>
  <si>
    <t>979087311R00</t>
  </si>
  <si>
    <t>979990107R00</t>
  </si>
  <si>
    <t>979990163R00</t>
  </si>
  <si>
    <t>Energetická opatření pro dotaci IROP</t>
  </si>
  <si>
    <t>zateplení obvodového pláště, zateplení podlahy půdy, výměna oken</t>
  </si>
  <si>
    <t>Brodská 1905/33, svob.č.5, Žďár nad Sázavou 3</t>
  </si>
  <si>
    <t>Zkrácený popis</t>
  </si>
  <si>
    <t>Rozměry</t>
  </si>
  <si>
    <t>Nezařazeno</t>
  </si>
  <si>
    <t>Přípravné a přidružené práce</t>
  </si>
  <si>
    <t>Odstranění podkladu pl. 50 m2,kam.drcené tl.10 cm</t>
  </si>
  <si>
    <t>(44,7*2+12,8+2*1,5)*0,5</t>
  </si>
  <si>
    <t>Rozebrání dlažeb z betonových dlaždic na sucho</t>
  </si>
  <si>
    <t>okapový chodníček</t>
  </si>
  <si>
    <t>52,3</t>
  </si>
  <si>
    <t>Odstranění podkladu pl. 50 m2,kam.drcené tl.25 cm</t>
  </si>
  <si>
    <t>Podkladní a vedlejší konstrukce (inženýr. stavby kromě vozovek a železnič. svršku)</t>
  </si>
  <si>
    <t>Kladení bet. desek do 90 kg, tl. do 10cm, sp.písek</t>
  </si>
  <si>
    <t>Podklad ze štěrkopísku po zhutnění tloušťky 10 cm</t>
  </si>
  <si>
    <t>Dlaždice betonová 50x50x5 cm šedá</t>
  </si>
  <si>
    <t>52,3*1,05</t>
  </si>
  <si>
    <t>Omítky ze suchých směsí</t>
  </si>
  <si>
    <t>Penetrace stěn</t>
  </si>
  <si>
    <t>penetrace římsy dřevěné</t>
  </si>
  <si>
    <t>53,64</t>
  </si>
  <si>
    <t>Úprava povrchů vnitřní</t>
  </si>
  <si>
    <t>Omítka vápenná vnitřního ostění - štuková</t>
  </si>
  <si>
    <t>oprava omítek ostění po výměně oken:</t>
  </si>
  <si>
    <t>okna byty:</t>
  </si>
  <si>
    <t>0,35*(1,5+1,35*2)*72</t>
  </si>
  <si>
    <t>okna 1PP</t>
  </si>
  <si>
    <t>0,25*(0,9+0,6*2)*21</t>
  </si>
  <si>
    <t>Omítka malých ploch vnitřních stěn do 1 m2</t>
  </si>
  <si>
    <t>Zakrývání výplní vnitřních otvorů</t>
  </si>
  <si>
    <t>zakrývání vnitřního vybavení pro opravu omítek v bytech</t>
  </si>
  <si>
    <t>4,5*72</t>
  </si>
  <si>
    <t>1,5*1,3*42</t>
  </si>
  <si>
    <t>0,9*0,6*17</t>
  </si>
  <si>
    <t>Příplatek za zabudované rohovníky, stěny</t>
  </si>
  <si>
    <t>(1,5+1,3*2)*72</t>
  </si>
  <si>
    <t>Úprava povrchů vnější</t>
  </si>
  <si>
    <t>Omítka vnější stěn, MC, hladká, složitost 1 - 2</t>
  </si>
  <si>
    <t>Omítka soklu-opadaná  omítka</t>
  </si>
  <si>
    <t>35*0,75*2</t>
  </si>
  <si>
    <t>22,1*0,5*2</t>
  </si>
  <si>
    <t>Zakrývání výplní vnějších otvorů z lešení</t>
  </si>
  <si>
    <t>strana východní</t>
  </si>
  <si>
    <t>1.5*1.35*36</t>
  </si>
  <si>
    <t>strana západní</t>
  </si>
  <si>
    <t>0,9*0,6*21</t>
  </si>
  <si>
    <t>Oprava vnějších omítek cement.,hladkých do 50 %</t>
  </si>
  <si>
    <t>oprava venkovních omítek pod zateplení</t>
  </si>
  <si>
    <t>Očištění fasád tlakovou vodou složitost 1 - 2</t>
  </si>
  <si>
    <t>Montáž zakládací sady ETICS</t>
  </si>
  <si>
    <t>lišta šířky 160mm:</t>
  </si>
  <si>
    <t>(44,7+2*0,16)*2+1,4*2</t>
  </si>
  <si>
    <t>lišta šířky 100mm-štít</t>
  </si>
  <si>
    <t>12,6+2*0,1</t>
  </si>
  <si>
    <t>Lišta zakládací AL 1,0 103 mm l=2 m</t>
  </si>
  <si>
    <t>12,8*1,05</t>
  </si>
  <si>
    <t>Lišta zakládací  AL 1,0 163 mm l=2 m</t>
  </si>
  <si>
    <t>92,84*1,05</t>
  </si>
  <si>
    <t>Montáž KZS sokl, polystyren, tenkovrstvá omítka</t>
  </si>
  <si>
    <t>SOKL: Zateplovací systém XPS tl.100mm (lambda=0,035W/mK)- SO5</t>
  </si>
  <si>
    <t>skladba SO90, SO92</t>
  </si>
  <si>
    <t>69,73+27,72</t>
  </si>
  <si>
    <t>Montáž KZS fasáda, polystyren, tenkovrstvá omítka</t>
  </si>
  <si>
    <t>skladba SO1-tl. 140mm</t>
  </si>
  <si>
    <t>699,1</t>
  </si>
  <si>
    <t>skladba SO2-tl. 100mm</t>
  </si>
  <si>
    <t>113,0</t>
  </si>
  <si>
    <t>skladba SO2-tl. 100mm- půda</t>
  </si>
  <si>
    <t>24,57</t>
  </si>
  <si>
    <t>Deska EPS s grafitem  1000x500x100 mm (lambda=0,032W/mK)</t>
  </si>
  <si>
    <t>(113+24,57)*1,02</t>
  </si>
  <si>
    <t>Deska EPS s grafitem  1000x500x140 mm (lambda=0,032W/mK)</t>
  </si>
  <si>
    <t>699,1*1,02</t>
  </si>
  <si>
    <t>Deska polystyrenová  XPS  tl. 100 mm (lambda=0,035W/mK)</t>
  </si>
  <si>
    <t>97,45*1,02</t>
  </si>
  <si>
    <t>Montáž KZS ostění, polystyren, tenkovrstvá omítka</t>
  </si>
  <si>
    <t>Sokl-špalety oken XPS tl. 30mm</t>
  </si>
  <si>
    <t>(0,6*2+0,9)*0,4*21</t>
  </si>
  <si>
    <t>špalety byty tl. 30mm</t>
  </si>
  <si>
    <t>0,14*(1,5+1,35*2)*72</t>
  </si>
  <si>
    <t>Deska polystyrenová  XPS 300 SF tl. 30 mm (lambda=0,035W/mK)</t>
  </si>
  <si>
    <t>17,64*1,02</t>
  </si>
  <si>
    <t>Deska EPS s grafitem  1000x500x 30 mm (lambda=0,032W/mK)</t>
  </si>
  <si>
    <t>42,336*1,02</t>
  </si>
  <si>
    <t>Montáž výztužné sítě(perlinky)do stěrky-vněj.stěny</t>
  </si>
  <si>
    <t>obvodové stěny</t>
  </si>
  <si>
    <t>836,67</t>
  </si>
  <si>
    <t>0,14*(1,5+1,35)*2*72+0,1*(2,4+1,5)*2*2</t>
  </si>
  <si>
    <t>0,3*(2,4+2,6*2)</t>
  </si>
  <si>
    <t>špalety byty</t>
  </si>
  <si>
    <t>42,336</t>
  </si>
  <si>
    <t>sokl</t>
  </si>
  <si>
    <t>97,45</t>
  </si>
  <si>
    <t>sokl-špalety</t>
  </si>
  <si>
    <t>17,64</t>
  </si>
  <si>
    <t>Penetrace podkladu-sokl</t>
  </si>
  <si>
    <t>97,45+17,64</t>
  </si>
  <si>
    <t>Omítka stěn mozaiková</t>
  </si>
  <si>
    <t>Penetrační nátěr stěn</t>
  </si>
  <si>
    <t>fasáda</t>
  </si>
  <si>
    <t>836,67+59,016+2,28+42,336</t>
  </si>
  <si>
    <t>Stěrka na stěnách silikonová</t>
  </si>
  <si>
    <t>omítka zateplení</t>
  </si>
  <si>
    <t>1055,392</t>
  </si>
  <si>
    <t>Příplatek za okenní lištu (APU) - montáž-(interiér+esteriér)</t>
  </si>
  <si>
    <t>(1.5+1.35*2)*72</t>
  </si>
  <si>
    <t>(0,9+0,6*2)*21</t>
  </si>
  <si>
    <t>361,2</t>
  </si>
  <si>
    <t xml:space="preserve"> okenní profil 9 mm začišťovací s tkaninou</t>
  </si>
  <si>
    <t>707,7*1,05</t>
  </si>
  <si>
    <t>Montáž lišty pro ukončení omítky-(exteriér)</t>
  </si>
  <si>
    <t>rohové lišty kolem oken</t>
  </si>
  <si>
    <t>(1,5+1,35)*2*72+(2,4+1,5)*2*3</t>
  </si>
  <si>
    <t>(0,9+0,6)*2*21</t>
  </si>
  <si>
    <t>rohové lišty</t>
  </si>
  <si>
    <t>8,9*4</t>
  </si>
  <si>
    <t>římsa</t>
  </si>
  <si>
    <t>44,7*2</t>
  </si>
  <si>
    <t>Lišta rohová s tkaninou 10/10 / 2,5 m</t>
  </si>
  <si>
    <t>642,8*1,05</t>
  </si>
  <si>
    <t>Příplatek za zapuštěné hmoždinky (STR) 6 ks/m2</t>
  </si>
  <si>
    <t>Zátka EPS plus šedá d=70 mm</t>
  </si>
  <si>
    <t>812,1*6</t>
  </si>
  <si>
    <t>Vyrovnávací vrstva MC šířky do 30 cm</t>
  </si>
  <si>
    <t>1,5*72+0,9*21</t>
  </si>
  <si>
    <t>Montáž výztužné sítě (perlinky) do stěrky-podhledy</t>
  </si>
  <si>
    <t>44,7*2*(0,4+0,2)</t>
  </si>
  <si>
    <t>Nátěr podhledů vnějších silikátový</t>
  </si>
  <si>
    <t>Výtahovací zkouška kotvícího systému pro KZS</t>
  </si>
  <si>
    <t>Prvky na fasádě-prodloužení o tl. zateplení-(světla, interkom, docházk. systém...)</t>
  </si>
  <si>
    <t>Oprava vnějších omítek vápen. drásan. II. do 20 %</t>
  </si>
  <si>
    <t>skladby SO1, SO2</t>
  </si>
  <si>
    <t>699,1+113</t>
  </si>
  <si>
    <t>Oprava vnějších omítek cement.,štukových do 30 %</t>
  </si>
  <si>
    <t>sokl SO90, SO92</t>
  </si>
  <si>
    <t>Vyrovnávací tmel tl. do 5 mm</t>
  </si>
  <si>
    <t>předpoklad 10%</t>
  </si>
  <si>
    <t>0,1*(812,1+97,45)</t>
  </si>
  <si>
    <t>Přechodový profil parapet-ostění, s tkaninou</t>
  </si>
  <si>
    <t>74*2+21*2</t>
  </si>
  <si>
    <t>Montáž výztužné lišty okenní a podparapetní</t>
  </si>
  <si>
    <t>21*0,9</t>
  </si>
  <si>
    <t>1,5*72</t>
  </si>
  <si>
    <t>Profil parapetní plastový s tkaninou l=2,0 m</t>
  </si>
  <si>
    <t>126,9*1,1</t>
  </si>
  <si>
    <t>Příplatek za styk 2 odstínů tenkovrstvých omítek</t>
  </si>
  <si>
    <t>Lešení a stavební výtahy</t>
  </si>
  <si>
    <t>Lešení lehké pomocné, výška podlahy do 1,2 m</t>
  </si>
  <si>
    <t>Montáž lešení leh.řad.s podlahami,š.1,2 m, H 30 m</t>
  </si>
  <si>
    <t>(44,7+0,32)*10*2</t>
  </si>
  <si>
    <t>(12,6+2*0,1)*11,8</t>
  </si>
  <si>
    <t>(1*10,2)*2</t>
  </si>
  <si>
    <t>Příplatek za každý měsíc použití lešení k pol.1032</t>
  </si>
  <si>
    <t>Demontáž lešení leh.řad.s podlahami,š.1,2 m,H 30 m</t>
  </si>
  <si>
    <t>Montáž ochranné sítě z umělých vláken</t>
  </si>
  <si>
    <t>Příplatek za každý měsíc použití sítí k pol. 4011</t>
  </si>
  <si>
    <t>Demontáž ochranné sítě z umělých vláken</t>
  </si>
  <si>
    <t>Montáž záchytné stříšky H 4,5 m, šířky do 2 m</t>
  </si>
  <si>
    <t>Příplatek za každý měsíc použ.stříšky, k pol. 5012</t>
  </si>
  <si>
    <t>Demontáž záchytné stříšky H 4,5 m, šířky do 2 m</t>
  </si>
  <si>
    <t>Různé dokončovací konstrukce a práce pozemních staveb</t>
  </si>
  <si>
    <t>Demontáž mřížky větrací nebo ventilační do 0,04 m2</t>
  </si>
  <si>
    <t>72*2</t>
  </si>
  <si>
    <t>Vyčištění budov o výšce podlaží do 4 m</t>
  </si>
  <si>
    <t>(44,7*9,8)*2</t>
  </si>
  <si>
    <t>Úklid půdy</t>
  </si>
  <si>
    <t>44,7*9,8</t>
  </si>
  <si>
    <t>Budky pro rorýsy, kavky</t>
  </si>
  <si>
    <t>Bourání konstrukcí</t>
  </si>
  <si>
    <t>Vybourání plastových oken do 1 m2</t>
  </si>
  <si>
    <t>Vybourání plastových oken do 4 m2</t>
  </si>
  <si>
    <t>1,5*1,35*72</t>
  </si>
  <si>
    <t>Vyvěšení, zavěšení kovových křídel dveří pl. 2 m2</t>
  </si>
  <si>
    <t>Vybourání kovových dveřních zárubní pl. do 2 m2</t>
  </si>
  <si>
    <t>dveře vstupní</t>
  </si>
  <si>
    <t>2,6*2,4</t>
  </si>
  <si>
    <t>Prorážení otvorů a ostatní bourací práce</t>
  </si>
  <si>
    <t>Vrtání jádrové do zdiva cihelného do D 100 mm</t>
  </si>
  <si>
    <t>nové otvory pro odvětrání spíží</t>
  </si>
  <si>
    <t>8*0,45</t>
  </si>
  <si>
    <t>Otlučení omítek vnitřních stěn v rozsahu do 30 %</t>
  </si>
  <si>
    <t>stěny kolem vyměněných výplní</t>
  </si>
  <si>
    <t>116,87</t>
  </si>
  <si>
    <t>Otlučení omítek břízolitových v rozsahu 20 %</t>
  </si>
  <si>
    <t>Otlučení omítek břízolitových v rozsahu 100 %</t>
  </si>
  <si>
    <t>ostění a nadpraží</t>
  </si>
  <si>
    <t>0,15*(1,5+1,3*2)*72</t>
  </si>
  <si>
    <t>0,15*(0,9+0,6*2)*21</t>
  </si>
  <si>
    <t>Odstranění fasádního nátěru z vnějších stěn</t>
  </si>
  <si>
    <t>Budovy občanské výstavby</t>
  </si>
  <si>
    <t>Přesun hmot pro budovy zděné výšky do 12 m</t>
  </si>
  <si>
    <t>Izolace tepelné</t>
  </si>
  <si>
    <t>Montáž parozábrany stropů shora s přelepením spojů</t>
  </si>
  <si>
    <t>581,66+(44,7+12,6)*2*0,3</t>
  </si>
  <si>
    <t>Utěsnění prostupu parozábranou pevnou páskou vč. dodání pásky</t>
  </si>
  <si>
    <t>Utěsnění styku s jinou konstr. oboustrannou páskou vč. dodání pásky</t>
  </si>
  <si>
    <t>svislé části-utěsnění</t>
  </si>
  <si>
    <t>44,7*6+12,6*2</t>
  </si>
  <si>
    <t>Fólie parobrzdná</t>
  </si>
  <si>
    <t>616,04*1,1</t>
  </si>
  <si>
    <t>Izolace tepelná podlah na sucho, dvouvrstvá</t>
  </si>
  <si>
    <t>skladba STR1</t>
  </si>
  <si>
    <t>581,66</t>
  </si>
  <si>
    <t>odpočet křížů EPS</t>
  </si>
  <si>
    <t>-22,04</t>
  </si>
  <si>
    <t>Úprava-zbroušení polystyrénových křížů a trámků-NEROVNOSTI PODLAHY</t>
  </si>
  <si>
    <t>22,04</t>
  </si>
  <si>
    <t>Deska minerální vlákno - podélná  tl. 100 mm (lambda=0,035W/mK)</t>
  </si>
  <si>
    <t>(559,62*2)*1,04</t>
  </si>
  <si>
    <t>Izolace tepelná podlah na sucho, jednovrstvá</t>
  </si>
  <si>
    <t>kříže z EPS</t>
  </si>
  <si>
    <t>(44,7-0,45*2)*0,1*4+(0,2*0,1*8*23)*(0,2*0,1*7*6)+1,4288</t>
  </si>
  <si>
    <t>Kříž EPS-izolační nosný kříž z EPS složený ze dvou dílů 500*100*200mm (lambda=0,035 W/m.K)</t>
  </si>
  <si>
    <t>29*4</t>
  </si>
  <si>
    <t>EPS-trámec 1000*100*200mm (lambda=0,035 W/m.K)</t>
  </si>
  <si>
    <t>Přesun hmot pro izolace tepelné, výšky do 24 m</t>
  </si>
  <si>
    <t>Vnitřní kanalizace</t>
  </si>
  <si>
    <t>Demontáž lapače střešních splavenin DN 100</t>
  </si>
  <si>
    <t>Lapač střešních splavenin PP HL600, kloub</t>
  </si>
  <si>
    <t>Potrubí PVC odpadní svislé D 110 x 3,2 mm</t>
  </si>
  <si>
    <t>ukončení svodů při terénu</t>
  </si>
  <si>
    <t>Přesun hmot pro vnitřní kanalizaci, výšky do 6 m</t>
  </si>
  <si>
    <t>Vnitřní vodovod</t>
  </si>
  <si>
    <t>Demontáž potrubí litinového hrdlového DN 125</t>
  </si>
  <si>
    <t>stávající konce svodů střechy</t>
  </si>
  <si>
    <t>Konstrukce tesařské</t>
  </si>
  <si>
    <t>Položení podlah nehoblovaných na sraz, hrubá prkna</t>
  </si>
  <si>
    <t>půda pochůzná vrstva-roznášecí prkna</t>
  </si>
  <si>
    <t>((44.7-0.9)*4*0,15)</t>
  </si>
  <si>
    <t>Prkno SM tl. 22-25 mm dl. do 3 m  š. do 100 mm</t>
  </si>
  <si>
    <t>(26,28*0,02)*1,08</t>
  </si>
  <si>
    <t>Deska cementotřísková  P+D tl. 18 mm</t>
  </si>
  <si>
    <t>105,12*1,04</t>
  </si>
  <si>
    <t>Spojovací a ochranné prostředky k položení podlah</t>
  </si>
  <si>
    <t>0,56765+(105,12*0,018)</t>
  </si>
  <si>
    <t>Vyřezání otvorů střech, v laťování pl. do 8 m2</t>
  </si>
  <si>
    <t>otvor pro přesun materiálu na střechu</t>
  </si>
  <si>
    <t>1,2*4</t>
  </si>
  <si>
    <t>Montáž laťování střech, vzdálenost latí do 22 cm,včetně dodávky řeziva, latě 4/6 cm</t>
  </si>
  <si>
    <t>montáž nového laťování-otvor pro přesun materiálu</t>
  </si>
  <si>
    <t>4,8</t>
  </si>
  <si>
    <t>Přesun hmot pro tesařské konstrukce, výšky do 24 m</t>
  </si>
  <si>
    <t>Dřevostavby</t>
  </si>
  <si>
    <t>M.záklopu stropů z desek do tl.18mm,na sraz,přibíj</t>
  </si>
  <si>
    <t>půda pochůzná vrstva</t>
  </si>
  <si>
    <t>2,4*(44,7-2*0,45)</t>
  </si>
  <si>
    <t>Konstrukce klempířské</t>
  </si>
  <si>
    <t>Demontáž oplechování parapetů,rš od 100 do 330 mm</t>
  </si>
  <si>
    <t>1,5*72+2,4*2+0,9*21</t>
  </si>
  <si>
    <t>Demontáž žlabů půlkruh. rovných, rš 330 mm, do 45°</t>
  </si>
  <si>
    <t>Demontáž odpadních trub kruhových,D 75 a 100 mm</t>
  </si>
  <si>
    <t>Demontáž háků, sklon do 45°</t>
  </si>
  <si>
    <t>Demontáž kotlíku kónického, sklon do 30°</t>
  </si>
  <si>
    <t>Z+M oplech.parapetů z lak.plechu vč.rohů rš 470 2/K</t>
  </si>
  <si>
    <t>0,9*21+2,4*2</t>
  </si>
  <si>
    <t>Z+M oplech.parapetů z lak.plechu vč.rohů rš 270 1/K</t>
  </si>
  <si>
    <t>žlab podokapní půlkruhový R,velikost 150 mm-poplast.plech</t>
  </si>
  <si>
    <t>odpadní trouby kruhové  D 100 mm-poplast.plech</t>
  </si>
  <si>
    <t>kotlík žlabový kónický -vel.žlabu 150 mm-poplast.plech</t>
  </si>
  <si>
    <t>Montáž háků z Ti Zn nástřešních oblých</t>
  </si>
  <si>
    <t>Hák nástřešního žlabu, opláštěný mat. Ti Zn</t>
  </si>
  <si>
    <t>Úprava střešní krytiny pro demontáž a novou montáž háků žlabů</t>
  </si>
  <si>
    <t>Rozebrání části střechy a demontáž zpět-přesunmateriálu pro izolaci půdy-tepelná izolace, dřevoštěpkové desky- JEŘÁB</t>
  </si>
  <si>
    <t>Přesun hmot pro klempířské konstr., výšky do 24 m</t>
  </si>
  <si>
    <t>Krytina tvrdá</t>
  </si>
  <si>
    <t>Demontáž krytiny dvoudrážk., na sucho, pro použití</t>
  </si>
  <si>
    <t>rozebrání 2 šárů tašek u římsy</t>
  </si>
  <si>
    <t>44,7*0,45*2</t>
  </si>
  <si>
    <t>otvor pro montáž materiálu na zateplení půdy</t>
  </si>
  <si>
    <t>Přeložení krytiny drážkové, střech složit.,nasucho</t>
  </si>
  <si>
    <t>M.zastřešení beton.tašk.drážk.střech jedn.na sucho</t>
  </si>
  <si>
    <t>Přesun hmot pro krytiny tvrdé, výšky do 24 m</t>
  </si>
  <si>
    <t>Konstrukce truhlářské</t>
  </si>
  <si>
    <t>Demontáž podkladových roštů obložení podhledů</t>
  </si>
  <si>
    <t>Demontáž obložení stropů palubkami</t>
  </si>
  <si>
    <t>Podkladový rošt pro obložení podhledů</t>
  </si>
  <si>
    <t>44,7*2+8,4*4</t>
  </si>
  <si>
    <t>Obložení podhledů jednod.aglomer deskami do 0,6 m2</t>
  </si>
  <si>
    <t>8,4*0,25*4</t>
  </si>
  <si>
    <t>Deska cementotřísková tl. 14 mm</t>
  </si>
  <si>
    <t>62,04*1,04</t>
  </si>
  <si>
    <t>Montáž oken plastových plochy do 1,50 m2</t>
  </si>
  <si>
    <t>Montáž oken plastových plochy do 2,70 m2</t>
  </si>
  <si>
    <t>Plastové okno 1500*1350mm pol. 1; uw=1,1 (celého okna !)</t>
  </si>
  <si>
    <t>Plastové okno 600*900mm pol. 2; uw=1,2 (celého okna !)</t>
  </si>
  <si>
    <t>Mřížka čtyřhranná vel. 160x160.20</t>
  </si>
  <si>
    <t>Montáž plastových stěn prosklených</t>
  </si>
  <si>
    <t>nové vchodové dveře</t>
  </si>
  <si>
    <t>2,4*2,6</t>
  </si>
  <si>
    <t>Vchodové dveře hliníkové 2,40*2,600mm pol. 3; uw=1,2 (celého otvoru)</t>
  </si>
  <si>
    <t>D+M prodloužení větrácích mřížek o tl. zateplenívč. utěsnění pěnou-dle detailu</t>
  </si>
  <si>
    <t>Těsnění okenní spáry, ostění, PT folie + PP folie</t>
  </si>
  <si>
    <t>okna 1500*1350mm 72ks</t>
  </si>
  <si>
    <t>72*(1,5+1,35)*2</t>
  </si>
  <si>
    <t>Montáž parapetních desek š.nad 30 cm,dl.do 160 cm</t>
  </si>
  <si>
    <t>Krytka boční parapetní  š. 380-400 mm plast</t>
  </si>
  <si>
    <t>Přesun hmot pro truhlářské konstr., výšky do 24 m</t>
  </si>
  <si>
    <t>Konstrukce doplňkové stavební (zámečnické)</t>
  </si>
  <si>
    <t>Řezání plamenem (samostatně)</t>
  </si>
  <si>
    <t>mříže oken 1PP</t>
  </si>
  <si>
    <t>5*(0,9+0,6)*2</t>
  </si>
  <si>
    <t>Výroba a montáž kov. atypických konstr. do 20 kg</t>
  </si>
  <si>
    <t>Mříže na okna 900*600mm mat. jekl 10*10*1mm-úprava žárovým zinkováním 1/Z</t>
  </si>
  <si>
    <t>Demontáž atypických ocelových konstr. do 50 kg</t>
  </si>
  <si>
    <t>Přesun hmot pro zámečnické konstr., výšky do 24 m</t>
  </si>
  <si>
    <t>Malby</t>
  </si>
  <si>
    <t>Malba , bílá, bez penetrace, 2 x</t>
  </si>
  <si>
    <t>špalety oken po výměně</t>
  </si>
  <si>
    <t>105,84</t>
  </si>
  <si>
    <t>72*5,5</t>
  </si>
  <si>
    <t>stěny v blízkosti okna</t>
  </si>
  <si>
    <t>Penetrace podkladu nátěrem</t>
  </si>
  <si>
    <t>Hodinové zúčtovací sazby (HZS)</t>
  </si>
  <si>
    <t>Hzs-revize provoz.souboru a st.obj.</t>
  </si>
  <si>
    <t>revize hromosvodu a elektro</t>
  </si>
  <si>
    <t>HZS</t>
  </si>
  <si>
    <t>Stavební přípomoce, nezměřitelné práce</t>
  </si>
  <si>
    <t>Elektromontáže</t>
  </si>
  <si>
    <t>Hromosvod- demontáž stávajících vedení</t>
  </si>
  <si>
    <t>Zpětná montáž el. rozvodů a prvků(světla) stropu 1PP-po zateplení-ODHAD</t>
  </si>
  <si>
    <t>Přesuny sutí</t>
  </si>
  <si>
    <t>Svislá doprava suti a vybour. hmot za 2.NP a 1.PP</t>
  </si>
  <si>
    <t>Příplatek za každé další podlaží</t>
  </si>
  <si>
    <t>Vnitrostaveništní doprava suti do 10 m</t>
  </si>
  <si>
    <t>Příplatek k vnitrost. dopravě suti za dalších 5 m</t>
  </si>
  <si>
    <t>15*23,63</t>
  </si>
  <si>
    <t>Vodorovné přemístění suti nošením do 10 m</t>
  </si>
  <si>
    <t>Poplatek za skládku suti - směs betonu,cihel,dřeva</t>
  </si>
  <si>
    <t>Poplatek za uložení suti - plast + sklo, skupina odpadu 170904</t>
  </si>
  <si>
    <t>Doba výstavby:</t>
  </si>
  <si>
    <t>Zpracováno dne:</t>
  </si>
  <si>
    <t>30.10.2020</t>
  </si>
  <si>
    <t>Město Žďár nad Sázavou</t>
  </si>
  <si>
    <t>ing. Zbyněk Semerád</t>
  </si>
  <si>
    <t> </t>
  </si>
  <si>
    <t>MJ</t>
  </si>
  <si>
    <t>m2</t>
  </si>
  <si>
    <t>kus</t>
  </si>
  <si>
    <t>m</t>
  </si>
  <si>
    <t>kompl.</t>
  </si>
  <si>
    <t>ks</t>
  </si>
  <si>
    <t>t</t>
  </si>
  <si>
    <t>m3</t>
  </si>
  <si>
    <t>kg</t>
  </si>
  <si>
    <t>h</t>
  </si>
  <si>
    <t>Množství</t>
  </si>
  <si>
    <t>Cena/MJ</t>
  </si>
  <si>
    <t>(Kč)</t>
  </si>
  <si>
    <t>Náklady (Kč)</t>
  </si>
  <si>
    <t>Dodávka</t>
  </si>
  <si>
    <t>Celkem:</t>
  </si>
  <si>
    <t>Celkem</t>
  </si>
  <si>
    <t>Cenová</t>
  </si>
  <si>
    <t>soustava</t>
  </si>
  <si>
    <t>RTS II / 2020</t>
  </si>
  <si>
    <t>RTS I / 2020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</si>
  <si>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</si>
  <si>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</si>
  <si>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</si>
  <si>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</si>
  <si>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</si>
  <si>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</si>
  <si>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</si>
  <si>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</si>
  <si>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</si>
  <si>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</si>
  <si>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</si>
  <si>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45_</t>
  </si>
  <si>
    <t>60_</t>
  </si>
  <si>
    <t>61_</t>
  </si>
  <si>
    <t>62_</t>
  </si>
  <si>
    <t>94_</t>
  </si>
  <si>
    <t>95_</t>
  </si>
  <si>
    <t>96_</t>
  </si>
  <si>
    <t>97_</t>
  </si>
  <si>
    <t>H01_</t>
  </si>
  <si>
    <t>713_</t>
  </si>
  <si>
    <t>721_</t>
  </si>
  <si>
    <t>722_</t>
  </si>
  <si>
    <t>762_</t>
  </si>
  <si>
    <t>763_</t>
  </si>
  <si>
    <t>764_</t>
  </si>
  <si>
    <t>765_</t>
  </si>
  <si>
    <t>766_</t>
  </si>
  <si>
    <t>767_</t>
  </si>
  <si>
    <t>784_</t>
  </si>
  <si>
    <t>90_</t>
  </si>
  <si>
    <t>M-21_</t>
  </si>
  <si>
    <t>S0_</t>
  </si>
  <si>
    <t>_1_</t>
  </si>
  <si>
    <t>_4_</t>
  </si>
  <si>
    <t>_6_</t>
  </si>
  <si>
    <t>_9_</t>
  </si>
  <si>
    <t>_71_</t>
  </si>
  <si>
    <t>_72_</t>
  </si>
  <si>
    <t>_76_</t>
  </si>
  <si>
    <t>_78_</t>
  </si>
  <si>
    <t>_</t>
  </si>
  <si>
    <t>MAT</t>
  </si>
  <si>
    <t>WORK</t>
  </si>
  <si>
    <t>CELK</t>
  </si>
  <si>
    <t>ISWORK</t>
  </si>
  <si>
    <t>P</t>
  </si>
  <si>
    <t>M</t>
  </si>
  <si>
    <t>GROUPCODE</t>
  </si>
  <si>
    <t>60780085</t>
  </si>
  <si>
    <t>Parapet interiér š. 400 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</si>
</sst>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i/>
      <sz val="10"/>
      <color indexed="8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sz val="10"/>
      <color indexed="16"/>
      <name val="Arial"/>
      <family val="0"/>
    </font>
    <font>
      <i/>
      <sz val="10"/>
      <color indexed="16"/>
      <name val="Arial"/>
      <family val="0"/>
    </font>
    <font>
      <sz val="10"/>
      <color indexed="1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2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9" fontId="15" fillId="36" borderId="4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1" fillId="36" borderId="41" xfId="0" applyNumberFormat="1" applyFont="1" applyFill="1" applyBorder="1" applyAlignment="1" applyProtection="1">
      <alignment horizontal="left" vertical="center"/>
      <protection/>
    </xf>
    <xf numFmtId="49" fontId="15" fillId="36" borderId="41" xfId="0" applyNumberFormat="1" applyFont="1" applyFill="1" applyBorder="1" applyAlignment="1" applyProtection="1">
      <alignment horizontal="lef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4" fontId="12" fillId="37" borderId="42" xfId="0" applyNumberFormat="1" applyFont="1" applyFill="1" applyBorder="1" applyAlignment="1" applyProtection="1">
      <alignment horizontal="right" vertical="center"/>
      <protection/>
    </xf>
    <xf numFmtId="4" fontId="15" fillId="36" borderId="41" xfId="0" applyNumberFormat="1" applyFont="1" applyFill="1" applyBorder="1" applyAlignment="1" applyProtection="1">
      <alignment horizontal="right" vertical="center"/>
      <protection/>
    </xf>
    <xf numFmtId="49" fontId="12" fillId="37" borderId="40" xfId="0" applyNumberFormat="1" applyFont="1" applyFill="1" applyBorder="1" applyAlignment="1" applyProtection="1">
      <alignment horizontal="right" vertical="center"/>
      <protection/>
    </xf>
    <xf numFmtId="49" fontId="12" fillId="37" borderId="43" xfId="0" applyNumberFormat="1" applyFont="1" applyFill="1" applyBorder="1" applyAlignment="1" applyProtection="1">
      <alignment horizontal="right" vertical="center"/>
      <protection/>
    </xf>
    <xf numFmtId="0" fontId="1" fillId="37" borderId="40" xfId="0" applyNumberFormat="1" applyFont="1" applyFill="1" applyBorder="1" applyAlignment="1" applyProtection="1">
      <alignment vertical="center"/>
      <protection/>
    </xf>
    <xf numFmtId="0" fontId="1" fillId="37" borderId="43" xfId="0" applyNumberFormat="1" applyFont="1" applyFill="1" applyBorder="1" applyAlignment="1" applyProtection="1">
      <alignment vertical="center"/>
      <protection/>
    </xf>
    <xf numFmtId="49" fontId="12" fillId="37" borderId="41" xfId="0" applyNumberFormat="1" applyFont="1" applyFill="1" applyBorder="1" applyAlignment="1" applyProtection="1">
      <alignment horizontal="left" vertical="center"/>
      <protection/>
    </xf>
    <xf numFmtId="0" fontId="1" fillId="37" borderId="42" xfId="0" applyNumberFormat="1" applyFont="1" applyFill="1" applyBorder="1" applyAlignment="1" applyProtection="1">
      <alignment vertical="center"/>
      <protection/>
    </xf>
    <xf numFmtId="49" fontId="16" fillId="37" borderId="40" xfId="0" applyNumberFormat="1" applyFont="1" applyFill="1" applyBorder="1" applyAlignment="1" applyProtection="1">
      <alignment horizontal="left" vertical="center"/>
      <protection/>
    </xf>
    <xf numFmtId="49" fontId="16" fillId="37" borderId="43" xfId="0" applyNumberFormat="1" applyFont="1" applyFill="1" applyBorder="1" applyAlignment="1" applyProtection="1">
      <alignment horizontal="left" vertical="center"/>
      <protection/>
    </xf>
    <xf numFmtId="0" fontId="0" fillId="37" borderId="42" xfId="1" applyNumberFormat="1" applyFill="1" applyBorder="1" applyAlignment="1" applyProtection="1">
      <alignment/>
      <protection/>
    </xf>
    <xf numFmtId="49" fontId="17" fillId="37" borderId="42" xfId="0" applyNumberFormat="1" applyFont="1" applyFill="1" applyBorder="1" applyAlignment="1" applyProtection="1">
      <alignment horizontal="left" vertical="center"/>
      <protection/>
    </xf>
    <xf numFmtId="4" fontId="12" fillId="37" borderId="41" xfId="0" applyNumberFormat="1" applyFont="1" applyFill="1" applyBorder="1" applyAlignment="1" applyProtection="1">
      <alignment horizontal="right" vertical="center"/>
      <protection/>
    </xf>
    <xf numFmtId="4" fontId="16" fillId="37" borderId="42" xfId="0" applyNumberFormat="1" applyFont="1" applyFill="1" applyBorder="1" applyAlignment="1" applyProtection="1">
      <alignment horizontal="right" vertical="center"/>
      <protection/>
    </xf>
    <xf numFmtId="0" fontId="1" fillId="37" borderId="41" xfId="0" applyNumberFormat="1" applyFont="1" applyFill="1" applyBorder="1" applyAlignment="1" applyProtection="1">
      <alignment vertical="center"/>
      <protection/>
    </xf>
    <xf numFmtId="0" fontId="0" fillId="37" borderId="41" xfId="1" applyNumberFormat="1" applyFill="1" applyBorder="1" applyAlignment="1" applyProtection="1">
      <alignment/>
      <protection/>
    </xf>
    <xf numFmtId="49" fontId="17" fillId="37" borderId="41" xfId="0" applyNumberFormat="1" applyFont="1" applyFill="1" applyBorder="1" applyAlignment="1" applyProtection="1">
      <alignment horizontal="left" vertical="center"/>
      <protection/>
    </xf>
    <xf numFmtId="4" fontId="16" fillId="37" borderId="41" xfId="0" applyNumberFormat="1" applyFont="1" applyFill="1" applyBorder="1" applyAlignment="1" applyProtection="1">
      <alignment horizontal="right" vertical="center"/>
      <protection/>
    </xf>
    <xf numFmtId="49" fontId="13" fillId="37" borderId="40" xfId="0" applyNumberFormat="1" applyFont="1" applyFill="1" applyBorder="1" applyAlignment="1" applyProtection="1">
      <alignment horizontal="right" vertical="center"/>
      <protection/>
    </xf>
    <xf numFmtId="49" fontId="13" fillId="37" borderId="41" xfId="0" applyNumberFormat="1" applyFont="1" applyFill="1" applyBorder="1" applyAlignment="1" applyProtection="1">
      <alignment horizontal="left" vertical="center"/>
      <protection/>
    </xf>
    <xf numFmtId="4" fontId="13" fillId="37" borderId="41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right" vertical="center"/>
      <protection/>
    </xf>
    <xf numFmtId="49" fontId="1" fillId="37" borderId="40" xfId="0" applyNumberFormat="1" applyFont="1" applyFill="1" applyBorder="1" applyAlignment="1" applyProtection="1">
      <alignment horizontal="right" vertical="center"/>
      <protection/>
    </xf>
    <xf numFmtId="49" fontId="1" fillId="37" borderId="41" xfId="0" applyNumberFormat="1" applyFont="1" applyFill="1" applyBorder="1" applyAlignment="1" applyProtection="1">
      <alignment horizontal="lef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37" borderId="40" xfId="0" applyNumberFormat="1" applyFont="1" applyFill="1" applyBorder="1" applyAlignment="1" applyProtection="1">
      <alignment horizontal="lef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" fontId="1" fillId="37" borderId="41" xfId="0" applyNumberFormat="1" applyFont="1" applyFill="1" applyBorder="1" applyAlignment="1" applyProtection="1">
      <alignment horizontal="right" vertical="center"/>
      <protection/>
    </xf>
    <xf numFmtId="0" fontId="1" fillId="37" borderId="41" xfId="1" applyNumberFormat="1" applyFont="1" applyFill="1" applyBorder="1" applyAlignment="1" applyProtection="1">
      <alignment/>
      <protection/>
    </xf>
    <xf numFmtId="49" fontId="18" fillId="37" borderId="41" xfId="0" applyNumberFormat="1" applyFont="1" applyFill="1" applyBorder="1" applyAlignment="1" applyProtection="1">
      <alignment horizontal="left" vertical="center"/>
      <protection/>
    </xf>
    <xf numFmtId="4" fontId="18" fillId="37" borderId="41" xfId="0" applyNumberFormat="1" applyFont="1" applyFill="1" applyBorder="1" applyAlignment="1" applyProtection="1">
      <alignment horizontal="right" vertical="center"/>
      <protection/>
    </xf>
    <xf numFmtId="49" fontId="19" fillId="0" borderId="22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37" borderId="42" xfId="0" applyNumberFormat="1" applyFont="1" applyFill="1" applyBorder="1" applyAlignment="1" applyProtection="1">
      <alignment horizontal="left" vertical="center"/>
      <protection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4" fontId="19" fillId="37" borderId="42" xfId="0" applyNumberFormat="1" applyFont="1" applyFill="1" applyBorder="1" applyAlignment="1" applyProtection="1">
      <alignment horizontal="right" vertical="center"/>
      <protection/>
    </xf>
    <xf numFmtId="49" fontId="19" fillId="0" borderId="21" xfId="0" applyNumberFormat="1" applyFont="1" applyFill="1" applyBorder="1" applyAlignment="1" applyProtection="1">
      <alignment horizontal="right" vertical="center"/>
      <protection/>
    </xf>
    <xf numFmtId="49" fontId="19" fillId="37" borderId="40" xfId="0" applyNumberFormat="1" applyFont="1" applyFill="1" applyBorder="1" applyAlignment="1" applyProtection="1">
      <alignment horizontal="right" vertical="center"/>
      <protection/>
    </xf>
    <xf numFmtId="49" fontId="19" fillId="37" borderId="43" xfId="0" applyNumberFormat="1" applyFont="1" applyFill="1" applyBorder="1" applyAlignment="1" applyProtection="1">
      <alignment horizontal="right" vertical="center"/>
      <protection/>
    </xf>
    <xf numFmtId="0" fontId="19" fillId="0" borderId="22" xfId="0" applyNumberFormat="1" applyFont="1" applyFill="1" applyBorder="1" applyAlignment="1" applyProtection="1">
      <alignment vertical="center"/>
      <protection/>
    </xf>
    <xf numFmtId="0" fontId="19" fillId="37" borderId="40" xfId="0" applyNumberFormat="1" applyFont="1" applyFill="1" applyBorder="1" applyAlignment="1" applyProtection="1">
      <alignment vertical="center"/>
      <protection/>
    </xf>
    <xf numFmtId="0" fontId="19" fillId="37" borderId="43" xfId="0" applyNumberFormat="1" applyFont="1" applyFill="1" applyBorder="1" applyAlignment="1" applyProtection="1">
      <alignment vertical="center"/>
      <protection/>
    </xf>
    <xf numFmtId="49" fontId="19" fillId="37" borderId="41" xfId="0" applyNumberFormat="1" applyFont="1" applyFill="1" applyBorder="1" applyAlignment="1" applyProtection="1">
      <alignment horizontal="left" vertical="center"/>
      <protection/>
    </xf>
    <xf numFmtId="0" fontId="19" fillId="0" borderId="0" xfId="1" applyNumberFormat="1" applyFont="1" applyFill="1" applyBorder="1" applyAlignment="1" applyProtection="1">
      <alignment/>
      <protection/>
    </xf>
    <xf numFmtId="0" fontId="19" fillId="37" borderId="42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37" borderId="40" xfId="0" applyNumberFormat="1" applyFont="1" applyFill="1" applyBorder="1" applyAlignment="1" applyProtection="1">
      <alignment horizontal="left" vertical="center"/>
      <protection/>
    </xf>
    <xf numFmtId="49" fontId="20" fillId="37" borderId="43" xfId="0" applyNumberFormat="1" applyFont="1" applyFill="1" applyBorder="1" applyAlignment="1" applyProtection="1">
      <alignment horizontal="left" vertical="center"/>
      <protection/>
    </xf>
    <xf numFmtId="0" fontId="19" fillId="37" borderId="42" xfId="1" applyNumberFormat="1" applyFont="1" applyFill="1" applyBorder="1" applyAlignment="1" applyProtection="1">
      <alignment/>
      <protection/>
    </xf>
    <xf numFmtId="49" fontId="20" fillId="37" borderId="42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" fontId="19" fillId="37" borderId="41" xfId="0" applyNumberFormat="1" applyFont="1" applyFill="1" applyBorder="1" applyAlignment="1" applyProtection="1">
      <alignment horizontal="right" vertical="center"/>
      <protection/>
    </xf>
    <xf numFmtId="4" fontId="20" fillId="37" borderId="42" xfId="0" applyNumberFormat="1" applyFont="1" applyFill="1" applyBorder="1" applyAlignment="1" applyProtection="1">
      <alignment horizontal="right" vertical="center"/>
      <protection/>
    </xf>
    <xf numFmtId="0" fontId="19" fillId="0" borderId="21" xfId="0" applyNumberFormat="1" applyFont="1" applyFill="1" applyBorder="1" applyAlignment="1" applyProtection="1">
      <alignment vertical="center"/>
      <protection/>
    </xf>
    <xf numFmtId="0" fontId="19" fillId="37" borderId="41" xfId="0" applyNumberFormat="1" applyFont="1" applyFill="1" applyBorder="1" applyAlignment="1" applyProtection="1">
      <alignment vertical="center"/>
      <protection/>
    </xf>
    <xf numFmtId="0" fontId="19" fillId="37" borderId="41" xfId="1" applyNumberFormat="1" applyFont="1" applyFill="1" applyBorder="1" applyAlignment="1" applyProtection="1">
      <alignment/>
      <protection/>
    </xf>
    <xf numFmtId="49" fontId="20" fillId="37" borderId="41" xfId="0" applyNumberFormat="1" applyFont="1" applyFill="1" applyBorder="1" applyAlignment="1" applyProtection="1">
      <alignment horizontal="left" vertical="center"/>
      <protection/>
    </xf>
    <xf numFmtId="4" fontId="20" fillId="37" borderId="41" xfId="0" applyNumberFormat="1" applyFont="1" applyFill="1" applyBorder="1" applyAlignment="1" applyProtection="1">
      <alignment horizontal="right" vertical="center"/>
      <protection/>
    </xf>
    <xf numFmtId="49" fontId="21" fillId="0" borderId="22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9" fontId="21" fillId="0" borderId="21" xfId="0" applyNumberFormat="1" applyFont="1" applyFill="1" applyBorder="1" applyAlignment="1" applyProtection="1">
      <alignment horizontal="right" vertical="center"/>
      <protection/>
    </xf>
    <xf numFmtId="0" fontId="21" fillId="0" borderId="22" xfId="0" applyNumberFormat="1" applyFont="1" applyFill="1" applyBorder="1" applyAlignment="1" applyProtection="1">
      <alignment vertical="center"/>
      <protection/>
    </xf>
    <xf numFmtId="0" fontId="21" fillId="0" borderId="0" xfId="1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21" xfId="0" applyNumberFormat="1" applyFont="1" applyFill="1" applyBorder="1" applyAlignment="1" applyProtection="1">
      <alignment vertical="center"/>
      <protection/>
    </xf>
    <xf numFmtId="49" fontId="12" fillId="38" borderId="42" xfId="0" applyNumberFormat="1" applyFont="1" applyFill="1" applyBorder="1" applyAlignment="1" applyProtection="1">
      <alignment horizontal="left" vertical="center"/>
      <protection/>
    </xf>
    <xf numFmtId="4" fontId="12" fillId="38" borderId="42" xfId="0" applyNumberFormat="1" applyFont="1" applyFill="1" applyBorder="1" applyAlignment="1" applyProtection="1">
      <alignment horizontal="right" vertical="center"/>
      <protection/>
    </xf>
    <xf numFmtId="49" fontId="12" fillId="38" borderId="40" xfId="0" applyNumberFormat="1" applyFont="1" applyFill="1" applyBorder="1" applyAlignment="1" applyProtection="1">
      <alignment horizontal="right" vertical="center"/>
      <protection/>
    </xf>
    <xf numFmtId="49" fontId="12" fillId="38" borderId="43" xfId="0" applyNumberFormat="1" applyFont="1" applyFill="1" applyBorder="1" applyAlignment="1" applyProtection="1">
      <alignment horizontal="right" vertical="center"/>
      <protection/>
    </xf>
    <xf numFmtId="0" fontId="1" fillId="38" borderId="40" xfId="0" applyNumberFormat="1" applyFont="1" applyFill="1" applyBorder="1" applyAlignment="1" applyProtection="1">
      <alignment vertical="center"/>
      <protection/>
    </xf>
    <xf numFmtId="49" fontId="12" fillId="38" borderId="41" xfId="0" applyNumberFormat="1" applyFont="1" applyFill="1" applyBorder="1" applyAlignment="1" applyProtection="1">
      <alignment horizontal="left" vertical="center"/>
      <protection/>
    </xf>
    <xf numFmtId="49" fontId="16" fillId="38" borderId="40" xfId="0" applyNumberFormat="1" applyFont="1" applyFill="1" applyBorder="1" applyAlignment="1" applyProtection="1">
      <alignment horizontal="left" vertical="center"/>
      <protection/>
    </xf>
    <xf numFmtId="4" fontId="12" fillId="38" borderId="41" xfId="0" applyNumberFormat="1" applyFont="1" applyFill="1" applyBorder="1" applyAlignment="1" applyProtection="1">
      <alignment horizontal="right" vertical="center"/>
      <protection/>
    </xf>
    <xf numFmtId="0" fontId="1" fillId="38" borderId="41" xfId="0" applyNumberFormat="1" applyFont="1" applyFill="1" applyBorder="1" applyAlignment="1" applyProtection="1">
      <alignment vertical="center"/>
      <protection/>
    </xf>
    <xf numFmtId="0" fontId="0" fillId="38" borderId="41" xfId="1" applyNumberFormat="1" applyFill="1" applyBorder="1" applyAlignment="1" applyProtection="1">
      <alignment/>
      <protection/>
    </xf>
    <xf numFmtId="49" fontId="17" fillId="38" borderId="41" xfId="0" applyNumberFormat="1" applyFont="1" applyFill="1" applyBorder="1" applyAlignment="1" applyProtection="1">
      <alignment horizontal="left" vertical="center"/>
      <protection/>
    </xf>
    <xf numFmtId="4" fontId="16" fillId="38" borderId="41" xfId="0" applyNumberFormat="1" applyFont="1" applyFill="1" applyBorder="1" applyAlignment="1" applyProtection="1">
      <alignment horizontal="right" vertical="center"/>
      <protection/>
    </xf>
    <xf numFmtId="49" fontId="23" fillId="0" borderId="22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21" xfId="0" applyNumberFormat="1" applyFont="1" applyFill="1" applyBorder="1" applyAlignment="1" applyProtection="1">
      <alignment horizontal="right" vertical="center"/>
      <protection/>
    </xf>
    <xf numFmtId="49" fontId="21" fillId="37" borderId="40" xfId="0" applyNumberFormat="1" applyFont="1" applyFill="1" applyBorder="1" applyAlignment="1" applyProtection="1">
      <alignment horizontal="right" vertical="center"/>
      <protection/>
    </xf>
    <xf numFmtId="49" fontId="21" fillId="37" borderId="41" xfId="0" applyNumberFormat="1" applyFont="1" applyFill="1" applyBorder="1" applyAlignment="1" applyProtection="1">
      <alignment horizontal="left" vertical="center"/>
      <protection/>
    </xf>
    <xf numFmtId="4" fontId="21" fillId="37" borderId="41" xfId="0" applyNumberFormat="1" applyFont="1" applyFill="1" applyBorder="1" applyAlignment="1" applyProtection="1">
      <alignment horizontal="right" vertical="center"/>
      <protection/>
    </xf>
    <xf numFmtId="49" fontId="21" fillId="38" borderId="40" xfId="0" applyNumberFormat="1" applyFont="1" applyFill="1" applyBorder="1" applyAlignment="1" applyProtection="1">
      <alignment horizontal="right" vertical="center"/>
      <protection/>
    </xf>
    <xf numFmtId="49" fontId="21" fillId="38" borderId="41" xfId="0" applyNumberFormat="1" applyFont="1" applyFill="1" applyBorder="1" applyAlignment="1" applyProtection="1">
      <alignment horizontal="left" vertical="center"/>
      <protection/>
    </xf>
    <xf numFmtId="4" fontId="21" fillId="38" borderId="41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8" xfId="0" applyNumberFormat="1" applyFont="1" applyFill="1" applyBorder="1" applyAlignment="1" applyProtection="1">
      <alignment horizontal="left" vertical="center"/>
      <protection/>
    </xf>
    <xf numFmtId="49" fontId="5" fillId="0" borderId="49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2" fillId="37" borderId="4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2" fillId="38" borderId="43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37" borderId="43" xfId="0" applyNumberFormat="1" applyFont="1" applyFill="1" applyBorder="1" applyAlignment="1" applyProtection="1">
      <alignment horizontal="left" vertical="center"/>
      <protection/>
    </xf>
    <xf numFmtId="49" fontId="21" fillId="38" borderId="4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9" fillId="37" borderId="40" xfId="0" applyNumberFormat="1" applyFont="1" applyFill="1" applyBorder="1" applyAlignment="1" applyProtection="1">
      <alignment horizontal="left" vertical="center"/>
      <protection/>
    </xf>
    <xf numFmtId="49" fontId="21" fillId="37" borderId="40" xfId="0" applyNumberFormat="1" applyFont="1" applyFill="1" applyBorder="1" applyAlignment="1" applyProtection="1">
      <alignment horizontal="left" vertical="center"/>
      <protection/>
    </xf>
    <xf numFmtId="49" fontId="19" fillId="37" borderId="43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2" fillId="38" borderId="40" xfId="0" applyNumberFormat="1" applyFont="1" applyFill="1" applyBorder="1" applyAlignment="1" applyProtection="1">
      <alignment horizontal="left" vertical="center"/>
      <protection/>
    </xf>
    <xf numFmtId="49" fontId="15" fillId="36" borderId="40" xfId="0" applyNumberFormat="1" applyFont="1" applyFill="1" applyBorder="1" applyAlignment="1" applyProtection="1">
      <alignment horizontal="left" vertical="center"/>
      <protection/>
    </xf>
    <xf numFmtId="0" fontId="15" fillId="35" borderId="41" xfId="0" applyNumberFormat="1" applyFont="1" applyFill="1" applyBorder="1" applyAlignment="1" applyProtection="1">
      <alignment horizontal="left" vertical="center"/>
      <protection/>
    </xf>
    <xf numFmtId="49" fontId="13" fillId="37" borderId="4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" fillId="37" borderId="4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2.5">
      <c r="A1" s="168"/>
      <c r="B1" s="1"/>
      <c r="C1" s="199" t="s">
        <v>22</v>
      </c>
      <c r="D1" s="200"/>
      <c r="E1" s="200"/>
      <c r="F1" s="200"/>
      <c r="G1" s="200"/>
      <c r="H1" s="200"/>
      <c r="I1" s="200"/>
    </row>
    <row r="2" spans="1:10" ht="12.75">
      <c r="A2" s="201" t="s">
        <v>0</v>
      </c>
      <c r="B2" s="202"/>
      <c r="C2" s="203" t="str">
        <f>'Stavební rozpočet'!C2</f>
        <v>Energetická opatření pro dotaci IROP</v>
      </c>
      <c r="D2" s="204"/>
      <c r="E2" s="206" t="s">
        <v>32</v>
      </c>
      <c r="F2" s="206" t="str">
        <f>'Stavební rozpočet'!G2</f>
        <v>Město Žďár nad Sázavou</v>
      </c>
      <c r="G2" s="202"/>
      <c r="H2" s="206" t="s">
        <v>52</v>
      </c>
      <c r="I2" s="207" t="s">
        <v>56</v>
      </c>
      <c r="J2" s="18"/>
    </row>
    <row r="3" spans="1:10" ht="12.75">
      <c r="A3" s="196"/>
      <c r="B3" s="170"/>
      <c r="C3" s="205"/>
      <c r="D3" s="205"/>
      <c r="E3" s="170"/>
      <c r="F3" s="170"/>
      <c r="G3" s="170"/>
      <c r="H3" s="170"/>
      <c r="I3" s="198"/>
      <c r="J3" s="18"/>
    </row>
    <row r="4" spans="1:10" ht="12.75">
      <c r="A4" s="190" t="s">
        <v>1</v>
      </c>
      <c r="B4" s="170"/>
      <c r="C4" s="169" t="str">
        <f>'Stavební rozpočet'!C4</f>
        <v>zateplení obvodového pláště, zateplení podlahy půdy, výměna oken</v>
      </c>
      <c r="D4" s="170"/>
      <c r="E4" s="169" t="s">
        <v>33</v>
      </c>
      <c r="F4" s="169" t="str">
        <f>'Stavební rozpočet'!G4</f>
        <v>ing. Zbyněk Semerád</v>
      </c>
      <c r="G4" s="170"/>
      <c r="H4" s="169" t="s">
        <v>52</v>
      </c>
      <c r="I4" s="197" t="s">
        <v>57</v>
      </c>
      <c r="J4" s="18"/>
    </row>
    <row r="5" spans="1:10" ht="12.75">
      <c r="A5" s="196"/>
      <c r="B5" s="170"/>
      <c r="C5" s="170"/>
      <c r="D5" s="170"/>
      <c r="E5" s="170"/>
      <c r="F5" s="170"/>
      <c r="G5" s="170"/>
      <c r="H5" s="170"/>
      <c r="I5" s="198"/>
      <c r="J5" s="18"/>
    </row>
    <row r="6" spans="1:10" ht="12.75">
      <c r="A6" s="190" t="s">
        <v>2</v>
      </c>
      <c r="B6" s="170"/>
      <c r="C6" s="169" t="str">
        <f>'Stavební rozpočet'!C6</f>
        <v>Brodská 1905/33, svob.č.5, Žďár nad Sázavou 3</v>
      </c>
      <c r="D6" s="170"/>
      <c r="E6" s="169" t="s">
        <v>34</v>
      </c>
      <c r="F6" s="169" t="str">
        <f>'Stavební rozpočet'!G6</f>
        <v> </v>
      </c>
      <c r="G6" s="170"/>
      <c r="H6" s="169" t="s">
        <v>52</v>
      </c>
      <c r="I6" s="197"/>
      <c r="J6" s="18"/>
    </row>
    <row r="7" spans="1:10" ht="12.75">
      <c r="A7" s="196"/>
      <c r="B7" s="170"/>
      <c r="C7" s="170"/>
      <c r="D7" s="170"/>
      <c r="E7" s="170"/>
      <c r="F7" s="170"/>
      <c r="G7" s="170"/>
      <c r="H7" s="170"/>
      <c r="I7" s="198"/>
      <c r="J7" s="18"/>
    </row>
    <row r="8" spans="1:10" ht="12.75">
      <c r="A8" s="190" t="s">
        <v>3</v>
      </c>
      <c r="B8" s="170"/>
      <c r="C8" s="169" t="str">
        <f>'Stavební rozpočet'!E4</f>
        <v> </v>
      </c>
      <c r="D8" s="170"/>
      <c r="E8" s="169" t="s">
        <v>35</v>
      </c>
      <c r="F8" s="169" t="str">
        <f>'Stavební rozpočet'!E6</f>
        <v> </v>
      </c>
      <c r="G8" s="170"/>
      <c r="H8" s="193" t="s">
        <v>53</v>
      </c>
      <c r="I8" s="197" t="s">
        <v>58</v>
      </c>
      <c r="J8" s="18"/>
    </row>
    <row r="9" spans="1:10" ht="12.75">
      <c r="A9" s="196"/>
      <c r="B9" s="170"/>
      <c r="C9" s="170"/>
      <c r="D9" s="170"/>
      <c r="E9" s="170"/>
      <c r="F9" s="170"/>
      <c r="G9" s="170"/>
      <c r="H9" s="170"/>
      <c r="I9" s="198"/>
      <c r="J9" s="18"/>
    </row>
    <row r="10" spans="1:10" ht="12.75">
      <c r="A10" s="190" t="s">
        <v>4</v>
      </c>
      <c r="B10" s="170"/>
      <c r="C10" s="169" t="str">
        <f>'Stavební rozpočet'!C8</f>
        <v> </v>
      </c>
      <c r="D10" s="170"/>
      <c r="E10" s="169" t="s">
        <v>36</v>
      </c>
      <c r="F10" s="169" t="str">
        <f>'Stavební rozpočet'!G8</f>
        <v> </v>
      </c>
      <c r="G10" s="170"/>
      <c r="H10" s="193" t="s">
        <v>54</v>
      </c>
      <c r="I10" s="194" t="str">
        <f>'Stavební rozpočet'!E8</f>
        <v>30.10.2020</v>
      </c>
      <c r="J10" s="18"/>
    </row>
    <row r="11" spans="1:10" ht="12.75">
      <c r="A11" s="191"/>
      <c r="B11" s="192"/>
      <c r="C11" s="192"/>
      <c r="D11" s="192"/>
      <c r="E11" s="192"/>
      <c r="F11" s="192"/>
      <c r="G11" s="192"/>
      <c r="H11" s="192"/>
      <c r="I11" s="195"/>
      <c r="J11" s="18"/>
    </row>
    <row r="12" spans="1:9" ht="23.25" customHeight="1">
      <c r="A12" s="186" t="s">
        <v>5</v>
      </c>
      <c r="B12" s="187"/>
      <c r="C12" s="187"/>
      <c r="D12" s="187"/>
      <c r="E12" s="187"/>
      <c r="F12" s="187"/>
      <c r="G12" s="187"/>
      <c r="H12" s="187"/>
      <c r="I12" s="187"/>
    </row>
    <row r="13" spans="1:10" ht="26.25" customHeight="1">
      <c r="A13" s="2" t="s">
        <v>6</v>
      </c>
      <c r="B13" s="188" t="s">
        <v>19</v>
      </c>
      <c r="C13" s="189"/>
      <c r="D13" s="2" t="s">
        <v>23</v>
      </c>
      <c r="E13" s="188" t="s">
        <v>37</v>
      </c>
      <c r="F13" s="189"/>
      <c r="G13" s="2" t="s">
        <v>38</v>
      </c>
      <c r="H13" s="188" t="s">
        <v>55</v>
      </c>
      <c r="I13" s="189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rozpočet'!AB12:AB360)</f>
        <v>0</v>
      </c>
      <c r="D14" s="184" t="s">
        <v>24</v>
      </c>
      <c r="E14" s="185"/>
      <c r="F14" s="12">
        <f>VORN!I15</f>
        <v>0</v>
      </c>
      <c r="G14" s="184" t="s">
        <v>39</v>
      </c>
      <c r="H14" s="185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rozpočet'!AC12:AC360)</f>
        <v>0</v>
      </c>
      <c r="D15" s="184" t="s">
        <v>25</v>
      </c>
      <c r="E15" s="185"/>
      <c r="F15" s="12">
        <f>VORN!I16</f>
        <v>0</v>
      </c>
      <c r="G15" s="184" t="s">
        <v>40</v>
      </c>
      <c r="H15" s="185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rozpočet'!AD12:AD360)</f>
        <v>0</v>
      </c>
      <c r="D16" s="184" t="s">
        <v>26</v>
      </c>
      <c r="E16" s="185"/>
      <c r="F16" s="12">
        <f>VORN!I17</f>
        <v>0</v>
      </c>
      <c r="G16" s="184" t="s">
        <v>41</v>
      </c>
      <c r="H16" s="185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rozpočet'!AE12:AE360)</f>
        <v>0</v>
      </c>
      <c r="D17" s="184"/>
      <c r="E17" s="185"/>
      <c r="F17" s="13"/>
      <c r="G17" s="184" t="s">
        <v>42</v>
      </c>
      <c r="H17" s="185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rozpočet'!AF12:AF360)</f>
        <v>0</v>
      </c>
      <c r="D18" s="184"/>
      <c r="E18" s="185"/>
      <c r="F18" s="13"/>
      <c r="G18" s="184" t="s">
        <v>43</v>
      </c>
      <c r="H18" s="185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rozpočet'!AG12:AG360)</f>
        <v>0</v>
      </c>
      <c r="D19" s="184"/>
      <c r="E19" s="185"/>
      <c r="F19" s="13"/>
      <c r="G19" s="184" t="s">
        <v>44</v>
      </c>
      <c r="H19" s="185"/>
      <c r="I19" s="12">
        <f>VORN!I26</f>
        <v>0</v>
      </c>
      <c r="J19" s="18"/>
    </row>
    <row r="20" spans="1:10" ht="15" customHeight="1">
      <c r="A20" s="182" t="s">
        <v>10</v>
      </c>
      <c r="B20" s="183"/>
      <c r="C20" s="12">
        <f>SUM('Stavební rozpočet'!AH12:AH360)</f>
        <v>0</v>
      </c>
      <c r="D20" s="184"/>
      <c r="E20" s="185"/>
      <c r="F20" s="13"/>
      <c r="G20" s="184"/>
      <c r="H20" s="185"/>
      <c r="I20" s="13"/>
      <c r="J20" s="18"/>
    </row>
    <row r="21" spans="1:10" ht="15" customHeight="1">
      <c r="A21" s="182" t="s">
        <v>11</v>
      </c>
      <c r="B21" s="183"/>
      <c r="C21" s="12">
        <f>SUM('Stavební rozpočet'!Z12:Z360)</f>
        <v>0</v>
      </c>
      <c r="D21" s="184"/>
      <c r="E21" s="185"/>
      <c r="F21" s="13"/>
      <c r="G21" s="184"/>
      <c r="H21" s="185"/>
      <c r="I21" s="13"/>
      <c r="J21" s="18"/>
    </row>
    <row r="22" spans="1:10" ht="16.5" customHeight="1">
      <c r="A22" s="182" t="s">
        <v>12</v>
      </c>
      <c r="B22" s="183"/>
      <c r="C22" s="12">
        <f>SUM(C14:C21)</f>
        <v>0</v>
      </c>
      <c r="D22" s="182" t="s">
        <v>27</v>
      </c>
      <c r="E22" s="183"/>
      <c r="F22" s="12">
        <f>SUM(F14:F21)</f>
        <v>0</v>
      </c>
      <c r="G22" s="182" t="s">
        <v>45</v>
      </c>
      <c r="H22" s="183"/>
      <c r="I22" s="12">
        <f>SUM(I14:I21)</f>
        <v>0</v>
      </c>
      <c r="J22" s="18"/>
    </row>
    <row r="23" spans="1:10" ht="15" customHeight="1">
      <c r="A23" s="5"/>
      <c r="B23" s="5"/>
      <c r="C23" s="10"/>
      <c r="D23" s="182" t="s">
        <v>28</v>
      </c>
      <c r="E23" s="183"/>
      <c r="F23" s="14">
        <v>0</v>
      </c>
      <c r="G23" s="182" t="s">
        <v>46</v>
      </c>
      <c r="H23" s="183"/>
      <c r="I23" s="12">
        <v>0</v>
      </c>
      <c r="J23" s="18"/>
    </row>
    <row r="24" spans="4:10" ht="15" customHeight="1">
      <c r="D24" s="5"/>
      <c r="E24" s="5"/>
      <c r="F24" s="15"/>
      <c r="G24" s="182" t="s">
        <v>47</v>
      </c>
      <c r="H24" s="183"/>
      <c r="I24" s="12">
        <f>vorn_sum</f>
        <v>0</v>
      </c>
      <c r="J24" s="18"/>
    </row>
    <row r="25" spans="6:10" ht="15" customHeight="1">
      <c r="F25" s="16"/>
      <c r="G25" s="182" t="s">
        <v>48</v>
      </c>
      <c r="H25" s="183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77" t="s">
        <v>13</v>
      </c>
      <c r="B27" s="178"/>
      <c r="C27" s="20">
        <f>SUM('Stavební rozpočet'!AJ12:AJ360)</f>
        <v>0</v>
      </c>
      <c r="D27" s="11"/>
      <c r="E27" s="1"/>
      <c r="F27" s="1"/>
      <c r="G27" s="1"/>
      <c r="H27" s="1"/>
      <c r="I27" s="1"/>
    </row>
    <row r="28" spans="1:10" ht="15" customHeight="1">
      <c r="A28" s="177" t="s">
        <v>14</v>
      </c>
      <c r="B28" s="178"/>
      <c r="C28" s="20">
        <f>SUM('Stavební rozpočet'!AK12:AK360)+(F22+I22+F23+I23+I24+I25)</f>
        <v>0</v>
      </c>
      <c r="D28" s="177" t="s">
        <v>29</v>
      </c>
      <c r="E28" s="178"/>
      <c r="F28" s="20">
        <f>ROUND(C28*(15/100),2)</f>
        <v>0</v>
      </c>
      <c r="G28" s="177" t="s">
        <v>49</v>
      </c>
      <c r="H28" s="178"/>
      <c r="I28" s="20">
        <f>SUM(C27:C29)</f>
        <v>0</v>
      </c>
      <c r="J28" s="18"/>
    </row>
    <row r="29" spans="1:10" ht="15" customHeight="1">
      <c r="A29" s="177" t="s">
        <v>15</v>
      </c>
      <c r="B29" s="178"/>
      <c r="C29" s="20">
        <f>SUM('Stavební rozpočet'!AL12:AL360)</f>
        <v>0</v>
      </c>
      <c r="D29" s="177" t="s">
        <v>30</v>
      </c>
      <c r="E29" s="178"/>
      <c r="F29" s="20">
        <f>ROUND(C29*(21/100),2)</f>
        <v>0</v>
      </c>
      <c r="G29" s="177" t="s">
        <v>50</v>
      </c>
      <c r="H29" s="178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79" t="s">
        <v>16</v>
      </c>
      <c r="B31" s="180"/>
      <c r="C31" s="181"/>
      <c r="D31" s="179" t="s">
        <v>31</v>
      </c>
      <c r="E31" s="180"/>
      <c r="F31" s="181"/>
      <c r="G31" s="179" t="s">
        <v>51</v>
      </c>
      <c r="H31" s="180"/>
      <c r="I31" s="181"/>
      <c r="J31" s="19"/>
    </row>
    <row r="32" spans="1:10" ht="14.25" customHeight="1">
      <c r="A32" s="171"/>
      <c r="B32" s="172"/>
      <c r="C32" s="173"/>
      <c r="D32" s="171"/>
      <c r="E32" s="172"/>
      <c r="F32" s="173"/>
      <c r="G32" s="171"/>
      <c r="H32" s="172"/>
      <c r="I32" s="173"/>
      <c r="J32" s="19"/>
    </row>
    <row r="33" spans="1:10" ht="14.25" customHeight="1">
      <c r="A33" s="171"/>
      <c r="B33" s="172"/>
      <c r="C33" s="173"/>
      <c r="D33" s="171"/>
      <c r="E33" s="172"/>
      <c r="F33" s="173"/>
      <c r="G33" s="171"/>
      <c r="H33" s="172"/>
      <c r="I33" s="173"/>
      <c r="J33" s="19"/>
    </row>
    <row r="34" spans="1:10" ht="14.25" customHeight="1">
      <c r="A34" s="171"/>
      <c r="B34" s="172"/>
      <c r="C34" s="173"/>
      <c r="D34" s="171"/>
      <c r="E34" s="172"/>
      <c r="F34" s="173"/>
      <c r="G34" s="171"/>
      <c r="H34" s="172"/>
      <c r="I34" s="173"/>
      <c r="J34" s="19"/>
    </row>
    <row r="35" spans="1:10" ht="14.25" customHeight="1">
      <c r="A35" s="174" t="s">
        <v>17</v>
      </c>
      <c r="B35" s="175"/>
      <c r="C35" s="176"/>
      <c r="D35" s="174" t="s">
        <v>17</v>
      </c>
      <c r="E35" s="175"/>
      <c r="F35" s="176"/>
      <c r="G35" s="174" t="s">
        <v>17</v>
      </c>
      <c r="H35" s="175"/>
      <c r="I35" s="176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69"/>
      <c r="B37" s="170"/>
      <c r="C37" s="170"/>
      <c r="D37" s="170"/>
      <c r="E37" s="170"/>
      <c r="F37" s="170"/>
      <c r="G37" s="170"/>
      <c r="H37" s="170"/>
      <c r="I37" s="170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2.5">
      <c r="A1" s="168"/>
      <c r="B1" s="1"/>
      <c r="C1" s="199" t="s">
        <v>67</v>
      </c>
      <c r="D1" s="200"/>
      <c r="E1" s="200"/>
      <c r="F1" s="200"/>
      <c r="G1" s="200"/>
      <c r="H1" s="200"/>
      <c r="I1" s="200"/>
    </row>
    <row r="2" spans="1:10" ht="12.75">
      <c r="A2" s="201" t="s">
        <v>0</v>
      </c>
      <c r="B2" s="202"/>
      <c r="C2" s="203" t="str">
        <f>'Stavební rozpočet'!C2</f>
        <v>Energetická opatření pro dotaci IROP</v>
      </c>
      <c r="D2" s="204"/>
      <c r="E2" s="206" t="s">
        <v>32</v>
      </c>
      <c r="F2" s="206" t="str">
        <f>'Stavební rozpočet'!G2</f>
        <v>Město Žďár nad Sázavou</v>
      </c>
      <c r="G2" s="202"/>
      <c r="H2" s="206" t="s">
        <v>52</v>
      </c>
      <c r="I2" s="207" t="s">
        <v>56</v>
      </c>
      <c r="J2" s="18"/>
    </row>
    <row r="3" spans="1:10" ht="12.75">
      <c r="A3" s="196"/>
      <c r="B3" s="170"/>
      <c r="C3" s="205"/>
      <c r="D3" s="205"/>
      <c r="E3" s="170"/>
      <c r="F3" s="170"/>
      <c r="G3" s="170"/>
      <c r="H3" s="170"/>
      <c r="I3" s="198"/>
      <c r="J3" s="18"/>
    </row>
    <row r="4" spans="1:10" ht="12.75">
      <c r="A4" s="190" t="s">
        <v>1</v>
      </c>
      <c r="B4" s="170"/>
      <c r="C4" s="169" t="str">
        <f>'Stavební rozpočet'!C4</f>
        <v>zateplení obvodového pláště, zateplení podlahy půdy, výměna oken</v>
      </c>
      <c r="D4" s="170"/>
      <c r="E4" s="169" t="s">
        <v>33</v>
      </c>
      <c r="F4" s="169" t="str">
        <f>'Stavební rozpočet'!G4</f>
        <v>ing. Zbyněk Semerád</v>
      </c>
      <c r="G4" s="170"/>
      <c r="H4" s="169" t="s">
        <v>52</v>
      </c>
      <c r="I4" s="197" t="s">
        <v>57</v>
      </c>
      <c r="J4" s="18"/>
    </row>
    <row r="5" spans="1:10" ht="12.75">
      <c r="A5" s="196"/>
      <c r="B5" s="170"/>
      <c r="C5" s="170"/>
      <c r="D5" s="170"/>
      <c r="E5" s="170"/>
      <c r="F5" s="170"/>
      <c r="G5" s="170"/>
      <c r="H5" s="170"/>
      <c r="I5" s="198"/>
      <c r="J5" s="18"/>
    </row>
    <row r="6" spans="1:10" ht="12.75">
      <c r="A6" s="190" t="s">
        <v>2</v>
      </c>
      <c r="B6" s="170"/>
      <c r="C6" s="169" t="str">
        <f>'Stavební rozpočet'!C6</f>
        <v>Brodská 1905/33, svob.č.5, Žďár nad Sázavou 3</v>
      </c>
      <c r="D6" s="170"/>
      <c r="E6" s="169" t="s">
        <v>34</v>
      </c>
      <c r="F6" s="169" t="str">
        <f>'Stavební rozpočet'!G6</f>
        <v> </v>
      </c>
      <c r="G6" s="170"/>
      <c r="H6" s="169" t="s">
        <v>52</v>
      </c>
      <c r="I6" s="197"/>
      <c r="J6" s="18"/>
    </row>
    <row r="7" spans="1:10" ht="12.75">
      <c r="A7" s="196"/>
      <c r="B7" s="170"/>
      <c r="C7" s="170"/>
      <c r="D7" s="170"/>
      <c r="E7" s="170"/>
      <c r="F7" s="170"/>
      <c r="G7" s="170"/>
      <c r="H7" s="170"/>
      <c r="I7" s="198"/>
      <c r="J7" s="18"/>
    </row>
    <row r="8" spans="1:10" ht="12.75">
      <c r="A8" s="190" t="s">
        <v>3</v>
      </c>
      <c r="B8" s="170"/>
      <c r="C8" s="169" t="str">
        <f>'Stavební rozpočet'!E4</f>
        <v> </v>
      </c>
      <c r="D8" s="170"/>
      <c r="E8" s="169" t="s">
        <v>35</v>
      </c>
      <c r="F8" s="169" t="str">
        <f>'Stavební rozpočet'!E6</f>
        <v> </v>
      </c>
      <c r="G8" s="170"/>
      <c r="H8" s="193" t="s">
        <v>53</v>
      </c>
      <c r="I8" s="197" t="s">
        <v>58</v>
      </c>
      <c r="J8" s="18"/>
    </row>
    <row r="9" spans="1:10" ht="12.75">
      <c r="A9" s="196"/>
      <c r="B9" s="170"/>
      <c r="C9" s="170"/>
      <c r="D9" s="170"/>
      <c r="E9" s="170"/>
      <c r="F9" s="170"/>
      <c r="G9" s="170"/>
      <c r="H9" s="170"/>
      <c r="I9" s="198"/>
      <c r="J9" s="18"/>
    </row>
    <row r="10" spans="1:10" ht="12.75">
      <c r="A10" s="190" t="s">
        <v>4</v>
      </c>
      <c r="B10" s="170"/>
      <c r="C10" s="169" t="str">
        <f>'Stavební rozpočet'!C8</f>
        <v> </v>
      </c>
      <c r="D10" s="170"/>
      <c r="E10" s="169" t="s">
        <v>36</v>
      </c>
      <c r="F10" s="169" t="str">
        <f>'Stavební rozpočet'!G8</f>
        <v> </v>
      </c>
      <c r="G10" s="170"/>
      <c r="H10" s="193" t="s">
        <v>54</v>
      </c>
      <c r="I10" s="194" t="str">
        <f>'Stavební rozpočet'!E8</f>
        <v>30.10.2020</v>
      </c>
      <c r="J10" s="18"/>
    </row>
    <row r="11" spans="1:10" ht="12.75">
      <c r="A11" s="191"/>
      <c r="B11" s="192"/>
      <c r="C11" s="192"/>
      <c r="D11" s="192"/>
      <c r="E11" s="192"/>
      <c r="F11" s="192"/>
      <c r="G11" s="192"/>
      <c r="H11" s="192"/>
      <c r="I11" s="195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220" t="s">
        <v>59</v>
      </c>
      <c r="B13" s="221"/>
      <c r="C13" s="221"/>
      <c r="D13" s="221"/>
      <c r="E13" s="221"/>
      <c r="F13" s="22"/>
      <c r="G13" s="22"/>
      <c r="H13" s="22"/>
      <c r="I13" s="22"/>
    </row>
    <row r="14" spans="1:10" ht="12.75">
      <c r="A14" s="222" t="s">
        <v>60</v>
      </c>
      <c r="B14" s="223"/>
      <c r="C14" s="223"/>
      <c r="D14" s="223"/>
      <c r="E14" s="224"/>
      <c r="F14" s="23" t="s">
        <v>68</v>
      </c>
      <c r="G14" s="23" t="s">
        <v>69</v>
      </c>
      <c r="H14" s="23" t="s">
        <v>70</v>
      </c>
      <c r="I14" s="23" t="s">
        <v>68</v>
      </c>
      <c r="J14" s="19"/>
    </row>
    <row r="15" spans="1:10" ht="12.75">
      <c r="A15" s="225" t="s">
        <v>24</v>
      </c>
      <c r="B15" s="226"/>
      <c r="C15" s="226"/>
      <c r="D15" s="226"/>
      <c r="E15" s="227"/>
      <c r="F15" s="24">
        <v>0</v>
      </c>
      <c r="G15" s="27"/>
      <c r="H15" s="27"/>
      <c r="I15" s="24">
        <f>F15</f>
        <v>0</v>
      </c>
      <c r="J15" s="18"/>
    </row>
    <row r="16" spans="1:10" ht="12.75">
      <c r="A16" s="225" t="s">
        <v>25</v>
      </c>
      <c r="B16" s="226"/>
      <c r="C16" s="226"/>
      <c r="D16" s="226"/>
      <c r="E16" s="227"/>
      <c r="F16" s="24">
        <v>0</v>
      </c>
      <c r="G16" s="27"/>
      <c r="H16" s="27"/>
      <c r="I16" s="24">
        <f>F16</f>
        <v>0</v>
      </c>
      <c r="J16" s="18"/>
    </row>
    <row r="17" spans="1:10" ht="12.75">
      <c r="A17" s="208" t="s">
        <v>26</v>
      </c>
      <c r="B17" s="209"/>
      <c r="C17" s="209"/>
      <c r="D17" s="209"/>
      <c r="E17" s="210"/>
      <c r="F17" s="25">
        <v>0</v>
      </c>
      <c r="G17" s="28"/>
      <c r="H17" s="28"/>
      <c r="I17" s="25">
        <f>F17</f>
        <v>0</v>
      </c>
      <c r="J17" s="18"/>
    </row>
    <row r="18" spans="1:10" ht="12.75">
      <c r="A18" s="211" t="s">
        <v>61</v>
      </c>
      <c r="B18" s="212"/>
      <c r="C18" s="212"/>
      <c r="D18" s="212"/>
      <c r="E18" s="213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222" t="s">
        <v>55</v>
      </c>
      <c r="B20" s="223"/>
      <c r="C20" s="223"/>
      <c r="D20" s="223"/>
      <c r="E20" s="224"/>
      <c r="F20" s="23" t="s">
        <v>68</v>
      </c>
      <c r="G20" s="23" t="s">
        <v>69</v>
      </c>
      <c r="H20" s="23" t="s">
        <v>70</v>
      </c>
      <c r="I20" s="23" t="s">
        <v>68</v>
      </c>
      <c r="J20" s="19"/>
    </row>
    <row r="21" spans="1:10" ht="12.75">
      <c r="A21" s="225" t="s">
        <v>39</v>
      </c>
      <c r="B21" s="226"/>
      <c r="C21" s="226"/>
      <c r="D21" s="226"/>
      <c r="E21" s="227"/>
      <c r="F21" s="27"/>
      <c r="G21" s="24">
        <v>2.6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225" t="s">
        <v>40</v>
      </c>
      <c r="B22" s="226"/>
      <c r="C22" s="226"/>
      <c r="D22" s="226"/>
      <c r="E22" s="227"/>
      <c r="F22" s="24">
        <v>0</v>
      </c>
      <c r="G22" s="27"/>
      <c r="H22" s="27"/>
      <c r="I22" s="24">
        <f>F22</f>
        <v>0</v>
      </c>
      <c r="J22" s="18"/>
    </row>
    <row r="23" spans="1:10" ht="12.75">
      <c r="A23" s="225" t="s">
        <v>41</v>
      </c>
      <c r="B23" s="226"/>
      <c r="C23" s="226"/>
      <c r="D23" s="226"/>
      <c r="E23" s="227"/>
      <c r="F23" s="24">
        <v>0</v>
      </c>
      <c r="G23" s="27"/>
      <c r="H23" s="27"/>
      <c r="I23" s="24">
        <f>F23</f>
        <v>0</v>
      </c>
      <c r="J23" s="18"/>
    </row>
    <row r="24" spans="1:10" ht="12.75">
      <c r="A24" s="225" t="s">
        <v>42</v>
      </c>
      <c r="B24" s="226"/>
      <c r="C24" s="226"/>
      <c r="D24" s="226"/>
      <c r="E24" s="227"/>
      <c r="F24" s="24">
        <v>0</v>
      </c>
      <c r="G24" s="27"/>
      <c r="H24" s="27"/>
      <c r="I24" s="24">
        <f>F24</f>
        <v>0</v>
      </c>
      <c r="J24" s="18"/>
    </row>
    <row r="25" spans="1:10" ht="12.75">
      <c r="A25" s="225" t="s">
        <v>43</v>
      </c>
      <c r="B25" s="226"/>
      <c r="C25" s="226"/>
      <c r="D25" s="226"/>
      <c r="E25" s="227"/>
      <c r="F25" s="24">
        <v>0</v>
      </c>
      <c r="G25" s="27"/>
      <c r="H25" s="27"/>
      <c r="I25" s="24">
        <f>F25</f>
        <v>0</v>
      </c>
      <c r="J25" s="18"/>
    </row>
    <row r="26" spans="1:10" ht="12.75">
      <c r="A26" s="208" t="s">
        <v>44</v>
      </c>
      <c r="B26" s="209"/>
      <c r="C26" s="209"/>
      <c r="D26" s="209"/>
      <c r="E26" s="210"/>
      <c r="F26" s="25">
        <v>0</v>
      </c>
      <c r="G26" s="28"/>
      <c r="H26" s="28"/>
      <c r="I26" s="25">
        <f>F26</f>
        <v>0</v>
      </c>
      <c r="J26" s="18"/>
    </row>
    <row r="27" spans="1:10" ht="12.75">
      <c r="A27" s="211" t="s">
        <v>62</v>
      </c>
      <c r="B27" s="212"/>
      <c r="C27" s="212"/>
      <c r="D27" s="212"/>
      <c r="E27" s="213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214" t="s">
        <v>63</v>
      </c>
      <c r="B29" s="215"/>
      <c r="C29" s="215"/>
      <c r="D29" s="215"/>
      <c r="E29" s="216"/>
      <c r="F29" s="217">
        <f>I18+I27</f>
        <v>0</v>
      </c>
      <c r="G29" s="218"/>
      <c r="H29" s="218"/>
      <c r="I29" s="219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220" t="s">
        <v>64</v>
      </c>
      <c r="B33" s="221"/>
      <c r="C33" s="221"/>
      <c r="D33" s="221"/>
      <c r="E33" s="221"/>
      <c r="F33" s="22"/>
      <c r="G33" s="22"/>
      <c r="H33" s="22"/>
      <c r="I33" s="22"/>
    </row>
    <row r="34" spans="1:10" ht="12.75">
      <c r="A34" s="222" t="s">
        <v>65</v>
      </c>
      <c r="B34" s="223"/>
      <c r="C34" s="223"/>
      <c r="D34" s="223"/>
      <c r="E34" s="224"/>
      <c r="F34" s="23" t="s">
        <v>68</v>
      </c>
      <c r="G34" s="23" t="s">
        <v>69</v>
      </c>
      <c r="H34" s="23" t="s">
        <v>70</v>
      </c>
      <c r="I34" s="23" t="s">
        <v>68</v>
      </c>
      <c r="J34" s="19"/>
    </row>
    <row r="35" spans="1:10" ht="12.75">
      <c r="A35" s="208"/>
      <c r="B35" s="209"/>
      <c r="C35" s="209"/>
      <c r="D35" s="209"/>
      <c r="E35" s="210"/>
      <c r="F35" s="25">
        <v>0</v>
      </c>
      <c r="G35" s="28"/>
      <c r="H35" s="28"/>
      <c r="I35" s="25">
        <f>F35</f>
        <v>0</v>
      </c>
      <c r="J35" s="18"/>
    </row>
    <row r="36" spans="1:10" ht="12.75">
      <c r="A36" s="211" t="s">
        <v>66</v>
      </c>
      <c r="B36" s="212"/>
      <c r="C36" s="212"/>
      <c r="D36" s="212"/>
      <c r="E36" s="213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3"/>
  <sheetViews>
    <sheetView tabSelected="1" zoomScalePageLayoutView="0" workbookViewId="0" topLeftCell="A1">
      <pane ySplit="11" topLeftCell="A279" activePane="bottomLeft" state="frozen"/>
      <selection pane="topLeft" activeCell="A1" sqref="A1"/>
      <selection pane="bottomLeft" activeCell="C327" sqref="C327:F32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9.421875" style="0" customWidth="1"/>
    <col min="4" max="4" width="41.28125" style="0" customWidth="1"/>
    <col min="5" max="6" width="11.57421875" style="0" customWidth="1"/>
    <col min="7" max="7" width="6.42187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22.5">
      <c r="A1" s="269" t="s">
        <v>71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4" ht="12.75">
      <c r="A2" s="201" t="s">
        <v>0</v>
      </c>
      <c r="B2" s="202"/>
      <c r="C2" s="203" t="s">
        <v>377</v>
      </c>
      <c r="D2" s="270" t="s">
        <v>707</v>
      </c>
      <c r="E2" s="270" t="s">
        <v>73</v>
      </c>
      <c r="F2" s="206" t="s">
        <v>32</v>
      </c>
      <c r="G2" s="206" t="s">
        <v>710</v>
      </c>
      <c r="H2" s="202"/>
      <c r="I2" s="202"/>
      <c r="J2" s="202"/>
      <c r="K2" s="202"/>
      <c r="L2" s="202"/>
      <c r="M2" s="271"/>
      <c r="N2" s="18"/>
    </row>
    <row r="3" spans="1:14" ht="12.75">
      <c r="A3" s="196"/>
      <c r="B3" s="170"/>
      <c r="C3" s="205"/>
      <c r="D3" s="170"/>
      <c r="E3" s="170"/>
      <c r="F3" s="170"/>
      <c r="G3" s="170"/>
      <c r="H3" s="170"/>
      <c r="I3" s="170"/>
      <c r="J3" s="170"/>
      <c r="K3" s="170"/>
      <c r="L3" s="170"/>
      <c r="M3" s="198"/>
      <c r="N3" s="18"/>
    </row>
    <row r="4" spans="1:14" ht="12.75">
      <c r="A4" s="190" t="s">
        <v>1</v>
      </c>
      <c r="B4" s="170"/>
      <c r="C4" s="169" t="s">
        <v>378</v>
      </c>
      <c r="D4" s="193" t="s">
        <v>3</v>
      </c>
      <c r="E4" s="193" t="s">
        <v>73</v>
      </c>
      <c r="F4" s="169" t="s">
        <v>33</v>
      </c>
      <c r="G4" s="169" t="s">
        <v>711</v>
      </c>
      <c r="H4" s="170"/>
      <c r="I4" s="170"/>
      <c r="J4" s="170"/>
      <c r="K4" s="170"/>
      <c r="L4" s="170"/>
      <c r="M4" s="198"/>
      <c r="N4" s="18"/>
    </row>
    <row r="5" spans="1:14" ht="12.75">
      <c r="A5" s="196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98"/>
      <c r="N5" s="18"/>
    </row>
    <row r="6" spans="1:14" ht="12.75">
      <c r="A6" s="190" t="s">
        <v>2</v>
      </c>
      <c r="B6" s="170"/>
      <c r="C6" s="169" t="s">
        <v>379</v>
      </c>
      <c r="D6" s="193" t="s">
        <v>35</v>
      </c>
      <c r="E6" s="193" t="s">
        <v>73</v>
      </c>
      <c r="F6" s="169" t="s">
        <v>34</v>
      </c>
      <c r="G6" s="193" t="s">
        <v>712</v>
      </c>
      <c r="H6" s="170"/>
      <c r="I6" s="170"/>
      <c r="J6" s="170"/>
      <c r="K6" s="170"/>
      <c r="L6" s="170"/>
      <c r="M6" s="198"/>
      <c r="N6" s="18"/>
    </row>
    <row r="7" spans="1:14" ht="12.75">
      <c r="A7" s="196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98"/>
      <c r="N7" s="18"/>
    </row>
    <row r="8" spans="1:14" ht="12.75">
      <c r="A8" s="190" t="s">
        <v>4</v>
      </c>
      <c r="B8" s="170"/>
      <c r="C8" s="169" t="s">
        <v>73</v>
      </c>
      <c r="D8" s="193" t="s">
        <v>708</v>
      </c>
      <c r="E8" s="193" t="s">
        <v>709</v>
      </c>
      <c r="F8" s="169" t="s">
        <v>36</v>
      </c>
      <c r="G8" s="193" t="s">
        <v>712</v>
      </c>
      <c r="H8" s="170"/>
      <c r="I8" s="170"/>
      <c r="J8" s="170"/>
      <c r="K8" s="170"/>
      <c r="L8" s="170"/>
      <c r="M8" s="198"/>
      <c r="N8" s="18"/>
    </row>
    <row r="9" spans="1:14" ht="12.75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8"/>
      <c r="N9" s="18"/>
    </row>
    <row r="10" spans="1:64" ht="12.75">
      <c r="A10" s="31" t="s">
        <v>72</v>
      </c>
      <c r="B10" s="38" t="s">
        <v>226</v>
      </c>
      <c r="C10" s="255" t="s">
        <v>380</v>
      </c>
      <c r="D10" s="256"/>
      <c r="E10" s="256"/>
      <c r="F10" s="257"/>
      <c r="G10" s="38" t="s">
        <v>713</v>
      </c>
      <c r="H10" s="48" t="s">
        <v>723</v>
      </c>
      <c r="I10" s="52" t="s">
        <v>724</v>
      </c>
      <c r="J10" s="258" t="s">
        <v>726</v>
      </c>
      <c r="K10" s="259"/>
      <c r="L10" s="260"/>
      <c r="M10" s="57" t="s">
        <v>730</v>
      </c>
      <c r="N10" s="19"/>
      <c r="BK10" s="63" t="s">
        <v>779</v>
      </c>
      <c r="BL10" s="68" t="s">
        <v>782</v>
      </c>
    </row>
    <row r="11" spans="1:62" ht="12.75">
      <c r="A11" s="32" t="s">
        <v>73</v>
      </c>
      <c r="B11" s="39" t="s">
        <v>73</v>
      </c>
      <c r="C11" s="261" t="s">
        <v>381</v>
      </c>
      <c r="D11" s="262"/>
      <c r="E11" s="262"/>
      <c r="F11" s="263"/>
      <c r="G11" s="39" t="s">
        <v>73</v>
      </c>
      <c r="H11" s="39" t="s">
        <v>73</v>
      </c>
      <c r="I11" s="53" t="s">
        <v>725</v>
      </c>
      <c r="J11" s="54" t="s">
        <v>727</v>
      </c>
      <c r="K11" s="55" t="s">
        <v>21</v>
      </c>
      <c r="L11" s="56" t="s">
        <v>729</v>
      </c>
      <c r="M11" s="58" t="s">
        <v>731</v>
      </c>
      <c r="N11" s="19"/>
      <c r="Z11" s="63" t="s">
        <v>735</v>
      </c>
      <c r="AA11" s="63" t="s">
        <v>736</v>
      </c>
      <c r="AB11" s="63" t="s">
        <v>737</v>
      </c>
      <c r="AC11" s="63" t="s">
        <v>738</v>
      </c>
      <c r="AD11" s="63" t="s">
        <v>739</v>
      </c>
      <c r="AE11" s="63" t="s">
        <v>740</v>
      </c>
      <c r="AF11" s="63" t="s">
        <v>741</v>
      </c>
      <c r="AG11" s="63" t="s">
        <v>742</v>
      </c>
      <c r="AH11" s="63" t="s">
        <v>743</v>
      </c>
      <c r="BH11" s="63" t="s">
        <v>776</v>
      </c>
      <c r="BI11" s="63" t="s">
        <v>777</v>
      </c>
      <c r="BJ11" s="63" t="s">
        <v>778</v>
      </c>
    </row>
    <row r="12" spans="1:14" ht="12.75">
      <c r="A12" s="33"/>
      <c r="B12" s="40"/>
      <c r="C12" s="264" t="s">
        <v>382</v>
      </c>
      <c r="D12" s="265"/>
      <c r="E12" s="265"/>
      <c r="F12" s="265"/>
      <c r="G12" s="46" t="s">
        <v>73</v>
      </c>
      <c r="H12" s="46" t="s">
        <v>73</v>
      </c>
      <c r="I12" s="46" t="s">
        <v>73</v>
      </c>
      <c r="J12" s="69">
        <f>J13+J20+J25+J29+J45+J161+J177+J186+J195+J209+J211+J238+J245+J249+J266+J270+J289+J298+J329+J337+J344+J349+J352</f>
        <v>0</v>
      </c>
      <c r="K12" s="69">
        <f>K13+K20+K25+K29+K45+K161+K177+K186+K195+K209+K211+K238+K245+K249+K266+K270+K289+K298+K329+K337+K344+K349+K352</f>
        <v>0</v>
      </c>
      <c r="L12" s="69">
        <f>L13+L20+L25+L29+L45+L161+L177+L186+L195+L209+L211+L238+L245+L249+L266+L270+L289+L298+L329+L337+L344+L349+L352</f>
        <v>0</v>
      </c>
      <c r="M12" s="59"/>
      <c r="N12" s="18"/>
    </row>
    <row r="13" spans="1:47" ht="12.75">
      <c r="A13" s="73"/>
      <c r="B13" s="74" t="s">
        <v>84</v>
      </c>
      <c r="C13" s="250" t="s">
        <v>383</v>
      </c>
      <c r="D13" s="236"/>
      <c r="E13" s="236"/>
      <c r="F13" s="251"/>
      <c r="G13" s="73" t="s">
        <v>73</v>
      </c>
      <c r="H13" s="73" t="s">
        <v>73</v>
      </c>
      <c r="I13" s="73" t="s">
        <v>73</v>
      </c>
      <c r="J13" s="77">
        <f>SUM(J14:J19)</f>
        <v>0</v>
      </c>
      <c r="K13" s="77">
        <f>SUM(K14:K19)</f>
        <v>0</v>
      </c>
      <c r="L13" s="77">
        <f>SUM(L14:L19)</f>
        <v>0</v>
      </c>
      <c r="M13" s="71"/>
      <c r="N13" s="72"/>
      <c r="AI13" s="63"/>
      <c r="AS13" s="70">
        <f>SUM(AJ14:AJ19)</f>
        <v>0</v>
      </c>
      <c r="AT13" s="70">
        <f>SUM(AK14:AK19)</f>
        <v>0</v>
      </c>
      <c r="AU13" s="70">
        <f>SUM(AL14:AL19)</f>
        <v>0</v>
      </c>
    </row>
    <row r="14" spans="1:64" ht="12.75">
      <c r="A14" s="82" t="s">
        <v>74</v>
      </c>
      <c r="B14" s="82" t="s">
        <v>227</v>
      </c>
      <c r="C14" s="229" t="s">
        <v>384</v>
      </c>
      <c r="D14" s="230"/>
      <c r="E14" s="230"/>
      <c r="F14" s="231"/>
      <c r="G14" s="82" t="s">
        <v>714</v>
      </c>
      <c r="H14" s="88">
        <v>52.6</v>
      </c>
      <c r="I14" s="88">
        <v>0</v>
      </c>
      <c r="J14" s="88">
        <f>H14*AO14</f>
        <v>0</v>
      </c>
      <c r="K14" s="88">
        <f>H14*AP14</f>
        <v>0</v>
      </c>
      <c r="L14" s="88">
        <f>H14*I14</f>
        <v>0</v>
      </c>
      <c r="M14" s="78" t="s">
        <v>732</v>
      </c>
      <c r="N14" s="72"/>
      <c r="Z14" s="64">
        <f>IF(AQ14="5",BJ14,0)</f>
        <v>0</v>
      </c>
      <c r="AB14" s="64">
        <f>IF(AQ14="1",BH14,0)</f>
        <v>0</v>
      </c>
      <c r="AC14" s="64">
        <f>IF(AQ14="1",BI14,0)</f>
        <v>0</v>
      </c>
      <c r="AD14" s="64">
        <f>IF(AQ14="7",BH14,0)</f>
        <v>0</v>
      </c>
      <c r="AE14" s="64">
        <f>IF(AQ14="7",BI14,0)</f>
        <v>0</v>
      </c>
      <c r="AF14" s="64">
        <f>IF(AQ14="2",BH14,0)</f>
        <v>0</v>
      </c>
      <c r="AG14" s="64">
        <f>IF(AQ14="2",BI14,0)</f>
        <v>0</v>
      </c>
      <c r="AH14" s="64">
        <f>IF(AQ14="0",BJ14,0)</f>
        <v>0</v>
      </c>
      <c r="AI14" s="63"/>
      <c r="AJ14" s="49">
        <f>IF(AN14=0,L14,0)</f>
        <v>0</v>
      </c>
      <c r="AK14" s="49">
        <f>IF(AN14=15,L14,0)</f>
        <v>0</v>
      </c>
      <c r="AL14" s="49">
        <f>IF(AN14=21,L14,0)</f>
        <v>0</v>
      </c>
      <c r="AN14" s="64">
        <v>15</v>
      </c>
      <c r="AO14" s="64">
        <f>I14*0</f>
        <v>0</v>
      </c>
      <c r="AP14" s="64">
        <f>I14*(1-0)</f>
        <v>0</v>
      </c>
      <c r="AQ14" s="65" t="s">
        <v>74</v>
      </c>
      <c r="AV14" s="64">
        <f>AW14+AX14</f>
        <v>0</v>
      </c>
      <c r="AW14" s="64">
        <f>H14*AO14</f>
        <v>0</v>
      </c>
      <c r="AX14" s="64">
        <f>H14*AP14</f>
        <v>0</v>
      </c>
      <c r="AY14" s="67" t="s">
        <v>744</v>
      </c>
      <c r="AZ14" s="67" t="s">
        <v>767</v>
      </c>
      <c r="BA14" s="63" t="s">
        <v>775</v>
      </c>
      <c r="BC14" s="64">
        <f>AW14+AX14</f>
        <v>0</v>
      </c>
      <c r="BD14" s="64">
        <f>I14/(100-BE14)*100</f>
        <v>0</v>
      </c>
      <c r="BE14" s="64">
        <v>0</v>
      </c>
      <c r="BF14" s="64">
        <f>14</f>
        <v>14</v>
      </c>
      <c r="BH14" s="49">
        <f>H14*AO14</f>
        <v>0</v>
      </c>
      <c r="BI14" s="49">
        <f>H14*AP14</f>
        <v>0</v>
      </c>
      <c r="BJ14" s="49">
        <f>H14*I14</f>
        <v>0</v>
      </c>
      <c r="BK14" s="49" t="s">
        <v>780</v>
      </c>
      <c r="BL14" s="64">
        <v>11</v>
      </c>
    </row>
    <row r="15" spans="1:14" ht="12.75">
      <c r="A15" s="90"/>
      <c r="B15" s="91"/>
      <c r="C15" s="84" t="s">
        <v>385</v>
      </c>
      <c r="F15" s="92"/>
      <c r="G15" s="91"/>
      <c r="H15" s="93">
        <v>52.6</v>
      </c>
      <c r="I15" s="91"/>
      <c r="J15" s="91"/>
      <c r="K15" s="91"/>
      <c r="L15" s="91"/>
      <c r="M15" s="80"/>
      <c r="N15" s="72"/>
    </row>
    <row r="16" spans="1:64" ht="12.75">
      <c r="A16" s="82" t="s">
        <v>75</v>
      </c>
      <c r="B16" s="82" t="s">
        <v>228</v>
      </c>
      <c r="C16" s="229" t="s">
        <v>386</v>
      </c>
      <c r="D16" s="230"/>
      <c r="E16" s="230"/>
      <c r="F16" s="231"/>
      <c r="G16" s="82" t="s">
        <v>714</v>
      </c>
      <c r="H16" s="88">
        <v>52.3</v>
      </c>
      <c r="I16" s="88">
        <v>0</v>
      </c>
      <c r="J16" s="88">
        <f>H16*AO16</f>
        <v>0</v>
      </c>
      <c r="K16" s="88">
        <f>H16*AP16</f>
        <v>0</v>
      </c>
      <c r="L16" s="88">
        <f>H16*I16</f>
        <v>0</v>
      </c>
      <c r="M16" s="78" t="s">
        <v>732</v>
      </c>
      <c r="N16" s="72"/>
      <c r="Z16" s="64">
        <f>IF(AQ16="5",BJ16,0)</f>
        <v>0</v>
      </c>
      <c r="AB16" s="64">
        <f>IF(AQ16="1",BH16,0)</f>
        <v>0</v>
      </c>
      <c r="AC16" s="64">
        <f>IF(AQ16="1",BI16,0)</f>
        <v>0</v>
      </c>
      <c r="AD16" s="64">
        <f>IF(AQ16="7",BH16,0)</f>
        <v>0</v>
      </c>
      <c r="AE16" s="64">
        <f>IF(AQ16="7",BI16,0)</f>
        <v>0</v>
      </c>
      <c r="AF16" s="64">
        <f>IF(AQ16="2",BH16,0)</f>
        <v>0</v>
      </c>
      <c r="AG16" s="64">
        <f>IF(AQ16="2",BI16,0)</f>
        <v>0</v>
      </c>
      <c r="AH16" s="64">
        <f>IF(AQ16="0",BJ16,0)</f>
        <v>0</v>
      </c>
      <c r="AI16" s="63"/>
      <c r="AJ16" s="49">
        <f>IF(AN16=0,L16,0)</f>
        <v>0</v>
      </c>
      <c r="AK16" s="49">
        <f>IF(AN16=15,L16,0)</f>
        <v>0</v>
      </c>
      <c r="AL16" s="49">
        <f>IF(AN16=21,L16,0)</f>
        <v>0</v>
      </c>
      <c r="AN16" s="64">
        <v>15</v>
      </c>
      <c r="AO16" s="64">
        <f>I16*0</f>
        <v>0</v>
      </c>
      <c r="AP16" s="64">
        <f>I16*(1-0)</f>
        <v>0</v>
      </c>
      <c r="AQ16" s="65" t="s">
        <v>74</v>
      </c>
      <c r="AV16" s="64">
        <f>AW16+AX16</f>
        <v>0</v>
      </c>
      <c r="AW16" s="64">
        <f>H16*AO16</f>
        <v>0</v>
      </c>
      <c r="AX16" s="64">
        <f>H16*AP16</f>
        <v>0</v>
      </c>
      <c r="AY16" s="67" t="s">
        <v>744</v>
      </c>
      <c r="AZ16" s="67" t="s">
        <v>767</v>
      </c>
      <c r="BA16" s="63" t="s">
        <v>775</v>
      </c>
      <c r="BC16" s="64">
        <f>AW16+AX16</f>
        <v>0</v>
      </c>
      <c r="BD16" s="64">
        <f>I16/(100-BE16)*100</f>
        <v>0</v>
      </c>
      <c r="BE16" s="64">
        <v>0</v>
      </c>
      <c r="BF16" s="64">
        <f>16</f>
        <v>16</v>
      </c>
      <c r="BH16" s="49">
        <f>H16*AO16</f>
        <v>0</v>
      </c>
      <c r="BI16" s="49">
        <f>H16*AP16</f>
        <v>0</v>
      </c>
      <c r="BJ16" s="49">
        <f>H16*I16</f>
        <v>0</v>
      </c>
      <c r="BK16" s="49" t="s">
        <v>780</v>
      </c>
      <c r="BL16" s="64">
        <v>11</v>
      </c>
    </row>
    <row r="17" spans="1:14" ht="12.75">
      <c r="A17" s="90"/>
      <c r="B17" s="91"/>
      <c r="C17" s="84" t="s">
        <v>387</v>
      </c>
      <c r="F17" s="92"/>
      <c r="G17" s="91"/>
      <c r="H17" s="93">
        <v>0</v>
      </c>
      <c r="I17" s="91"/>
      <c r="J17" s="91"/>
      <c r="K17" s="91"/>
      <c r="L17" s="91"/>
      <c r="M17" s="80"/>
      <c r="N17" s="72"/>
    </row>
    <row r="18" spans="1:14" ht="12.75">
      <c r="A18" s="90"/>
      <c r="B18" s="91"/>
      <c r="C18" s="84" t="s">
        <v>388</v>
      </c>
      <c r="F18" s="92"/>
      <c r="G18" s="91"/>
      <c r="H18" s="93">
        <v>52.3</v>
      </c>
      <c r="I18" s="91"/>
      <c r="J18" s="91"/>
      <c r="K18" s="91"/>
      <c r="L18" s="91"/>
      <c r="M18" s="80"/>
      <c r="N18" s="72"/>
    </row>
    <row r="19" spans="1:64" ht="12.75">
      <c r="A19" s="82" t="s">
        <v>76</v>
      </c>
      <c r="B19" s="82" t="s">
        <v>229</v>
      </c>
      <c r="C19" s="229" t="s">
        <v>389</v>
      </c>
      <c r="D19" s="230"/>
      <c r="E19" s="230"/>
      <c r="F19" s="231"/>
      <c r="G19" s="82" t="s">
        <v>714</v>
      </c>
      <c r="H19" s="88">
        <v>52.3</v>
      </c>
      <c r="I19" s="88">
        <v>0</v>
      </c>
      <c r="J19" s="88">
        <f>H19*AO19</f>
        <v>0</v>
      </c>
      <c r="K19" s="88">
        <f>H19*AP19</f>
        <v>0</v>
      </c>
      <c r="L19" s="88">
        <f>H19*I19</f>
        <v>0</v>
      </c>
      <c r="M19" s="78" t="s">
        <v>732</v>
      </c>
      <c r="N19" s="72"/>
      <c r="Z19" s="64">
        <f>IF(AQ19="5",BJ19,0)</f>
        <v>0</v>
      </c>
      <c r="AB19" s="64">
        <f>IF(AQ19="1",BH19,0)</f>
        <v>0</v>
      </c>
      <c r="AC19" s="64">
        <f>IF(AQ19="1",BI19,0)</f>
        <v>0</v>
      </c>
      <c r="AD19" s="64">
        <f>IF(AQ19="7",BH19,0)</f>
        <v>0</v>
      </c>
      <c r="AE19" s="64">
        <f>IF(AQ19="7",BI19,0)</f>
        <v>0</v>
      </c>
      <c r="AF19" s="64">
        <f>IF(AQ19="2",BH19,0)</f>
        <v>0</v>
      </c>
      <c r="AG19" s="64">
        <f>IF(AQ19="2",BI19,0)</f>
        <v>0</v>
      </c>
      <c r="AH19" s="64">
        <f>IF(AQ19="0",BJ19,0)</f>
        <v>0</v>
      </c>
      <c r="AI19" s="63"/>
      <c r="AJ19" s="49">
        <f>IF(AN19=0,L19,0)</f>
        <v>0</v>
      </c>
      <c r="AK19" s="49">
        <f>IF(AN19=15,L19,0)</f>
        <v>0</v>
      </c>
      <c r="AL19" s="49">
        <f>IF(AN19=21,L19,0)</f>
        <v>0</v>
      </c>
      <c r="AN19" s="64">
        <v>15</v>
      </c>
      <c r="AO19" s="64">
        <f>I19*0</f>
        <v>0</v>
      </c>
      <c r="AP19" s="64">
        <f>I19*(1-0)</f>
        <v>0</v>
      </c>
      <c r="AQ19" s="65" t="s">
        <v>74</v>
      </c>
      <c r="AV19" s="64">
        <f>AW19+AX19</f>
        <v>0</v>
      </c>
      <c r="AW19" s="64">
        <f>H19*AO19</f>
        <v>0</v>
      </c>
      <c r="AX19" s="64">
        <f>H19*AP19</f>
        <v>0</v>
      </c>
      <c r="AY19" s="67" t="s">
        <v>744</v>
      </c>
      <c r="AZ19" s="67" t="s">
        <v>767</v>
      </c>
      <c r="BA19" s="63" t="s">
        <v>775</v>
      </c>
      <c r="BC19" s="64">
        <f>AW19+AX19</f>
        <v>0</v>
      </c>
      <c r="BD19" s="64">
        <f>I19/(100-BE19)*100</f>
        <v>0</v>
      </c>
      <c r="BE19" s="64">
        <v>0</v>
      </c>
      <c r="BF19" s="64">
        <f>19</f>
        <v>19</v>
      </c>
      <c r="BH19" s="49">
        <f>H19*AO19</f>
        <v>0</v>
      </c>
      <c r="BI19" s="49">
        <f>H19*AP19</f>
        <v>0</v>
      </c>
      <c r="BJ19" s="49">
        <f>H19*I19</f>
        <v>0</v>
      </c>
      <c r="BK19" s="49" t="s">
        <v>780</v>
      </c>
      <c r="BL19" s="64">
        <v>11</v>
      </c>
    </row>
    <row r="20" spans="1:47" ht="12.75">
      <c r="A20" s="73"/>
      <c r="B20" s="74" t="s">
        <v>118</v>
      </c>
      <c r="C20" s="250" t="s">
        <v>390</v>
      </c>
      <c r="D20" s="236"/>
      <c r="E20" s="236"/>
      <c r="F20" s="251"/>
      <c r="G20" s="73" t="s">
        <v>73</v>
      </c>
      <c r="H20" s="73" t="s">
        <v>73</v>
      </c>
      <c r="I20" s="73" t="s">
        <v>73</v>
      </c>
      <c r="J20" s="77">
        <f>SUM(J21:J23)</f>
        <v>0</v>
      </c>
      <c r="K20" s="77">
        <f>SUM(K21:K23)</f>
        <v>0</v>
      </c>
      <c r="L20" s="77">
        <f>SUM(L21:L23)</f>
        <v>0</v>
      </c>
      <c r="M20" s="71"/>
      <c r="N20" s="72"/>
      <c r="AI20" s="63"/>
      <c r="AS20" s="70">
        <f>SUM(AJ21:AJ23)</f>
        <v>0</v>
      </c>
      <c r="AT20" s="70">
        <f>SUM(AK21:AK23)</f>
        <v>0</v>
      </c>
      <c r="AU20" s="70">
        <f>SUM(AL21:AL23)</f>
        <v>0</v>
      </c>
    </row>
    <row r="21" spans="1:64" ht="12.75">
      <c r="A21" s="82" t="s">
        <v>77</v>
      </c>
      <c r="B21" s="82" t="s">
        <v>230</v>
      </c>
      <c r="C21" s="229" t="s">
        <v>391</v>
      </c>
      <c r="D21" s="230"/>
      <c r="E21" s="230"/>
      <c r="F21" s="231"/>
      <c r="G21" s="82" t="s">
        <v>714</v>
      </c>
      <c r="H21" s="88">
        <v>52.3</v>
      </c>
      <c r="I21" s="88">
        <v>0</v>
      </c>
      <c r="J21" s="88">
        <f>H21*AO21</f>
        <v>0</v>
      </c>
      <c r="K21" s="88">
        <f>H21*AP21</f>
        <v>0</v>
      </c>
      <c r="L21" s="88">
        <f>H21*I21</f>
        <v>0</v>
      </c>
      <c r="M21" s="78" t="s">
        <v>732</v>
      </c>
      <c r="N21" s="72"/>
      <c r="Z21" s="64">
        <f>IF(AQ21="5",BJ21,0)</f>
        <v>0</v>
      </c>
      <c r="AB21" s="64">
        <f>IF(AQ21="1",BH21,0)</f>
        <v>0</v>
      </c>
      <c r="AC21" s="64">
        <f>IF(AQ21="1",BI21,0)</f>
        <v>0</v>
      </c>
      <c r="AD21" s="64">
        <f>IF(AQ21="7",BH21,0)</f>
        <v>0</v>
      </c>
      <c r="AE21" s="64">
        <f>IF(AQ21="7",BI21,0)</f>
        <v>0</v>
      </c>
      <c r="AF21" s="64">
        <f>IF(AQ21="2",BH21,0)</f>
        <v>0</v>
      </c>
      <c r="AG21" s="64">
        <f>IF(AQ21="2",BI21,0)</f>
        <v>0</v>
      </c>
      <c r="AH21" s="64">
        <f>IF(AQ21="0",BJ21,0)</f>
        <v>0</v>
      </c>
      <c r="AI21" s="63"/>
      <c r="AJ21" s="49">
        <f>IF(AN21=0,L21,0)</f>
        <v>0</v>
      </c>
      <c r="AK21" s="49">
        <f>IF(AN21=15,L21,0)</f>
        <v>0</v>
      </c>
      <c r="AL21" s="49">
        <f>IF(AN21=21,L21,0)</f>
        <v>0</v>
      </c>
      <c r="AN21" s="64">
        <v>15</v>
      </c>
      <c r="AO21" s="64">
        <f>I21*0.0237600166492955</f>
        <v>0</v>
      </c>
      <c r="AP21" s="64">
        <f>I21*(1-0.0237600166492955)</f>
        <v>0</v>
      </c>
      <c r="AQ21" s="65" t="s">
        <v>74</v>
      </c>
      <c r="AV21" s="64">
        <f>AW21+AX21</f>
        <v>0</v>
      </c>
      <c r="AW21" s="64">
        <f>H21*AO21</f>
        <v>0</v>
      </c>
      <c r="AX21" s="64">
        <f>H21*AP21</f>
        <v>0</v>
      </c>
      <c r="AY21" s="67" t="s">
        <v>745</v>
      </c>
      <c r="AZ21" s="67" t="s">
        <v>768</v>
      </c>
      <c r="BA21" s="63" t="s">
        <v>775</v>
      </c>
      <c r="BC21" s="64">
        <f>AW21+AX21</f>
        <v>0</v>
      </c>
      <c r="BD21" s="64">
        <f>I21/(100-BE21)*100</f>
        <v>0</v>
      </c>
      <c r="BE21" s="64">
        <v>0</v>
      </c>
      <c r="BF21" s="64">
        <f>21</f>
        <v>21</v>
      </c>
      <c r="BH21" s="49">
        <f>H21*AO21</f>
        <v>0</v>
      </c>
      <c r="BI21" s="49">
        <f>H21*AP21</f>
        <v>0</v>
      </c>
      <c r="BJ21" s="49">
        <f>H21*I21</f>
        <v>0</v>
      </c>
      <c r="BK21" s="49" t="s">
        <v>780</v>
      </c>
      <c r="BL21" s="64">
        <v>45</v>
      </c>
    </row>
    <row r="22" spans="1:64" ht="12.75">
      <c r="A22" s="82" t="s">
        <v>78</v>
      </c>
      <c r="B22" s="82" t="s">
        <v>231</v>
      </c>
      <c r="C22" s="229" t="s">
        <v>392</v>
      </c>
      <c r="D22" s="230"/>
      <c r="E22" s="230"/>
      <c r="F22" s="231"/>
      <c r="G22" s="82" t="s">
        <v>714</v>
      </c>
      <c r="H22" s="88">
        <v>52.3</v>
      </c>
      <c r="I22" s="88">
        <v>0</v>
      </c>
      <c r="J22" s="88">
        <f>H22*AO22</f>
        <v>0</v>
      </c>
      <c r="K22" s="88">
        <f>H22*AP22</f>
        <v>0</v>
      </c>
      <c r="L22" s="88">
        <f>H22*I22</f>
        <v>0</v>
      </c>
      <c r="M22" s="78" t="s">
        <v>732</v>
      </c>
      <c r="N22" s="72"/>
      <c r="Z22" s="64">
        <f>IF(AQ22="5",BJ22,0)</f>
        <v>0</v>
      </c>
      <c r="AB22" s="64">
        <f>IF(AQ22="1",BH22,0)</f>
        <v>0</v>
      </c>
      <c r="AC22" s="64">
        <f>IF(AQ22="1",BI22,0)</f>
        <v>0</v>
      </c>
      <c r="AD22" s="64">
        <f>IF(AQ22="7",BH22,0)</f>
        <v>0</v>
      </c>
      <c r="AE22" s="64">
        <f>IF(AQ22="7",BI22,0)</f>
        <v>0</v>
      </c>
      <c r="AF22" s="64">
        <f>IF(AQ22="2",BH22,0)</f>
        <v>0</v>
      </c>
      <c r="AG22" s="64">
        <f>IF(AQ22="2",BI22,0)</f>
        <v>0</v>
      </c>
      <c r="AH22" s="64">
        <f>IF(AQ22="0",BJ22,0)</f>
        <v>0</v>
      </c>
      <c r="AI22" s="63"/>
      <c r="AJ22" s="49">
        <f>IF(AN22=0,L22,0)</f>
        <v>0</v>
      </c>
      <c r="AK22" s="49">
        <f>IF(AN22=15,L22,0)</f>
        <v>0</v>
      </c>
      <c r="AL22" s="49">
        <f>IF(AN22=21,L22,0)</f>
        <v>0</v>
      </c>
      <c r="AN22" s="64">
        <v>15</v>
      </c>
      <c r="AO22" s="64">
        <f>I22*0.815499242987378</f>
        <v>0</v>
      </c>
      <c r="AP22" s="64">
        <f>I22*(1-0.815499242987378)</f>
        <v>0</v>
      </c>
      <c r="AQ22" s="65" t="s">
        <v>74</v>
      </c>
      <c r="AV22" s="64">
        <f>AW22+AX22</f>
        <v>0</v>
      </c>
      <c r="AW22" s="64">
        <f>H22*AO22</f>
        <v>0</v>
      </c>
      <c r="AX22" s="64">
        <f>H22*AP22</f>
        <v>0</v>
      </c>
      <c r="AY22" s="67" t="s">
        <v>745</v>
      </c>
      <c r="AZ22" s="67" t="s">
        <v>768</v>
      </c>
      <c r="BA22" s="63" t="s">
        <v>775</v>
      </c>
      <c r="BC22" s="64">
        <f>AW22+AX22</f>
        <v>0</v>
      </c>
      <c r="BD22" s="64">
        <f>I22/(100-BE22)*100</f>
        <v>0</v>
      </c>
      <c r="BE22" s="64">
        <v>0</v>
      </c>
      <c r="BF22" s="64">
        <f>22</f>
        <v>22</v>
      </c>
      <c r="BH22" s="49">
        <f>H22*AO22</f>
        <v>0</v>
      </c>
      <c r="BI22" s="49">
        <f>H22*AP22</f>
        <v>0</v>
      </c>
      <c r="BJ22" s="49">
        <f>H22*I22</f>
        <v>0</v>
      </c>
      <c r="BK22" s="49" t="s">
        <v>780</v>
      </c>
      <c r="BL22" s="64">
        <v>45</v>
      </c>
    </row>
    <row r="23" spans="1:64" ht="12.75">
      <c r="A23" s="95" t="s">
        <v>79</v>
      </c>
      <c r="B23" s="95" t="s">
        <v>232</v>
      </c>
      <c r="C23" s="252" t="s">
        <v>393</v>
      </c>
      <c r="D23" s="238"/>
      <c r="E23" s="238"/>
      <c r="F23" s="242"/>
      <c r="G23" s="95" t="s">
        <v>714</v>
      </c>
      <c r="H23" s="96">
        <v>54.915</v>
      </c>
      <c r="I23" s="96">
        <v>0</v>
      </c>
      <c r="J23" s="96">
        <f>H23*AO23</f>
        <v>0</v>
      </c>
      <c r="K23" s="96">
        <f>H23*AP23</f>
        <v>0</v>
      </c>
      <c r="L23" s="96">
        <f>H23*I23</f>
        <v>0</v>
      </c>
      <c r="M23" s="94" t="s">
        <v>732</v>
      </c>
      <c r="N23" s="72"/>
      <c r="Z23" s="64">
        <f>IF(AQ23="5",BJ23,0)</f>
        <v>0</v>
      </c>
      <c r="AB23" s="64">
        <f>IF(AQ23="1",BH23,0)</f>
        <v>0</v>
      </c>
      <c r="AC23" s="64">
        <f>IF(AQ23="1",BI23,0)</f>
        <v>0</v>
      </c>
      <c r="AD23" s="64">
        <f>IF(AQ23="7",BH23,0)</f>
        <v>0</v>
      </c>
      <c r="AE23" s="64">
        <f>IF(AQ23="7",BI23,0)</f>
        <v>0</v>
      </c>
      <c r="AF23" s="64">
        <f>IF(AQ23="2",BH23,0)</f>
        <v>0</v>
      </c>
      <c r="AG23" s="64">
        <f>IF(AQ23="2",BI23,0)</f>
        <v>0</v>
      </c>
      <c r="AH23" s="64">
        <f>IF(AQ23="0",BJ23,0)</f>
        <v>0</v>
      </c>
      <c r="AI23" s="63"/>
      <c r="AJ23" s="51">
        <f>IF(AN23=0,L23,0)</f>
        <v>0</v>
      </c>
      <c r="AK23" s="51">
        <f>IF(AN23=15,L23,0)</f>
        <v>0</v>
      </c>
      <c r="AL23" s="51">
        <f>IF(AN23=21,L23,0)</f>
        <v>0</v>
      </c>
      <c r="AN23" s="64">
        <v>15</v>
      </c>
      <c r="AO23" s="64">
        <f>I23*1</f>
        <v>0</v>
      </c>
      <c r="AP23" s="64">
        <f>I23*(1-1)</f>
        <v>0</v>
      </c>
      <c r="AQ23" s="66" t="s">
        <v>74</v>
      </c>
      <c r="AV23" s="64">
        <f>AW23+AX23</f>
        <v>0</v>
      </c>
      <c r="AW23" s="64">
        <f>H23*AO23</f>
        <v>0</v>
      </c>
      <c r="AX23" s="64">
        <f>H23*AP23</f>
        <v>0</v>
      </c>
      <c r="AY23" s="67" t="s">
        <v>745</v>
      </c>
      <c r="AZ23" s="67" t="s">
        <v>768</v>
      </c>
      <c r="BA23" s="63" t="s">
        <v>775</v>
      </c>
      <c r="BC23" s="64">
        <f>AW23+AX23</f>
        <v>0</v>
      </c>
      <c r="BD23" s="64">
        <f>I23/(100-BE23)*100</f>
        <v>0</v>
      </c>
      <c r="BE23" s="64">
        <v>0</v>
      </c>
      <c r="BF23" s="64">
        <f>23</f>
        <v>23</v>
      </c>
      <c r="BH23" s="51">
        <f>H23*AO23</f>
        <v>0</v>
      </c>
      <c r="BI23" s="51">
        <f>H23*AP23</f>
        <v>0</v>
      </c>
      <c r="BJ23" s="51">
        <f>H23*I23</f>
        <v>0</v>
      </c>
      <c r="BK23" s="51" t="s">
        <v>781</v>
      </c>
      <c r="BL23" s="64">
        <v>45</v>
      </c>
    </row>
    <row r="24" spans="1:14" ht="12.75">
      <c r="A24" s="83"/>
      <c r="B24" s="86"/>
      <c r="C24" s="85" t="s">
        <v>394</v>
      </c>
      <c r="F24" s="87"/>
      <c r="G24" s="86"/>
      <c r="H24" s="89">
        <v>54.915</v>
      </c>
      <c r="I24" s="86"/>
      <c r="J24" s="86"/>
      <c r="K24" s="86"/>
      <c r="L24" s="86"/>
      <c r="M24" s="81"/>
      <c r="N24" s="72"/>
    </row>
    <row r="25" spans="1:47" ht="12.75">
      <c r="A25" s="34"/>
      <c r="B25" s="41" t="s">
        <v>133</v>
      </c>
      <c r="C25" s="235" t="s">
        <v>395</v>
      </c>
      <c r="D25" s="236"/>
      <c r="E25" s="236"/>
      <c r="F25" s="236"/>
      <c r="G25" s="47" t="s">
        <v>73</v>
      </c>
      <c r="H25" s="47" t="s">
        <v>73</v>
      </c>
      <c r="I25" s="47" t="s">
        <v>73</v>
      </c>
      <c r="J25" s="70">
        <f>SUM(J26:J26)</f>
        <v>0</v>
      </c>
      <c r="K25" s="70">
        <f>SUM(K26:K26)</f>
        <v>0</v>
      </c>
      <c r="L25" s="70">
        <f>SUM(L26:L26)</f>
        <v>0</v>
      </c>
      <c r="M25" s="60"/>
      <c r="N25" s="18"/>
      <c r="AI25" s="63"/>
      <c r="AS25" s="70">
        <f>SUM(AJ26:AJ26)</f>
        <v>0</v>
      </c>
      <c r="AT25" s="70">
        <f>SUM(AK26:AK26)</f>
        <v>0</v>
      </c>
      <c r="AU25" s="70">
        <f>SUM(AL26:AL26)</f>
        <v>0</v>
      </c>
    </row>
    <row r="26" spans="1:64" ht="12.75">
      <c r="A26" s="35" t="s">
        <v>80</v>
      </c>
      <c r="B26" s="42" t="s">
        <v>233</v>
      </c>
      <c r="C26" s="239" t="s">
        <v>396</v>
      </c>
      <c r="D26" s="230"/>
      <c r="E26" s="230"/>
      <c r="F26" s="230"/>
      <c r="G26" s="42" t="s">
        <v>714</v>
      </c>
      <c r="H26" s="49">
        <v>53.64</v>
      </c>
      <c r="I26" s="49">
        <v>0</v>
      </c>
      <c r="J26" s="49">
        <f>H26*AO26</f>
        <v>0</v>
      </c>
      <c r="K26" s="49">
        <f>H26*AP26</f>
        <v>0</v>
      </c>
      <c r="L26" s="49">
        <f>H26*I26</f>
        <v>0</v>
      </c>
      <c r="M26" s="61" t="s">
        <v>733</v>
      </c>
      <c r="N26" s="18"/>
      <c r="Z26" s="64">
        <f>IF(AQ26="5",BJ26,0)</f>
        <v>0</v>
      </c>
      <c r="AB26" s="64">
        <f>IF(AQ26="1",BH26,0)</f>
        <v>0</v>
      </c>
      <c r="AC26" s="64">
        <f>IF(AQ26="1",BI26,0)</f>
        <v>0</v>
      </c>
      <c r="AD26" s="64">
        <f>IF(AQ26="7",BH26,0)</f>
        <v>0</v>
      </c>
      <c r="AE26" s="64">
        <f>IF(AQ26="7",BI26,0)</f>
        <v>0</v>
      </c>
      <c r="AF26" s="64">
        <f>IF(AQ26="2",BH26,0)</f>
        <v>0</v>
      </c>
      <c r="AG26" s="64">
        <f>IF(AQ26="2",BI26,0)</f>
        <v>0</v>
      </c>
      <c r="AH26" s="64">
        <f>IF(AQ26="0",BJ26,0)</f>
        <v>0</v>
      </c>
      <c r="AI26" s="63"/>
      <c r="AJ26" s="49">
        <f>IF(AN26=0,L26,0)</f>
        <v>0</v>
      </c>
      <c r="AK26" s="49">
        <f>IF(AN26=15,L26,0)</f>
        <v>0</v>
      </c>
      <c r="AL26" s="49">
        <f>IF(AN26=21,L26,0)</f>
        <v>0</v>
      </c>
      <c r="AN26" s="64">
        <v>15</v>
      </c>
      <c r="AO26" s="64">
        <f>I26*0.806328358208955</f>
        <v>0</v>
      </c>
      <c r="AP26" s="64">
        <f>I26*(1-0.806328358208955)</f>
        <v>0</v>
      </c>
      <c r="AQ26" s="65" t="s">
        <v>74</v>
      </c>
      <c r="AV26" s="64">
        <f>AW26+AX26</f>
        <v>0</v>
      </c>
      <c r="AW26" s="64">
        <f>H26*AO26</f>
        <v>0</v>
      </c>
      <c r="AX26" s="64">
        <f>H26*AP26</f>
        <v>0</v>
      </c>
      <c r="AY26" s="67" t="s">
        <v>746</v>
      </c>
      <c r="AZ26" s="67" t="s">
        <v>769</v>
      </c>
      <c r="BA26" s="63" t="s">
        <v>775</v>
      </c>
      <c r="BC26" s="64">
        <f>AW26+AX26</f>
        <v>0</v>
      </c>
      <c r="BD26" s="64">
        <f>I26/(100-BE26)*100</f>
        <v>0</v>
      </c>
      <c r="BE26" s="64">
        <v>0</v>
      </c>
      <c r="BF26" s="64">
        <f>26</f>
        <v>26</v>
      </c>
      <c r="BH26" s="49">
        <f>H26*AO26</f>
        <v>0</v>
      </c>
      <c r="BI26" s="49">
        <f>H26*AP26</f>
        <v>0</v>
      </c>
      <c r="BJ26" s="49">
        <f>H26*I26</f>
        <v>0</v>
      </c>
      <c r="BK26" s="49" t="s">
        <v>780</v>
      </c>
      <c r="BL26" s="64">
        <v>60</v>
      </c>
    </row>
    <row r="27" spans="1:14" ht="12.75">
      <c r="A27" s="18"/>
      <c r="C27" s="44" t="s">
        <v>397</v>
      </c>
      <c r="F27" s="45"/>
      <c r="H27" s="50">
        <v>0</v>
      </c>
      <c r="M27" s="16"/>
      <c r="N27" s="18"/>
    </row>
    <row r="28" spans="1:14" ht="12.75">
      <c r="A28" s="18"/>
      <c r="C28" s="44" t="s">
        <v>398</v>
      </c>
      <c r="F28" s="45"/>
      <c r="H28" s="50">
        <v>53.64</v>
      </c>
      <c r="M28" s="16"/>
      <c r="N28" s="18"/>
    </row>
    <row r="29" spans="1:47" ht="12.75">
      <c r="A29" s="34"/>
      <c r="B29" s="41" t="s">
        <v>134</v>
      </c>
      <c r="C29" s="235" t="s">
        <v>399</v>
      </c>
      <c r="D29" s="236"/>
      <c r="E29" s="236"/>
      <c r="F29" s="236"/>
      <c r="G29" s="47" t="s">
        <v>73</v>
      </c>
      <c r="H29" s="47" t="s">
        <v>73</v>
      </c>
      <c r="I29" s="47" t="s">
        <v>73</v>
      </c>
      <c r="J29" s="70">
        <f>SUM(J30:J43)</f>
        <v>0</v>
      </c>
      <c r="K29" s="70">
        <f>SUM(K30:K43)</f>
        <v>0</v>
      </c>
      <c r="L29" s="70">
        <f>SUM(L30:L43)</f>
        <v>0</v>
      </c>
      <c r="M29" s="60"/>
      <c r="N29" s="18"/>
      <c r="AI29" s="63"/>
      <c r="AS29" s="70">
        <f>SUM(AJ30:AJ43)</f>
        <v>0</v>
      </c>
      <c r="AT29" s="70">
        <f>SUM(AK30:AK43)</f>
        <v>0</v>
      </c>
      <c r="AU29" s="70">
        <f>SUM(AL30:AL43)</f>
        <v>0</v>
      </c>
    </row>
    <row r="30" spans="1:64" ht="12.75">
      <c r="A30" s="82" t="s">
        <v>81</v>
      </c>
      <c r="B30" s="82" t="s">
        <v>234</v>
      </c>
      <c r="C30" s="229" t="s">
        <v>400</v>
      </c>
      <c r="D30" s="230"/>
      <c r="E30" s="230"/>
      <c r="F30" s="231"/>
      <c r="G30" s="82" t="s">
        <v>714</v>
      </c>
      <c r="H30" s="88">
        <v>116.865</v>
      </c>
      <c r="I30" s="88">
        <v>0</v>
      </c>
      <c r="J30" s="88">
        <f>H30*AO30</f>
        <v>0</v>
      </c>
      <c r="K30" s="88">
        <f>H30*AP30</f>
        <v>0</v>
      </c>
      <c r="L30" s="88">
        <f>H30*I30</f>
        <v>0</v>
      </c>
      <c r="M30" s="78" t="s">
        <v>732</v>
      </c>
      <c r="N30" s="72"/>
      <c r="Z30" s="64">
        <f>IF(AQ30="5",BJ30,0)</f>
        <v>0</v>
      </c>
      <c r="AB30" s="64">
        <f>IF(AQ30="1",BH30,0)</f>
        <v>0</v>
      </c>
      <c r="AC30" s="64">
        <f>IF(AQ30="1",BI30,0)</f>
        <v>0</v>
      </c>
      <c r="AD30" s="64">
        <f>IF(AQ30="7",BH30,0)</f>
        <v>0</v>
      </c>
      <c r="AE30" s="64">
        <f>IF(AQ30="7",BI30,0)</f>
        <v>0</v>
      </c>
      <c r="AF30" s="64">
        <f>IF(AQ30="2",BH30,0)</f>
        <v>0</v>
      </c>
      <c r="AG30" s="64">
        <f>IF(AQ30="2",BI30,0)</f>
        <v>0</v>
      </c>
      <c r="AH30" s="64">
        <f>IF(AQ30="0",BJ30,0)</f>
        <v>0</v>
      </c>
      <c r="AI30" s="63"/>
      <c r="AJ30" s="49">
        <f>IF(AN30=0,L30,0)</f>
        <v>0</v>
      </c>
      <c r="AK30" s="49">
        <f>IF(AN30=15,L30,0)</f>
        <v>0</v>
      </c>
      <c r="AL30" s="49">
        <f>IF(AN30=21,L30,0)</f>
        <v>0</v>
      </c>
      <c r="AN30" s="64">
        <v>15</v>
      </c>
      <c r="AO30" s="64">
        <f>I30*0.139550215936172</f>
        <v>0</v>
      </c>
      <c r="AP30" s="64">
        <f>I30*(1-0.139550215936172)</f>
        <v>0</v>
      </c>
      <c r="AQ30" s="65" t="s">
        <v>74</v>
      </c>
      <c r="AV30" s="64">
        <f>AW30+AX30</f>
        <v>0</v>
      </c>
      <c r="AW30" s="64">
        <f>H30*AO30</f>
        <v>0</v>
      </c>
      <c r="AX30" s="64">
        <f>H30*AP30</f>
        <v>0</v>
      </c>
      <c r="AY30" s="67" t="s">
        <v>747</v>
      </c>
      <c r="AZ30" s="67" t="s">
        <v>769</v>
      </c>
      <c r="BA30" s="63" t="s">
        <v>775</v>
      </c>
      <c r="BC30" s="64">
        <f>AW30+AX30</f>
        <v>0</v>
      </c>
      <c r="BD30" s="64">
        <f>I30/(100-BE30)*100</f>
        <v>0</v>
      </c>
      <c r="BE30" s="64">
        <v>0</v>
      </c>
      <c r="BF30" s="64">
        <f>30</f>
        <v>30</v>
      </c>
      <c r="BH30" s="49">
        <f>H30*AO30</f>
        <v>0</v>
      </c>
      <c r="BI30" s="49">
        <f>H30*AP30</f>
        <v>0</v>
      </c>
      <c r="BJ30" s="49">
        <f>H30*I30</f>
        <v>0</v>
      </c>
      <c r="BK30" s="49" t="s">
        <v>780</v>
      </c>
      <c r="BL30" s="64">
        <v>61</v>
      </c>
    </row>
    <row r="31" spans="1:14" ht="12.75">
      <c r="A31" s="90"/>
      <c r="B31" s="91"/>
      <c r="C31" s="84" t="s">
        <v>401</v>
      </c>
      <c r="F31" s="92"/>
      <c r="G31" s="91"/>
      <c r="H31" s="93">
        <v>0</v>
      </c>
      <c r="I31" s="91"/>
      <c r="J31" s="91"/>
      <c r="K31" s="91"/>
      <c r="L31" s="91"/>
      <c r="M31" s="80"/>
      <c r="N31" s="72"/>
    </row>
    <row r="32" spans="1:14" ht="12.75">
      <c r="A32" s="90"/>
      <c r="B32" s="91"/>
      <c r="C32" s="84" t="s">
        <v>402</v>
      </c>
      <c r="F32" s="92"/>
      <c r="G32" s="91"/>
      <c r="H32" s="93">
        <v>0</v>
      </c>
      <c r="I32" s="91"/>
      <c r="J32" s="91"/>
      <c r="K32" s="91"/>
      <c r="L32" s="91"/>
      <c r="M32" s="80"/>
      <c r="N32" s="72"/>
    </row>
    <row r="33" spans="1:14" ht="12.75">
      <c r="A33" s="90"/>
      <c r="B33" s="91"/>
      <c r="C33" s="84" t="s">
        <v>403</v>
      </c>
      <c r="F33" s="92"/>
      <c r="G33" s="91"/>
      <c r="H33" s="93">
        <v>105.84</v>
      </c>
      <c r="I33" s="91"/>
      <c r="J33" s="91"/>
      <c r="K33" s="91"/>
      <c r="L33" s="91"/>
      <c r="M33" s="80"/>
      <c r="N33" s="72"/>
    </row>
    <row r="34" spans="1:14" ht="12.75">
      <c r="A34" s="90"/>
      <c r="B34" s="91"/>
      <c r="C34" s="84" t="s">
        <v>404</v>
      </c>
      <c r="F34" s="92"/>
      <c r="G34" s="91"/>
      <c r="H34" s="93">
        <v>0</v>
      </c>
      <c r="I34" s="91"/>
      <c r="J34" s="91"/>
      <c r="K34" s="91"/>
      <c r="L34" s="91"/>
      <c r="M34" s="80"/>
      <c r="N34" s="72"/>
    </row>
    <row r="35" spans="1:14" ht="12.75">
      <c r="A35" s="90"/>
      <c r="B35" s="91"/>
      <c r="C35" s="84" t="s">
        <v>405</v>
      </c>
      <c r="F35" s="92"/>
      <c r="G35" s="91"/>
      <c r="H35" s="93">
        <v>11.025</v>
      </c>
      <c r="I35" s="91"/>
      <c r="J35" s="91"/>
      <c r="K35" s="91"/>
      <c r="L35" s="91"/>
      <c r="M35" s="80"/>
      <c r="N35" s="72"/>
    </row>
    <row r="36" spans="1:64" ht="12.75">
      <c r="A36" s="75" t="s">
        <v>82</v>
      </c>
      <c r="B36" s="75" t="s">
        <v>235</v>
      </c>
      <c r="C36" s="240" t="s">
        <v>406</v>
      </c>
      <c r="D36" s="230"/>
      <c r="E36" s="230"/>
      <c r="F36" s="234"/>
      <c r="G36" s="75" t="s">
        <v>715</v>
      </c>
      <c r="H36" s="76">
        <v>72</v>
      </c>
      <c r="I36" s="76">
        <v>0</v>
      </c>
      <c r="J36" s="76">
        <f>H36*AO36</f>
        <v>0</v>
      </c>
      <c r="K36" s="76">
        <f>H36*AP36</f>
        <v>0</v>
      </c>
      <c r="L36" s="76">
        <f>H36*I36</f>
        <v>0</v>
      </c>
      <c r="M36" s="79" t="s">
        <v>732</v>
      </c>
      <c r="N36" s="72"/>
      <c r="Z36" s="64">
        <f>IF(AQ36="5",BJ36,0)</f>
        <v>0</v>
      </c>
      <c r="AB36" s="64">
        <f>IF(AQ36="1",BH36,0)</f>
        <v>0</v>
      </c>
      <c r="AC36" s="64">
        <f>IF(AQ36="1",BI36,0)</f>
        <v>0</v>
      </c>
      <c r="AD36" s="64">
        <f>IF(AQ36="7",BH36,0)</f>
        <v>0</v>
      </c>
      <c r="AE36" s="64">
        <f>IF(AQ36="7",BI36,0)</f>
        <v>0</v>
      </c>
      <c r="AF36" s="64">
        <f>IF(AQ36="2",BH36,0)</f>
        <v>0</v>
      </c>
      <c r="AG36" s="64">
        <f>IF(AQ36="2",BI36,0)</f>
        <v>0</v>
      </c>
      <c r="AH36" s="64">
        <f>IF(AQ36="0",BJ36,0)</f>
        <v>0</v>
      </c>
      <c r="AI36" s="63"/>
      <c r="AJ36" s="49">
        <f>IF(AN36=0,L36,0)</f>
        <v>0</v>
      </c>
      <c r="AK36" s="49">
        <f>IF(AN36=15,L36,0)</f>
        <v>0</v>
      </c>
      <c r="AL36" s="49">
        <f>IF(AN36=21,L36,0)</f>
        <v>0</v>
      </c>
      <c r="AN36" s="64">
        <v>15</v>
      </c>
      <c r="AO36" s="64">
        <f>I36*0.14574</f>
        <v>0</v>
      </c>
      <c r="AP36" s="64">
        <f>I36*(1-0.14574)</f>
        <v>0</v>
      </c>
      <c r="AQ36" s="65" t="s">
        <v>74</v>
      </c>
      <c r="AV36" s="64">
        <f>AW36+AX36</f>
        <v>0</v>
      </c>
      <c r="AW36" s="64">
        <f>H36*AO36</f>
        <v>0</v>
      </c>
      <c r="AX36" s="64">
        <f>H36*AP36</f>
        <v>0</v>
      </c>
      <c r="AY36" s="67" t="s">
        <v>747</v>
      </c>
      <c r="AZ36" s="67" t="s">
        <v>769</v>
      </c>
      <c r="BA36" s="63" t="s">
        <v>775</v>
      </c>
      <c r="BC36" s="64">
        <f>AW36+AX36</f>
        <v>0</v>
      </c>
      <c r="BD36" s="64">
        <f>I36/(100-BE36)*100</f>
        <v>0</v>
      </c>
      <c r="BE36" s="64">
        <v>0</v>
      </c>
      <c r="BF36" s="64">
        <f>36</f>
        <v>36</v>
      </c>
      <c r="BH36" s="49">
        <f>H36*AO36</f>
        <v>0</v>
      </c>
      <c r="BI36" s="49">
        <f>H36*AP36</f>
        <v>0</v>
      </c>
      <c r="BJ36" s="49">
        <f>H36*I36</f>
        <v>0</v>
      </c>
      <c r="BK36" s="49" t="s">
        <v>780</v>
      </c>
      <c r="BL36" s="64">
        <v>61</v>
      </c>
    </row>
    <row r="37" spans="1:64" ht="12.75">
      <c r="A37" s="35" t="s">
        <v>83</v>
      </c>
      <c r="B37" s="42" t="s">
        <v>236</v>
      </c>
      <c r="C37" s="239" t="s">
        <v>407</v>
      </c>
      <c r="D37" s="230"/>
      <c r="E37" s="230"/>
      <c r="F37" s="230"/>
      <c r="G37" s="42" t="s">
        <v>714</v>
      </c>
      <c r="H37" s="49">
        <v>324</v>
      </c>
      <c r="I37" s="49">
        <v>0</v>
      </c>
      <c r="J37" s="49">
        <f>H37*AO37</f>
        <v>0</v>
      </c>
      <c r="K37" s="49">
        <f>H37*AP37</f>
        <v>0</v>
      </c>
      <c r="L37" s="49">
        <f>H37*I37</f>
        <v>0</v>
      </c>
      <c r="M37" s="61" t="s">
        <v>732</v>
      </c>
      <c r="N37" s="18"/>
      <c r="Z37" s="64">
        <f>IF(AQ37="5",BJ37,0)</f>
        <v>0</v>
      </c>
      <c r="AB37" s="64">
        <f>IF(AQ37="1",BH37,0)</f>
        <v>0</v>
      </c>
      <c r="AC37" s="64">
        <f>IF(AQ37="1",BI37,0)</f>
        <v>0</v>
      </c>
      <c r="AD37" s="64">
        <f>IF(AQ37="7",BH37,0)</f>
        <v>0</v>
      </c>
      <c r="AE37" s="64">
        <f>IF(AQ37="7",BI37,0)</f>
        <v>0</v>
      </c>
      <c r="AF37" s="64">
        <f>IF(AQ37="2",BH37,0)</f>
        <v>0</v>
      </c>
      <c r="AG37" s="64">
        <f>IF(AQ37="2",BI37,0)</f>
        <v>0</v>
      </c>
      <c r="AH37" s="64">
        <f>IF(AQ37="0",BJ37,0)</f>
        <v>0</v>
      </c>
      <c r="AI37" s="63"/>
      <c r="AJ37" s="49">
        <f>IF(AN37=0,L37,0)</f>
        <v>0</v>
      </c>
      <c r="AK37" s="49">
        <f>IF(AN37=15,L37,0)</f>
        <v>0</v>
      </c>
      <c r="AL37" s="49">
        <f>IF(AN37=21,L37,0)</f>
        <v>0</v>
      </c>
      <c r="AN37" s="64">
        <v>15</v>
      </c>
      <c r="AO37" s="64">
        <f>I37*0.290987124463519</f>
        <v>0</v>
      </c>
      <c r="AP37" s="64">
        <f>I37*(1-0.290987124463519)</f>
        <v>0</v>
      </c>
      <c r="AQ37" s="65" t="s">
        <v>74</v>
      </c>
      <c r="AV37" s="64">
        <f>AW37+AX37</f>
        <v>0</v>
      </c>
      <c r="AW37" s="64">
        <f>H37*AO37</f>
        <v>0</v>
      </c>
      <c r="AX37" s="64">
        <f>H37*AP37</f>
        <v>0</v>
      </c>
      <c r="AY37" s="67" t="s">
        <v>747</v>
      </c>
      <c r="AZ37" s="67" t="s">
        <v>769</v>
      </c>
      <c r="BA37" s="63" t="s">
        <v>775</v>
      </c>
      <c r="BC37" s="64">
        <f>AW37+AX37</f>
        <v>0</v>
      </c>
      <c r="BD37" s="64">
        <f>I37/(100-BE37)*100</f>
        <v>0</v>
      </c>
      <c r="BE37" s="64">
        <v>0</v>
      </c>
      <c r="BF37" s="64">
        <f>37</f>
        <v>37</v>
      </c>
      <c r="BH37" s="49">
        <f>H37*AO37</f>
        <v>0</v>
      </c>
      <c r="BI37" s="49">
        <f>H37*AP37</f>
        <v>0</v>
      </c>
      <c r="BJ37" s="49">
        <f>H37*I37</f>
        <v>0</v>
      </c>
      <c r="BK37" s="49" t="s">
        <v>780</v>
      </c>
      <c r="BL37" s="64">
        <v>61</v>
      </c>
    </row>
    <row r="38" spans="1:14" ht="12.75">
      <c r="A38" s="18"/>
      <c r="C38" s="44" t="s">
        <v>408</v>
      </c>
      <c r="F38" s="45"/>
      <c r="H38" s="50">
        <v>0</v>
      </c>
      <c r="M38" s="16"/>
      <c r="N38" s="18"/>
    </row>
    <row r="39" spans="1:14" ht="12.75">
      <c r="A39" s="18"/>
      <c r="C39" s="44" t="s">
        <v>409</v>
      </c>
      <c r="F39" s="45"/>
      <c r="H39" s="50">
        <v>324</v>
      </c>
      <c r="M39" s="16"/>
      <c r="N39" s="18"/>
    </row>
    <row r="40" spans="1:64" ht="12.75">
      <c r="A40" s="82" t="s">
        <v>84</v>
      </c>
      <c r="B40" s="82" t="s">
        <v>236</v>
      </c>
      <c r="C40" s="229" t="s">
        <v>407</v>
      </c>
      <c r="D40" s="230"/>
      <c r="E40" s="230"/>
      <c r="F40" s="231"/>
      <c r="G40" s="82" t="s">
        <v>714</v>
      </c>
      <c r="H40" s="88">
        <v>91.08</v>
      </c>
      <c r="I40" s="88">
        <v>0</v>
      </c>
      <c r="J40" s="88">
        <f>H40*AO40</f>
        <v>0</v>
      </c>
      <c r="K40" s="88">
        <f>H40*AP40</f>
        <v>0</v>
      </c>
      <c r="L40" s="88">
        <f>H40*I40</f>
        <v>0</v>
      </c>
      <c r="M40" s="78" t="s">
        <v>732</v>
      </c>
      <c r="N40" s="72"/>
      <c r="Z40" s="64">
        <f>IF(AQ40="5",BJ40,0)</f>
        <v>0</v>
      </c>
      <c r="AB40" s="64">
        <f>IF(AQ40="1",BH40,0)</f>
        <v>0</v>
      </c>
      <c r="AC40" s="64">
        <f>IF(AQ40="1",BI40,0)</f>
        <v>0</v>
      </c>
      <c r="AD40" s="64">
        <f>IF(AQ40="7",BH40,0)</f>
        <v>0</v>
      </c>
      <c r="AE40" s="64">
        <f>IF(AQ40="7",BI40,0)</f>
        <v>0</v>
      </c>
      <c r="AF40" s="64">
        <f>IF(AQ40="2",BH40,0)</f>
        <v>0</v>
      </c>
      <c r="AG40" s="64">
        <f>IF(AQ40="2",BI40,0)</f>
        <v>0</v>
      </c>
      <c r="AH40" s="64">
        <f>IF(AQ40="0",BJ40,0)</f>
        <v>0</v>
      </c>
      <c r="AI40" s="63"/>
      <c r="AJ40" s="49">
        <f>IF(AN40=0,L40,0)</f>
        <v>0</v>
      </c>
      <c r="AK40" s="49">
        <f>IF(AN40=15,L40,0)</f>
        <v>0</v>
      </c>
      <c r="AL40" s="49">
        <f>IF(AN40=21,L40,0)</f>
        <v>0</v>
      </c>
      <c r="AN40" s="64">
        <v>15</v>
      </c>
      <c r="AO40" s="64">
        <f>I40*0.29098698734547</f>
        <v>0</v>
      </c>
      <c r="AP40" s="64">
        <f>I40*(1-0.29098698734547)</f>
        <v>0</v>
      </c>
      <c r="AQ40" s="65" t="s">
        <v>74</v>
      </c>
      <c r="AV40" s="64">
        <f>AW40+AX40</f>
        <v>0</v>
      </c>
      <c r="AW40" s="64">
        <f>H40*AO40</f>
        <v>0</v>
      </c>
      <c r="AX40" s="64">
        <f>H40*AP40</f>
        <v>0</v>
      </c>
      <c r="AY40" s="67" t="s">
        <v>747</v>
      </c>
      <c r="AZ40" s="67" t="s">
        <v>769</v>
      </c>
      <c r="BA40" s="63" t="s">
        <v>775</v>
      </c>
      <c r="BC40" s="64">
        <f>AW40+AX40</f>
        <v>0</v>
      </c>
      <c r="BD40" s="64">
        <f>I40/(100-BE40)*100</f>
        <v>0</v>
      </c>
      <c r="BE40" s="64">
        <v>0</v>
      </c>
      <c r="BF40" s="64">
        <f>40</f>
        <v>40</v>
      </c>
      <c r="BH40" s="49">
        <f>H40*AO40</f>
        <v>0</v>
      </c>
      <c r="BI40" s="49">
        <f>H40*AP40</f>
        <v>0</v>
      </c>
      <c r="BJ40" s="49">
        <f>H40*I40</f>
        <v>0</v>
      </c>
      <c r="BK40" s="49" t="s">
        <v>780</v>
      </c>
      <c r="BL40" s="64">
        <v>61</v>
      </c>
    </row>
    <row r="41" spans="1:14" ht="12.75">
      <c r="A41" s="90"/>
      <c r="B41" s="91"/>
      <c r="C41" s="84" t="s">
        <v>410</v>
      </c>
      <c r="F41" s="92"/>
      <c r="G41" s="91"/>
      <c r="H41" s="93">
        <v>81.9</v>
      </c>
      <c r="I41" s="91"/>
      <c r="J41" s="91"/>
      <c r="K41" s="91"/>
      <c r="L41" s="91"/>
      <c r="M41" s="80"/>
      <c r="N41" s="72"/>
    </row>
    <row r="42" spans="1:14" ht="12.75">
      <c r="A42" s="90"/>
      <c r="B42" s="91"/>
      <c r="C42" s="84" t="s">
        <v>411</v>
      </c>
      <c r="F42" s="92"/>
      <c r="G42" s="91"/>
      <c r="H42" s="93">
        <v>9.18</v>
      </c>
      <c r="I42" s="91"/>
      <c r="J42" s="91"/>
      <c r="K42" s="91"/>
      <c r="L42" s="91"/>
      <c r="M42" s="80"/>
      <c r="N42" s="72"/>
    </row>
    <row r="43" spans="1:64" ht="12.75">
      <c r="A43" s="82" t="s">
        <v>85</v>
      </c>
      <c r="B43" s="82" t="s">
        <v>237</v>
      </c>
      <c r="C43" s="229" t="s">
        <v>412</v>
      </c>
      <c r="D43" s="230"/>
      <c r="E43" s="230"/>
      <c r="F43" s="231"/>
      <c r="G43" s="82" t="s">
        <v>716</v>
      </c>
      <c r="H43" s="88">
        <v>295.2</v>
      </c>
      <c r="I43" s="88">
        <v>0</v>
      </c>
      <c r="J43" s="88">
        <f>H43*AO43</f>
        <v>0</v>
      </c>
      <c r="K43" s="88">
        <f>H43*AP43</f>
        <v>0</v>
      </c>
      <c r="L43" s="88">
        <f>H43*I43</f>
        <v>0</v>
      </c>
      <c r="M43" s="78" t="s">
        <v>732</v>
      </c>
      <c r="N43" s="72"/>
      <c r="Z43" s="64">
        <f>IF(AQ43="5",BJ43,0)</f>
        <v>0</v>
      </c>
      <c r="AB43" s="64">
        <f>IF(AQ43="1",BH43,0)</f>
        <v>0</v>
      </c>
      <c r="AC43" s="64">
        <f>IF(AQ43="1",BI43,0)</f>
        <v>0</v>
      </c>
      <c r="AD43" s="64">
        <f>IF(AQ43="7",BH43,0)</f>
        <v>0</v>
      </c>
      <c r="AE43" s="64">
        <f>IF(AQ43="7",BI43,0)</f>
        <v>0</v>
      </c>
      <c r="AF43" s="64">
        <f>IF(AQ43="2",BH43,0)</f>
        <v>0</v>
      </c>
      <c r="AG43" s="64">
        <f>IF(AQ43="2",BI43,0)</f>
        <v>0</v>
      </c>
      <c r="AH43" s="64">
        <f>IF(AQ43="0",BJ43,0)</f>
        <v>0</v>
      </c>
      <c r="AI43" s="63"/>
      <c r="AJ43" s="49">
        <f>IF(AN43=0,L43,0)</f>
        <v>0</v>
      </c>
      <c r="AK43" s="49">
        <f>IF(AN43=15,L43,0)</f>
        <v>0</v>
      </c>
      <c r="AL43" s="49">
        <f>IF(AN43=21,L43,0)</f>
        <v>0</v>
      </c>
      <c r="AN43" s="64">
        <v>15</v>
      </c>
      <c r="AO43" s="64">
        <f>I43*1</f>
        <v>0</v>
      </c>
      <c r="AP43" s="64">
        <f>I43*(1-1)</f>
        <v>0</v>
      </c>
      <c r="AQ43" s="65" t="s">
        <v>74</v>
      </c>
      <c r="AV43" s="64">
        <f>AW43+AX43</f>
        <v>0</v>
      </c>
      <c r="AW43" s="64">
        <f>H43*AO43</f>
        <v>0</v>
      </c>
      <c r="AX43" s="64">
        <f>H43*AP43</f>
        <v>0</v>
      </c>
      <c r="AY43" s="67" t="s">
        <v>747</v>
      </c>
      <c r="AZ43" s="67" t="s">
        <v>769</v>
      </c>
      <c r="BA43" s="63" t="s">
        <v>775</v>
      </c>
      <c r="BC43" s="64">
        <f>AW43+AX43</f>
        <v>0</v>
      </c>
      <c r="BD43" s="64">
        <f>I43/(100-BE43)*100</f>
        <v>0</v>
      </c>
      <c r="BE43" s="64">
        <v>0</v>
      </c>
      <c r="BF43" s="64">
        <f>43</f>
        <v>43</v>
      </c>
      <c r="BH43" s="49">
        <f>H43*AO43</f>
        <v>0</v>
      </c>
      <c r="BI43" s="49">
        <f>H43*AP43</f>
        <v>0</v>
      </c>
      <c r="BJ43" s="49">
        <f>H43*I43</f>
        <v>0</v>
      </c>
      <c r="BK43" s="49" t="s">
        <v>780</v>
      </c>
      <c r="BL43" s="64">
        <v>61</v>
      </c>
    </row>
    <row r="44" spans="1:14" ht="12.75">
      <c r="A44" s="83"/>
      <c r="B44" s="86"/>
      <c r="C44" s="85" t="s">
        <v>413</v>
      </c>
      <c r="F44" s="87"/>
      <c r="G44" s="86"/>
      <c r="H44" s="89">
        <v>295.2</v>
      </c>
      <c r="I44" s="86"/>
      <c r="J44" s="86"/>
      <c r="K44" s="86"/>
      <c r="L44" s="86"/>
      <c r="M44" s="81"/>
      <c r="N44" s="72"/>
    </row>
    <row r="45" spans="1:47" ht="12.75">
      <c r="A45" s="34"/>
      <c r="B45" s="41" t="s">
        <v>135</v>
      </c>
      <c r="C45" s="235" t="s">
        <v>414</v>
      </c>
      <c r="D45" s="236"/>
      <c r="E45" s="236"/>
      <c r="F45" s="236"/>
      <c r="G45" s="47" t="s">
        <v>73</v>
      </c>
      <c r="H45" s="47" t="s">
        <v>73</v>
      </c>
      <c r="I45" s="47" t="s">
        <v>73</v>
      </c>
      <c r="J45" s="70">
        <f>SUM(J46:J160)</f>
        <v>0</v>
      </c>
      <c r="K45" s="70">
        <f>SUM(K46:K160)</f>
        <v>0</v>
      </c>
      <c r="L45" s="70">
        <f>SUM(L46:L160)</f>
        <v>0</v>
      </c>
      <c r="M45" s="60"/>
      <c r="N45" s="18"/>
      <c r="AI45" s="63"/>
      <c r="AS45" s="70">
        <f>SUM(AJ46:AJ160)</f>
        <v>0</v>
      </c>
      <c r="AT45" s="70">
        <f>SUM(AK46:AK160)</f>
        <v>0</v>
      </c>
      <c r="AU45" s="70">
        <f>SUM(AL46:AL160)</f>
        <v>0</v>
      </c>
    </row>
    <row r="46" spans="1:64" ht="12.75">
      <c r="A46" s="82" t="s">
        <v>86</v>
      </c>
      <c r="B46" s="82" t="s">
        <v>238</v>
      </c>
      <c r="C46" s="229" t="s">
        <v>415</v>
      </c>
      <c r="D46" s="230"/>
      <c r="E46" s="230"/>
      <c r="F46" s="231"/>
      <c r="G46" s="82" t="s">
        <v>714</v>
      </c>
      <c r="H46" s="88">
        <v>74.6</v>
      </c>
      <c r="I46" s="88">
        <v>0</v>
      </c>
      <c r="J46" s="88">
        <f>H46*AO46</f>
        <v>0</v>
      </c>
      <c r="K46" s="88">
        <f>H46*AP46</f>
        <v>0</v>
      </c>
      <c r="L46" s="88">
        <f>H46*I46</f>
        <v>0</v>
      </c>
      <c r="M46" s="78" t="s">
        <v>732</v>
      </c>
      <c r="N46" s="72"/>
      <c r="Z46" s="64">
        <f>IF(AQ46="5",BJ46,0)</f>
        <v>0</v>
      </c>
      <c r="AB46" s="64">
        <f>IF(AQ46="1",BH46,0)</f>
        <v>0</v>
      </c>
      <c r="AC46" s="64">
        <f>IF(AQ46="1",BI46,0)</f>
        <v>0</v>
      </c>
      <c r="AD46" s="64">
        <f>IF(AQ46="7",BH46,0)</f>
        <v>0</v>
      </c>
      <c r="AE46" s="64">
        <f>IF(AQ46="7",BI46,0)</f>
        <v>0</v>
      </c>
      <c r="AF46" s="64">
        <f>IF(AQ46="2",BH46,0)</f>
        <v>0</v>
      </c>
      <c r="AG46" s="64">
        <f>IF(AQ46="2",BI46,0)</f>
        <v>0</v>
      </c>
      <c r="AH46" s="64">
        <f>IF(AQ46="0",BJ46,0)</f>
        <v>0</v>
      </c>
      <c r="AI46" s="63"/>
      <c r="AJ46" s="49">
        <f>IF(AN46=0,L46,0)</f>
        <v>0</v>
      </c>
      <c r="AK46" s="49">
        <f>IF(AN46=15,L46,0)</f>
        <v>0</v>
      </c>
      <c r="AL46" s="49">
        <f>IF(AN46=21,L46,0)</f>
        <v>0</v>
      </c>
      <c r="AN46" s="64">
        <v>15</v>
      </c>
      <c r="AO46" s="64">
        <f>I46*0.124308395585114</f>
        <v>0</v>
      </c>
      <c r="AP46" s="64">
        <f>I46*(1-0.124308395585114)</f>
        <v>0</v>
      </c>
      <c r="AQ46" s="65" t="s">
        <v>74</v>
      </c>
      <c r="AV46" s="64">
        <f>AW46+AX46</f>
        <v>0</v>
      </c>
      <c r="AW46" s="64">
        <f>H46*AO46</f>
        <v>0</v>
      </c>
      <c r="AX46" s="64">
        <f>H46*AP46</f>
        <v>0</v>
      </c>
      <c r="AY46" s="67" t="s">
        <v>748</v>
      </c>
      <c r="AZ46" s="67" t="s">
        <v>769</v>
      </c>
      <c r="BA46" s="63" t="s">
        <v>775</v>
      </c>
      <c r="BC46" s="64">
        <f>AW46+AX46</f>
        <v>0</v>
      </c>
      <c r="BD46" s="64">
        <f>I46/(100-BE46)*100</f>
        <v>0</v>
      </c>
      <c r="BE46" s="64">
        <v>0</v>
      </c>
      <c r="BF46" s="64">
        <f>46</f>
        <v>46</v>
      </c>
      <c r="BH46" s="49">
        <f>H46*AO46</f>
        <v>0</v>
      </c>
      <c r="BI46" s="49">
        <f>H46*AP46</f>
        <v>0</v>
      </c>
      <c r="BJ46" s="49">
        <f>H46*I46</f>
        <v>0</v>
      </c>
      <c r="BK46" s="49" t="s">
        <v>780</v>
      </c>
      <c r="BL46" s="64">
        <v>62</v>
      </c>
    </row>
    <row r="47" spans="1:14" ht="12.75">
      <c r="A47" s="90"/>
      <c r="B47" s="91"/>
      <c r="C47" s="84" t="s">
        <v>416</v>
      </c>
      <c r="F47" s="92"/>
      <c r="G47" s="91"/>
      <c r="H47" s="93">
        <v>0</v>
      </c>
      <c r="I47" s="91"/>
      <c r="J47" s="91"/>
      <c r="K47" s="91"/>
      <c r="L47" s="91"/>
      <c r="M47" s="80"/>
      <c r="N47" s="72"/>
    </row>
    <row r="48" spans="1:14" ht="12.75">
      <c r="A48" s="90"/>
      <c r="B48" s="91"/>
      <c r="C48" s="84" t="s">
        <v>417</v>
      </c>
      <c r="F48" s="92"/>
      <c r="G48" s="91"/>
      <c r="H48" s="93">
        <v>52.5</v>
      </c>
      <c r="I48" s="91"/>
      <c r="J48" s="91"/>
      <c r="K48" s="91"/>
      <c r="L48" s="91"/>
      <c r="M48" s="80"/>
      <c r="N48" s="72"/>
    </row>
    <row r="49" spans="1:14" ht="12.75">
      <c r="A49" s="90"/>
      <c r="B49" s="91"/>
      <c r="C49" s="84" t="s">
        <v>418</v>
      </c>
      <c r="F49" s="92"/>
      <c r="G49" s="91"/>
      <c r="H49" s="93">
        <v>22.1</v>
      </c>
      <c r="I49" s="91"/>
      <c r="J49" s="91"/>
      <c r="K49" s="91"/>
      <c r="L49" s="91"/>
      <c r="M49" s="80"/>
      <c r="N49" s="72"/>
    </row>
    <row r="50" spans="1:64" ht="12.75">
      <c r="A50" s="82" t="s">
        <v>87</v>
      </c>
      <c r="B50" s="82" t="s">
        <v>239</v>
      </c>
      <c r="C50" s="229" t="s">
        <v>419</v>
      </c>
      <c r="D50" s="230"/>
      <c r="E50" s="230"/>
      <c r="F50" s="231"/>
      <c r="G50" s="82" t="s">
        <v>714</v>
      </c>
      <c r="H50" s="88">
        <v>157.14</v>
      </c>
      <c r="I50" s="88">
        <v>0</v>
      </c>
      <c r="J50" s="88">
        <f>H50*AO50</f>
        <v>0</v>
      </c>
      <c r="K50" s="88">
        <f>H50*AP50</f>
        <v>0</v>
      </c>
      <c r="L50" s="88">
        <f>H50*I50</f>
        <v>0</v>
      </c>
      <c r="M50" s="78" t="s">
        <v>732</v>
      </c>
      <c r="N50" s="72"/>
      <c r="Z50" s="64">
        <f>IF(AQ50="5",BJ50,0)</f>
        <v>0</v>
      </c>
      <c r="AB50" s="64">
        <f>IF(AQ50="1",BH50,0)</f>
        <v>0</v>
      </c>
      <c r="AC50" s="64">
        <f>IF(AQ50="1",BI50,0)</f>
        <v>0</v>
      </c>
      <c r="AD50" s="64">
        <f>IF(AQ50="7",BH50,0)</f>
        <v>0</v>
      </c>
      <c r="AE50" s="64">
        <f>IF(AQ50="7",BI50,0)</f>
        <v>0</v>
      </c>
      <c r="AF50" s="64">
        <f>IF(AQ50="2",BH50,0)</f>
        <v>0</v>
      </c>
      <c r="AG50" s="64">
        <f>IF(AQ50="2",BI50,0)</f>
        <v>0</v>
      </c>
      <c r="AH50" s="64">
        <f>IF(AQ50="0",BJ50,0)</f>
        <v>0</v>
      </c>
      <c r="AI50" s="63"/>
      <c r="AJ50" s="49">
        <f>IF(AN50=0,L50,0)</f>
        <v>0</v>
      </c>
      <c r="AK50" s="49">
        <f>IF(AN50=15,L50,0)</f>
        <v>0</v>
      </c>
      <c r="AL50" s="49">
        <f>IF(AN50=21,L50,0)</f>
        <v>0</v>
      </c>
      <c r="AN50" s="64">
        <v>15</v>
      </c>
      <c r="AO50" s="64">
        <f>I50*0.291845652981406</f>
        <v>0</v>
      </c>
      <c r="AP50" s="64">
        <f>I50*(1-0.291845652981406)</f>
        <v>0</v>
      </c>
      <c r="AQ50" s="65" t="s">
        <v>74</v>
      </c>
      <c r="AV50" s="64">
        <f>AW50+AX50</f>
        <v>0</v>
      </c>
      <c r="AW50" s="64">
        <f>H50*AO50</f>
        <v>0</v>
      </c>
      <c r="AX50" s="64">
        <f>H50*AP50</f>
        <v>0</v>
      </c>
      <c r="AY50" s="67" t="s">
        <v>748</v>
      </c>
      <c r="AZ50" s="67" t="s">
        <v>769</v>
      </c>
      <c r="BA50" s="63" t="s">
        <v>775</v>
      </c>
      <c r="BC50" s="64">
        <f>AW50+AX50</f>
        <v>0</v>
      </c>
      <c r="BD50" s="64">
        <f>I50/(100-BE50)*100</f>
        <v>0</v>
      </c>
      <c r="BE50" s="64">
        <v>0</v>
      </c>
      <c r="BF50" s="64">
        <f>50</f>
        <v>50</v>
      </c>
      <c r="BH50" s="49">
        <f>H50*AO50</f>
        <v>0</v>
      </c>
      <c r="BI50" s="49">
        <f>H50*AP50</f>
        <v>0</v>
      </c>
      <c r="BJ50" s="49">
        <f>H50*I50</f>
        <v>0</v>
      </c>
      <c r="BK50" s="49" t="s">
        <v>780</v>
      </c>
      <c r="BL50" s="64">
        <v>62</v>
      </c>
    </row>
    <row r="51" spans="1:14" ht="12.75">
      <c r="A51" s="90"/>
      <c r="B51" s="91"/>
      <c r="C51" s="84" t="s">
        <v>420</v>
      </c>
      <c r="F51" s="92"/>
      <c r="G51" s="91"/>
      <c r="H51" s="93">
        <v>0</v>
      </c>
      <c r="I51" s="91"/>
      <c r="J51" s="91"/>
      <c r="K51" s="91"/>
      <c r="L51" s="91"/>
      <c r="M51" s="80"/>
      <c r="N51" s="72"/>
    </row>
    <row r="52" spans="1:14" ht="12.75">
      <c r="A52" s="90"/>
      <c r="B52" s="91"/>
      <c r="C52" s="84" t="s">
        <v>421</v>
      </c>
      <c r="F52" s="92"/>
      <c r="G52" s="91"/>
      <c r="H52" s="93">
        <v>72.9</v>
      </c>
      <c r="I52" s="91"/>
      <c r="J52" s="91"/>
      <c r="K52" s="91"/>
      <c r="L52" s="91"/>
      <c r="M52" s="80"/>
      <c r="N52" s="72"/>
    </row>
    <row r="53" spans="1:14" ht="12.75">
      <c r="A53" s="90"/>
      <c r="B53" s="91"/>
      <c r="C53" s="84" t="s">
        <v>422</v>
      </c>
      <c r="F53" s="92"/>
      <c r="G53" s="91"/>
      <c r="H53" s="93">
        <v>0</v>
      </c>
      <c r="I53" s="91"/>
      <c r="J53" s="91"/>
      <c r="K53" s="91"/>
      <c r="L53" s="91"/>
      <c r="M53" s="80"/>
      <c r="N53" s="72"/>
    </row>
    <row r="54" spans="1:14" ht="12.75">
      <c r="A54" s="90"/>
      <c r="B54" s="91"/>
      <c r="C54" s="84" t="s">
        <v>421</v>
      </c>
      <c r="F54" s="92"/>
      <c r="G54" s="91"/>
      <c r="H54" s="93">
        <v>72.9</v>
      </c>
      <c r="I54" s="91"/>
      <c r="J54" s="91"/>
      <c r="K54" s="91"/>
      <c r="L54" s="91"/>
      <c r="M54" s="80"/>
      <c r="N54" s="72"/>
    </row>
    <row r="55" spans="1:14" ht="12.75">
      <c r="A55" s="90"/>
      <c r="B55" s="91"/>
      <c r="C55" s="84" t="s">
        <v>404</v>
      </c>
      <c r="F55" s="92"/>
      <c r="G55" s="91"/>
      <c r="H55" s="93">
        <v>0</v>
      </c>
      <c r="I55" s="91"/>
      <c r="J55" s="91"/>
      <c r="K55" s="91"/>
      <c r="L55" s="91"/>
      <c r="M55" s="80"/>
      <c r="N55" s="72"/>
    </row>
    <row r="56" spans="1:14" ht="12.75">
      <c r="A56" s="90"/>
      <c r="B56" s="91"/>
      <c r="C56" s="84" t="s">
        <v>423</v>
      </c>
      <c r="F56" s="92"/>
      <c r="G56" s="91"/>
      <c r="H56" s="93">
        <v>11.34</v>
      </c>
      <c r="I56" s="91"/>
      <c r="J56" s="91"/>
      <c r="K56" s="91"/>
      <c r="L56" s="91"/>
      <c r="M56" s="80"/>
      <c r="N56" s="72"/>
    </row>
    <row r="57" spans="1:64" ht="12.75">
      <c r="A57" s="100" t="s">
        <v>88</v>
      </c>
      <c r="B57" s="100" t="s">
        <v>240</v>
      </c>
      <c r="C57" s="254" t="s">
        <v>424</v>
      </c>
      <c r="D57" s="230"/>
      <c r="E57" s="230"/>
      <c r="F57" s="231"/>
      <c r="G57" s="100" t="s">
        <v>714</v>
      </c>
      <c r="H57" s="105">
        <v>135</v>
      </c>
      <c r="I57" s="105">
        <v>0</v>
      </c>
      <c r="J57" s="105">
        <f>H57*AO57</f>
        <v>0</v>
      </c>
      <c r="K57" s="105">
        <f>H57*AP57</f>
        <v>0</v>
      </c>
      <c r="L57" s="105">
        <f>H57*I57</f>
        <v>0</v>
      </c>
      <c r="M57" s="99" t="s">
        <v>732</v>
      </c>
      <c r="N57" s="72"/>
      <c r="Z57" s="64">
        <f>IF(AQ57="5",BJ57,0)</f>
        <v>0</v>
      </c>
      <c r="AB57" s="64">
        <f>IF(AQ57="1",BH57,0)</f>
        <v>0</v>
      </c>
      <c r="AC57" s="64">
        <f>IF(AQ57="1",BI57,0)</f>
        <v>0</v>
      </c>
      <c r="AD57" s="64">
        <f>IF(AQ57="7",BH57,0)</f>
        <v>0</v>
      </c>
      <c r="AE57" s="64">
        <f>IF(AQ57="7",BI57,0)</f>
        <v>0</v>
      </c>
      <c r="AF57" s="64">
        <f>IF(AQ57="2",BH57,0)</f>
        <v>0</v>
      </c>
      <c r="AG57" s="64">
        <f>IF(AQ57="2",BI57,0)</f>
        <v>0</v>
      </c>
      <c r="AH57" s="64">
        <f>IF(AQ57="0",BJ57,0)</f>
        <v>0</v>
      </c>
      <c r="AI57" s="63"/>
      <c r="AJ57" s="49">
        <f>IF(AN57=0,L57,0)</f>
        <v>0</v>
      </c>
      <c r="AK57" s="49">
        <f>IF(AN57=15,L57,0)</f>
        <v>0</v>
      </c>
      <c r="AL57" s="49">
        <f>IF(AN57=21,L57,0)</f>
        <v>0</v>
      </c>
      <c r="AN57" s="64">
        <v>15</v>
      </c>
      <c r="AO57" s="64">
        <f>I57*0.238972712680578</f>
        <v>0</v>
      </c>
      <c r="AP57" s="64">
        <f>I57*(1-0.238972712680578)</f>
        <v>0</v>
      </c>
      <c r="AQ57" s="65" t="s">
        <v>74</v>
      </c>
      <c r="AV57" s="64">
        <f>AW57+AX57</f>
        <v>0</v>
      </c>
      <c r="AW57" s="64">
        <f>H57*AO57</f>
        <v>0</v>
      </c>
      <c r="AX57" s="64">
        <f>H57*AP57</f>
        <v>0</v>
      </c>
      <c r="AY57" s="67" t="s">
        <v>748</v>
      </c>
      <c r="AZ57" s="67" t="s">
        <v>769</v>
      </c>
      <c r="BA57" s="63" t="s">
        <v>775</v>
      </c>
      <c r="BC57" s="64">
        <f>AW57+AX57</f>
        <v>0</v>
      </c>
      <c r="BD57" s="64">
        <f>I57/(100-BE57)*100</f>
        <v>0</v>
      </c>
      <c r="BE57" s="64">
        <v>0</v>
      </c>
      <c r="BF57" s="64">
        <f>57</f>
        <v>57</v>
      </c>
      <c r="BH57" s="49">
        <f>H57*AO57</f>
        <v>0</v>
      </c>
      <c r="BI57" s="49">
        <f>H57*AP57</f>
        <v>0</v>
      </c>
      <c r="BJ57" s="49">
        <f>H57*I57</f>
        <v>0</v>
      </c>
      <c r="BK57" s="49" t="s">
        <v>780</v>
      </c>
      <c r="BL57" s="64">
        <v>62</v>
      </c>
    </row>
    <row r="58" spans="1:14" ht="12.75">
      <c r="A58" s="90"/>
      <c r="B58" s="106"/>
      <c r="C58" s="103" t="s">
        <v>425</v>
      </c>
      <c r="F58" s="107"/>
      <c r="G58" s="106"/>
      <c r="H58" s="108">
        <v>0</v>
      </c>
      <c r="I58" s="106"/>
      <c r="J58" s="106"/>
      <c r="K58" s="106"/>
      <c r="L58" s="106"/>
      <c r="M58" s="80"/>
      <c r="N58" s="72"/>
    </row>
    <row r="59" spans="1:14" ht="12.75">
      <c r="A59" s="90"/>
      <c r="B59" s="106"/>
      <c r="C59" s="103" t="s">
        <v>208</v>
      </c>
      <c r="F59" s="107"/>
      <c r="G59" s="106"/>
      <c r="H59" s="108">
        <v>135</v>
      </c>
      <c r="I59" s="106"/>
      <c r="J59" s="106"/>
      <c r="K59" s="106"/>
      <c r="L59" s="106"/>
      <c r="M59" s="80"/>
      <c r="N59" s="72"/>
    </row>
    <row r="60" spans="1:64" ht="12.75">
      <c r="A60" s="82" t="s">
        <v>89</v>
      </c>
      <c r="B60" s="82" t="s">
        <v>241</v>
      </c>
      <c r="C60" s="229" t="s">
        <v>426</v>
      </c>
      <c r="D60" s="230"/>
      <c r="E60" s="230"/>
      <c r="F60" s="231"/>
      <c r="G60" s="82" t="s">
        <v>714</v>
      </c>
      <c r="H60" s="88">
        <v>771.57</v>
      </c>
      <c r="I60" s="88">
        <v>0</v>
      </c>
      <c r="J60" s="88">
        <f>H60*AO60</f>
        <v>0</v>
      </c>
      <c r="K60" s="88">
        <f>H60*AP60</f>
        <v>0</v>
      </c>
      <c r="L60" s="88">
        <f>H60*I60</f>
        <v>0</v>
      </c>
      <c r="M60" s="78" t="s">
        <v>732</v>
      </c>
      <c r="N60" s="72"/>
      <c r="Z60" s="64">
        <f>IF(AQ60="5",BJ60,0)</f>
        <v>0</v>
      </c>
      <c r="AB60" s="64">
        <f>IF(AQ60="1",BH60,0)</f>
        <v>0</v>
      </c>
      <c r="AC60" s="64">
        <f>IF(AQ60="1",BI60,0)</f>
        <v>0</v>
      </c>
      <c r="AD60" s="64">
        <f>IF(AQ60="7",BH60,0)</f>
        <v>0</v>
      </c>
      <c r="AE60" s="64">
        <f>IF(AQ60="7",BI60,0)</f>
        <v>0</v>
      </c>
      <c r="AF60" s="64">
        <f>IF(AQ60="2",BH60,0)</f>
        <v>0</v>
      </c>
      <c r="AG60" s="64">
        <f>IF(AQ60="2",BI60,0)</f>
        <v>0</v>
      </c>
      <c r="AH60" s="64">
        <f>IF(AQ60="0",BJ60,0)</f>
        <v>0</v>
      </c>
      <c r="AI60" s="63"/>
      <c r="AJ60" s="49">
        <f>IF(AN60=0,L60,0)</f>
        <v>0</v>
      </c>
      <c r="AK60" s="49">
        <f>IF(AN60=15,L60,0)</f>
        <v>0</v>
      </c>
      <c r="AL60" s="49">
        <f>IF(AN60=21,L60,0)</f>
        <v>0</v>
      </c>
      <c r="AN60" s="64">
        <v>15</v>
      </c>
      <c r="AO60" s="64">
        <f>I60*0.0677530032214729</f>
        <v>0</v>
      </c>
      <c r="AP60" s="64">
        <f>I60*(1-0.0677530032214729)</f>
        <v>0</v>
      </c>
      <c r="AQ60" s="65" t="s">
        <v>74</v>
      </c>
      <c r="AV60" s="64">
        <f>AW60+AX60</f>
        <v>0</v>
      </c>
      <c r="AW60" s="64">
        <f>H60*AO60</f>
        <v>0</v>
      </c>
      <c r="AX60" s="64">
        <f>H60*AP60</f>
        <v>0</v>
      </c>
      <c r="AY60" s="67" t="s">
        <v>748</v>
      </c>
      <c r="AZ60" s="67" t="s">
        <v>769</v>
      </c>
      <c r="BA60" s="63" t="s">
        <v>775</v>
      </c>
      <c r="BC60" s="64">
        <f>AW60+AX60</f>
        <v>0</v>
      </c>
      <c r="BD60" s="64">
        <f>I60/(100-BE60)*100</f>
        <v>0</v>
      </c>
      <c r="BE60" s="64">
        <v>0</v>
      </c>
      <c r="BF60" s="64">
        <f>60</f>
        <v>60</v>
      </c>
      <c r="BH60" s="49">
        <f>H60*AO60</f>
        <v>0</v>
      </c>
      <c r="BI60" s="49">
        <f>H60*AP60</f>
        <v>0</v>
      </c>
      <c r="BJ60" s="49">
        <f>H60*I60</f>
        <v>0</v>
      </c>
      <c r="BK60" s="49" t="s">
        <v>780</v>
      </c>
      <c r="BL60" s="64">
        <v>62</v>
      </c>
    </row>
    <row r="61" spans="1:64" ht="12.75">
      <c r="A61" s="82" t="s">
        <v>90</v>
      </c>
      <c r="B61" s="82" t="s">
        <v>242</v>
      </c>
      <c r="C61" s="229" t="s">
        <v>427</v>
      </c>
      <c r="D61" s="230"/>
      <c r="E61" s="230"/>
      <c r="F61" s="231"/>
      <c r="G61" s="82" t="s">
        <v>716</v>
      </c>
      <c r="H61" s="88">
        <v>105.64</v>
      </c>
      <c r="I61" s="88">
        <v>0</v>
      </c>
      <c r="J61" s="88">
        <f>H61*AO61</f>
        <v>0</v>
      </c>
      <c r="K61" s="88">
        <f>H61*AP61</f>
        <v>0</v>
      </c>
      <c r="L61" s="88">
        <f>H61*I61</f>
        <v>0</v>
      </c>
      <c r="M61" s="78" t="s">
        <v>732</v>
      </c>
      <c r="N61" s="72"/>
      <c r="Z61" s="64">
        <f>IF(AQ61="5",BJ61,0)</f>
        <v>0</v>
      </c>
      <c r="AB61" s="64">
        <f>IF(AQ61="1",BH61,0)</f>
        <v>0</v>
      </c>
      <c r="AC61" s="64">
        <f>IF(AQ61="1",BI61,0)</f>
        <v>0</v>
      </c>
      <c r="AD61" s="64">
        <f>IF(AQ61="7",BH61,0)</f>
        <v>0</v>
      </c>
      <c r="AE61" s="64">
        <f>IF(AQ61="7",BI61,0)</f>
        <v>0</v>
      </c>
      <c r="AF61" s="64">
        <f>IF(AQ61="2",BH61,0)</f>
        <v>0</v>
      </c>
      <c r="AG61" s="64">
        <f>IF(AQ61="2",BI61,0)</f>
        <v>0</v>
      </c>
      <c r="AH61" s="64">
        <f>IF(AQ61="0",BJ61,0)</f>
        <v>0</v>
      </c>
      <c r="AI61" s="63"/>
      <c r="AJ61" s="49">
        <f>IF(AN61=0,L61,0)</f>
        <v>0</v>
      </c>
      <c r="AK61" s="49">
        <f>IF(AN61=15,L61,0)</f>
        <v>0</v>
      </c>
      <c r="AL61" s="49">
        <f>IF(AN61=21,L61,0)</f>
        <v>0</v>
      </c>
      <c r="AN61" s="64">
        <v>15</v>
      </c>
      <c r="AO61" s="64">
        <f>I61*0.105074626865672</f>
        <v>0</v>
      </c>
      <c r="AP61" s="64">
        <f>I61*(1-0.105074626865672)</f>
        <v>0</v>
      </c>
      <c r="AQ61" s="65" t="s">
        <v>74</v>
      </c>
      <c r="AV61" s="64">
        <f>AW61+AX61</f>
        <v>0</v>
      </c>
      <c r="AW61" s="64">
        <f>H61*AO61</f>
        <v>0</v>
      </c>
      <c r="AX61" s="64">
        <f>H61*AP61</f>
        <v>0</v>
      </c>
      <c r="AY61" s="67" t="s">
        <v>748</v>
      </c>
      <c r="AZ61" s="67" t="s">
        <v>769</v>
      </c>
      <c r="BA61" s="63" t="s">
        <v>775</v>
      </c>
      <c r="BC61" s="64">
        <f>AW61+AX61</f>
        <v>0</v>
      </c>
      <c r="BD61" s="64">
        <f>I61/(100-BE61)*100</f>
        <v>0</v>
      </c>
      <c r="BE61" s="64">
        <v>0</v>
      </c>
      <c r="BF61" s="64">
        <f>61</f>
        <v>61</v>
      </c>
      <c r="BH61" s="49">
        <f>H61*AO61</f>
        <v>0</v>
      </c>
      <c r="BI61" s="49">
        <f>H61*AP61</f>
        <v>0</v>
      </c>
      <c r="BJ61" s="49">
        <f>H61*I61</f>
        <v>0</v>
      </c>
      <c r="BK61" s="49" t="s">
        <v>780</v>
      </c>
      <c r="BL61" s="64">
        <v>62</v>
      </c>
    </row>
    <row r="62" spans="1:14" ht="12.75">
      <c r="A62" s="90"/>
      <c r="B62" s="91"/>
      <c r="C62" s="84" t="s">
        <v>428</v>
      </c>
      <c r="F62" s="92"/>
      <c r="G62" s="91"/>
      <c r="H62" s="93">
        <v>0</v>
      </c>
      <c r="I62" s="91"/>
      <c r="J62" s="91"/>
      <c r="K62" s="91"/>
      <c r="L62" s="91"/>
      <c r="M62" s="80"/>
      <c r="N62" s="72"/>
    </row>
    <row r="63" spans="1:14" ht="12.75">
      <c r="A63" s="90"/>
      <c r="B63" s="91"/>
      <c r="C63" s="84" t="s">
        <v>429</v>
      </c>
      <c r="F63" s="92"/>
      <c r="G63" s="91"/>
      <c r="H63" s="93">
        <v>92.84</v>
      </c>
      <c r="I63" s="91"/>
      <c r="J63" s="91"/>
      <c r="K63" s="91"/>
      <c r="L63" s="91"/>
      <c r="M63" s="80"/>
      <c r="N63" s="72"/>
    </row>
    <row r="64" spans="1:14" ht="12.75">
      <c r="A64" s="90"/>
      <c r="B64" s="91"/>
      <c r="C64" s="84" t="s">
        <v>430</v>
      </c>
      <c r="F64" s="92"/>
      <c r="G64" s="91"/>
      <c r="H64" s="93">
        <v>0</v>
      </c>
      <c r="I64" s="91"/>
      <c r="J64" s="91"/>
      <c r="K64" s="91"/>
      <c r="L64" s="91"/>
      <c r="M64" s="80"/>
      <c r="N64" s="72"/>
    </row>
    <row r="65" spans="1:14" ht="12.75">
      <c r="A65" s="90"/>
      <c r="B65" s="91"/>
      <c r="C65" s="84" t="s">
        <v>431</v>
      </c>
      <c r="F65" s="92"/>
      <c r="G65" s="91"/>
      <c r="H65" s="93">
        <v>12.8</v>
      </c>
      <c r="I65" s="91"/>
      <c r="J65" s="91"/>
      <c r="K65" s="91"/>
      <c r="L65" s="91"/>
      <c r="M65" s="80"/>
      <c r="N65" s="72"/>
    </row>
    <row r="66" spans="1:64" ht="12.75">
      <c r="A66" s="120" t="s">
        <v>91</v>
      </c>
      <c r="B66" s="120" t="s">
        <v>243</v>
      </c>
      <c r="C66" s="243" t="s">
        <v>432</v>
      </c>
      <c r="D66" s="238"/>
      <c r="E66" s="238"/>
      <c r="F66" s="242"/>
      <c r="G66" s="120" t="s">
        <v>716</v>
      </c>
      <c r="H66" s="129">
        <v>13.44</v>
      </c>
      <c r="I66" s="129">
        <v>0</v>
      </c>
      <c r="J66" s="129">
        <f>H66*AO66</f>
        <v>0</v>
      </c>
      <c r="K66" s="129">
        <f>H66*AP66</f>
        <v>0</v>
      </c>
      <c r="L66" s="129">
        <f>H66*I66</f>
        <v>0</v>
      </c>
      <c r="M66" s="115" t="s">
        <v>732</v>
      </c>
      <c r="N66" s="72"/>
      <c r="Z66" s="64">
        <f>IF(AQ66="5",BJ66,0)</f>
        <v>0</v>
      </c>
      <c r="AB66" s="64">
        <f>IF(AQ66="1",BH66,0)</f>
        <v>0</v>
      </c>
      <c r="AC66" s="64">
        <f>IF(AQ66="1",BI66,0)</f>
        <v>0</v>
      </c>
      <c r="AD66" s="64">
        <f>IF(AQ66="7",BH66,0)</f>
        <v>0</v>
      </c>
      <c r="AE66" s="64">
        <f>IF(AQ66="7",BI66,0)</f>
        <v>0</v>
      </c>
      <c r="AF66" s="64">
        <f>IF(AQ66="2",BH66,0)</f>
        <v>0</v>
      </c>
      <c r="AG66" s="64">
        <f>IF(AQ66="2",BI66,0)</f>
        <v>0</v>
      </c>
      <c r="AH66" s="64">
        <f>IF(AQ66="0",BJ66,0)</f>
        <v>0</v>
      </c>
      <c r="AI66" s="63"/>
      <c r="AJ66" s="51">
        <f>IF(AN66=0,L66,0)</f>
        <v>0</v>
      </c>
      <c r="AK66" s="51">
        <f>IF(AN66=15,L66,0)</f>
        <v>0</v>
      </c>
      <c r="AL66" s="51">
        <f>IF(AN66=21,L66,0)</f>
        <v>0</v>
      </c>
      <c r="AN66" s="64">
        <v>15</v>
      </c>
      <c r="AO66" s="64">
        <f>I66*1</f>
        <v>0</v>
      </c>
      <c r="AP66" s="64">
        <f>I66*(1-1)</f>
        <v>0</v>
      </c>
      <c r="AQ66" s="66" t="s">
        <v>74</v>
      </c>
      <c r="AV66" s="64">
        <f>AW66+AX66</f>
        <v>0</v>
      </c>
      <c r="AW66" s="64">
        <f>H66*AO66</f>
        <v>0</v>
      </c>
      <c r="AX66" s="64">
        <f>H66*AP66</f>
        <v>0</v>
      </c>
      <c r="AY66" s="67" t="s">
        <v>748</v>
      </c>
      <c r="AZ66" s="67" t="s">
        <v>769</v>
      </c>
      <c r="BA66" s="63" t="s">
        <v>775</v>
      </c>
      <c r="BC66" s="64">
        <f>AW66+AX66</f>
        <v>0</v>
      </c>
      <c r="BD66" s="64">
        <f>I66/(100-BE66)*100</f>
        <v>0</v>
      </c>
      <c r="BE66" s="64">
        <v>0</v>
      </c>
      <c r="BF66" s="64">
        <f>66</f>
        <v>66</v>
      </c>
      <c r="BH66" s="51">
        <f>H66*AO66</f>
        <v>0</v>
      </c>
      <c r="BI66" s="51">
        <f>H66*AP66</f>
        <v>0</v>
      </c>
      <c r="BJ66" s="51">
        <f>H66*I66</f>
        <v>0</v>
      </c>
      <c r="BK66" s="51" t="s">
        <v>781</v>
      </c>
      <c r="BL66" s="64">
        <v>62</v>
      </c>
    </row>
    <row r="67" spans="1:14" ht="12.75">
      <c r="A67" s="122"/>
      <c r="B67" s="126"/>
      <c r="C67" s="125" t="s">
        <v>433</v>
      </c>
      <c r="F67" s="127"/>
      <c r="G67" s="126"/>
      <c r="H67" s="130">
        <v>13.44</v>
      </c>
      <c r="I67" s="126"/>
      <c r="J67" s="126"/>
      <c r="K67" s="126"/>
      <c r="L67" s="126"/>
      <c r="M67" s="119"/>
      <c r="N67" s="72"/>
    </row>
    <row r="68" spans="1:64" ht="12.75">
      <c r="A68" s="109" t="s">
        <v>92</v>
      </c>
      <c r="B68" s="110" t="s">
        <v>244</v>
      </c>
      <c r="C68" s="248" t="s">
        <v>434</v>
      </c>
      <c r="D68" s="238"/>
      <c r="E68" s="238"/>
      <c r="F68" s="238"/>
      <c r="G68" s="110" t="s">
        <v>716</v>
      </c>
      <c r="H68" s="112">
        <v>97.482</v>
      </c>
      <c r="I68" s="112">
        <v>0</v>
      </c>
      <c r="J68" s="112">
        <f>H68*AO68</f>
        <v>0</v>
      </c>
      <c r="K68" s="112">
        <f>H68*AP68</f>
        <v>0</v>
      </c>
      <c r="L68" s="112">
        <f>H68*I68</f>
        <v>0</v>
      </c>
      <c r="M68" s="114" t="s">
        <v>732</v>
      </c>
      <c r="N68" s="18"/>
      <c r="Z68" s="64">
        <f>IF(AQ68="5",BJ68,0)</f>
        <v>0</v>
      </c>
      <c r="AB68" s="64">
        <f>IF(AQ68="1",BH68,0)</f>
        <v>0</v>
      </c>
      <c r="AC68" s="64">
        <f>IF(AQ68="1",BI68,0)</f>
        <v>0</v>
      </c>
      <c r="AD68" s="64">
        <f>IF(AQ68="7",BH68,0)</f>
        <v>0</v>
      </c>
      <c r="AE68" s="64">
        <f>IF(AQ68="7",BI68,0)</f>
        <v>0</v>
      </c>
      <c r="AF68" s="64">
        <f>IF(AQ68="2",BH68,0)</f>
        <v>0</v>
      </c>
      <c r="AG68" s="64">
        <f>IF(AQ68="2",BI68,0)</f>
        <v>0</v>
      </c>
      <c r="AH68" s="64">
        <f>IF(AQ68="0",BJ68,0)</f>
        <v>0</v>
      </c>
      <c r="AI68" s="63"/>
      <c r="AJ68" s="51">
        <f>IF(AN68=0,L68,0)</f>
        <v>0</v>
      </c>
      <c r="AK68" s="51">
        <f>IF(AN68=15,L68,0)</f>
        <v>0</v>
      </c>
      <c r="AL68" s="51">
        <f>IF(AN68=21,L68,0)</f>
        <v>0</v>
      </c>
      <c r="AN68" s="64">
        <v>15</v>
      </c>
      <c r="AO68" s="64">
        <f>I68*1</f>
        <v>0</v>
      </c>
      <c r="AP68" s="64">
        <f>I68*(1-1)</f>
        <v>0</v>
      </c>
      <c r="AQ68" s="66" t="s">
        <v>74</v>
      </c>
      <c r="AV68" s="64">
        <f>AW68+AX68</f>
        <v>0</v>
      </c>
      <c r="AW68" s="64">
        <f>H68*AO68</f>
        <v>0</v>
      </c>
      <c r="AX68" s="64">
        <f>H68*AP68</f>
        <v>0</v>
      </c>
      <c r="AY68" s="67" t="s">
        <v>748</v>
      </c>
      <c r="AZ68" s="67" t="s">
        <v>769</v>
      </c>
      <c r="BA68" s="63" t="s">
        <v>775</v>
      </c>
      <c r="BC68" s="64">
        <f>AW68+AX68</f>
        <v>0</v>
      </c>
      <c r="BD68" s="64">
        <f>I68/(100-BE68)*100</f>
        <v>0</v>
      </c>
      <c r="BE68" s="64">
        <v>0</v>
      </c>
      <c r="BF68" s="64">
        <f>68</f>
        <v>68</v>
      </c>
      <c r="BH68" s="51">
        <f>H68*AO68</f>
        <v>0</v>
      </c>
      <c r="BI68" s="51">
        <f>H68*AP68</f>
        <v>0</v>
      </c>
      <c r="BJ68" s="51">
        <f>H68*I68</f>
        <v>0</v>
      </c>
      <c r="BK68" s="51" t="s">
        <v>781</v>
      </c>
      <c r="BL68" s="64">
        <v>62</v>
      </c>
    </row>
    <row r="69" spans="1:14" ht="12.75">
      <c r="A69" s="117"/>
      <c r="B69" s="121"/>
      <c r="C69" s="123" t="s">
        <v>435</v>
      </c>
      <c r="F69" s="123"/>
      <c r="G69" s="121"/>
      <c r="H69" s="128">
        <v>97.482</v>
      </c>
      <c r="I69" s="121"/>
      <c r="J69" s="121"/>
      <c r="K69" s="121"/>
      <c r="L69" s="121"/>
      <c r="M69" s="131"/>
      <c r="N69" s="18"/>
    </row>
    <row r="70" spans="1:64" ht="12.75">
      <c r="A70" s="82" t="s">
        <v>93</v>
      </c>
      <c r="B70" s="82" t="s">
        <v>245</v>
      </c>
      <c r="C70" s="229" t="s">
        <v>436</v>
      </c>
      <c r="D70" s="230"/>
      <c r="E70" s="230"/>
      <c r="F70" s="231"/>
      <c r="G70" s="82" t="s">
        <v>714</v>
      </c>
      <c r="H70" s="88">
        <v>97.45</v>
      </c>
      <c r="I70" s="88">
        <v>0</v>
      </c>
      <c r="J70" s="88">
        <f>H70*AO70</f>
        <v>0</v>
      </c>
      <c r="K70" s="88">
        <f>H70*AP70</f>
        <v>0</v>
      </c>
      <c r="L70" s="88">
        <f>H70*I70</f>
        <v>0</v>
      </c>
      <c r="M70" s="78" t="s">
        <v>732</v>
      </c>
      <c r="N70" s="72"/>
      <c r="Z70" s="64">
        <f>IF(AQ70="5",BJ70,0)</f>
        <v>0</v>
      </c>
      <c r="AB70" s="64">
        <f>IF(AQ70="1",BH70,0)</f>
        <v>0</v>
      </c>
      <c r="AC70" s="64">
        <f>IF(AQ70="1",BI70,0)</f>
        <v>0</v>
      </c>
      <c r="AD70" s="64">
        <f>IF(AQ70="7",BH70,0)</f>
        <v>0</v>
      </c>
      <c r="AE70" s="64">
        <f>IF(AQ70="7",BI70,0)</f>
        <v>0</v>
      </c>
      <c r="AF70" s="64">
        <f>IF(AQ70="2",BH70,0)</f>
        <v>0</v>
      </c>
      <c r="AG70" s="64">
        <f>IF(AQ70="2",BI70,0)</f>
        <v>0</v>
      </c>
      <c r="AH70" s="64">
        <f>IF(AQ70="0",BJ70,0)</f>
        <v>0</v>
      </c>
      <c r="AI70" s="63"/>
      <c r="AJ70" s="49">
        <f>IF(AN70=0,L70,0)</f>
        <v>0</v>
      </c>
      <c r="AK70" s="49">
        <f>IF(AN70=15,L70,0)</f>
        <v>0</v>
      </c>
      <c r="AL70" s="49">
        <f>IF(AN70=21,L70,0)</f>
        <v>0</v>
      </c>
      <c r="AN70" s="64">
        <v>15</v>
      </c>
      <c r="AO70" s="64">
        <f>I70*0</f>
        <v>0</v>
      </c>
      <c r="AP70" s="64">
        <f>I70*(1-0)</f>
        <v>0</v>
      </c>
      <c r="AQ70" s="65" t="s">
        <v>74</v>
      </c>
      <c r="AV70" s="64">
        <f>AW70+AX70</f>
        <v>0</v>
      </c>
      <c r="AW70" s="64">
        <f>H70*AO70</f>
        <v>0</v>
      </c>
      <c r="AX70" s="64">
        <f>H70*AP70</f>
        <v>0</v>
      </c>
      <c r="AY70" s="67" t="s">
        <v>748</v>
      </c>
      <c r="AZ70" s="67" t="s">
        <v>769</v>
      </c>
      <c r="BA70" s="63" t="s">
        <v>775</v>
      </c>
      <c r="BC70" s="64">
        <f>AW70+AX70</f>
        <v>0</v>
      </c>
      <c r="BD70" s="64">
        <f>I70/(100-BE70)*100</f>
        <v>0</v>
      </c>
      <c r="BE70" s="64">
        <v>0</v>
      </c>
      <c r="BF70" s="64">
        <f>70</f>
        <v>70</v>
      </c>
      <c r="BH70" s="49">
        <f>H70*AO70</f>
        <v>0</v>
      </c>
      <c r="BI70" s="49">
        <f>H70*AP70</f>
        <v>0</v>
      </c>
      <c r="BJ70" s="49">
        <f>H70*I70</f>
        <v>0</v>
      </c>
      <c r="BK70" s="49" t="s">
        <v>780</v>
      </c>
      <c r="BL70" s="64">
        <v>62</v>
      </c>
    </row>
    <row r="71" spans="1:14" ht="12.75">
      <c r="A71" s="90"/>
      <c r="B71" s="91"/>
      <c r="C71" s="84" t="s">
        <v>437</v>
      </c>
      <c r="F71" s="92"/>
      <c r="G71" s="91"/>
      <c r="H71" s="93">
        <v>0</v>
      </c>
      <c r="I71" s="91"/>
      <c r="J71" s="91"/>
      <c r="K71" s="91"/>
      <c r="L71" s="91"/>
      <c r="M71" s="80"/>
      <c r="N71" s="72"/>
    </row>
    <row r="72" spans="1:14" ht="12.75">
      <c r="A72" s="90"/>
      <c r="B72" s="91"/>
      <c r="C72" s="84" t="s">
        <v>438</v>
      </c>
      <c r="F72" s="92"/>
      <c r="G72" s="91"/>
      <c r="H72" s="93">
        <v>0</v>
      </c>
      <c r="I72" s="91"/>
      <c r="J72" s="91"/>
      <c r="K72" s="91"/>
      <c r="L72" s="91"/>
      <c r="M72" s="80"/>
      <c r="N72" s="72"/>
    </row>
    <row r="73" spans="1:14" ht="12.75">
      <c r="A73" s="90"/>
      <c r="B73" s="91"/>
      <c r="C73" s="84" t="s">
        <v>439</v>
      </c>
      <c r="F73" s="92"/>
      <c r="G73" s="91"/>
      <c r="H73" s="93">
        <v>97.45</v>
      </c>
      <c r="I73" s="91"/>
      <c r="J73" s="91"/>
      <c r="K73" s="91"/>
      <c r="L73" s="91"/>
      <c r="M73" s="80"/>
      <c r="N73" s="72"/>
    </row>
    <row r="74" spans="1:64" ht="12.75">
      <c r="A74" s="82" t="s">
        <v>94</v>
      </c>
      <c r="B74" s="82" t="s">
        <v>246</v>
      </c>
      <c r="C74" s="229" t="s">
        <v>440</v>
      </c>
      <c r="D74" s="230"/>
      <c r="E74" s="230"/>
      <c r="F74" s="231"/>
      <c r="G74" s="82" t="s">
        <v>714</v>
      </c>
      <c r="H74" s="88">
        <v>836.67</v>
      </c>
      <c r="I74" s="88">
        <v>0</v>
      </c>
      <c r="J74" s="88">
        <f>H74*AO74</f>
        <v>0</v>
      </c>
      <c r="K74" s="88">
        <f>H74*AP74</f>
        <v>0</v>
      </c>
      <c r="L74" s="88">
        <f>H74*I74</f>
        <v>0</v>
      </c>
      <c r="M74" s="78" t="s">
        <v>732</v>
      </c>
      <c r="N74" s="72"/>
      <c r="Z74" s="64">
        <f>IF(AQ74="5",BJ74,0)</f>
        <v>0</v>
      </c>
      <c r="AB74" s="64">
        <f>IF(AQ74="1",BH74,0)</f>
        <v>0</v>
      </c>
      <c r="AC74" s="64">
        <f>IF(AQ74="1",BI74,0)</f>
        <v>0</v>
      </c>
      <c r="AD74" s="64">
        <f>IF(AQ74="7",BH74,0)</f>
        <v>0</v>
      </c>
      <c r="AE74" s="64">
        <f>IF(AQ74="7",BI74,0)</f>
        <v>0</v>
      </c>
      <c r="AF74" s="64">
        <f>IF(AQ74="2",BH74,0)</f>
        <v>0</v>
      </c>
      <c r="AG74" s="64">
        <f>IF(AQ74="2",BI74,0)</f>
        <v>0</v>
      </c>
      <c r="AH74" s="64">
        <f>IF(AQ74="0",BJ74,0)</f>
        <v>0</v>
      </c>
      <c r="AI74" s="63"/>
      <c r="AJ74" s="49">
        <f>IF(AN74=0,L74,0)</f>
        <v>0</v>
      </c>
      <c r="AK74" s="49">
        <f>IF(AN74=15,L74,0)</f>
        <v>0</v>
      </c>
      <c r="AL74" s="49">
        <f>IF(AN74=21,L74,0)</f>
        <v>0</v>
      </c>
      <c r="AN74" s="64">
        <v>15</v>
      </c>
      <c r="AO74" s="64">
        <f>I74*0</f>
        <v>0</v>
      </c>
      <c r="AP74" s="64">
        <f>I74*(1-0)</f>
        <v>0</v>
      </c>
      <c r="AQ74" s="65" t="s">
        <v>74</v>
      </c>
      <c r="AV74" s="64">
        <f>AW74+AX74</f>
        <v>0</v>
      </c>
      <c r="AW74" s="64">
        <f>H74*AO74</f>
        <v>0</v>
      </c>
      <c r="AX74" s="64">
        <f>H74*AP74</f>
        <v>0</v>
      </c>
      <c r="AY74" s="67" t="s">
        <v>748</v>
      </c>
      <c r="AZ74" s="67" t="s">
        <v>769</v>
      </c>
      <c r="BA74" s="63" t="s">
        <v>775</v>
      </c>
      <c r="BC74" s="64">
        <f>AW74+AX74</f>
        <v>0</v>
      </c>
      <c r="BD74" s="64">
        <f>I74/(100-BE74)*100</f>
        <v>0</v>
      </c>
      <c r="BE74" s="64">
        <v>0</v>
      </c>
      <c r="BF74" s="64">
        <f>74</f>
        <v>74</v>
      </c>
      <c r="BH74" s="49">
        <f>H74*AO74</f>
        <v>0</v>
      </c>
      <c r="BI74" s="49">
        <f>H74*AP74</f>
        <v>0</v>
      </c>
      <c r="BJ74" s="49">
        <f>H74*I74</f>
        <v>0</v>
      </c>
      <c r="BK74" s="49" t="s">
        <v>780</v>
      </c>
      <c r="BL74" s="64">
        <v>62</v>
      </c>
    </row>
    <row r="75" spans="1:14" ht="12.75">
      <c r="A75" s="90"/>
      <c r="B75" s="91"/>
      <c r="C75" s="84" t="s">
        <v>441</v>
      </c>
      <c r="F75" s="92"/>
      <c r="G75" s="91"/>
      <c r="H75" s="93">
        <v>0</v>
      </c>
      <c r="I75" s="91"/>
      <c r="J75" s="91"/>
      <c r="K75" s="91"/>
      <c r="L75" s="91"/>
      <c r="M75" s="80"/>
      <c r="N75" s="72"/>
    </row>
    <row r="76" spans="1:14" ht="12.75">
      <c r="A76" s="90"/>
      <c r="B76" s="91"/>
      <c r="C76" s="84" t="s">
        <v>442</v>
      </c>
      <c r="F76" s="92"/>
      <c r="G76" s="91"/>
      <c r="H76" s="93">
        <v>699.1</v>
      </c>
      <c r="I76" s="91"/>
      <c r="J76" s="91"/>
      <c r="K76" s="91"/>
      <c r="L76" s="91"/>
      <c r="M76" s="80"/>
      <c r="N76" s="72"/>
    </row>
    <row r="77" spans="1:14" ht="12.75">
      <c r="A77" s="90"/>
      <c r="B77" s="91"/>
      <c r="C77" s="84" t="s">
        <v>443</v>
      </c>
      <c r="F77" s="92"/>
      <c r="G77" s="91"/>
      <c r="H77" s="93">
        <v>0</v>
      </c>
      <c r="I77" s="91"/>
      <c r="J77" s="91"/>
      <c r="K77" s="91"/>
      <c r="L77" s="91"/>
      <c r="M77" s="80"/>
      <c r="N77" s="72"/>
    </row>
    <row r="78" spans="1:14" ht="12.75">
      <c r="A78" s="90"/>
      <c r="B78" s="91"/>
      <c r="C78" s="84" t="s">
        <v>444</v>
      </c>
      <c r="F78" s="92"/>
      <c r="G78" s="91"/>
      <c r="H78" s="93">
        <v>113</v>
      </c>
      <c r="I78" s="91"/>
      <c r="J78" s="91"/>
      <c r="K78" s="91"/>
      <c r="L78" s="91"/>
      <c r="M78" s="80"/>
      <c r="N78" s="72"/>
    </row>
    <row r="79" spans="1:14" ht="12.75">
      <c r="A79" s="90"/>
      <c r="B79" s="91"/>
      <c r="C79" s="84" t="s">
        <v>445</v>
      </c>
      <c r="F79" s="92"/>
      <c r="G79" s="91"/>
      <c r="H79" s="93">
        <v>0</v>
      </c>
      <c r="I79" s="91"/>
      <c r="J79" s="91"/>
      <c r="K79" s="91"/>
      <c r="L79" s="91"/>
      <c r="M79" s="80"/>
      <c r="N79" s="72"/>
    </row>
    <row r="80" spans="1:14" ht="12.75">
      <c r="A80" s="83"/>
      <c r="B80" s="86"/>
      <c r="C80" s="85" t="s">
        <v>446</v>
      </c>
      <c r="F80" s="87"/>
      <c r="G80" s="86"/>
      <c r="H80" s="89">
        <v>24.57</v>
      </c>
      <c r="I80" s="86"/>
      <c r="J80" s="86"/>
      <c r="K80" s="86"/>
      <c r="L80" s="86"/>
      <c r="M80" s="81"/>
      <c r="N80" s="72"/>
    </row>
    <row r="81" spans="1:64" ht="12.75">
      <c r="A81" s="109" t="s">
        <v>95</v>
      </c>
      <c r="B81" s="110" t="s">
        <v>247</v>
      </c>
      <c r="C81" s="248" t="s">
        <v>447</v>
      </c>
      <c r="D81" s="238"/>
      <c r="E81" s="238"/>
      <c r="F81" s="238"/>
      <c r="G81" s="110" t="s">
        <v>714</v>
      </c>
      <c r="H81" s="112">
        <v>140.3214</v>
      </c>
      <c r="I81" s="112">
        <v>0</v>
      </c>
      <c r="J81" s="112">
        <f>H81*AO81</f>
        <v>0</v>
      </c>
      <c r="K81" s="112">
        <f>H81*AP81</f>
        <v>0</v>
      </c>
      <c r="L81" s="112">
        <f>H81*I81</f>
        <v>0</v>
      </c>
      <c r="M81" s="114" t="s">
        <v>732</v>
      </c>
      <c r="N81" s="18"/>
      <c r="Z81" s="64">
        <f>IF(AQ81="5",BJ81,0)</f>
        <v>0</v>
      </c>
      <c r="AB81" s="64">
        <f>IF(AQ81="1",BH81,0)</f>
        <v>0</v>
      </c>
      <c r="AC81" s="64">
        <f>IF(AQ81="1",BI81,0)</f>
        <v>0</v>
      </c>
      <c r="AD81" s="64">
        <f>IF(AQ81="7",BH81,0)</f>
        <v>0</v>
      </c>
      <c r="AE81" s="64">
        <f>IF(AQ81="7",BI81,0)</f>
        <v>0</v>
      </c>
      <c r="AF81" s="64">
        <f>IF(AQ81="2",BH81,0)</f>
        <v>0</v>
      </c>
      <c r="AG81" s="64">
        <f>IF(AQ81="2",BI81,0)</f>
        <v>0</v>
      </c>
      <c r="AH81" s="64">
        <f>IF(AQ81="0",BJ81,0)</f>
        <v>0</v>
      </c>
      <c r="AI81" s="63"/>
      <c r="AJ81" s="51">
        <f>IF(AN81=0,L81,0)</f>
        <v>0</v>
      </c>
      <c r="AK81" s="51">
        <f>IF(AN81=15,L81,0)</f>
        <v>0</v>
      </c>
      <c r="AL81" s="51">
        <f>IF(AN81=21,L81,0)</f>
        <v>0</v>
      </c>
      <c r="AN81" s="64">
        <v>15</v>
      </c>
      <c r="AO81" s="64">
        <f>I81*1</f>
        <v>0</v>
      </c>
      <c r="AP81" s="64">
        <f>I81*(1-1)</f>
        <v>0</v>
      </c>
      <c r="AQ81" s="66" t="s">
        <v>74</v>
      </c>
      <c r="AV81" s="64">
        <f>AW81+AX81</f>
        <v>0</v>
      </c>
      <c r="AW81" s="64">
        <f>H81*AO81</f>
        <v>0</v>
      </c>
      <c r="AX81" s="64">
        <f>H81*AP81</f>
        <v>0</v>
      </c>
      <c r="AY81" s="67" t="s">
        <v>748</v>
      </c>
      <c r="AZ81" s="67" t="s">
        <v>769</v>
      </c>
      <c r="BA81" s="63" t="s">
        <v>775</v>
      </c>
      <c r="BC81" s="64">
        <f>AW81+AX81</f>
        <v>0</v>
      </c>
      <c r="BD81" s="64">
        <f>I81/(100-BE81)*100</f>
        <v>0</v>
      </c>
      <c r="BE81" s="64">
        <v>0</v>
      </c>
      <c r="BF81" s="64">
        <f>81</f>
        <v>81</v>
      </c>
      <c r="BH81" s="51">
        <f>H81*AO81</f>
        <v>0</v>
      </c>
      <c r="BI81" s="51">
        <f>H81*AP81</f>
        <v>0</v>
      </c>
      <c r="BJ81" s="51">
        <f>H81*I81</f>
        <v>0</v>
      </c>
      <c r="BK81" s="51" t="s">
        <v>781</v>
      </c>
      <c r="BL81" s="64">
        <v>62</v>
      </c>
    </row>
    <row r="82" spans="1:14" ht="12.75">
      <c r="A82" s="117"/>
      <c r="B82" s="121"/>
      <c r="C82" s="123" t="s">
        <v>448</v>
      </c>
      <c r="F82" s="123"/>
      <c r="G82" s="121"/>
      <c r="H82" s="128">
        <v>140.3214</v>
      </c>
      <c r="I82" s="121"/>
      <c r="J82" s="121"/>
      <c r="K82" s="121"/>
      <c r="L82" s="121"/>
      <c r="M82" s="131"/>
      <c r="N82" s="18"/>
    </row>
    <row r="83" spans="1:64" ht="12.75">
      <c r="A83" s="120" t="s">
        <v>96</v>
      </c>
      <c r="B83" s="120" t="s">
        <v>248</v>
      </c>
      <c r="C83" s="243" t="s">
        <v>449</v>
      </c>
      <c r="D83" s="238"/>
      <c r="E83" s="238"/>
      <c r="F83" s="242"/>
      <c r="G83" s="120" t="s">
        <v>714</v>
      </c>
      <c r="H83" s="129">
        <v>713.082</v>
      </c>
      <c r="I83" s="129">
        <v>0</v>
      </c>
      <c r="J83" s="129">
        <f>H83*AO83</f>
        <v>0</v>
      </c>
      <c r="K83" s="129">
        <f>H83*AP83</f>
        <v>0</v>
      </c>
      <c r="L83" s="129">
        <f>H83*I83</f>
        <v>0</v>
      </c>
      <c r="M83" s="115" t="s">
        <v>732</v>
      </c>
      <c r="N83" s="72"/>
      <c r="Z83" s="64">
        <f>IF(AQ83="5",BJ83,0)</f>
        <v>0</v>
      </c>
      <c r="AB83" s="64">
        <f>IF(AQ83="1",BH83,0)</f>
        <v>0</v>
      </c>
      <c r="AC83" s="64">
        <f>IF(AQ83="1",BI83,0)</f>
        <v>0</v>
      </c>
      <c r="AD83" s="64">
        <f>IF(AQ83="7",BH83,0)</f>
        <v>0</v>
      </c>
      <c r="AE83" s="64">
        <f>IF(AQ83="7",BI83,0)</f>
        <v>0</v>
      </c>
      <c r="AF83" s="64">
        <f>IF(AQ83="2",BH83,0)</f>
        <v>0</v>
      </c>
      <c r="AG83" s="64">
        <f>IF(AQ83="2",BI83,0)</f>
        <v>0</v>
      </c>
      <c r="AH83" s="64">
        <f>IF(AQ83="0",BJ83,0)</f>
        <v>0</v>
      </c>
      <c r="AI83" s="63"/>
      <c r="AJ83" s="51">
        <f>IF(AN83=0,L83,0)</f>
        <v>0</v>
      </c>
      <c r="AK83" s="51">
        <f>IF(AN83=15,L83,0)</f>
        <v>0</v>
      </c>
      <c r="AL83" s="51">
        <f>IF(AN83=21,L83,0)</f>
        <v>0</v>
      </c>
      <c r="AN83" s="64">
        <v>15</v>
      </c>
      <c r="AO83" s="64">
        <f>I83*1</f>
        <v>0</v>
      </c>
      <c r="AP83" s="64">
        <f>I83*(1-1)</f>
        <v>0</v>
      </c>
      <c r="AQ83" s="66" t="s">
        <v>74</v>
      </c>
      <c r="AV83" s="64">
        <f>AW83+AX83</f>
        <v>0</v>
      </c>
      <c r="AW83" s="64">
        <f>H83*AO83</f>
        <v>0</v>
      </c>
      <c r="AX83" s="64">
        <f>H83*AP83</f>
        <v>0</v>
      </c>
      <c r="AY83" s="67" t="s">
        <v>748</v>
      </c>
      <c r="AZ83" s="67" t="s">
        <v>769</v>
      </c>
      <c r="BA83" s="63" t="s">
        <v>775</v>
      </c>
      <c r="BC83" s="64">
        <f>AW83+AX83</f>
        <v>0</v>
      </c>
      <c r="BD83" s="64">
        <f>I83/(100-BE83)*100</f>
        <v>0</v>
      </c>
      <c r="BE83" s="64">
        <v>0</v>
      </c>
      <c r="BF83" s="64">
        <f>83</f>
        <v>83</v>
      </c>
      <c r="BH83" s="51">
        <f>H83*AO83</f>
        <v>0</v>
      </c>
      <c r="BI83" s="51">
        <f>H83*AP83</f>
        <v>0</v>
      </c>
      <c r="BJ83" s="51">
        <f>H83*I83</f>
        <v>0</v>
      </c>
      <c r="BK83" s="51" t="s">
        <v>781</v>
      </c>
      <c r="BL83" s="64">
        <v>62</v>
      </c>
    </row>
    <row r="84" spans="1:14" ht="12.75">
      <c r="A84" s="132"/>
      <c r="B84" s="133"/>
      <c r="C84" s="124" t="s">
        <v>450</v>
      </c>
      <c r="F84" s="134"/>
      <c r="G84" s="133"/>
      <c r="H84" s="135">
        <v>713.082</v>
      </c>
      <c r="I84" s="133"/>
      <c r="J84" s="133"/>
      <c r="K84" s="133"/>
      <c r="L84" s="133"/>
      <c r="M84" s="118"/>
      <c r="N84" s="72"/>
    </row>
    <row r="85" spans="1:64" ht="12.75">
      <c r="A85" s="120" t="s">
        <v>97</v>
      </c>
      <c r="B85" s="120" t="s">
        <v>249</v>
      </c>
      <c r="C85" s="243" t="s">
        <v>451</v>
      </c>
      <c r="D85" s="238"/>
      <c r="E85" s="238"/>
      <c r="F85" s="242"/>
      <c r="G85" s="120" t="s">
        <v>714</v>
      </c>
      <c r="H85" s="129">
        <v>99.399</v>
      </c>
      <c r="I85" s="129">
        <v>0</v>
      </c>
      <c r="J85" s="129">
        <f>H85*AO85</f>
        <v>0</v>
      </c>
      <c r="K85" s="129">
        <f>H85*AP85</f>
        <v>0</v>
      </c>
      <c r="L85" s="129">
        <f>H85*I85</f>
        <v>0</v>
      </c>
      <c r="M85" s="115" t="s">
        <v>732</v>
      </c>
      <c r="N85" s="72"/>
      <c r="Z85" s="64">
        <f>IF(AQ85="5",BJ85,0)</f>
        <v>0</v>
      </c>
      <c r="AB85" s="64">
        <f>IF(AQ85="1",BH85,0)</f>
        <v>0</v>
      </c>
      <c r="AC85" s="64">
        <f>IF(AQ85="1",BI85,0)</f>
        <v>0</v>
      </c>
      <c r="AD85" s="64">
        <f>IF(AQ85="7",BH85,0)</f>
        <v>0</v>
      </c>
      <c r="AE85" s="64">
        <f>IF(AQ85="7",BI85,0)</f>
        <v>0</v>
      </c>
      <c r="AF85" s="64">
        <f>IF(AQ85="2",BH85,0)</f>
        <v>0</v>
      </c>
      <c r="AG85" s="64">
        <f>IF(AQ85="2",BI85,0)</f>
        <v>0</v>
      </c>
      <c r="AH85" s="64">
        <f>IF(AQ85="0",BJ85,0)</f>
        <v>0</v>
      </c>
      <c r="AI85" s="63"/>
      <c r="AJ85" s="51">
        <f>IF(AN85=0,L85,0)</f>
        <v>0</v>
      </c>
      <c r="AK85" s="51">
        <f>IF(AN85=15,L85,0)</f>
        <v>0</v>
      </c>
      <c r="AL85" s="51">
        <f>IF(AN85=21,L85,0)</f>
        <v>0</v>
      </c>
      <c r="AN85" s="64">
        <v>15</v>
      </c>
      <c r="AO85" s="64">
        <f>I85*1</f>
        <v>0</v>
      </c>
      <c r="AP85" s="64">
        <f>I85*(1-1)</f>
        <v>0</v>
      </c>
      <c r="AQ85" s="66" t="s">
        <v>74</v>
      </c>
      <c r="AV85" s="64">
        <f>AW85+AX85</f>
        <v>0</v>
      </c>
      <c r="AW85" s="64">
        <f>H85*AO85</f>
        <v>0</v>
      </c>
      <c r="AX85" s="64">
        <f>H85*AP85</f>
        <v>0</v>
      </c>
      <c r="AY85" s="67" t="s">
        <v>748</v>
      </c>
      <c r="AZ85" s="67" t="s">
        <v>769</v>
      </c>
      <c r="BA85" s="63" t="s">
        <v>775</v>
      </c>
      <c r="BC85" s="64">
        <f>AW85+AX85</f>
        <v>0</v>
      </c>
      <c r="BD85" s="64">
        <f>I85/(100-BE85)*100</f>
        <v>0</v>
      </c>
      <c r="BE85" s="64">
        <v>0</v>
      </c>
      <c r="BF85" s="64">
        <f>85</f>
        <v>85</v>
      </c>
      <c r="BH85" s="51">
        <f>H85*AO85</f>
        <v>0</v>
      </c>
      <c r="BI85" s="51">
        <f>H85*AP85</f>
        <v>0</v>
      </c>
      <c r="BJ85" s="51">
        <f>H85*I85</f>
        <v>0</v>
      </c>
      <c r="BK85" s="51" t="s">
        <v>781</v>
      </c>
      <c r="BL85" s="64">
        <v>62</v>
      </c>
    </row>
    <row r="86" spans="1:14" ht="12.75">
      <c r="A86" s="122"/>
      <c r="B86" s="126"/>
      <c r="C86" s="125" t="s">
        <v>452</v>
      </c>
      <c r="F86" s="127"/>
      <c r="G86" s="126"/>
      <c r="H86" s="130">
        <v>99.399</v>
      </c>
      <c r="I86" s="126"/>
      <c r="J86" s="126"/>
      <c r="K86" s="126"/>
      <c r="L86" s="126"/>
      <c r="M86" s="119"/>
      <c r="N86" s="72"/>
    </row>
    <row r="87" spans="1:64" ht="12.75">
      <c r="A87" s="35" t="s">
        <v>98</v>
      </c>
      <c r="B87" s="42" t="s">
        <v>250</v>
      </c>
      <c r="C87" s="239" t="s">
        <v>453</v>
      </c>
      <c r="D87" s="230"/>
      <c r="E87" s="230"/>
      <c r="F87" s="230"/>
      <c r="G87" s="42" t="s">
        <v>714</v>
      </c>
      <c r="H87" s="49">
        <v>59.976</v>
      </c>
      <c r="I87" s="49">
        <v>0</v>
      </c>
      <c r="J87" s="49">
        <f>H87*AO87</f>
        <v>0</v>
      </c>
      <c r="K87" s="49">
        <f>H87*AP87</f>
        <v>0</v>
      </c>
      <c r="L87" s="49">
        <f>H87*I87</f>
        <v>0</v>
      </c>
      <c r="M87" s="61" t="s">
        <v>732</v>
      </c>
      <c r="N87" s="18"/>
      <c r="Z87" s="64">
        <f>IF(AQ87="5",BJ87,0)</f>
        <v>0</v>
      </c>
      <c r="AB87" s="64">
        <f>IF(AQ87="1",BH87,0)</f>
        <v>0</v>
      </c>
      <c r="AC87" s="64">
        <f>IF(AQ87="1",BI87,0)</f>
        <v>0</v>
      </c>
      <c r="AD87" s="64">
        <f>IF(AQ87="7",BH87,0)</f>
        <v>0</v>
      </c>
      <c r="AE87" s="64">
        <f>IF(AQ87="7",BI87,0)</f>
        <v>0</v>
      </c>
      <c r="AF87" s="64">
        <f>IF(AQ87="2",BH87,0)</f>
        <v>0</v>
      </c>
      <c r="AG87" s="64">
        <f>IF(AQ87="2",BI87,0)</f>
        <v>0</v>
      </c>
      <c r="AH87" s="64">
        <f>IF(AQ87="0",BJ87,0)</f>
        <v>0</v>
      </c>
      <c r="AI87" s="63"/>
      <c r="AJ87" s="49">
        <f>IF(AN87=0,L87,0)</f>
        <v>0</v>
      </c>
      <c r="AK87" s="49">
        <f>IF(AN87=15,L87,0)</f>
        <v>0</v>
      </c>
      <c r="AL87" s="49">
        <f>IF(AN87=21,L87,0)</f>
        <v>0</v>
      </c>
      <c r="AN87" s="64">
        <v>15</v>
      </c>
      <c r="AO87" s="64">
        <f>I87*0</f>
        <v>0</v>
      </c>
      <c r="AP87" s="64">
        <f>I87*(1-0)</f>
        <v>0</v>
      </c>
      <c r="AQ87" s="65" t="s">
        <v>74</v>
      </c>
      <c r="AV87" s="64">
        <f>AW87+AX87</f>
        <v>0</v>
      </c>
      <c r="AW87" s="64">
        <f>H87*AO87</f>
        <v>0</v>
      </c>
      <c r="AX87" s="64">
        <f>H87*AP87</f>
        <v>0</v>
      </c>
      <c r="AY87" s="67" t="s">
        <v>748</v>
      </c>
      <c r="AZ87" s="67" t="s">
        <v>769</v>
      </c>
      <c r="BA87" s="63" t="s">
        <v>775</v>
      </c>
      <c r="BC87" s="64">
        <f>AW87+AX87</f>
        <v>0</v>
      </c>
      <c r="BD87" s="64">
        <f>I87/(100-BE87)*100</f>
        <v>0</v>
      </c>
      <c r="BE87" s="64">
        <v>0</v>
      </c>
      <c r="BF87" s="64">
        <f>87</f>
        <v>87</v>
      </c>
      <c r="BH87" s="49">
        <f>H87*AO87</f>
        <v>0</v>
      </c>
      <c r="BI87" s="49">
        <f>H87*AP87</f>
        <v>0</v>
      </c>
      <c r="BJ87" s="49">
        <f>H87*I87</f>
        <v>0</v>
      </c>
      <c r="BK87" s="49" t="s">
        <v>780</v>
      </c>
      <c r="BL87" s="64">
        <v>62</v>
      </c>
    </row>
    <row r="88" spans="1:14" ht="12.75">
      <c r="A88" s="18"/>
      <c r="C88" s="44" t="s">
        <v>454</v>
      </c>
      <c r="F88" s="45"/>
      <c r="H88" s="50">
        <v>0</v>
      </c>
      <c r="M88" s="16"/>
      <c r="N88" s="18"/>
    </row>
    <row r="89" spans="1:14" ht="12.75">
      <c r="A89" s="18"/>
      <c r="C89" s="44" t="s">
        <v>455</v>
      </c>
      <c r="F89" s="45"/>
      <c r="H89" s="50">
        <v>17.64</v>
      </c>
      <c r="M89" s="16"/>
      <c r="N89" s="18"/>
    </row>
    <row r="90" spans="1:14" ht="12.75">
      <c r="A90" s="18"/>
      <c r="C90" s="44" t="s">
        <v>456</v>
      </c>
      <c r="F90" s="45"/>
      <c r="H90" s="50">
        <v>0</v>
      </c>
      <c r="M90" s="16"/>
      <c r="N90" s="18"/>
    </row>
    <row r="91" spans="1:14" ht="12.75">
      <c r="A91" s="18"/>
      <c r="C91" s="44" t="s">
        <v>457</v>
      </c>
      <c r="F91" s="45"/>
      <c r="H91" s="50">
        <v>42.336</v>
      </c>
      <c r="M91" s="16"/>
      <c r="N91" s="18"/>
    </row>
    <row r="92" spans="1:64" ht="12.75">
      <c r="A92" s="109" t="s">
        <v>99</v>
      </c>
      <c r="B92" s="110" t="s">
        <v>251</v>
      </c>
      <c r="C92" s="248" t="s">
        <v>458</v>
      </c>
      <c r="D92" s="238"/>
      <c r="E92" s="238"/>
      <c r="F92" s="238"/>
      <c r="G92" s="110" t="s">
        <v>714</v>
      </c>
      <c r="H92" s="112">
        <v>17.9928</v>
      </c>
      <c r="I92" s="112">
        <v>0</v>
      </c>
      <c r="J92" s="112">
        <f>H92*AO92</f>
        <v>0</v>
      </c>
      <c r="K92" s="112">
        <f>H92*AP92</f>
        <v>0</v>
      </c>
      <c r="L92" s="112">
        <f>H92*I92</f>
        <v>0</v>
      </c>
      <c r="M92" s="114" t="s">
        <v>732</v>
      </c>
      <c r="N92" s="18"/>
      <c r="Z92" s="64">
        <f>IF(AQ92="5",BJ92,0)</f>
        <v>0</v>
      </c>
      <c r="AB92" s="64">
        <f>IF(AQ92="1",BH92,0)</f>
        <v>0</v>
      </c>
      <c r="AC92" s="64">
        <f>IF(AQ92="1",BI92,0)</f>
        <v>0</v>
      </c>
      <c r="AD92" s="64">
        <f>IF(AQ92="7",BH92,0)</f>
        <v>0</v>
      </c>
      <c r="AE92" s="64">
        <f>IF(AQ92="7",BI92,0)</f>
        <v>0</v>
      </c>
      <c r="AF92" s="64">
        <f>IF(AQ92="2",BH92,0)</f>
        <v>0</v>
      </c>
      <c r="AG92" s="64">
        <f>IF(AQ92="2",BI92,0)</f>
        <v>0</v>
      </c>
      <c r="AH92" s="64">
        <f>IF(AQ92="0",BJ92,0)</f>
        <v>0</v>
      </c>
      <c r="AI92" s="63"/>
      <c r="AJ92" s="51">
        <f>IF(AN92=0,L92,0)</f>
        <v>0</v>
      </c>
      <c r="AK92" s="51">
        <f>IF(AN92=15,L92,0)</f>
        <v>0</v>
      </c>
      <c r="AL92" s="51">
        <f>IF(AN92=21,L92,0)</f>
        <v>0</v>
      </c>
      <c r="AN92" s="64">
        <v>15</v>
      </c>
      <c r="AO92" s="64">
        <f>I92*1</f>
        <v>0</v>
      </c>
      <c r="AP92" s="64">
        <f>I92*(1-1)</f>
        <v>0</v>
      </c>
      <c r="AQ92" s="66" t="s">
        <v>74</v>
      </c>
      <c r="AV92" s="64">
        <f>AW92+AX92</f>
        <v>0</v>
      </c>
      <c r="AW92" s="64">
        <f>H92*AO92</f>
        <v>0</v>
      </c>
      <c r="AX92" s="64">
        <f>H92*AP92</f>
        <v>0</v>
      </c>
      <c r="AY92" s="67" t="s">
        <v>748</v>
      </c>
      <c r="AZ92" s="67" t="s">
        <v>769</v>
      </c>
      <c r="BA92" s="63" t="s">
        <v>775</v>
      </c>
      <c r="BC92" s="64">
        <f>AW92+AX92</f>
        <v>0</v>
      </c>
      <c r="BD92" s="64">
        <f>I92/(100-BE92)*100</f>
        <v>0</v>
      </c>
      <c r="BE92" s="64">
        <v>0</v>
      </c>
      <c r="BF92" s="64">
        <f>92</f>
        <v>92</v>
      </c>
      <c r="BH92" s="51">
        <f>H92*AO92</f>
        <v>0</v>
      </c>
      <c r="BI92" s="51">
        <f>H92*AP92</f>
        <v>0</v>
      </c>
      <c r="BJ92" s="51">
        <f>H92*I92</f>
        <v>0</v>
      </c>
      <c r="BK92" s="51" t="s">
        <v>781</v>
      </c>
      <c r="BL92" s="64">
        <v>62</v>
      </c>
    </row>
    <row r="93" spans="1:14" ht="12.75">
      <c r="A93" s="117"/>
      <c r="B93" s="121"/>
      <c r="C93" s="123" t="s">
        <v>459</v>
      </c>
      <c r="F93" s="123"/>
      <c r="G93" s="121"/>
      <c r="H93" s="128">
        <v>17.9928</v>
      </c>
      <c r="I93" s="121"/>
      <c r="J93" s="121"/>
      <c r="K93" s="121"/>
      <c r="L93" s="121"/>
      <c r="M93" s="131"/>
      <c r="N93" s="18"/>
    </row>
    <row r="94" spans="1:64" ht="12.75">
      <c r="A94" s="109" t="s">
        <v>100</v>
      </c>
      <c r="B94" s="110" t="s">
        <v>252</v>
      </c>
      <c r="C94" s="248" t="s">
        <v>460</v>
      </c>
      <c r="D94" s="238"/>
      <c r="E94" s="238"/>
      <c r="F94" s="238"/>
      <c r="G94" s="110" t="s">
        <v>714</v>
      </c>
      <c r="H94" s="112">
        <v>43.18272</v>
      </c>
      <c r="I94" s="112">
        <v>0</v>
      </c>
      <c r="J94" s="112">
        <f>H94*AO94</f>
        <v>0</v>
      </c>
      <c r="K94" s="112">
        <f>H94*AP94</f>
        <v>0</v>
      </c>
      <c r="L94" s="112">
        <f>H94*I94</f>
        <v>0</v>
      </c>
      <c r="M94" s="114" t="s">
        <v>732</v>
      </c>
      <c r="N94" s="18"/>
      <c r="Z94" s="64">
        <f>IF(AQ94="5",BJ94,0)</f>
        <v>0</v>
      </c>
      <c r="AB94" s="64">
        <f>IF(AQ94="1",BH94,0)</f>
        <v>0</v>
      </c>
      <c r="AC94" s="64">
        <f>IF(AQ94="1",BI94,0)</f>
        <v>0</v>
      </c>
      <c r="AD94" s="64">
        <f>IF(AQ94="7",BH94,0)</f>
        <v>0</v>
      </c>
      <c r="AE94" s="64">
        <f>IF(AQ94="7",BI94,0)</f>
        <v>0</v>
      </c>
      <c r="AF94" s="64">
        <f>IF(AQ94="2",BH94,0)</f>
        <v>0</v>
      </c>
      <c r="AG94" s="64">
        <f>IF(AQ94="2",BI94,0)</f>
        <v>0</v>
      </c>
      <c r="AH94" s="64">
        <f>IF(AQ94="0",BJ94,0)</f>
        <v>0</v>
      </c>
      <c r="AI94" s="63"/>
      <c r="AJ94" s="51">
        <f>IF(AN94=0,L94,0)</f>
        <v>0</v>
      </c>
      <c r="AK94" s="51">
        <f>IF(AN94=15,L94,0)</f>
        <v>0</v>
      </c>
      <c r="AL94" s="51">
        <f>IF(AN94=21,L94,0)</f>
        <v>0</v>
      </c>
      <c r="AN94" s="64">
        <v>15</v>
      </c>
      <c r="AO94" s="64">
        <f>I94*1</f>
        <v>0</v>
      </c>
      <c r="AP94" s="64">
        <f>I94*(1-1)</f>
        <v>0</v>
      </c>
      <c r="AQ94" s="66" t="s">
        <v>74</v>
      </c>
      <c r="AV94" s="64">
        <f>AW94+AX94</f>
        <v>0</v>
      </c>
      <c r="AW94" s="64">
        <f>H94*AO94</f>
        <v>0</v>
      </c>
      <c r="AX94" s="64">
        <f>H94*AP94</f>
        <v>0</v>
      </c>
      <c r="AY94" s="67" t="s">
        <v>748</v>
      </c>
      <c r="AZ94" s="67" t="s">
        <v>769</v>
      </c>
      <c r="BA94" s="63" t="s">
        <v>775</v>
      </c>
      <c r="BC94" s="64">
        <f>AW94+AX94</f>
        <v>0</v>
      </c>
      <c r="BD94" s="64">
        <f>I94/(100-BE94)*100</f>
        <v>0</v>
      </c>
      <c r="BE94" s="64">
        <v>0</v>
      </c>
      <c r="BF94" s="64">
        <f>94</f>
        <v>94</v>
      </c>
      <c r="BH94" s="51">
        <f>H94*AO94</f>
        <v>0</v>
      </c>
      <c r="BI94" s="51">
        <f>H94*AP94</f>
        <v>0</v>
      </c>
      <c r="BJ94" s="51">
        <f>H94*I94</f>
        <v>0</v>
      </c>
      <c r="BK94" s="51" t="s">
        <v>781</v>
      </c>
      <c r="BL94" s="64">
        <v>62</v>
      </c>
    </row>
    <row r="95" spans="1:14" ht="12.75">
      <c r="A95" s="117"/>
      <c r="B95" s="121"/>
      <c r="C95" s="123" t="s">
        <v>461</v>
      </c>
      <c r="F95" s="123"/>
      <c r="G95" s="121"/>
      <c r="H95" s="128">
        <v>43.18272</v>
      </c>
      <c r="I95" s="121"/>
      <c r="J95" s="121"/>
      <c r="K95" s="121"/>
      <c r="L95" s="121"/>
      <c r="M95" s="131"/>
      <c r="N95" s="18"/>
    </row>
    <row r="96" spans="1:64" ht="12.75">
      <c r="A96" s="35" t="s">
        <v>101</v>
      </c>
      <c r="B96" s="42" t="s">
        <v>253</v>
      </c>
      <c r="C96" s="239" t="s">
        <v>462</v>
      </c>
      <c r="D96" s="230"/>
      <c r="E96" s="230"/>
      <c r="F96" s="230"/>
      <c r="G96" s="42" t="s">
        <v>714</v>
      </c>
      <c r="H96" s="49">
        <v>1055.392</v>
      </c>
      <c r="I96" s="49">
        <v>0</v>
      </c>
      <c r="J96" s="49">
        <f>H96*AO96</f>
        <v>0</v>
      </c>
      <c r="K96" s="49">
        <f>H96*AP96</f>
        <v>0</v>
      </c>
      <c r="L96" s="49">
        <f>H96*I96</f>
        <v>0</v>
      </c>
      <c r="M96" s="61" t="s">
        <v>732</v>
      </c>
      <c r="N96" s="18"/>
      <c r="Z96" s="64">
        <f>IF(AQ96="5",BJ96,0)</f>
        <v>0</v>
      </c>
      <c r="AB96" s="64">
        <f>IF(AQ96="1",BH96,0)</f>
        <v>0</v>
      </c>
      <c r="AC96" s="64">
        <f>IF(AQ96="1",BI96,0)</f>
        <v>0</v>
      </c>
      <c r="AD96" s="64">
        <f>IF(AQ96="7",BH96,0)</f>
        <v>0</v>
      </c>
      <c r="AE96" s="64">
        <f>IF(AQ96="7",BI96,0)</f>
        <v>0</v>
      </c>
      <c r="AF96" s="64">
        <f>IF(AQ96="2",BH96,0)</f>
        <v>0</v>
      </c>
      <c r="AG96" s="64">
        <f>IF(AQ96="2",BI96,0)</f>
        <v>0</v>
      </c>
      <c r="AH96" s="64">
        <f>IF(AQ96="0",BJ96,0)</f>
        <v>0</v>
      </c>
      <c r="AI96" s="63"/>
      <c r="AJ96" s="49">
        <f>IF(AN96=0,L96,0)</f>
        <v>0</v>
      </c>
      <c r="AK96" s="49">
        <f>IF(AN96=15,L96,0)</f>
        <v>0</v>
      </c>
      <c r="AL96" s="49">
        <f>IF(AN96=21,L96,0)</f>
        <v>0</v>
      </c>
      <c r="AN96" s="64">
        <v>15</v>
      </c>
      <c r="AO96" s="64">
        <f>I96*0.26027678121558</f>
        <v>0</v>
      </c>
      <c r="AP96" s="64">
        <f>I96*(1-0.26027678121558)</f>
        <v>0</v>
      </c>
      <c r="AQ96" s="65" t="s">
        <v>74</v>
      </c>
      <c r="AV96" s="64">
        <f>AW96+AX96</f>
        <v>0</v>
      </c>
      <c r="AW96" s="64">
        <f>H96*AO96</f>
        <v>0</v>
      </c>
      <c r="AX96" s="64">
        <f>H96*AP96</f>
        <v>0</v>
      </c>
      <c r="AY96" s="67" t="s">
        <v>748</v>
      </c>
      <c r="AZ96" s="67" t="s">
        <v>769</v>
      </c>
      <c r="BA96" s="63" t="s">
        <v>775</v>
      </c>
      <c r="BC96" s="64">
        <f>AW96+AX96</f>
        <v>0</v>
      </c>
      <c r="BD96" s="64">
        <f>I96/(100-BE96)*100</f>
        <v>0</v>
      </c>
      <c r="BE96" s="64">
        <v>0</v>
      </c>
      <c r="BF96" s="64">
        <f>96</f>
        <v>96</v>
      </c>
      <c r="BH96" s="49">
        <f>H96*AO96</f>
        <v>0</v>
      </c>
      <c r="BI96" s="49">
        <f>H96*AP96</f>
        <v>0</v>
      </c>
      <c r="BJ96" s="49">
        <f>H96*I96</f>
        <v>0</v>
      </c>
      <c r="BK96" s="49" t="s">
        <v>780</v>
      </c>
      <c r="BL96" s="64">
        <v>62</v>
      </c>
    </row>
    <row r="97" spans="1:14" ht="12.75">
      <c r="A97" s="18"/>
      <c r="C97" s="44" t="s">
        <v>463</v>
      </c>
      <c r="F97" s="45"/>
      <c r="H97" s="50">
        <v>0</v>
      </c>
      <c r="M97" s="16"/>
      <c r="N97" s="18"/>
    </row>
    <row r="98" spans="1:14" ht="12.75">
      <c r="A98" s="18"/>
      <c r="C98" s="44" t="s">
        <v>464</v>
      </c>
      <c r="F98" s="45"/>
      <c r="H98" s="50">
        <v>836.67</v>
      </c>
      <c r="M98" s="16"/>
      <c r="N98" s="18"/>
    </row>
    <row r="99" spans="1:14" ht="12.75">
      <c r="A99" s="18"/>
      <c r="C99" s="44" t="s">
        <v>465</v>
      </c>
      <c r="F99" s="45"/>
      <c r="H99" s="50">
        <v>59.016</v>
      </c>
      <c r="M99" s="16"/>
      <c r="N99" s="18"/>
    </row>
    <row r="100" spans="1:14" ht="12.75">
      <c r="A100" s="18"/>
      <c r="C100" s="44" t="s">
        <v>466</v>
      </c>
      <c r="F100" s="45"/>
      <c r="H100" s="50">
        <v>2.28</v>
      </c>
      <c r="M100" s="16"/>
      <c r="N100" s="18"/>
    </row>
    <row r="101" spans="1:14" ht="12.75">
      <c r="A101" s="18"/>
      <c r="C101" s="44" t="s">
        <v>467</v>
      </c>
      <c r="F101" s="45"/>
      <c r="H101" s="50">
        <v>0</v>
      </c>
      <c r="M101" s="16"/>
      <c r="N101" s="18"/>
    </row>
    <row r="102" spans="1:14" ht="12.75">
      <c r="A102" s="18"/>
      <c r="C102" s="44" t="s">
        <v>468</v>
      </c>
      <c r="F102" s="45"/>
      <c r="H102" s="50">
        <v>42.336</v>
      </c>
      <c r="M102" s="16"/>
      <c r="N102" s="18"/>
    </row>
    <row r="103" spans="1:14" ht="12.75">
      <c r="A103" s="18"/>
      <c r="C103" s="44" t="s">
        <v>469</v>
      </c>
      <c r="F103" s="45"/>
      <c r="H103" s="50">
        <v>0</v>
      </c>
      <c r="M103" s="16"/>
      <c r="N103" s="18"/>
    </row>
    <row r="104" spans="1:14" ht="12.75">
      <c r="A104" s="18"/>
      <c r="C104" s="44" t="s">
        <v>470</v>
      </c>
      <c r="F104" s="45"/>
      <c r="H104" s="50">
        <v>97.45</v>
      </c>
      <c r="M104" s="16"/>
      <c r="N104" s="18"/>
    </row>
    <row r="105" spans="1:14" ht="12.75">
      <c r="A105" s="18"/>
      <c r="C105" s="44" t="s">
        <v>471</v>
      </c>
      <c r="F105" s="45"/>
      <c r="H105" s="50">
        <v>0</v>
      </c>
      <c r="M105" s="16"/>
      <c r="N105" s="18"/>
    </row>
    <row r="106" spans="1:14" ht="12.75">
      <c r="A106" s="18"/>
      <c r="C106" s="44" t="s">
        <v>472</v>
      </c>
      <c r="F106" s="45"/>
      <c r="H106" s="50">
        <v>17.64</v>
      </c>
      <c r="M106" s="16"/>
      <c r="N106" s="18"/>
    </row>
    <row r="107" spans="1:64" ht="12.75">
      <c r="A107" s="82" t="s">
        <v>102</v>
      </c>
      <c r="B107" s="82" t="s">
        <v>254</v>
      </c>
      <c r="C107" s="229" t="s">
        <v>473</v>
      </c>
      <c r="D107" s="230"/>
      <c r="E107" s="230"/>
      <c r="F107" s="231"/>
      <c r="G107" s="82" t="s">
        <v>714</v>
      </c>
      <c r="H107" s="88">
        <v>115.09</v>
      </c>
      <c r="I107" s="88">
        <v>0</v>
      </c>
      <c r="J107" s="88">
        <f>H107*AO107</f>
        <v>0</v>
      </c>
      <c r="K107" s="88">
        <f>H107*AP107</f>
        <v>0</v>
      </c>
      <c r="L107" s="88">
        <f>H107*I107</f>
        <v>0</v>
      </c>
      <c r="M107" s="78" t="s">
        <v>732</v>
      </c>
      <c r="N107" s="72"/>
      <c r="Z107" s="64">
        <f>IF(AQ107="5",BJ107,0)</f>
        <v>0</v>
      </c>
      <c r="AB107" s="64">
        <f>IF(AQ107="1",BH107,0)</f>
        <v>0</v>
      </c>
      <c r="AC107" s="64">
        <f>IF(AQ107="1",BI107,0)</f>
        <v>0</v>
      </c>
      <c r="AD107" s="64">
        <f>IF(AQ107="7",BH107,0)</f>
        <v>0</v>
      </c>
      <c r="AE107" s="64">
        <f>IF(AQ107="7",BI107,0)</f>
        <v>0</v>
      </c>
      <c r="AF107" s="64">
        <f>IF(AQ107="2",BH107,0)</f>
        <v>0</v>
      </c>
      <c r="AG107" s="64">
        <f>IF(AQ107="2",BI107,0)</f>
        <v>0</v>
      </c>
      <c r="AH107" s="64">
        <f>IF(AQ107="0",BJ107,0)</f>
        <v>0</v>
      </c>
      <c r="AI107" s="63"/>
      <c r="AJ107" s="49">
        <f>IF(AN107=0,L107,0)</f>
        <v>0</v>
      </c>
      <c r="AK107" s="49">
        <f>IF(AN107=15,L107,0)</f>
        <v>0</v>
      </c>
      <c r="AL107" s="49">
        <f>IF(AN107=21,L107,0)</f>
        <v>0</v>
      </c>
      <c r="AN107" s="64">
        <v>15</v>
      </c>
      <c r="AO107" s="64">
        <f>I107*0.427854527501725</f>
        <v>0</v>
      </c>
      <c r="AP107" s="64">
        <f>I107*(1-0.427854527501725)</f>
        <v>0</v>
      </c>
      <c r="AQ107" s="65" t="s">
        <v>74</v>
      </c>
      <c r="AV107" s="64">
        <f>AW107+AX107</f>
        <v>0</v>
      </c>
      <c r="AW107" s="64">
        <f>H107*AO107</f>
        <v>0</v>
      </c>
      <c r="AX107" s="64">
        <f>H107*AP107</f>
        <v>0</v>
      </c>
      <c r="AY107" s="67" t="s">
        <v>748</v>
      </c>
      <c r="AZ107" s="67" t="s">
        <v>769</v>
      </c>
      <c r="BA107" s="63" t="s">
        <v>775</v>
      </c>
      <c r="BC107" s="64">
        <f>AW107+AX107</f>
        <v>0</v>
      </c>
      <c r="BD107" s="64">
        <f>I107/(100-BE107)*100</f>
        <v>0</v>
      </c>
      <c r="BE107" s="64">
        <v>0</v>
      </c>
      <c r="BF107" s="64">
        <f>107</f>
        <v>107</v>
      </c>
      <c r="BH107" s="49">
        <f>H107*AO107</f>
        <v>0</v>
      </c>
      <c r="BI107" s="49">
        <f>H107*AP107</f>
        <v>0</v>
      </c>
      <c r="BJ107" s="49">
        <f>H107*I107</f>
        <v>0</v>
      </c>
      <c r="BK107" s="49" t="s">
        <v>780</v>
      </c>
      <c r="BL107" s="64">
        <v>62</v>
      </c>
    </row>
    <row r="108" spans="1:14" ht="12.75">
      <c r="A108" s="90"/>
      <c r="B108" s="91"/>
      <c r="C108" s="84" t="s">
        <v>474</v>
      </c>
      <c r="F108" s="92"/>
      <c r="G108" s="91"/>
      <c r="H108" s="93">
        <v>115.09</v>
      </c>
      <c r="I108" s="91"/>
      <c r="J108" s="91"/>
      <c r="K108" s="91"/>
      <c r="L108" s="91"/>
      <c r="M108" s="80"/>
      <c r="N108" s="72"/>
    </row>
    <row r="109" spans="1:64" ht="12.75">
      <c r="A109" s="75" t="s">
        <v>103</v>
      </c>
      <c r="B109" s="75" t="s">
        <v>255</v>
      </c>
      <c r="C109" s="240" t="s">
        <v>475</v>
      </c>
      <c r="D109" s="230"/>
      <c r="E109" s="230"/>
      <c r="F109" s="234"/>
      <c r="G109" s="75" t="s">
        <v>714</v>
      </c>
      <c r="H109" s="76">
        <v>115.09</v>
      </c>
      <c r="I109" s="76">
        <v>0</v>
      </c>
      <c r="J109" s="76">
        <f>H109*AO109</f>
        <v>0</v>
      </c>
      <c r="K109" s="76">
        <f>H109*AP109</f>
        <v>0</v>
      </c>
      <c r="L109" s="76">
        <f>H109*I109</f>
        <v>0</v>
      </c>
      <c r="M109" s="79" t="s">
        <v>732</v>
      </c>
      <c r="N109" s="72"/>
      <c r="Z109" s="64">
        <f>IF(AQ109="5",BJ109,0)</f>
        <v>0</v>
      </c>
      <c r="AB109" s="64">
        <f>IF(AQ109="1",BH109,0)</f>
        <v>0</v>
      </c>
      <c r="AC109" s="64">
        <f>IF(AQ109="1",BI109,0)</f>
        <v>0</v>
      </c>
      <c r="AD109" s="64">
        <f>IF(AQ109="7",BH109,0)</f>
        <v>0</v>
      </c>
      <c r="AE109" s="64">
        <f>IF(AQ109="7",BI109,0)</f>
        <v>0</v>
      </c>
      <c r="AF109" s="64">
        <f>IF(AQ109="2",BH109,0)</f>
        <v>0</v>
      </c>
      <c r="AG109" s="64">
        <f>IF(AQ109="2",BI109,0)</f>
        <v>0</v>
      </c>
      <c r="AH109" s="64">
        <f>IF(AQ109="0",BJ109,0)</f>
        <v>0</v>
      </c>
      <c r="AI109" s="63"/>
      <c r="AJ109" s="49">
        <f>IF(AN109=0,L109,0)</f>
        <v>0</v>
      </c>
      <c r="AK109" s="49">
        <f>IF(AN109=15,L109,0)</f>
        <v>0</v>
      </c>
      <c r="AL109" s="49">
        <f>IF(AN109=21,L109,0)</f>
        <v>0</v>
      </c>
      <c r="AN109" s="64">
        <v>15</v>
      </c>
      <c r="AO109" s="64">
        <f>I109*0.677450980392157</f>
        <v>0</v>
      </c>
      <c r="AP109" s="64">
        <f>I109*(1-0.677450980392157)</f>
        <v>0</v>
      </c>
      <c r="AQ109" s="65" t="s">
        <v>74</v>
      </c>
      <c r="AV109" s="64">
        <f>AW109+AX109</f>
        <v>0</v>
      </c>
      <c r="AW109" s="64">
        <f>H109*AO109</f>
        <v>0</v>
      </c>
      <c r="AX109" s="64">
        <f>H109*AP109</f>
        <v>0</v>
      </c>
      <c r="AY109" s="67" t="s">
        <v>748</v>
      </c>
      <c r="AZ109" s="67" t="s">
        <v>769</v>
      </c>
      <c r="BA109" s="63" t="s">
        <v>775</v>
      </c>
      <c r="BC109" s="64">
        <f>AW109+AX109</f>
        <v>0</v>
      </c>
      <c r="BD109" s="64">
        <f>I109/(100-BE109)*100</f>
        <v>0</v>
      </c>
      <c r="BE109" s="64">
        <v>0</v>
      </c>
      <c r="BF109" s="64">
        <f>109</f>
        <v>109</v>
      </c>
      <c r="BH109" s="49">
        <f>H109*AO109</f>
        <v>0</v>
      </c>
      <c r="BI109" s="49">
        <f>H109*AP109</f>
        <v>0</v>
      </c>
      <c r="BJ109" s="49">
        <f>H109*I109</f>
        <v>0</v>
      </c>
      <c r="BK109" s="49" t="s">
        <v>780</v>
      </c>
      <c r="BL109" s="64">
        <v>62</v>
      </c>
    </row>
    <row r="110" spans="1:64" ht="12.75">
      <c r="A110" s="35" t="s">
        <v>104</v>
      </c>
      <c r="B110" s="42" t="s">
        <v>256</v>
      </c>
      <c r="C110" s="239" t="s">
        <v>476</v>
      </c>
      <c r="D110" s="230"/>
      <c r="E110" s="230"/>
      <c r="F110" s="230"/>
      <c r="G110" s="42" t="s">
        <v>714</v>
      </c>
      <c r="H110" s="49">
        <v>940.302</v>
      </c>
      <c r="I110" s="49">
        <v>0</v>
      </c>
      <c r="J110" s="49">
        <f>H110*AO110</f>
        <v>0</v>
      </c>
      <c r="K110" s="49">
        <f>H110*AP110</f>
        <v>0</v>
      </c>
      <c r="L110" s="49">
        <f>H110*I110</f>
        <v>0</v>
      </c>
      <c r="M110" s="61" t="s">
        <v>732</v>
      </c>
      <c r="N110" s="18"/>
      <c r="Z110" s="64">
        <f>IF(AQ110="5",BJ110,0)</f>
        <v>0</v>
      </c>
      <c r="AB110" s="64">
        <f>IF(AQ110="1",BH110,0)</f>
        <v>0</v>
      </c>
      <c r="AC110" s="64">
        <f>IF(AQ110="1",BI110,0)</f>
        <v>0</v>
      </c>
      <c r="AD110" s="64">
        <f>IF(AQ110="7",BH110,0)</f>
        <v>0</v>
      </c>
      <c r="AE110" s="64">
        <f>IF(AQ110="7",BI110,0)</f>
        <v>0</v>
      </c>
      <c r="AF110" s="64">
        <f>IF(AQ110="2",BH110,0)</f>
        <v>0</v>
      </c>
      <c r="AG110" s="64">
        <f>IF(AQ110="2",BI110,0)</f>
        <v>0</v>
      </c>
      <c r="AH110" s="64">
        <f>IF(AQ110="0",BJ110,0)</f>
        <v>0</v>
      </c>
      <c r="AI110" s="63"/>
      <c r="AJ110" s="49">
        <f>IF(AN110=0,L110,0)</f>
        <v>0</v>
      </c>
      <c r="AK110" s="49">
        <f>IF(AN110=15,L110,0)</f>
        <v>0</v>
      </c>
      <c r="AL110" s="49">
        <f>IF(AN110=21,L110,0)</f>
        <v>0</v>
      </c>
      <c r="AN110" s="64">
        <v>15</v>
      </c>
      <c r="AO110" s="64">
        <f>I110*0.40547591523074</f>
        <v>0</v>
      </c>
      <c r="AP110" s="64">
        <f>I110*(1-0.40547591523074)</f>
        <v>0</v>
      </c>
      <c r="AQ110" s="65" t="s">
        <v>74</v>
      </c>
      <c r="AV110" s="64">
        <f>AW110+AX110</f>
        <v>0</v>
      </c>
      <c r="AW110" s="64">
        <f>H110*AO110</f>
        <v>0</v>
      </c>
      <c r="AX110" s="64">
        <f>H110*AP110</f>
        <v>0</v>
      </c>
      <c r="AY110" s="67" t="s">
        <v>748</v>
      </c>
      <c r="AZ110" s="67" t="s">
        <v>769</v>
      </c>
      <c r="BA110" s="63" t="s">
        <v>775</v>
      </c>
      <c r="BC110" s="64">
        <f>AW110+AX110</f>
        <v>0</v>
      </c>
      <c r="BD110" s="64">
        <f>I110/(100-BE110)*100</f>
        <v>0</v>
      </c>
      <c r="BE110" s="64">
        <v>0</v>
      </c>
      <c r="BF110" s="64">
        <f>110</f>
        <v>110</v>
      </c>
      <c r="BH110" s="49">
        <f>H110*AO110</f>
        <v>0</v>
      </c>
      <c r="BI110" s="49">
        <f>H110*AP110</f>
        <v>0</v>
      </c>
      <c r="BJ110" s="49">
        <f>H110*I110</f>
        <v>0</v>
      </c>
      <c r="BK110" s="49" t="s">
        <v>780</v>
      </c>
      <c r="BL110" s="64">
        <v>62</v>
      </c>
    </row>
    <row r="111" spans="1:14" ht="12.75">
      <c r="A111" s="18"/>
      <c r="C111" s="44" t="s">
        <v>477</v>
      </c>
      <c r="F111" s="45"/>
      <c r="H111" s="50">
        <v>0</v>
      </c>
      <c r="M111" s="16"/>
      <c r="N111" s="18"/>
    </row>
    <row r="112" spans="1:14" ht="12.75">
      <c r="A112" s="18"/>
      <c r="C112" s="44" t="s">
        <v>478</v>
      </c>
      <c r="F112" s="45"/>
      <c r="H112" s="50">
        <v>940.302</v>
      </c>
      <c r="M112" s="16"/>
      <c r="N112" s="18"/>
    </row>
    <row r="113" spans="1:64" ht="12.75">
      <c r="A113" s="100" t="s">
        <v>105</v>
      </c>
      <c r="B113" s="100" t="s">
        <v>257</v>
      </c>
      <c r="C113" s="254" t="s">
        <v>479</v>
      </c>
      <c r="D113" s="230"/>
      <c r="E113" s="230"/>
      <c r="F113" s="231"/>
      <c r="G113" s="100" t="s">
        <v>714</v>
      </c>
      <c r="H113" s="105">
        <v>1055.392</v>
      </c>
      <c r="I113" s="105">
        <v>0</v>
      </c>
      <c r="J113" s="105">
        <f>H113*AO113</f>
        <v>0</v>
      </c>
      <c r="K113" s="105">
        <f>H113*AP113</f>
        <v>0</v>
      </c>
      <c r="L113" s="105">
        <f>H113*I113</f>
        <v>0</v>
      </c>
      <c r="M113" s="99" t="s">
        <v>732</v>
      </c>
      <c r="N113" s="72"/>
      <c r="Z113" s="64">
        <f>IF(AQ113="5",BJ113,0)</f>
        <v>0</v>
      </c>
      <c r="AB113" s="64">
        <f>IF(AQ113="1",BH113,0)</f>
        <v>0</v>
      </c>
      <c r="AC113" s="64">
        <f>IF(AQ113="1",BI113,0)</f>
        <v>0</v>
      </c>
      <c r="AD113" s="64">
        <f>IF(AQ113="7",BH113,0)</f>
        <v>0</v>
      </c>
      <c r="AE113" s="64">
        <f>IF(AQ113="7",BI113,0)</f>
        <v>0</v>
      </c>
      <c r="AF113" s="64">
        <f>IF(AQ113="2",BH113,0)</f>
        <v>0</v>
      </c>
      <c r="AG113" s="64">
        <f>IF(AQ113="2",BI113,0)</f>
        <v>0</v>
      </c>
      <c r="AH113" s="64">
        <f>IF(AQ113="0",BJ113,0)</f>
        <v>0</v>
      </c>
      <c r="AI113" s="63"/>
      <c r="AJ113" s="49">
        <f>IF(AN113=0,L113,0)</f>
        <v>0</v>
      </c>
      <c r="AK113" s="49">
        <f>IF(AN113=15,L113,0)</f>
        <v>0</v>
      </c>
      <c r="AL113" s="49">
        <f>IF(AN113=21,L113,0)</f>
        <v>0</v>
      </c>
      <c r="AN113" s="64">
        <v>15</v>
      </c>
      <c r="AO113" s="64">
        <f>I113*0.536971962616822</f>
        <v>0</v>
      </c>
      <c r="AP113" s="64">
        <f>I113*(1-0.536971962616822)</f>
        <v>0</v>
      </c>
      <c r="AQ113" s="65" t="s">
        <v>74</v>
      </c>
      <c r="AV113" s="64">
        <f>AW113+AX113</f>
        <v>0</v>
      </c>
      <c r="AW113" s="64">
        <f>H113*AO113</f>
        <v>0</v>
      </c>
      <c r="AX113" s="64">
        <f>H113*AP113</f>
        <v>0</v>
      </c>
      <c r="AY113" s="67" t="s">
        <v>748</v>
      </c>
      <c r="AZ113" s="67" t="s">
        <v>769</v>
      </c>
      <c r="BA113" s="63" t="s">
        <v>775</v>
      </c>
      <c r="BC113" s="64">
        <f>AW113+AX113</f>
        <v>0</v>
      </c>
      <c r="BD113" s="64">
        <f>I113/(100-BE113)*100</f>
        <v>0</v>
      </c>
      <c r="BE113" s="64">
        <v>0</v>
      </c>
      <c r="BF113" s="64">
        <f>113</f>
        <v>113</v>
      </c>
      <c r="BH113" s="49">
        <f>H113*AO113</f>
        <v>0</v>
      </c>
      <c r="BI113" s="49">
        <f>H113*AP113</f>
        <v>0</v>
      </c>
      <c r="BJ113" s="49">
        <f>H113*I113</f>
        <v>0</v>
      </c>
      <c r="BK113" s="49" t="s">
        <v>780</v>
      </c>
      <c r="BL113" s="64">
        <v>62</v>
      </c>
    </row>
    <row r="114" spans="1:14" ht="12.75">
      <c r="A114" s="90"/>
      <c r="B114" s="106"/>
      <c r="C114" s="103" t="s">
        <v>480</v>
      </c>
      <c r="F114" s="107"/>
      <c r="G114" s="106"/>
      <c r="H114" s="108">
        <v>0</v>
      </c>
      <c r="I114" s="106"/>
      <c r="J114" s="106"/>
      <c r="K114" s="106"/>
      <c r="L114" s="106"/>
      <c r="M114" s="80"/>
      <c r="N114" s="72"/>
    </row>
    <row r="115" spans="1:14" ht="12.75">
      <c r="A115" s="90"/>
      <c r="B115" s="106"/>
      <c r="C115" s="103" t="s">
        <v>481</v>
      </c>
      <c r="F115" s="107"/>
      <c r="G115" s="106"/>
      <c r="H115" s="108">
        <v>1055.392</v>
      </c>
      <c r="I115" s="106"/>
      <c r="J115" s="106"/>
      <c r="K115" s="106"/>
      <c r="L115" s="106"/>
      <c r="M115" s="80"/>
      <c r="N115" s="72"/>
    </row>
    <row r="116" spans="1:64" ht="12.75">
      <c r="A116" s="82" t="s">
        <v>106</v>
      </c>
      <c r="B116" s="82" t="s">
        <v>258</v>
      </c>
      <c r="C116" s="229" t="s">
        <v>482</v>
      </c>
      <c r="D116" s="230"/>
      <c r="E116" s="230"/>
      <c r="F116" s="231"/>
      <c r="G116" s="82" t="s">
        <v>716</v>
      </c>
      <c r="H116" s="88">
        <v>707.7</v>
      </c>
      <c r="I116" s="88">
        <v>0</v>
      </c>
      <c r="J116" s="88">
        <f>H116*AO116</f>
        <v>0</v>
      </c>
      <c r="K116" s="88">
        <f>H116*AP116</f>
        <v>0</v>
      </c>
      <c r="L116" s="88">
        <f>H116*I116</f>
        <v>0</v>
      </c>
      <c r="M116" s="78" t="s">
        <v>732</v>
      </c>
      <c r="N116" s="72"/>
      <c r="Z116" s="64">
        <f>IF(AQ116="5",BJ116,0)</f>
        <v>0</v>
      </c>
      <c r="AB116" s="64">
        <f>IF(AQ116="1",BH116,0)</f>
        <v>0</v>
      </c>
      <c r="AC116" s="64">
        <f>IF(AQ116="1",BI116,0)</f>
        <v>0</v>
      </c>
      <c r="AD116" s="64">
        <f>IF(AQ116="7",BH116,0)</f>
        <v>0</v>
      </c>
      <c r="AE116" s="64">
        <f>IF(AQ116="7",BI116,0)</f>
        <v>0</v>
      </c>
      <c r="AF116" s="64">
        <f>IF(AQ116="2",BH116,0)</f>
        <v>0</v>
      </c>
      <c r="AG116" s="64">
        <f>IF(AQ116="2",BI116,0)</f>
        <v>0</v>
      </c>
      <c r="AH116" s="64">
        <f>IF(AQ116="0",BJ116,0)</f>
        <v>0</v>
      </c>
      <c r="AI116" s="63"/>
      <c r="AJ116" s="49">
        <f>IF(AN116=0,L116,0)</f>
        <v>0</v>
      </c>
      <c r="AK116" s="49">
        <f>IF(AN116=15,L116,0)</f>
        <v>0</v>
      </c>
      <c r="AL116" s="49">
        <f>IF(AN116=21,L116,0)</f>
        <v>0</v>
      </c>
      <c r="AN116" s="64">
        <v>15</v>
      </c>
      <c r="AO116" s="64">
        <f>I116*0.428359007324847</f>
        <v>0</v>
      </c>
      <c r="AP116" s="64">
        <f>I116*(1-0.428359007324847)</f>
        <v>0</v>
      </c>
      <c r="AQ116" s="65" t="s">
        <v>74</v>
      </c>
      <c r="AV116" s="64">
        <f>AW116+AX116</f>
        <v>0</v>
      </c>
      <c r="AW116" s="64">
        <f>H116*AO116</f>
        <v>0</v>
      </c>
      <c r="AX116" s="64">
        <f>H116*AP116</f>
        <v>0</v>
      </c>
      <c r="AY116" s="67" t="s">
        <v>748</v>
      </c>
      <c r="AZ116" s="67" t="s">
        <v>769</v>
      </c>
      <c r="BA116" s="63" t="s">
        <v>775</v>
      </c>
      <c r="BC116" s="64">
        <f>AW116+AX116</f>
        <v>0</v>
      </c>
      <c r="BD116" s="64">
        <f>I116/(100-BE116)*100</f>
        <v>0</v>
      </c>
      <c r="BE116" s="64">
        <v>0</v>
      </c>
      <c r="BF116" s="64">
        <f>116</f>
        <v>116</v>
      </c>
      <c r="BH116" s="49">
        <f>H116*AO116</f>
        <v>0</v>
      </c>
      <c r="BI116" s="49">
        <f>H116*AP116</f>
        <v>0</v>
      </c>
      <c r="BJ116" s="49">
        <f>H116*I116</f>
        <v>0</v>
      </c>
      <c r="BK116" s="49" t="s">
        <v>780</v>
      </c>
      <c r="BL116" s="64">
        <v>62</v>
      </c>
    </row>
    <row r="117" spans="1:14" ht="12.75">
      <c r="A117" s="90"/>
      <c r="B117" s="91"/>
      <c r="C117" s="84" t="s">
        <v>483</v>
      </c>
      <c r="F117" s="92"/>
      <c r="G117" s="91"/>
      <c r="H117" s="93">
        <v>302.4</v>
      </c>
      <c r="I117" s="91"/>
      <c r="J117" s="91"/>
      <c r="K117" s="91"/>
      <c r="L117" s="91"/>
      <c r="M117" s="80"/>
      <c r="N117" s="72"/>
    </row>
    <row r="118" spans="1:14" ht="12.75">
      <c r="A118" s="90"/>
      <c r="B118" s="91"/>
      <c r="C118" s="84" t="s">
        <v>484</v>
      </c>
      <c r="F118" s="92"/>
      <c r="G118" s="91"/>
      <c r="H118" s="93">
        <v>44.1</v>
      </c>
      <c r="I118" s="91"/>
      <c r="J118" s="91"/>
      <c r="K118" s="91"/>
      <c r="L118" s="91"/>
      <c r="M118" s="80"/>
      <c r="N118" s="72"/>
    </row>
    <row r="119" spans="1:14" ht="12.75">
      <c r="A119" s="90"/>
      <c r="B119" s="91"/>
      <c r="C119" s="84" t="s">
        <v>485</v>
      </c>
      <c r="F119" s="92"/>
      <c r="G119" s="91"/>
      <c r="H119" s="93">
        <v>361.2</v>
      </c>
      <c r="I119" s="91"/>
      <c r="J119" s="91"/>
      <c r="K119" s="91"/>
      <c r="L119" s="91"/>
      <c r="M119" s="80"/>
      <c r="N119" s="72"/>
    </row>
    <row r="120" spans="1:64" ht="12.75">
      <c r="A120" s="120" t="s">
        <v>107</v>
      </c>
      <c r="B120" s="120" t="s">
        <v>259</v>
      </c>
      <c r="C120" s="243" t="s">
        <v>486</v>
      </c>
      <c r="D120" s="238"/>
      <c r="E120" s="238"/>
      <c r="F120" s="242"/>
      <c r="G120" s="120" t="s">
        <v>716</v>
      </c>
      <c r="H120" s="129">
        <v>743.085</v>
      </c>
      <c r="I120" s="129">
        <v>0</v>
      </c>
      <c r="J120" s="129">
        <f>H120*AO120</f>
        <v>0</v>
      </c>
      <c r="K120" s="129">
        <f>H120*AP120</f>
        <v>0</v>
      </c>
      <c r="L120" s="129">
        <f>H120*I120</f>
        <v>0</v>
      </c>
      <c r="M120" s="115" t="s">
        <v>732</v>
      </c>
      <c r="N120" s="72"/>
      <c r="Z120" s="64">
        <f>IF(AQ120="5",BJ120,0)</f>
        <v>0</v>
      </c>
      <c r="AB120" s="64">
        <f>IF(AQ120="1",BH120,0)</f>
        <v>0</v>
      </c>
      <c r="AC120" s="64">
        <f>IF(AQ120="1",BI120,0)</f>
        <v>0</v>
      </c>
      <c r="AD120" s="64">
        <f>IF(AQ120="7",BH120,0)</f>
        <v>0</v>
      </c>
      <c r="AE120" s="64">
        <f>IF(AQ120="7",BI120,0)</f>
        <v>0</v>
      </c>
      <c r="AF120" s="64">
        <f>IF(AQ120="2",BH120,0)</f>
        <v>0</v>
      </c>
      <c r="AG120" s="64">
        <f>IF(AQ120="2",BI120,0)</f>
        <v>0</v>
      </c>
      <c r="AH120" s="64">
        <f>IF(AQ120="0",BJ120,0)</f>
        <v>0</v>
      </c>
      <c r="AI120" s="63"/>
      <c r="AJ120" s="51">
        <f>IF(AN120=0,L120,0)</f>
        <v>0</v>
      </c>
      <c r="AK120" s="51">
        <f>IF(AN120=15,L120,0)</f>
        <v>0</v>
      </c>
      <c r="AL120" s="51">
        <f>IF(AN120=21,L120,0)</f>
        <v>0</v>
      </c>
      <c r="AN120" s="64">
        <v>15</v>
      </c>
      <c r="AO120" s="64">
        <f>I120*1</f>
        <v>0</v>
      </c>
      <c r="AP120" s="64">
        <f>I120*(1-1)</f>
        <v>0</v>
      </c>
      <c r="AQ120" s="66" t="s">
        <v>74</v>
      </c>
      <c r="AV120" s="64">
        <f>AW120+AX120</f>
        <v>0</v>
      </c>
      <c r="AW120" s="64">
        <f>H120*AO120</f>
        <v>0</v>
      </c>
      <c r="AX120" s="64">
        <f>H120*AP120</f>
        <v>0</v>
      </c>
      <c r="AY120" s="67" t="s">
        <v>748</v>
      </c>
      <c r="AZ120" s="67" t="s">
        <v>769</v>
      </c>
      <c r="BA120" s="63" t="s">
        <v>775</v>
      </c>
      <c r="BC120" s="64">
        <f>AW120+AX120</f>
        <v>0</v>
      </c>
      <c r="BD120" s="64">
        <f>I120/(100-BE120)*100</f>
        <v>0</v>
      </c>
      <c r="BE120" s="64">
        <v>0</v>
      </c>
      <c r="BF120" s="64">
        <f>120</f>
        <v>120</v>
      </c>
      <c r="BH120" s="51">
        <f>H120*AO120</f>
        <v>0</v>
      </c>
      <c r="BI120" s="51">
        <f>H120*AP120</f>
        <v>0</v>
      </c>
      <c r="BJ120" s="51">
        <f>H120*I120</f>
        <v>0</v>
      </c>
      <c r="BK120" s="51" t="s">
        <v>781</v>
      </c>
      <c r="BL120" s="64">
        <v>62</v>
      </c>
    </row>
    <row r="121" spans="1:14" ht="12.75">
      <c r="A121" s="132"/>
      <c r="B121" s="133"/>
      <c r="C121" s="124" t="s">
        <v>487</v>
      </c>
      <c r="F121" s="134"/>
      <c r="G121" s="133"/>
      <c r="H121" s="135">
        <v>743.085</v>
      </c>
      <c r="I121" s="133"/>
      <c r="J121" s="133"/>
      <c r="K121" s="133"/>
      <c r="L121" s="133"/>
      <c r="M121" s="118"/>
      <c r="N121" s="72"/>
    </row>
    <row r="122" spans="1:64" ht="12.75">
      <c r="A122" s="82" t="s">
        <v>108</v>
      </c>
      <c r="B122" s="82" t="s">
        <v>260</v>
      </c>
      <c r="C122" s="229" t="s">
        <v>488</v>
      </c>
      <c r="D122" s="230"/>
      <c r="E122" s="230"/>
      <c r="F122" s="231"/>
      <c r="G122" s="82" t="s">
        <v>716</v>
      </c>
      <c r="H122" s="88">
        <v>621.8</v>
      </c>
      <c r="I122" s="88">
        <v>0</v>
      </c>
      <c r="J122" s="88">
        <f>H122*AO122</f>
        <v>0</v>
      </c>
      <c r="K122" s="88">
        <f>H122*AP122</f>
        <v>0</v>
      </c>
      <c r="L122" s="88">
        <f>H122*I122</f>
        <v>0</v>
      </c>
      <c r="M122" s="78" t="s">
        <v>732</v>
      </c>
      <c r="N122" s="72"/>
      <c r="Z122" s="64">
        <f>IF(AQ122="5",BJ122,0)</f>
        <v>0</v>
      </c>
      <c r="AB122" s="64">
        <f>IF(AQ122="1",BH122,0)</f>
        <v>0</v>
      </c>
      <c r="AC122" s="64">
        <f>IF(AQ122="1",BI122,0)</f>
        <v>0</v>
      </c>
      <c r="AD122" s="64">
        <f>IF(AQ122="7",BH122,0)</f>
        <v>0</v>
      </c>
      <c r="AE122" s="64">
        <f>IF(AQ122="7",BI122,0)</f>
        <v>0</v>
      </c>
      <c r="AF122" s="64">
        <f>IF(AQ122="2",BH122,0)</f>
        <v>0</v>
      </c>
      <c r="AG122" s="64">
        <f>IF(AQ122="2",BI122,0)</f>
        <v>0</v>
      </c>
      <c r="AH122" s="64">
        <f>IF(AQ122="0",BJ122,0)</f>
        <v>0</v>
      </c>
      <c r="AI122" s="63"/>
      <c r="AJ122" s="49">
        <f>IF(AN122=0,L122,0)</f>
        <v>0</v>
      </c>
      <c r="AK122" s="49">
        <f>IF(AN122=15,L122,0)</f>
        <v>0</v>
      </c>
      <c r="AL122" s="49">
        <f>IF(AN122=21,L122,0)</f>
        <v>0</v>
      </c>
      <c r="AN122" s="64">
        <v>15</v>
      </c>
      <c r="AO122" s="64">
        <f>I122*0</f>
        <v>0</v>
      </c>
      <c r="AP122" s="64">
        <f>I122*(1-0)</f>
        <v>0</v>
      </c>
      <c r="AQ122" s="65" t="s">
        <v>74</v>
      </c>
      <c r="AV122" s="64">
        <f>AW122+AX122</f>
        <v>0</v>
      </c>
      <c r="AW122" s="64">
        <f>H122*AO122</f>
        <v>0</v>
      </c>
      <c r="AX122" s="64">
        <f>H122*AP122</f>
        <v>0</v>
      </c>
      <c r="AY122" s="67" t="s">
        <v>748</v>
      </c>
      <c r="AZ122" s="67" t="s">
        <v>769</v>
      </c>
      <c r="BA122" s="63" t="s">
        <v>775</v>
      </c>
      <c r="BC122" s="64">
        <f>AW122+AX122</f>
        <v>0</v>
      </c>
      <c r="BD122" s="64">
        <f>I122/(100-BE122)*100</f>
        <v>0</v>
      </c>
      <c r="BE122" s="64">
        <v>0</v>
      </c>
      <c r="BF122" s="64">
        <f>122</f>
        <v>122</v>
      </c>
      <c r="BH122" s="49">
        <f>H122*AO122</f>
        <v>0</v>
      </c>
      <c r="BI122" s="49">
        <f>H122*AP122</f>
        <v>0</v>
      </c>
      <c r="BJ122" s="49">
        <f>H122*I122</f>
        <v>0</v>
      </c>
      <c r="BK122" s="49" t="s">
        <v>780</v>
      </c>
      <c r="BL122" s="64">
        <v>62</v>
      </c>
    </row>
    <row r="123" spans="1:14" ht="12.75">
      <c r="A123" s="90"/>
      <c r="B123" s="91"/>
      <c r="C123" s="84" t="s">
        <v>489</v>
      </c>
      <c r="F123" s="92"/>
      <c r="G123" s="91"/>
      <c r="H123" s="93">
        <v>0</v>
      </c>
      <c r="I123" s="91"/>
      <c r="J123" s="91"/>
      <c r="K123" s="91"/>
      <c r="L123" s="91"/>
      <c r="M123" s="80"/>
      <c r="N123" s="72"/>
    </row>
    <row r="124" spans="1:14" ht="12.75">
      <c r="A124" s="90"/>
      <c r="B124" s="91"/>
      <c r="C124" s="84" t="s">
        <v>490</v>
      </c>
      <c r="F124" s="92"/>
      <c r="G124" s="91"/>
      <c r="H124" s="93">
        <v>433.8</v>
      </c>
      <c r="I124" s="91"/>
      <c r="J124" s="91"/>
      <c r="K124" s="91"/>
      <c r="L124" s="91"/>
      <c r="M124" s="80"/>
      <c r="N124" s="72"/>
    </row>
    <row r="125" spans="1:14" ht="12.75">
      <c r="A125" s="90"/>
      <c r="B125" s="91"/>
      <c r="C125" s="84" t="s">
        <v>491</v>
      </c>
      <c r="F125" s="92"/>
      <c r="G125" s="91"/>
      <c r="H125" s="93">
        <v>63</v>
      </c>
      <c r="I125" s="91"/>
      <c r="J125" s="91"/>
      <c r="K125" s="91"/>
      <c r="L125" s="91"/>
      <c r="M125" s="80"/>
      <c r="N125" s="72"/>
    </row>
    <row r="126" spans="1:14" ht="12.75">
      <c r="A126" s="90"/>
      <c r="B126" s="91"/>
      <c r="C126" s="84" t="s">
        <v>492</v>
      </c>
      <c r="F126" s="92"/>
      <c r="G126" s="91"/>
      <c r="H126" s="93">
        <v>0</v>
      </c>
      <c r="I126" s="91"/>
      <c r="J126" s="91"/>
      <c r="K126" s="91"/>
      <c r="L126" s="91"/>
      <c r="M126" s="80"/>
      <c r="N126" s="72"/>
    </row>
    <row r="127" spans="1:14" ht="12.75">
      <c r="A127" s="90"/>
      <c r="B127" s="91"/>
      <c r="C127" s="84" t="s">
        <v>493</v>
      </c>
      <c r="F127" s="92"/>
      <c r="G127" s="91"/>
      <c r="H127" s="93">
        <v>35.6</v>
      </c>
      <c r="I127" s="91"/>
      <c r="J127" s="91"/>
      <c r="K127" s="91"/>
      <c r="L127" s="91"/>
      <c r="M127" s="80"/>
      <c r="N127" s="72"/>
    </row>
    <row r="128" spans="1:14" ht="12.75">
      <c r="A128" s="90"/>
      <c r="B128" s="91"/>
      <c r="C128" s="84" t="s">
        <v>494</v>
      </c>
      <c r="F128" s="92"/>
      <c r="G128" s="91"/>
      <c r="H128" s="93">
        <v>0</v>
      </c>
      <c r="I128" s="91"/>
      <c r="J128" s="91"/>
      <c r="K128" s="91"/>
      <c r="L128" s="91"/>
      <c r="M128" s="80"/>
      <c r="N128" s="72"/>
    </row>
    <row r="129" spans="1:14" ht="12.75">
      <c r="A129" s="90"/>
      <c r="B129" s="91"/>
      <c r="C129" s="84" t="s">
        <v>495</v>
      </c>
      <c r="F129" s="92"/>
      <c r="G129" s="91"/>
      <c r="H129" s="93">
        <v>89.4</v>
      </c>
      <c r="I129" s="91"/>
      <c r="J129" s="91"/>
      <c r="K129" s="91"/>
      <c r="L129" s="91"/>
      <c r="M129" s="80"/>
      <c r="N129" s="72"/>
    </row>
    <row r="130" spans="1:64" ht="12.75">
      <c r="A130" s="120" t="s">
        <v>109</v>
      </c>
      <c r="B130" s="120" t="s">
        <v>261</v>
      </c>
      <c r="C130" s="243" t="s">
        <v>496</v>
      </c>
      <c r="D130" s="238"/>
      <c r="E130" s="238"/>
      <c r="F130" s="242"/>
      <c r="G130" s="120" t="s">
        <v>716</v>
      </c>
      <c r="H130" s="129">
        <v>674.94</v>
      </c>
      <c r="I130" s="129">
        <v>0</v>
      </c>
      <c r="J130" s="129">
        <f>H130*AO130</f>
        <v>0</v>
      </c>
      <c r="K130" s="129">
        <f>H130*AP130</f>
        <v>0</v>
      </c>
      <c r="L130" s="129">
        <f>H130*I130</f>
        <v>0</v>
      </c>
      <c r="M130" s="115" t="s">
        <v>732</v>
      </c>
      <c r="N130" s="72"/>
      <c r="Z130" s="64">
        <f>IF(AQ130="5",BJ130,0)</f>
        <v>0</v>
      </c>
      <c r="AB130" s="64">
        <f>IF(AQ130="1",BH130,0)</f>
        <v>0</v>
      </c>
      <c r="AC130" s="64">
        <f>IF(AQ130="1",BI130,0)</f>
        <v>0</v>
      </c>
      <c r="AD130" s="64">
        <f>IF(AQ130="7",BH130,0)</f>
        <v>0</v>
      </c>
      <c r="AE130" s="64">
        <f>IF(AQ130="7",BI130,0)</f>
        <v>0</v>
      </c>
      <c r="AF130" s="64">
        <f>IF(AQ130="2",BH130,0)</f>
        <v>0</v>
      </c>
      <c r="AG130" s="64">
        <f>IF(AQ130="2",BI130,0)</f>
        <v>0</v>
      </c>
      <c r="AH130" s="64">
        <f>IF(AQ130="0",BJ130,0)</f>
        <v>0</v>
      </c>
      <c r="AI130" s="63"/>
      <c r="AJ130" s="51">
        <f>IF(AN130=0,L130,0)</f>
        <v>0</v>
      </c>
      <c r="AK130" s="51">
        <f>IF(AN130=15,L130,0)</f>
        <v>0</v>
      </c>
      <c r="AL130" s="51">
        <f>IF(AN130=21,L130,0)</f>
        <v>0</v>
      </c>
      <c r="AN130" s="64">
        <v>15</v>
      </c>
      <c r="AO130" s="64">
        <f>I130*1</f>
        <v>0</v>
      </c>
      <c r="AP130" s="64">
        <f>I130*(1-1)</f>
        <v>0</v>
      </c>
      <c r="AQ130" s="66" t="s">
        <v>74</v>
      </c>
      <c r="AV130" s="64">
        <f>AW130+AX130</f>
        <v>0</v>
      </c>
      <c r="AW130" s="64">
        <f>H130*AO130</f>
        <v>0</v>
      </c>
      <c r="AX130" s="64">
        <f>H130*AP130</f>
        <v>0</v>
      </c>
      <c r="AY130" s="67" t="s">
        <v>748</v>
      </c>
      <c r="AZ130" s="67" t="s">
        <v>769</v>
      </c>
      <c r="BA130" s="63" t="s">
        <v>775</v>
      </c>
      <c r="BC130" s="64">
        <f>AW130+AX130</f>
        <v>0</v>
      </c>
      <c r="BD130" s="64">
        <f>I130/(100-BE130)*100</f>
        <v>0</v>
      </c>
      <c r="BE130" s="64">
        <v>0</v>
      </c>
      <c r="BF130" s="64">
        <f>130</f>
        <v>130</v>
      </c>
      <c r="BH130" s="51">
        <f>H130*AO130</f>
        <v>0</v>
      </c>
      <c r="BI130" s="51">
        <f>H130*AP130</f>
        <v>0</v>
      </c>
      <c r="BJ130" s="51">
        <f>H130*I130</f>
        <v>0</v>
      </c>
      <c r="BK130" s="51" t="s">
        <v>781</v>
      </c>
      <c r="BL130" s="64">
        <v>62</v>
      </c>
    </row>
    <row r="131" spans="1:14" ht="12.75">
      <c r="A131" s="132"/>
      <c r="B131" s="133"/>
      <c r="C131" s="124" t="s">
        <v>497</v>
      </c>
      <c r="F131" s="134"/>
      <c r="G131" s="133"/>
      <c r="H131" s="135">
        <v>674.94</v>
      </c>
      <c r="I131" s="133"/>
      <c r="J131" s="133"/>
      <c r="K131" s="133"/>
      <c r="L131" s="133"/>
      <c r="M131" s="118"/>
      <c r="N131" s="72"/>
    </row>
    <row r="132" spans="1:64" ht="12.75">
      <c r="A132" s="75" t="s">
        <v>110</v>
      </c>
      <c r="B132" s="75" t="s">
        <v>262</v>
      </c>
      <c r="C132" s="240" t="s">
        <v>498</v>
      </c>
      <c r="D132" s="230"/>
      <c r="E132" s="230"/>
      <c r="F132" s="234"/>
      <c r="G132" s="75" t="s">
        <v>714</v>
      </c>
      <c r="H132" s="76">
        <v>812.1</v>
      </c>
      <c r="I132" s="76">
        <v>0</v>
      </c>
      <c r="J132" s="76">
        <f>H132*AO132</f>
        <v>0</v>
      </c>
      <c r="K132" s="76">
        <f>H132*AP132</f>
        <v>0</v>
      </c>
      <c r="L132" s="76">
        <f>H132*I132</f>
        <v>0</v>
      </c>
      <c r="M132" s="79" t="s">
        <v>732</v>
      </c>
      <c r="N132" s="72"/>
      <c r="Z132" s="64">
        <f>IF(AQ132="5",BJ132,0)</f>
        <v>0</v>
      </c>
      <c r="AB132" s="64">
        <f>IF(AQ132="1",BH132,0)</f>
        <v>0</v>
      </c>
      <c r="AC132" s="64">
        <f>IF(AQ132="1",BI132,0)</f>
        <v>0</v>
      </c>
      <c r="AD132" s="64">
        <f>IF(AQ132="7",BH132,0)</f>
        <v>0</v>
      </c>
      <c r="AE132" s="64">
        <f>IF(AQ132="7",BI132,0)</f>
        <v>0</v>
      </c>
      <c r="AF132" s="64">
        <f>IF(AQ132="2",BH132,0)</f>
        <v>0</v>
      </c>
      <c r="AG132" s="64">
        <f>IF(AQ132="2",BI132,0)</f>
        <v>0</v>
      </c>
      <c r="AH132" s="64">
        <f>IF(AQ132="0",BJ132,0)</f>
        <v>0</v>
      </c>
      <c r="AI132" s="63"/>
      <c r="AJ132" s="49">
        <f>IF(AN132=0,L132,0)</f>
        <v>0</v>
      </c>
      <c r="AK132" s="49">
        <f>IF(AN132=15,L132,0)</f>
        <v>0</v>
      </c>
      <c r="AL132" s="49">
        <f>IF(AN132=21,L132,0)</f>
        <v>0</v>
      </c>
      <c r="AN132" s="64">
        <v>15</v>
      </c>
      <c r="AO132" s="64">
        <f>I132*0</f>
        <v>0</v>
      </c>
      <c r="AP132" s="64">
        <f>I132*(1-0)</f>
        <v>0</v>
      </c>
      <c r="AQ132" s="65" t="s">
        <v>74</v>
      </c>
      <c r="AV132" s="64">
        <f>AW132+AX132</f>
        <v>0</v>
      </c>
      <c r="AW132" s="64">
        <f>H132*AO132</f>
        <v>0</v>
      </c>
      <c r="AX132" s="64">
        <f>H132*AP132</f>
        <v>0</v>
      </c>
      <c r="AY132" s="67" t="s">
        <v>748</v>
      </c>
      <c r="AZ132" s="67" t="s">
        <v>769</v>
      </c>
      <c r="BA132" s="63" t="s">
        <v>775</v>
      </c>
      <c r="BC132" s="64">
        <f>AW132+AX132</f>
        <v>0</v>
      </c>
      <c r="BD132" s="64">
        <f>I132/(100-BE132)*100</f>
        <v>0</v>
      </c>
      <c r="BE132" s="64">
        <v>0</v>
      </c>
      <c r="BF132" s="64">
        <f>132</f>
        <v>132</v>
      </c>
      <c r="BH132" s="49">
        <f>H132*AO132</f>
        <v>0</v>
      </c>
      <c r="BI132" s="49">
        <f>H132*AP132</f>
        <v>0</v>
      </c>
      <c r="BJ132" s="49">
        <f>H132*I132</f>
        <v>0</v>
      </c>
      <c r="BK132" s="49" t="s">
        <v>780</v>
      </c>
      <c r="BL132" s="64">
        <v>62</v>
      </c>
    </row>
    <row r="133" spans="1:64" ht="12.75">
      <c r="A133" s="36" t="s">
        <v>111</v>
      </c>
      <c r="B133" s="43" t="s">
        <v>263</v>
      </c>
      <c r="C133" s="253" t="s">
        <v>499</v>
      </c>
      <c r="D133" s="238"/>
      <c r="E133" s="238"/>
      <c r="F133" s="238"/>
      <c r="G133" s="43" t="s">
        <v>715</v>
      </c>
      <c r="H133" s="51">
        <v>4872.6</v>
      </c>
      <c r="I133" s="51">
        <v>0</v>
      </c>
      <c r="J133" s="51">
        <f>H133*AO133</f>
        <v>0</v>
      </c>
      <c r="K133" s="51">
        <f>H133*AP133</f>
        <v>0</v>
      </c>
      <c r="L133" s="51">
        <f>H133*I133</f>
        <v>0</v>
      </c>
      <c r="M133" s="62" t="s">
        <v>732</v>
      </c>
      <c r="N133" s="18"/>
      <c r="Z133" s="64">
        <f>IF(AQ133="5",BJ133,0)</f>
        <v>0</v>
      </c>
      <c r="AB133" s="64">
        <f>IF(AQ133="1",BH133,0)</f>
        <v>0</v>
      </c>
      <c r="AC133" s="64">
        <f>IF(AQ133="1",BI133,0)</f>
        <v>0</v>
      </c>
      <c r="AD133" s="64">
        <f>IF(AQ133="7",BH133,0)</f>
        <v>0</v>
      </c>
      <c r="AE133" s="64">
        <f>IF(AQ133="7",BI133,0)</f>
        <v>0</v>
      </c>
      <c r="AF133" s="64">
        <f>IF(AQ133="2",BH133,0)</f>
        <v>0</v>
      </c>
      <c r="AG133" s="64">
        <f>IF(AQ133="2",BI133,0)</f>
        <v>0</v>
      </c>
      <c r="AH133" s="64">
        <f>IF(AQ133="0",BJ133,0)</f>
        <v>0</v>
      </c>
      <c r="AI133" s="63"/>
      <c r="AJ133" s="51">
        <f>IF(AN133=0,L133,0)</f>
        <v>0</v>
      </c>
      <c r="AK133" s="51">
        <f>IF(AN133=15,L133,0)</f>
        <v>0</v>
      </c>
      <c r="AL133" s="51">
        <f>IF(AN133=21,L133,0)</f>
        <v>0</v>
      </c>
      <c r="AN133" s="64">
        <v>15</v>
      </c>
      <c r="AO133" s="64">
        <f>I133*1</f>
        <v>0</v>
      </c>
      <c r="AP133" s="64">
        <f>I133*(1-1)</f>
        <v>0</v>
      </c>
      <c r="AQ133" s="66" t="s">
        <v>74</v>
      </c>
      <c r="AV133" s="64">
        <f>AW133+AX133</f>
        <v>0</v>
      </c>
      <c r="AW133" s="64">
        <f>H133*AO133</f>
        <v>0</v>
      </c>
      <c r="AX133" s="64">
        <f>H133*AP133</f>
        <v>0</v>
      </c>
      <c r="AY133" s="67" t="s">
        <v>748</v>
      </c>
      <c r="AZ133" s="67" t="s">
        <v>769</v>
      </c>
      <c r="BA133" s="63" t="s">
        <v>775</v>
      </c>
      <c r="BC133" s="64">
        <f>AW133+AX133</f>
        <v>0</v>
      </c>
      <c r="BD133" s="64">
        <f>I133/(100-BE133)*100</f>
        <v>0</v>
      </c>
      <c r="BE133" s="64">
        <v>0</v>
      </c>
      <c r="BF133" s="64">
        <f>133</f>
        <v>133</v>
      </c>
      <c r="BH133" s="51">
        <f>H133*AO133</f>
        <v>0</v>
      </c>
      <c r="BI133" s="51">
        <f>H133*AP133</f>
        <v>0</v>
      </c>
      <c r="BJ133" s="51">
        <f>H133*I133</f>
        <v>0</v>
      </c>
      <c r="BK133" s="51" t="s">
        <v>781</v>
      </c>
      <c r="BL133" s="64">
        <v>62</v>
      </c>
    </row>
    <row r="134" spans="1:14" ht="12.75">
      <c r="A134" s="18"/>
      <c r="C134" s="44" t="s">
        <v>500</v>
      </c>
      <c r="F134" s="45"/>
      <c r="H134" s="50">
        <v>4872.6</v>
      </c>
      <c r="M134" s="16"/>
      <c r="N134" s="18"/>
    </row>
    <row r="135" spans="1:64" ht="12.75">
      <c r="A135" s="82" t="s">
        <v>112</v>
      </c>
      <c r="B135" s="82" t="s">
        <v>264</v>
      </c>
      <c r="C135" s="229" t="s">
        <v>501</v>
      </c>
      <c r="D135" s="230"/>
      <c r="E135" s="230"/>
      <c r="F135" s="231"/>
      <c r="G135" s="82" t="s">
        <v>716</v>
      </c>
      <c r="H135" s="88">
        <v>126.9</v>
      </c>
      <c r="I135" s="88">
        <v>0</v>
      </c>
      <c r="J135" s="88">
        <f>H135*AO135</f>
        <v>0</v>
      </c>
      <c r="K135" s="88">
        <f>H135*AP135</f>
        <v>0</v>
      </c>
      <c r="L135" s="88">
        <f>H135*I135</f>
        <v>0</v>
      </c>
      <c r="M135" s="78" t="s">
        <v>732</v>
      </c>
      <c r="N135" s="72"/>
      <c r="Z135" s="64">
        <f>IF(AQ135="5",BJ135,0)</f>
        <v>0</v>
      </c>
      <c r="AB135" s="64">
        <f>IF(AQ135="1",BH135,0)</f>
        <v>0</v>
      </c>
      <c r="AC135" s="64">
        <f>IF(AQ135="1",BI135,0)</f>
        <v>0</v>
      </c>
      <c r="AD135" s="64">
        <f>IF(AQ135="7",BH135,0)</f>
        <v>0</v>
      </c>
      <c r="AE135" s="64">
        <f>IF(AQ135="7",BI135,0)</f>
        <v>0</v>
      </c>
      <c r="AF135" s="64">
        <f>IF(AQ135="2",BH135,0)</f>
        <v>0</v>
      </c>
      <c r="AG135" s="64">
        <f>IF(AQ135="2",BI135,0)</f>
        <v>0</v>
      </c>
      <c r="AH135" s="64">
        <f>IF(AQ135="0",BJ135,0)</f>
        <v>0</v>
      </c>
      <c r="AI135" s="63"/>
      <c r="AJ135" s="49">
        <f>IF(AN135=0,L135,0)</f>
        <v>0</v>
      </c>
      <c r="AK135" s="49">
        <f>IF(AN135=15,L135,0)</f>
        <v>0</v>
      </c>
      <c r="AL135" s="49">
        <f>IF(AN135=21,L135,0)</f>
        <v>0</v>
      </c>
      <c r="AN135" s="64">
        <v>15</v>
      </c>
      <c r="AO135" s="64">
        <f>I135*0.238019801980198</f>
        <v>0</v>
      </c>
      <c r="AP135" s="64">
        <f>I135*(1-0.238019801980198)</f>
        <v>0</v>
      </c>
      <c r="AQ135" s="65" t="s">
        <v>74</v>
      </c>
      <c r="AV135" s="64">
        <f>AW135+AX135</f>
        <v>0</v>
      </c>
      <c r="AW135" s="64">
        <f>H135*AO135</f>
        <v>0</v>
      </c>
      <c r="AX135" s="64">
        <f>H135*AP135</f>
        <v>0</v>
      </c>
      <c r="AY135" s="67" t="s">
        <v>748</v>
      </c>
      <c r="AZ135" s="67" t="s">
        <v>769</v>
      </c>
      <c r="BA135" s="63" t="s">
        <v>775</v>
      </c>
      <c r="BC135" s="64">
        <f>AW135+AX135</f>
        <v>0</v>
      </c>
      <c r="BD135" s="64">
        <f>I135/(100-BE135)*100</f>
        <v>0</v>
      </c>
      <c r="BE135" s="64">
        <v>0</v>
      </c>
      <c r="BF135" s="64">
        <f>135</f>
        <v>135</v>
      </c>
      <c r="BH135" s="49">
        <f>H135*AO135</f>
        <v>0</v>
      </c>
      <c r="BI135" s="49">
        <f>H135*AP135</f>
        <v>0</v>
      </c>
      <c r="BJ135" s="49">
        <f>H135*I135</f>
        <v>0</v>
      </c>
      <c r="BK135" s="49" t="s">
        <v>780</v>
      </c>
      <c r="BL135" s="64">
        <v>62</v>
      </c>
    </row>
    <row r="136" spans="1:14" ht="12.75">
      <c r="A136" s="90"/>
      <c r="B136" s="91"/>
      <c r="C136" s="84" t="s">
        <v>502</v>
      </c>
      <c r="F136" s="92"/>
      <c r="G136" s="91"/>
      <c r="H136" s="93">
        <v>126.9</v>
      </c>
      <c r="I136" s="91"/>
      <c r="J136" s="91"/>
      <c r="K136" s="91"/>
      <c r="L136" s="91"/>
      <c r="M136" s="80"/>
      <c r="N136" s="72"/>
    </row>
    <row r="137" spans="1:64" ht="12.75">
      <c r="A137" s="82" t="s">
        <v>113</v>
      </c>
      <c r="B137" s="82" t="s">
        <v>265</v>
      </c>
      <c r="C137" s="229" t="s">
        <v>503</v>
      </c>
      <c r="D137" s="230"/>
      <c r="E137" s="230"/>
      <c r="F137" s="231"/>
      <c r="G137" s="82" t="s">
        <v>714</v>
      </c>
      <c r="H137" s="88">
        <v>53.64</v>
      </c>
      <c r="I137" s="88">
        <v>0</v>
      </c>
      <c r="J137" s="88">
        <f>H137*AO137</f>
        <v>0</v>
      </c>
      <c r="K137" s="88">
        <f>H137*AP137</f>
        <v>0</v>
      </c>
      <c r="L137" s="88">
        <f>H137*I137</f>
        <v>0</v>
      </c>
      <c r="M137" s="78" t="s">
        <v>732</v>
      </c>
      <c r="N137" s="72"/>
      <c r="Z137" s="64">
        <f>IF(AQ137="5",BJ137,0)</f>
        <v>0</v>
      </c>
      <c r="AB137" s="64">
        <f>IF(AQ137="1",BH137,0)</f>
        <v>0</v>
      </c>
      <c r="AC137" s="64">
        <f>IF(AQ137="1",BI137,0)</f>
        <v>0</v>
      </c>
      <c r="AD137" s="64">
        <f>IF(AQ137="7",BH137,0)</f>
        <v>0</v>
      </c>
      <c r="AE137" s="64">
        <f>IF(AQ137="7",BI137,0)</f>
        <v>0</v>
      </c>
      <c r="AF137" s="64">
        <f>IF(AQ137="2",BH137,0)</f>
        <v>0</v>
      </c>
      <c r="AG137" s="64">
        <f>IF(AQ137="2",BI137,0)</f>
        <v>0</v>
      </c>
      <c r="AH137" s="64">
        <f>IF(AQ137="0",BJ137,0)</f>
        <v>0</v>
      </c>
      <c r="AI137" s="63"/>
      <c r="AJ137" s="49">
        <f>IF(AN137=0,L137,0)</f>
        <v>0</v>
      </c>
      <c r="AK137" s="49">
        <f>IF(AN137=15,L137,0)</f>
        <v>0</v>
      </c>
      <c r="AL137" s="49">
        <f>IF(AN137=21,L137,0)</f>
        <v>0</v>
      </c>
      <c r="AN137" s="64">
        <v>15</v>
      </c>
      <c r="AO137" s="64">
        <f>I137*0.22199649737303</f>
        <v>0</v>
      </c>
      <c r="AP137" s="64">
        <f>I137*(1-0.22199649737303)</f>
        <v>0</v>
      </c>
      <c r="AQ137" s="65" t="s">
        <v>74</v>
      </c>
      <c r="AV137" s="64">
        <f>AW137+AX137</f>
        <v>0</v>
      </c>
      <c r="AW137" s="64">
        <f>H137*AO137</f>
        <v>0</v>
      </c>
      <c r="AX137" s="64">
        <f>H137*AP137</f>
        <v>0</v>
      </c>
      <c r="AY137" s="67" t="s">
        <v>748</v>
      </c>
      <c r="AZ137" s="67" t="s">
        <v>769</v>
      </c>
      <c r="BA137" s="63" t="s">
        <v>775</v>
      </c>
      <c r="BC137" s="64">
        <f>AW137+AX137</f>
        <v>0</v>
      </c>
      <c r="BD137" s="64">
        <f>I137/(100-BE137)*100</f>
        <v>0</v>
      </c>
      <c r="BE137" s="64">
        <v>0</v>
      </c>
      <c r="BF137" s="64">
        <f>137</f>
        <v>137</v>
      </c>
      <c r="BH137" s="49">
        <f>H137*AO137</f>
        <v>0</v>
      </c>
      <c r="BI137" s="49">
        <f>H137*AP137</f>
        <v>0</v>
      </c>
      <c r="BJ137" s="49">
        <f>H137*I137</f>
        <v>0</v>
      </c>
      <c r="BK137" s="49" t="s">
        <v>780</v>
      </c>
      <c r="BL137" s="64">
        <v>62</v>
      </c>
    </row>
    <row r="138" spans="1:14" ht="12.75">
      <c r="A138" s="90"/>
      <c r="B138" s="91"/>
      <c r="C138" s="84" t="s">
        <v>494</v>
      </c>
      <c r="F138" s="92"/>
      <c r="G138" s="91"/>
      <c r="H138" s="93">
        <v>0</v>
      </c>
      <c r="I138" s="91"/>
      <c r="J138" s="91"/>
      <c r="K138" s="91"/>
      <c r="L138" s="91"/>
      <c r="M138" s="80"/>
      <c r="N138" s="72"/>
    </row>
    <row r="139" spans="1:14" ht="12.75">
      <c r="A139" s="90"/>
      <c r="B139" s="91"/>
      <c r="C139" s="84" t="s">
        <v>504</v>
      </c>
      <c r="F139" s="92"/>
      <c r="G139" s="91"/>
      <c r="H139" s="93">
        <v>53.64</v>
      </c>
      <c r="I139" s="91"/>
      <c r="J139" s="91"/>
      <c r="K139" s="91"/>
      <c r="L139" s="91"/>
      <c r="M139" s="80"/>
      <c r="N139" s="72"/>
    </row>
    <row r="140" spans="1:64" ht="12.75">
      <c r="A140" s="82" t="s">
        <v>114</v>
      </c>
      <c r="B140" s="82" t="s">
        <v>266</v>
      </c>
      <c r="C140" s="229" t="s">
        <v>505</v>
      </c>
      <c r="D140" s="230"/>
      <c r="E140" s="230"/>
      <c r="F140" s="231"/>
      <c r="G140" s="82" t="s">
        <v>714</v>
      </c>
      <c r="H140" s="88">
        <v>53.64</v>
      </c>
      <c r="I140" s="88">
        <v>0</v>
      </c>
      <c r="J140" s="88">
        <f>H140*AO140</f>
        <v>0</v>
      </c>
      <c r="K140" s="88">
        <f>H140*AP140</f>
        <v>0</v>
      </c>
      <c r="L140" s="88">
        <f>H140*I140</f>
        <v>0</v>
      </c>
      <c r="M140" s="78" t="s">
        <v>732</v>
      </c>
      <c r="N140" s="72"/>
      <c r="Z140" s="64">
        <f>IF(AQ140="5",BJ140,0)</f>
        <v>0</v>
      </c>
      <c r="AB140" s="64">
        <f>IF(AQ140="1",BH140,0)</f>
        <v>0</v>
      </c>
      <c r="AC140" s="64">
        <f>IF(AQ140="1",BI140,0)</f>
        <v>0</v>
      </c>
      <c r="AD140" s="64">
        <f>IF(AQ140="7",BH140,0)</f>
        <v>0</v>
      </c>
      <c r="AE140" s="64">
        <f>IF(AQ140="7",BI140,0)</f>
        <v>0</v>
      </c>
      <c r="AF140" s="64">
        <f>IF(AQ140="2",BH140,0)</f>
        <v>0</v>
      </c>
      <c r="AG140" s="64">
        <f>IF(AQ140="2",BI140,0)</f>
        <v>0</v>
      </c>
      <c r="AH140" s="64">
        <f>IF(AQ140="0",BJ140,0)</f>
        <v>0</v>
      </c>
      <c r="AI140" s="63"/>
      <c r="AJ140" s="49">
        <f>IF(AN140=0,L140,0)</f>
        <v>0</v>
      </c>
      <c r="AK140" s="49">
        <f>IF(AN140=15,L140,0)</f>
        <v>0</v>
      </c>
      <c r="AL140" s="49">
        <f>IF(AN140=21,L140,0)</f>
        <v>0</v>
      </c>
      <c r="AN140" s="64">
        <v>15</v>
      </c>
      <c r="AO140" s="64">
        <f>I140*0.515845302548958</f>
        <v>0</v>
      </c>
      <c r="AP140" s="64">
        <f>I140*(1-0.515845302548958)</f>
        <v>0</v>
      </c>
      <c r="AQ140" s="65" t="s">
        <v>74</v>
      </c>
      <c r="AV140" s="64">
        <f>AW140+AX140</f>
        <v>0</v>
      </c>
      <c r="AW140" s="64">
        <f>H140*AO140</f>
        <v>0</v>
      </c>
      <c r="AX140" s="64">
        <f>H140*AP140</f>
        <v>0</v>
      </c>
      <c r="AY140" s="67" t="s">
        <v>748</v>
      </c>
      <c r="AZ140" s="67" t="s">
        <v>769</v>
      </c>
      <c r="BA140" s="63" t="s">
        <v>775</v>
      </c>
      <c r="BC140" s="64">
        <f>AW140+AX140</f>
        <v>0</v>
      </c>
      <c r="BD140" s="64">
        <f>I140/(100-BE140)*100</f>
        <v>0</v>
      </c>
      <c r="BE140" s="64">
        <v>0</v>
      </c>
      <c r="BF140" s="64">
        <f>140</f>
        <v>140</v>
      </c>
      <c r="BH140" s="49">
        <f>H140*AO140</f>
        <v>0</v>
      </c>
      <c r="BI140" s="49">
        <f>H140*AP140</f>
        <v>0</v>
      </c>
      <c r="BJ140" s="49">
        <f>H140*I140</f>
        <v>0</v>
      </c>
      <c r="BK140" s="49" t="s">
        <v>780</v>
      </c>
      <c r="BL140" s="64">
        <v>62</v>
      </c>
    </row>
    <row r="141" spans="1:14" ht="12.75">
      <c r="A141" s="83"/>
      <c r="B141" s="86"/>
      <c r="C141" s="85" t="s">
        <v>398</v>
      </c>
      <c r="F141" s="87"/>
      <c r="G141" s="86"/>
      <c r="H141" s="89">
        <v>53.64</v>
      </c>
      <c r="I141" s="86"/>
      <c r="J141" s="86"/>
      <c r="K141" s="86"/>
      <c r="L141" s="86"/>
      <c r="M141" s="81"/>
      <c r="N141" s="72"/>
    </row>
    <row r="142" spans="1:64" ht="12.75">
      <c r="A142" s="136" t="s">
        <v>115</v>
      </c>
      <c r="B142" s="137" t="s">
        <v>267</v>
      </c>
      <c r="C142" s="237" t="s">
        <v>506</v>
      </c>
      <c r="D142" s="238"/>
      <c r="E142" s="238"/>
      <c r="F142" s="238"/>
      <c r="G142" s="137" t="s">
        <v>717</v>
      </c>
      <c r="H142" s="138">
        <v>1</v>
      </c>
      <c r="I142" s="138">
        <v>0</v>
      </c>
      <c r="J142" s="138">
        <f>H142*AO142</f>
        <v>0</v>
      </c>
      <c r="K142" s="138">
        <f>H142*AP142</f>
        <v>0</v>
      </c>
      <c r="L142" s="138">
        <f>H142*I142</f>
        <v>0</v>
      </c>
      <c r="M142" s="139" t="s">
        <v>267</v>
      </c>
      <c r="N142" s="18"/>
      <c r="Z142" s="64">
        <f>IF(AQ142="5",BJ142,0)</f>
        <v>0</v>
      </c>
      <c r="AB142" s="64">
        <f>IF(AQ142="1",BH142,0)</f>
        <v>0</v>
      </c>
      <c r="AC142" s="64">
        <f>IF(AQ142="1",BI142,0)</f>
        <v>0</v>
      </c>
      <c r="AD142" s="64">
        <f>IF(AQ142="7",BH142,0)</f>
        <v>0</v>
      </c>
      <c r="AE142" s="64">
        <f>IF(AQ142="7",BI142,0)</f>
        <v>0</v>
      </c>
      <c r="AF142" s="64">
        <f>IF(AQ142="2",BH142,0)</f>
        <v>0</v>
      </c>
      <c r="AG142" s="64">
        <f>IF(AQ142="2",BI142,0)</f>
        <v>0</v>
      </c>
      <c r="AH142" s="64">
        <f>IF(AQ142="0",BJ142,0)</f>
        <v>0</v>
      </c>
      <c r="AI142" s="63"/>
      <c r="AJ142" s="51">
        <f>IF(AN142=0,L142,0)</f>
        <v>0</v>
      </c>
      <c r="AK142" s="51">
        <f>IF(AN142=15,L142,0)</f>
        <v>0</v>
      </c>
      <c r="AL142" s="51">
        <f>IF(AN142=21,L142,0)</f>
        <v>0</v>
      </c>
      <c r="AN142" s="64">
        <v>15</v>
      </c>
      <c r="AO142" s="64">
        <f>I142*1</f>
        <v>0</v>
      </c>
      <c r="AP142" s="64">
        <f>I142*(1-1)</f>
        <v>0</v>
      </c>
      <c r="AQ142" s="66" t="s">
        <v>74</v>
      </c>
      <c r="AV142" s="64">
        <f>AW142+AX142</f>
        <v>0</v>
      </c>
      <c r="AW142" s="64">
        <f>H142*AO142</f>
        <v>0</v>
      </c>
      <c r="AX142" s="64">
        <f>H142*AP142</f>
        <v>0</v>
      </c>
      <c r="AY142" s="67" t="s">
        <v>748</v>
      </c>
      <c r="AZ142" s="67" t="s">
        <v>769</v>
      </c>
      <c r="BA142" s="63" t="s">
        <v>775</v>
      </c>
      <c r="BC142" s="64">
        <f>AW142+AX142</f>
        <v>0</v>
      </c>
      <c r="BD142" s="64">
        <f>I142/(100-BE142)*100</f>
        <v>0</v>
      </c>
      <c r="BE142" s="64">
        <v>0</v>
      </c>
      <c r="BF142" s="64">
        <f>142</f>
        <v>142</v>
      </c>
      <c r="BH142" s="51">
        <f>H142*AO142</f>
        <v>0</v>
      </c>
      <c r="BI142" s="51">
        <f>H142*AP142</f>
        <v>0</v>
      </c>
      <c r="BJ142" s="51">
        <f>H142*I142</f>
        <v>0</v>
      </c>
      <c r="BK142" s="51" t="s">
        <v>781</v>
      </c>
      <c r="BL142" s="64">
        <v>62</v>
      </c>
    </row>
    <row r="143" spans="1:64" ht="12.75">
      <c r="A143" s="136" t="s">
        <v>116</v>
      </c>
      <c r="B143" s="137" t="s">
        <v>267</v>
      </c>
      <c r="C143" s="237" t="s">
        <v>507</v>
      </c>
      <c r="D143" s="238"/>
      <c r="E143" s="238"/>
      <c r="F143" s="238"/>
      <c r="G143" s="137" t="s">
        <v>717</v>
      </c>
      <c r="H143" s="138">
        <v>1</v>
      </c>
      <c r="I143" s="138">
        <v>0</v>
      </c>
      <c r="J143" s="138">
        <f>H143*AO143</f>
        <v>0</v>
      </c>
      <c r="K143" s="138">
        <f>H143*AP143</f>
        <v>0</v>
      </c>
      <c r="L143" s="138">
        <f>H143*I143</f>
        <v>0</v>
      </c>
      <c r="M143" s="139" t="s">
        <v>267</v>
      </c>
      <c r="N143" s="18"/>
      <c r="Z143" s="64">
        <f>IF(AQ143="5",BJ143,0)</f>
        <v>0</v>
      </c>
      <c r="AB143" s="64">
        <f>IF(AQ143="1",BH143,0)</f>
        <v>0</v>
      </c>
      <c r="AC143" s="64">
        <f>IF(AQ143="1",BI143,0)</f>
        <v>0</v>
      </c>
      <c r="AD143" s="64">
        <f>IF(AQ143="7",BH143,0)</f>
        <v>0</v>
      </c>
      <c r="AE143" s="64">
        <f>IF(AQ143="7",BI143,0)</f>
        <v>0</v>
      </c>
      <c r="AF143" s="64">
        <f>IF(AQ143="2",BH143,0)</f>
        <v>0</v>
      </c>
      <c r="AG143" s="64">
        <f>IF(AQ143="2",BI143,0)</f>
        <v>0</v>
      </c>
      <c r="AH143" s="64">
        <f>IF(AQ143="0",BJ143,0)</f>
        <v>0</v>
      </c>
      <c r="AI143" s="63"/>
      <c r="AJ143" s="51">
        <f>IF(AN143=0,L143,0)</f>
        <v>0</v>
      </c>
      <c r="AK143" s="51">
        <f>IF(AN143=15,L143,0)</f>
        <v>0</v>
      </c>
      <c r="AL143" s="51">
        <f>IF(AN143=21,L143,0)</f>
        <v>0</v>
      </c>
      <c r="AN143" s="64">
        <v>15</v>
      </c>
      <c r="AO143" s="64">
        <f>I143*1</f>
        <v>0</v>
      </c>
      <c r="AP143" s="64">
        <f>I143*(1-1)</f>
        <v>0</v>
      </c>
      <c r="AQ143" s="66" t="s">
        <v>74</v>
      </c>
      <c r="AV143" s="64">
        <f>AW143+AX143</f>
        <v>0</v>
      </c>
      <c r="AW143" s="64">
        <f>H143*AO143</f>
        <v>0</v>
      </c>
      <c r="AX143" s="64">
        <f>H143*AP143</f>
        <v>0</v>
      </c>
      <c r="AY143" s="67" t="s">
        <v>748</v>
      </c>
      <c r="AZ143" s="67" t="s">
        <v>769</v>
      </c>
      <c r="BA143" s="63" t="s">
        <v>775</v>
      </c>
      <c r="BC143" s="64">
        <f>AW143+AX143</f>
        <v>0</v>
      </c>
      <c r="BD143" s="64">
        <f>I143/(100-BE143)*100</f>
        <v>0</v>
      </c>
      <c r="BE143" s="64">
        <v>0</v>
      </c>
      <c r="BF143" s="64">
        <f>143</f>
        <v>143</v>
      </c>
      <c r="BH143" s="51">
        <f>H143*AO143</f>
        <v>0</v>
      </c>
      <c r="BI143" s="51">
        <f>H143*AP143</f>
        <v>0</v>
      </c>
      <c r="BJ143" s="51">
        <f>H143*I143</f>
        <v>0</v>
      </c>
      <c r="BK143" s="51" t="s">
        <v>781</v>
      </c>
      <c r="BL143" s="64">
        <v>62</v>
      </c>
    </row>
    <row r="144" spans="1:64" ht="12.75">
      <c r="A144" s="82" t="s">
        <v>117</v>
      </c>
      <c r="B144" s="82" t="s">
        <v>268</v>
      </c>
      <c r="C144" s="229" t="s">
        <v>508</v>
      </c>
      <c r="D144" s="230"/>
      <c r="E144" s="230"/>
      <c r="F144" s="231"/>
      <c r="G144" s="82" t="s">
        <v>714</v>
      </c>
      <c r="H144" s="88">
        <v>812.1</v>
      </c>
      <c r="I144" s="88">
        <v>0</v>
      </c>
      <c r="J144" s="88">
        <f>H144*AO144</f>
        <v>0</v>
      </c>
      <c r="K144" s="88">
        <f>H144*AP144</f>
        <v>0</v>
      </c>
      <c r="L144" s="88">
        <f>H144*I144</f>
        <v>0</v>
      </c>
      <c r="M144" s="78" t="s">
        <v>732</v>
      </c>
      <c r="N144" s="72"/>
      <c r="Z144" s="64">
        <f>IF(AQ144="5",BJ144,0)</f>
        <v>0</v>
      </c>
      <c r="AB144" s="64">
        <f>IF(AQ144="1",BH144,0)</f>
        <v>0</v>
      </c>
      <c r="AC144" s="64">
        <f>IF(AQ144="1",BI144,0)</f>
        <v>0</v>
      </c>
      <c r="AD144" s="64">
        <f>IF(AQ144="7",BH144,0)</f>
        <v>0</v>
      </c>
      <c r="AE144" s="64">
        <f>IF(AQ144="7",BI144,0)</f>
        <v>0</v>
      </c>
      <c r="AF144" s="64">
        <f>IF(AQ144="2",BH144,0)</f>
        <v>0</v>
      </c>
      <c r="AG144" s="64">
        <f>IF(AQ144="2",BI144,0)</f>
        <v>0</v>
      </c>
      <c r="AH144" s="64">
        <f>IF(AQ144="0",BJ144,0)</f>
        <v>0</v>
      </c>
      <c r="AI144" s="63"/>
      <c r="AJ144" s="49">
        <f>IF(AN144=0,L144,0)</f>
        <v>0</v>
      </c>
      <c r="AK144" s="49">
        <f>IF(AN144=15,L144,0)</f>
        <v>0</v>
      </c>
      <c r="AL144" s="49">
        <f>IF(AN144=21,L144,0)</f>
        <v>0</v>
      </c>
      <c r="AN144" s="64">
        <v>15</v>
      </c>
      <c r="AO144" s="64">
        <f>I144*0.112456234873158</f>
        <v>0</v>
      </c>
      <c r="AP144" s="64">
        <f>I144*(1-0.112456234873158)</f>
        <v>0</v>
      </c>
      <c r="AQ144" s="65" t="s">
        <v>74</v>
      </c>
      <c r="AV144" s="64">
        <f>AW144+AX144</f>
        <v>0</v>
      </c>
      <c r="AW144" s="64">
        <f>H144*AO144</f>
        <v>0</v>
      </c>
      <c r="AX144" s="64">
        <f>H144*AP144</f>
        <v>0</v>
      </c>
      <c r="AY144" s="67" t="s">
        <v>748</v>
      </c>
      <c r="AZ144" s="67" t="s">
        <v>769</v>
      </c>
      <c r="BA144" s="63" t="s">
        <v>775</v>
      </c>
      <c r="BC144" s="64">
        <f>AW144+AX144</f>
        <v>0</v>
      </c>
      <c r="BD144" s="64">
        <f>I144/(100-BE144)*100</f>
        <v>0</v>
      </c>
      <c r="BE144" s="64">
        <v>0</v>
      </c>
      <c r="BF144" s="64">
        <f>144</f>
        <v>144</v>
      </c>
      <c r="BH144" s="49">
        <f>H144*AO144</f>
        <v>0</v>
      </c>
      <c r="BI144" s="49">
        <f>H144*AP144</f>
        <v>0</v>
      </c>
      <c r="BJ144" s="49">
        <f>H144*I144</f>
        <v>0</v>
      </c>
      <c r="BK144" s="49" t="s">
        <v>780</v>
      </c>
      <c r="BL144" s="64">
        <v>62</v>
      </c>
    </row>
    <row r="145" spans="1:14" ht="12.75">
      <c r="A145" s="90"/>
      <c r="B145" s="91"/>
      <c r="C145" s="84" t="s">
        <v>509</v>
      </c>
      <c r="F145" s="92"/>
      <c r="G145" s="91"/>
      <c r="H145" s="93">
        <v>0</v>
      </c>
      <c r="I145" s="91"/>
      <c r="J145" s="91"/>
      <c r="K145" s="91"/>
      <c r="L145" s="91"/>
      <c r="M145" s="80"/>
      <c r="N145" s="72"/>
    </row>
    <row r="146" spans="1:14" ht="12.75">
      <c r="A146" s="90"/>
      <c r="B146" s="91"/>
      <c r="C146" s="84" t="s">
        <v>510</v>
      </c>
      <c r="F146" s="92"/>
      <c r="G146" s="91"/>
      <c r="H146" s="93">
        <v>812.1</v>
      </c>
      <c r="I146" s="91"/>
      <c r="J146" s="91"/>
      <c r="K146" s="91"/>
      <c r="L146" s="91"/>
      <c r="M146" s="80"/>
      <c r="N146" s="72"/>
    </row>
    <row r="147" spans="1:64" ht="12.75">
      <c r="A147" s="82" t="s">
        <v>118</v>
      </c>
      <c r="B147" s="82" t="s">
        <v>269</v>
      </c>
      <c r="C147" s="229" t="s">
        <v>511</v>
      </c>
      <c r="D147" s="230"/>
      <c r="E147" s="230"/>
      <c r="F147" s="231"/>
      <c r="G147" s="82" t="s">
        <v>714</v>
      </c>
      <c r="H147" s="88">
        <v>97.45</v>
      </c>
      <c r="I147" s="88">
        <v>0</v>
      </c>
      <c r="J147" s="88">
        <f>H147*AO147</f>
        <v>0</v>
      </c>
      <c r="K147" s="88">
        <f>H147*AP147</f>
        <v>0</v>
      </c>
      <c r="L147" s="88">
        <f>H147*I147</f>
        <v>0</v>
      </c>
      <c r="M147" s="78" t="s">
        <v>732</v>
      </c>
      <c r="N147" s="72"/>
      <c r="Z147" s="64">
        <f>IF(AQ147="5",BJ147,0)</f>
        <v>0</v>
      </c>
      <c r="AB147" s="64">
        <f>IF(AQ147="1",BH147,0)</f>
        <v>0</v>
      </c>
      <c r="AC147" s="64">
        <f>IF(AQ147="1",BI147,0)</f>
        <v>0</v>
      </c>
      <c r="AD147" s="64">
        <f>IF(AQ147="7",BH147,0)</f>
        <v>0</v>
      </c>
      <c r="AE147" s="64">
        <f>IF(AQ147="7",BI147,0)</f>
        <v>0</v>
      </c>
      <c r="AF147" s="64">
        <f>IF(AQ147="2",BH147,0)</f>
        <v>0</v>
      </c>
      <c r="AG147" s="64">
        <f>IF(AQ147="2",BI147,0)</f>
        <v>0</v>
      </c>
      <c r="AH147" s="64">
        <f>IF(AQ147="0",BJ147,0)</f>
        <v>0</v>
      </c>
      <c r="AI147" s="63"/>
      <c r="AJ147" s="49">
        <f>IF(AN147=0,L147,0)</f>
        <v>0</v>
      </c>
      <c r="AK147" s="49">
        <f>IF(AN147=15,L147,0)</f>
        <v>0</v>
      </c>
      <c r="AL147" s="49">
        <f>IF(AN147=21,L147,0)</f>
        <v>0</v>
      </c>
      <c r="AN147" s="64">
        <v>15</v>
      </c>
      <c r="AO147" s="64">
        <f>I147*0.235644228415938</f>
        <v>0</v>
      </c>
      <c r="AP147" s="64">
        <f>I147*(1-0.235644228415938)</f>
        <v>0</v>
      </c>
      <c r="AQ147" s="65" t="s">
        <v>74</v>
      </c>
      <c r="AV147" s="64">
        <f>AW147+AX147</f>
        <v>0</v>
      </c>
      <c r="AW147" s="64">
        <f>H147*AO147</f>
        <v>0</v>
      </c>
      <c r="AX147" s="64">
        <f>H147*AP147</f>
        <v>0</v>
      </c>
      <c r="AY147" s="67" t="s">
        <v>748</v>
      </c>
      <c r="AZ147" s="67" t="s">
        <v>769</v>
      </c>
      <c r="BA147" s="63" t="s">
        <v>775</v>
      </c>
      <c r="BC147" s="64">
        <f>AW147+AX147</f>
        <v>0</v>
      </c>
      <c r="BD147" s="64">
        <f>I147/(100-BE147)*100</f>
        <v>0</v>
      </c>
      <c r="BE147" s="64">
        <v>0</v>
      </c>
      <c r="BF147" s="64">
        <f>147</f>
        <v>147</v>
      </c>
      <c r="BH147" s="49">
        <f>H147*AO147</f>
        <v>0</v>
      </c>
      <c r="BI147" s="49">
        <f>H147*AP147</f>
        <v>0</v>
      </c>
      <c r="BJ147" s="49">
        <f>H147*I147</f>
        <v>0</v>
      </c>
      <c r="BK147" s="49" t="s">
        <v>780</v>
      </c>
      <c r="BL147" s="64">
        <v>62</v>
      </c>
    </row>
    <row r="148" spans="1:14" ht="12.75">
      <c r="A148" s="90"/>
      <c r="B148" s="91"/>
      <c r="C148" s="84" t="s">
        <v>512</v>
      </c>
      <c r="F148" s="92"/>
      <c r="G148" s="91"/>
      <c r="H148" s="93">
        <v>0</v>
      </c>
      <c r="I148" s="91"/>
      <c r="J148" s="91"/>
      <c r="K148" s="91"/>
      <c r="L148" s="91"/>
      <c r="M148" s="80"/>
      <c r="N148" s="72"/>
    </row>
    <row r="149" spans="1:14" ht="12.75">
      <c r="A149" s="90"/>
      <c r="B149" s="91"/>
      <c r="C149" s="84" t="s">
        <v>439</v>
      </c>
      <c r="F149" s="92"/>
      <c r="G149" s="91"/>
      <c r="H149" s="93">
        <v>97.45</v>
      </c>
      <c r="I149" s="91"/>
      <c r="J149" s="91"/>
      <c r="K149" s="91"/>
      <c r="L149" s="91"/>
      <c r="M149" s="80"/>
      <c r="N149" s="72"/>
    </row>
    <row r="150" spans="1:64" ht="12.75">
      <c r="A150" s="82" t="s">
        <v>119</v>
      </c>
      <c r="B150" s="82" t="s">
        <v>270</v>
      </c>
      <c r="C150" s="229" t="s">
        <v>513</v>
      </c>
      <c r="D150" s="230"/>
      <c r="E150" s="230"/>
      <c r="F150" s="231"/>
      <c r="G150" s="82" t="s">
        <v>714</v>
      </c>
      <c r="H150" s="88">
        <v>90.955</v>
      </c>
      <c r="I150" s="88">
        <v>0</v>
      </c>
      <c r="J150" s="88">
        <f>H150*AO150</f>
        <v>0</v>
      </c>
      <c r="K150" s="88">
        <f>H150*AP150</f>
        <v>0</v>
      </c>
      <c r="L150" s="88">
        <f>H150*I150</f>
        <v>0</v>
      </c>
      <c r="M150" s="78" t="s">
        <v>732</v>
      </c>
      <c r="N150" s="72"/>
      <c r="Z150" s="64">
        <f>IF(AQ150="5",BJ150,0)</f>
        <v>0</v>
      </c>
      <c r="AB150" s="64">
        <f>IF(AQ150="1",BH150,0)</f>
        <v>0</v>
      </c>
      <c r="AC150" s="64">
        <f>IF(AQ150="1",BI150,0)</f>
        <v>0</v>
      </c>
      <c r="AD150" s="64">
        <f>IF(AQ150="7",BH150,0)</f>
        <v>0</v>
      </c>
      <c r="AE150" s="64">
        <f>IF(AQ150="7",BI150,0)</f>
        <v>0</v>
      </c>
      <c r="AF150" s="64">
        <f>IF(AQ150="2",BH150,0)</f>
        <v>0</v>
      </c>
      <c r="AG150" s="64">
        <f>IF(AQ150="2",BI150,0)</f>
        <v>0</v>
      </c>
      <c r="AH150" s="64">
        <f>IF(AQ150="0",BJ150,0)</f>
        <v>0</v>
      </c>
      <c r="AI150" s="63"/>
      <c r="AJ150" s="49">
        <f>IF(AN150=0,L150,0)</f>
        <v>0</v>
      </c>
      <c r="AK150" s="49">
        <f>IF(AN150=15,L150,0)</f>
        <v>0</v>
      </c>
      <c r="AL150" s="49">
        <f>IF(AN150=21,L150,0)</f>
        <v>0</v>
      </c>
      <c r="AN150" s="64">
        <v>15</v>
      </c>
      <c r="AO150" s="64">
        <f>I150*0.53706653545</f>
        <v>0</v>
      </c>
      <c r="AP150" s="64">
        <f>I150*(1-0.53706653545)</f>
        <v>0</v>
      </c>
      <c r="AQ150" s="65" t="s">
        <v>74</v>
      </c>
      <c r="AV150" s="64">
        <f>AW150+AX150</f>
        <v>0</v>
      </c>
      <c r="AW150" s="64">
        <f>H150*AO150</f>
        <v>0</v>
      </c>
      <c r="AX150" s="64">
        <f>H150*AP150</f>
        <v>0</v>
      </c>
      <c r="AY150" s="67" t="s">
        <v>748</v>
      </c>
      <c r="AZ150" s="67" t="s">
        <v>769</v>
      </c>
      <c r="BA150" s="63" t="s">
        <v>775</v>
      </c>
      <c r="BC150" s="64">
        <f>AW150+AX150</f>
        <v>0</v>
      </c>
      <c r="BD150" s="64">
        <f>I150/(100-BE150)*100</f>
        <v>0</v>
      </c>
      <c r="BE150" s="64">
        <v>0</v>
      </c>
      <c r="BF150" s="64">
        <f>150</f>
        <v>150</v>
      </c>
      <c r="BH150" s="49">
        <f>H150*AO150</f>
        <v>0</v>
      </c>
      <c r="BI150" s="49">
        <f>H150*AP150</f>
        <v>0</v>
      </c>
      <c r="BJ150" s="49">
        <f>H150*I150</f>
        <v>0</v>
      </c>
      <c r="BK150" s="49" t="s">
        <v>780</v>
      </c>
      <c r="BL150" s="64">
        <v>62</v>
      </c>
    </row>
    <row r="151" spans="1:14" ht="12.75">
      <c r="A151" s="90"/>
      <c r="B151" s="91"/>
      <c r="C151" s="84" t="s">
        <v>514</v>
      </c>
      <c r="F151" s="92"/>
      <c r="G151" s="91"/>
      <c r="H151" s="93">
        <v>0</v>
      </c>
      <c r="I151" s="91"/>
      <c r="J151" s="91"/>
      <c r="K151" s="91"/>
      <c r="L151" s="91"/>
      <c r="M151" s="80"/>
      <c r="N151" s="72"/>
    </row>
    <row r="152" spans="1:14" ht="12.75">
      <c r="A152" s="90"/>
      <c r="B152" s="91"/>
      <c r="C152" s="84" t="s">
        <v>515</v>
      </c>
      <c r="F152" s="92"/>
      <c r="G152" s="91"/>
      <c r="H152" s="93">
        <v>90.955</v>
      </c>
      <c r="I152" s="91"/>
      <c r="J152" s="91"/>
      <c r="K152" s="91"/>
      <c r="L152" s="91"/>
      <c r="M152" s="80"/>
      <c r="N152" s="72"/>
    </row>
    <row r="153" spans="1:64" ht="12.75">
      <c r="A153" s="82" t="s">
        <v>120</v>
      </c>
      <c r="B153" s="82" t="s">
        <v>271</v>
      </c>
      <c r="C153" s="229" t="s">
        <v>516</v>
      </c>
      <c r="D153" s="230"/>
      <c r="E153" s="230"/>
      <c r="F153" s="231"/>
      <c r="G153" s="82" t="s">
        <v>715</v>
      </c>
      <c r="H153" s="88">
        <v>190</v>
      </c>
      <c r="I153" s="88">
        <v>0</v>
      </c>
      <c r="J153" s="88">
        <f>H153*AO153</f>
        <v>0</v>
      </c>
      <c r="K153" s="88">
        <f>H153*AP153</f>
        <v>0</v>
      </c>
      <c r="L153" s="88">
        <f>H153*I153</f>
        <v>0</v>
      </c>
      <c r="M153" s="78" t="s">
        <v>732</v>
      </c>
      <c r="N153" s="72"/>
      <c r="Z153" s="64">
        <f>IF(AQ153="5",BJ153,0)</f>
        <v>0</v>
      </c>
      <c r="AB153" s="64">
        <f>IF(AQ153="1",BH153,0)</f>
        <v>0</v>
      </c>
      <c r="AC153" s="64">
        <f>IF(AQ153="1",BI153,0)</f>
        <v>0</v>
      </c>
      <c r="AD153" s="64">
        <f>IF(AQ153="7",BH153,0)</f>
        <v>0</v>
      </c>
      <c r="AE153" s="64">
        <f>IF(AQ153="7",BI153,0)</f>
        <v>0</v>
      </c>
      <c r="AF153" s="64">
        <f>IF(AQ153="2",BH153,0)</f>
        <v>0</v>
      </c>
      <c r="AG153" s="64">
        <f>IF(AQ153="2",BI153,0)</f>
        <v>0</v>
      </c>
      <c r="AH153" s="64">
        <f>IF(AQ153="0",BJ153,0)</f>
        <v>0</v>
      </c>
      <c r="AI153" s="63"/>
      <c r="AJ153" s="49">
        <f>IF(AN153=0,L153,0)</f>
        <v>0</v>
      </c>
      <c r="AK153" s="49">
        <f>IF(AN153=15,L153,0)</f>
        <v>0</v>
      </c>
      <c r="AL153" s="49">
        <f>IF(AN153=21,L153,0)</f>
        <v>0</v>
      </c>
      <c r="AN153" s="64">
        <v>15</v>
      </c>
      <c r="AO153" s="64">
        <f>I153*0.161509900990099</f>
        <v>0</v>
      </c>
      <c r="AP153" s="64">
        <f>I153*(1-0.161509900990099)</f>
        <v>0</v>
      </c>
      <c r="AQ153" s="65" t="s">
        <v>74</v>
      </c>
      <c r="AV153" s="64">
        <f>AW153+AX153</f>
        <v>0</v>
      </c>
      <c r="AW153" s="64">
        <f>H153*AO153</f>
        <v>0</v>
      </c>
      <c r="AX153" s="64">
        <f>H153*AP153</f>
        <v>0</v>
      </c>
      <c r="AY153" s="67" t="s">
        <v>748</v>
      </c>
      <c r="AZ153" s="67" t="s">
        <v>769</v>
      </c>
      <c r="BA153" s="63" t="s">
        <v>775</v>
      </c>
      <c r="BC153" s="64">
        <f>AW153+AX153</f>
        <v>0</v>
      </c>
      <c r="BD153" s="64">
        <f>I153/(100-BE153)*100</f>
        <v>0</v>
      </c>
      <c r="BE153" s="64">
        <v>0</v>
      </c>
      <c r="BF153" s="64">
        <f>153</f>
        <v>153</v>
      </c>
      <c r="BH153" s="49">
        <f>H153*AO153</f>
        <v>0</v>
      </c>
      <c r="BI153" s="49">
        <f>H153*AP153</f>
        <v>0</v>
      </c>
      <c r="BJ153" s="49">
        <f>H153*I153</f>
        <v>0</v>
      </c>
      <c r="BK153" s="49" t="s">
        <v>780</v>
      </c>
      <c r="BL153" s="64">
        <v>62</v>
      </c>
    </row>
    <row r="154" spans="1:14" ht="12.75">
      <c r="A154" s="90"/>
      <c r="B154" s="91"/>
      <c r="C154" s="84" t="s">
        <v>517</v>
      </c>
      <c r="F154" s="92"/>
      <c r="G154" s="91"/>
      <c r="H154" s="93">
        <v>190</v>
      </c>
      <c r="I154" s="91"/>
      <c r="J154" s="91"/>
      <c r="K154" s="91"/>
      <c r="L154" s="91"/>
      <c r="M154" s="80"/>
      <c r="N154" s="72"/>
    </row>
    <row r="155" spans="1:64" ht="12.75">
      <c r="A155" s="82" t="s">
        <v>121</v>
      </c>
      <c r="B155" s="82" t="s">
        <v>272</v>
      </c>
      <c r="C155" s="229" t="s">
        <v>518</v>
      </c>
      <c r="D155" s="230"/>
      <c r="E155" s="230"/>
      <c r="F155" s="231"/>
      <c r="G155" s="82" t="s">
        <v>716</v>
      </c>
      <c r="H155" s="88">
        <v>126.9</v>
      </c>
      <c r="I155" s="88">
        <v>0</v>
      </c>
      <c r="J155" s="88">
        <f>H155*AO155</f>
        <v>0</v>
      </c>
      <c r="K155" s="88">
        <f>H155*AP155</f>
        <v>0</v>
      </c>
      <c r="L155" s="88">
        <f>H155*I155</f>
        <v>0</v>
      </c>
      <c r="M155" s="78" t="s">
        <v>732</v>
      </c>
      <c r="N155" s="72"/>
      <c r="Z155" s="64">
        <f>IF(AQ155="5",BJ155,0)</f>
        <v>0</v>
      </c>
      <c r="AB155" s="64">
        <f>IF(AQ155="1",BH155,0)</f>
        <v>0</v>
      </c>
      <c r="AC155" s="64">
        <f>IF(AQ155="1",BI155,0)</f>
        <v>0</v>
      </c>
      <c r="AD155" s="64">
        <f>IF(AQ155="7",BH155,0)</f>
        <v>0</v>
      </c>
      <c r="AE155" s="64">
        <f>IF(AQ155="7",BI155,0)</f>
        <v>0</v>
      </c>
      <c r="AF155" s="64">
        <f>IF(AQ155="2",BH155,0)</f>
        <v>0</v>
      </c>
      <c r="AG155" s="64">
        <f>IF(AQ155="2",BI155,0)</f>
        <v>0</v>
      </c>
      <c r="AH155" s="64">
        <f>IF(AQ155="0",BJ155,0)</f>
        <v>0</v>
      </c>
      <c r="AI155" s="63"/>
      <c r="AJ155" s="49">
        <f>IF(AN155=0,L155,0)</f>
        <v>0</v>
      </c>
      <c r="AK155" s="49">
        <f>IF(AN155=15,L155,0)</f>
        <v>0</v>
      </c>
      <c r="AL155" s="49">
        <f>IF(AN155=21,L155,0)</f>
        <v>0</v>
      </c>
      <c r="AN155" s="64">
        <v>15</v>
      </c>
      <c r="AO155" s="64">
        <f>I155*0</f>
        <v>0</v>
      </c>
      <c r="AP155" s="64">
        <f>I155*(1-0)</f>
        <v>0</v>
      </c>
      <c r="AQ155" s="65" t="s">
        <v>74</v>
      </c>
      <c r="AV155" s="64">
        <f>AW155+AX155</f>
        <v>0</v>
      </c>
      <c r="AW155" s="64">
        <f>H155*AO155</f>
        <v>0</v>
      </c>
      <c r="AX155" s="64">
        <f>H155*AP155</f>
        <v>0</v>
      </c>
      <c r="AY155" s="67" t="s">
        <v>748</v>
      </c>
      <c r="AZ155" s="67" t="s">
        <v>769</v>
      </c>
      <c r="BA155" s="63" t="s">
        <v>775</v>
      </c>
      <c r="BC155" s="64">
        <f>AW155+AX155</f>
        <v>0</v>
      </c>
      <c r="BD155" s="64">
        <f>I155/(100-BE155)*100</f>
        <v>0</v>
      </c>
      <c r="BE155" s="64">
        <v>0</v>
      </c>
      <c r="BF155" s="64">
        <f>155</f>
        <v>155</v>
      </c>
      <c r="BH155" s="49">
        <f>H155*AO155</f>
        <v>0</v>
      </c>
      <c r="BI155" s="49">
        <f>H155*AP155</f>
        <v>0</v>
      </c>
      <c r="BJ155" s="49">
        <f>H155*I155</f>
        <v>0</v>
      </c>
      <c r="BK155" s="49" t="s">
        <v>780</v>
      </c>
      <c r="BL155" s="64">
        <v>62</v>
      </c>
    </row>
    <row r="156" spans="1:14" ht="12.75">
      <c r="A156" s="90"/>
      <c r="B156" s="91"/>
      <c r="C156" s="84" t="s">
        <v>519</v>
      </c>
      <c r="F156" s="92"/>
      <c r="G156" s="91"/>
      <c r="H156" s="93">
        <v>18.9</v>
      </c>
      <c r="I156" s="91"/>
      <c r="J156" s="91"/>
      <c r="K156" s="91"/>
      <c r="L156" s="91"/>
      <c r="M156" s="80"/>
      <c r="N156" s="72"/>
    </row>
    <row r="157" spans="1:14" ht="12.75">
      <c r="A157" s="90"/>
      <c r="B157" s="91"/>
      <c r="C157" s="84" t="s">
        <v>520</v>
      </c>
      <c r="F157" s="92"/>
      <c r="G157" s="91"/>
      <c r="H157" s="93">
        <v>108</v>
      </c>
      <c r="I157" s="91"/>
      <c r="J157" s="91"/>
      <c r="K157" s="91"/>
      <c r="L157" s="91"/>
      <c r="M157" s="80"/>
      <c r="N157" s="72"/>
    </row>
    <row r="158" spans="1:64" ht="12.75">
      <c r="A158" s="95" t="s">
        <v>122</v>
      </c>
      <c r="B158" s="95" t="s">
        <v>273</v>
      </c>
      <c r="C158" s="252" t="s">
        <v>521</v>
      </c>
      <c r="D158" s="238"/>
      <c r="E158" s="238"/>
      <c r="F158" s="242"/>
      <c r="G158" s="95" t="s">
        <v>716</v>
      </c>
      <c r="H158" s="96">
        <v>139.59</v>
      </c>
      <c r="I158" s="96">
        <v>0</v>
      </c>
      <c r="J158" s="96">
        <f>H158*AO158</f>
        <v>0</v>
      </c>
      <c r="K158" s="96">
        <f>H158*AP158</f>
        <v>0</v>
      </c>
      <c r="L158" s="96">
        <f>H158*I158</f>
        <v>0</v>
      </c>
      <c r="M158" s="94" t="s">
        <v>732</v>
      </c>
      <c r="N158" s="72"/>
      <c r="Z158" s="64">
        <f>IF(AQ158="5",BJ158,0)</f>
        <v>0</v>
      </c>
      <c r="AB158" s="64">
        <f>IF(AQ158="1",BH158,0)</f>
        <v>0</v>
      </c>
      <c r="AC158" s="64">
        <f>IF(AQ158="1",BI158,0)</f>
        <v>0</v>
      </c>
      <c r="AD158" s="64">
        <f>IF(AQ158="7",BH158,0)</f>
        <v>0</v>
      </c>
      <c r="AE158" s="64">
        <f>IF(AQ158="7",BI158,0)</f>
        <v>0</v>
      </c>
      <c r="AF158" s="64">
        <f>IF(AQ158="2",BH158,0)</f>
        <v>0</v>
      </c>
      <c r="AG158" s="64">
        <f>IF(AQ158="2",BI158,0)</f>
        <v>0</v>
      </c>
      <c r="AH158" s="64">
        <f>IF(AQ158="0",BJ158,0)</f>
        <v>0</v>
      </c>
      <c r="AI158" s="63"/>
      <c r="AJ158" s="51">
        <f>IF(AN158=0,L158,0)</f>
        <v>0</v>
      </c>
      <c r="AK158" s="51">
        <f>IF(AN158=15,L158,0)</f>
        <v>0</v>
      </c>
      <c r="AL158" s="51">
        <f>IF(AN158=21,L158,0)</f>
        <v>0</v>
      </c>
      <c r="AN158" s="64">
        <v>15</v>
      </c>
      <c r="AO158" s="64">
        <f>I158*1</f>
        <v>0</v>
      </c>
      <c r="AP158" s="64">
        <f>I158*(1-1)</f>
        <v>0</v>
      </c>
      <c r="AQ158" s="66" t="s">
        <v>74</v>
      </c>
      <c r="AV158" s="64">
        <f>AW158+AX158</f>
        <v>0</v>
      </c>
      <c r="AW158" s="64">
        <f>H158*AO158</f>
        <v>0</v>
      </c>
      <c r="AX158" s="64">
        <f>H158*AP158</f>
        <v>0</v>
      </c>
      <c r="AY158" s="67" t="s">
        <v>748</v>
      </c>
      <c r="AZ158" s="67" t="s">
        <v>769</v>
      </c>
      <c r="BA158" s="63" t="s">
        <v>775</v>
      </c>
      <c r="BC158" s="64">
        <f>AW158+AX158</f>
        <v>0</v>
      </c>
      <c r="BD158" s="64">
        <f>I158/(100-BE158)*100</f>
        <v>0</v>
      </c>
      <c r="BE158" s="64">
        <v>0</v>
      </c>
      <c r="BF158" s="64">
        <f>158</f>
        <v>158</v>
      </c>
      <c r="BH158" s="51">
        <f>H158*AO158</f>
        <v>0</v>
      </c>
      <c r="BI158" s="51">
        <f>H158*AP158</f>
        <v>0</v>
      </c>
      <c r="BJ158" s="51">
        <f>H158*I158</f>
        <v>0</v>
      </c>
      <c r="BK158" s="51" t="s">
        <v>781</v>
      </c>
      <c r="BL158" s="64">
        <v>62</v>
      </c>
    </row>
    <row r="159" spans="1:14" ht="12.75">
      <c r="A159" s="90"/>
      <c r="B159" s="91"/>
      <c r="C159" s="84" t="s">
        <v>522</v>
      </c>
      <c r="F159" s="92"/>
      <c r="G159" s="91"/>
      <c r="H159" s="93">
        <v>139.59</v>
      </c>
      <c r="I159" s="91"/>
      <c r="J159" s="91"/>
      <c r="K159" s="91"/>
      <c r="L159" s="91"/>
      <c r="M159" s="80"/>
      <c r="N159" s="72"/>
    </row>
    <row r="160" spans="1:64" ht="12.75">
      <c r="A160" s="75" t="s">
        <v>123</v>
      </c>
      <c r="B160" s="75" t="s">
        <v>274</v>
      </c>
      <c r="C160" s="240" t="s">
        <v>523</v>
      </c>
      <c r="D160" s="230"/>
      <c r="E160" s="230"/>
      <c r="F160" s="234"/>
      <c r="G160" s="75" t="s">
        <v>716</v>
      </c>
      <c r="H160" s="76">
        <v>225</v>
      </c>
      <c r="I160" s="76">
        <v>0</v>
      </c>
      <c r="J160" s="76">
        <f>H160*AO160</f>
        <v>0</v>
      </c>
      <c r="K160" s="76">
        <f>H160*AP160</f>
        <v>0</v>
      </c>
      <c r="L160" s="76">
        <f>H160*I160</f>
        <v>0</v>
      </c>
      <c r="M160" s="79" t="s">
        <v>732</v>
      </c>
      <c r="N160" s="72"/>
      <c r="Z160" s="64">
        <f>IF(AQ160="5",BJ160,0)</f>
        <v>0</v>
      </c>
      <c r="AB160" s="64">
        <f>IF(AQ160="1",BH160,0)</f>
        <v>0</v>
      </c>
      <c r="AC160" s="64">
        <f>IF(AQ160="1",BI160,0)</f>
        <v>0</v>
      </c>
      <c r="AD160" s="64">
        <f>IF(AQ160="7",BH160,0)</f>
        <v>0</v>
      </c>
      <c r="AE160" s="64">
        <f>IF(AQ160="7",BI160,0)</f>
        <v>0</v>
      </c>
      <c r="AF160" s="64">
        <f>IF(AQ160="2",BH160,0)</f>
        <v>0</v>
      </c>
      <c r="AG160" s="64">
        <f>IF(AQ160="2",BI160,0)</f>
        <v>0</v>
      </c>
      <c r="AH160" s="64">
        <f>IF(AQ160="0",BJ160,0)</f>
        <v>0</v>
      </c>
      <c r="AI160" s="63"/>
      <c r="AJ160" s="49">
        <f>IF(AN160=0,L160,0)</f>
        <v>0</v>
      </c>
      <c r="AK160" s="49">
        <f>IF(AN160=15,L160,0)</f>
        <v>0</v>
      </c>
      <c r="AL160" s="49">
        <f>IF(AN160=21,L160,0)</f>
        <v>0</v>
      </c>
      <c r="AN160" s="64">
        <v>15</v>
      </c>
      <c r="AO160" s="64">
        <f>I160*0.107327586206897</f>
        <v>0</v>
      </c>
      <c r="AP160" s="64">
        <f>I160*(1-0.107327586206897)</f>
        <v>0</v>
      </c>
      <c r="AQ160" s="65" t="s">
        <v>74</v>
      </c>
      <c r="AV160" s="64">
        <f>AW160+AX160</f>
        <v>0</v>
      </c>
      <c r="AW160" s="64">
        <f>H160*AO160</f>
        <v>0</v>
      </c>
      <c r="AX160" s="64">
        <f>H160*AP160</f>
        <v>0</v>
      </c>
      <c r="AY160" s="67" t="s">
        <v>748</v>
      </c>
      <c r="AZ160" s="67" t="s">
        <v>769</v>
      </c>
      <c r="BA160" s="63" t="s">
        <v>775</v>
      </c>
      <c r="BC160" s="64">
        <f>AW160+AX160</f>
        <v>0</v>
      </c>
      <c r="BD160" s="64">
        <f>I160/(100-BE160)*100</f>
        <v>0</v>
      </c>
      <c r="BE160" s="64">
        <v>0</v>
      </c>
      <c r="BF160" s="64">
        <f>160</f>
        <v>160</v>
      </c>
      <c r="BH160" s="49">
        <f>H160*AO160</f>
        <v>0</v>
      </c>
      <c r="BI160" s="49">
        <f>H160*AP160</f>
        <v>0</v>
      </c>
      <c r="BJ160" s="49">
        <f>H160*I160</f>
        <v>0</v>
      </c>
      <c r="BK160" s="49" t="s">
        <v>780</v>
      </c>
      <c r="BL160" s="64">
        <v>62</v>
      </c>
    </row>
    <row r="161" spans="1:47" ht="12.75">
      <c r="A161" s="34"/>
      <c r="B161" s="41" t="s">
        <v>167</v>
      </c>
      <c r="C161" s="235" t="s">
        <v>524</v>
      </c>
      <c r="D161" s="236"/>
      <c r="E161" s="236"/>
      <c r="F161" s="236"/>
      <c r="G161" s="47" t="s">
        <v>73</v>
      </c>
      <c r="H161" s="47" t="s">
        <v>73</v>
      </c>
      <c r="I161" s="47" t="s">
        <v>73</v>
      </c>
      <c r="J161" s="70">
        <f>SUM(J162:J176)</f>
        <v>0</v>
      </c>
      <c r="K161" s="70">
        <f>SUM(K162:K176)</f>
        <v>0</v>
      </c>
      <c r="L161" s="70">
        <f>SUM(L162:L176)</f>
        <v>0</v>
      </c>
      <c r="M161" s="60"/>
      <c r="N161" s="18"/>
      <c r="AI161" s="63"/>
      <c r="AS161" s="70">
        <f>SUM(AJ162:AJ176)</f>
        <v>0</v>
      </c>
      <c r="AT161" s="70">
        <f>SUM(AK162:AK176)</f>
        <v>0</v>
      </c>
      <c r="AU161" s="70">
        <f>SUM(AL162:AL176)</f>
        <v>0</v>
      </c>
    </row>
    <row r="162" spans="1:64" ht="12.75">
      <c r="A162" s="82" t="s">
        <v>124</v>
      </c>
      <c r="B162" s="82" t="s">
        <v>275</v>
      </c>
      <c r="C162" s="229" t="s">
        <v>525</v>
      </c>
      <c r="D162" s="230"/>
      <c r="E162" s="230"/>
      <c r="F162" s="231"/>
      <c r="G162" s="82" t="s">
        <v>714</v>
      </c>
      <c r="H162" s="88">
        <v>55</v>
      </c>
      <c r="I162" s="88">
        <v>0</v>
      </c>
      <c r="J162" s="88">
        <f>H162*AO162</f>
        <v>0</v>
      </c>
      <c r="K162" s="88">
        <f>H162*AP162</f>
        <v>0</v>
      </c>
      <c r="L162" s="88">
        <f>H162*I162</f>
        <v>0</v>
      </c>
      <c r="M162" s="78" t="s">
        <v>732</v>
      </c>
      <c r="N162" s="72"/>
      <c r="Z162" s="64">
        <f>IF(AQ162="5",BJ162,0)</f>
        <v>0</v>
      </c>
      <c r="AB162" s="64">
        <f>IF(AQ162="1",BH162,0)</f>
        <v>0</v>
      </c>
      <c r="AC162" s="64">
        <f>IF(AQ162="1",BI162,0)</f>
        <v>0</v>
      </c>
      <c r="AD162" s="64">
        <f>IF(AQ162="7",BH162,0)</f>
        <v>0</v>
      </c>
      <c r="AE162" s="64">
        <f>IF(AQ162="7",BI162,0)</f>
        <v>0</v>
      </c>
      <c r="AF162" s="64">
        <f>IF(AQ162="2",BH162,0)</f>
        <v>0</v>
      </c>
      <c r="AG162" s="64">
        <f>IF(AQ162="2",BI162,0)</f>
        <v>0</v>
      </c>
      <c r="AH162" s="64">
        <f>IF(AQ162="0",BJ162,0)</f>
        <v>0</v>
      </c>
      <c r="AI162" s="63"/>
      <c r="AJ162" s="49">
        <f>IF(AN162=0,L162,0)</f>
        <v>0</v>
      </c>
      <c r="AK162" s="49">
        <f>IF(AN162=15,L162,0)</f>
        <v>0</v>
      </c>
      <c r="AL162" s="49">
        <f>IF(AN162=21,L162,0)</f>
        <v>0</v>
      </c>
      <c r="AN162" s="64">
        <v>15</v>
      </c>
      <c r="AO162" s="64">
        <f>I162*0.330537376716748</f>
        <v>0</v>
      </c>
      <c r="AP162" s="64">
        <f>I162*(1-0.330537376716748)</f>
        <v>0</v>
      </c>
      <c r="AQ162" s="65" t="s">
        <v>74</v>
      </c>
      <c r="AV162" s="64">
        <f>AW162+AX162</f>
        <v>0</v>
      </c>
      <c r="AW162" s="64">
        <f>H162*AO162</f>
        <v>0</v>
      </c>
      <c r="AX162" s="64">
        <f>H162*AP162</f>
        <v>0</v>
      </c>
      <c r="AY162" s="67" t="s">
        <v>749</v>
      </c>
      <c r="AZ162" s="67" t="s">
        <v>770</v>
      </c>
      <c r="BA162" s="63" t="s">
        <v>775</v>
      </c>
      <c r="BC162" s="64">
        <f>AW162+AX162</f>
        <v>0</v>
      </c>
      <c r="BD162" s="64">
        <f>I162/(100-BE162)*100</f>
        <v>0</v>
      </c>
      <c r="BE162" s="64">
        <v>0</v>
      </c>
      <c r="BF162" s="64">
        <f>162</f>
        <v>162</v>
      </c>
      <c r="BH162" s="49">
        <f>H162*AO162</f>
        <v>0</v>
      </c>
      <c r="BI162" s="49">
        <f>H162*AP162</f>
        <v>0</v>
      </c>
      <c r="BJ162" s="49">
        <f>H162*I162</f>
        <v>0</v>
      </c>
      <c r="BK162" s="49" t="s">
        <v>780</v>
      </c>
      <c r="BL162" s="64">
        <v>94</v>
      </c>
    </row>
    <row r="163" spans="1:14" ht="12.75">
      <c r="A163" s="90"/>
      <c r="B163" s="91"/>
      <c r="C163" s="84" t="s">
        <v>477</v>
      </c>
      <c r="F163" s="92"/>
      <c r="G163" s="91"/>
      <c r="H163" s="93">
        <v>0</v>
      </c>
      <c r="I163" s="91"/>
      <c r="J163" s="91"/>
      <c r="K163" s="91"/>
      <c r="L163" s="91"/>
      <c r="M163" s="80"/>
      <c r="N163" s="72"/>
    </row>
    <row r="164" spans="1:14" ht="12.75">
      <c r="A164" s="90"/>
      <c r="B164" s="91"/>
      <c r="C164" s="84" t="s">
        <v>128</v>
      </c>
      <c r="F164" s="92"/>
      <c r="G164" s="91"/>
      <c r="H164" s="93">
        <v>55</v>
      </c>
      <c r="I164" s="91"/>
      <c r="J164" s="91"/>
      <c r="K164" s="91"/>
      <c r="L164" s="91"/>
      <c r="M164" s="80"/>
      <c r="N164" s="72"/>
    </row>
    <row r="165" spans="1:64" ht="12.75">
      <c r="A165" s="82" t="s">
        <v>125</v>
      </c>
      <c r="B165" s="82" t="s">
        <v>276</v>
      </c>
      <c r="C165" s="229" t="s">
        <v>526</v>
      </c>
      <c r="D165" s="230"/>
      <c r="E165" s="230"/>
      <c r="F165" s="231"/>
      <c r="G165" s="82" t="s">
        <v>714</v>
      </c>
      <c r="H165" s="88">
        <v>1071.84</v>
      </c>
      <c r="I165" s="88">
        <v>0</v>
      </c>
      <c r="J165" s="88">
        <f>H165*AO165</f>
        <v>0</v>
      </c>
      <c r="K165" s="88">
        <f>H165*AP165</f>
        <v>0</v>
      </c>
      <c r="L165" s="88">
        <f>H165*I165</f>
        <v>0</v>
      </c>
      <c r="M165" s="78" t="s">
        <v>732</v>
      </c>
      <c r="N165" s="72"/>
      <c r="Z165" s="64">
        <f>IF(AQ165="5",BJ165,0)</f>
        <v>0</v>
      </c>
      <c r="AB165" s="64">
        <f>IF(AQ165="1",BH165,0)</f>
        <v>0</v>
      </c>
      <c r="AC165" s="64">
        <f>IF(AQ165="1",BI165,0)</f>
        <v>0</v>
      </c>
      <c r="AD165" s="64">
        <f>IF(AQ165="7",BH165,0)</f>
        <v>0</v>
      </c>
      <c r="AE165" s="64">
        <f>IF(AQ165="7",BI165,0)</f>
        <v>0</v>
      </c>
      <c r="AF165" s="64">
        <f>IF(AQ165="2",BH165,0)</f>
        <v>0</v>
      </c>
      <c r="AG165" s="64">
        <f>IF(AQ165="2",BI165,0)</f>
        <v>0</v>
      </c>
      <c r="AH165" s="64">
        <f>IF(AQ165="0",BJ165,0)</f>
        <v>0</v>
      </c>
      <c r="AI165" s="63"/>
      <c r="AJ165" s="49">
        <f>IF(AN165=0,L165,0)</f>
        <v>0</v>
      </c>
      <c r="AK165" s="49">
        <f>IF(AN165=15,L165,0)</f>
        <v>0</v>
      </c>
      <c r="AL165" s="49">
        <f>IF(AN165=21,L165,0)</f>
        <v>0</v>
      </c>
      <c r="AN165" s="64">
        <v>15</v>
      </c>
      <c r="AO165" s="64">
        <f>I165*0.000134228187919463</f>
        <v>0</v>
      </c>
      <c r="AP165" s="64">
        <f>I165*(1-0.000134228187919463)</f>
        <v>0</v>
      </c>
      <c r="AQ165" s="65" t="s">
        <v>74</v>
      </c>
      <c r="AV165" s="64">
        <f>AW165+AX165</f>
        <v>0</v>
      </c>
      <c r="AW165" s="64">
        <f>H165*AO165</f>
        <v>0</v>
      </c>
      <c r="AX165" s="64">
        <f>H165*AP165</f>
        <v>0</v>
      </c>
      <c r="AY165" s="67" t="s">
        <v>749</v>
      </c>
      <c r="AZ165" s="67" t="s">
        <v>770</v>
      </c>
      <c r="BA165" s="63" t="s">
        <v>775</v>
      </c>
      <c r="BC165" s="64">
        <f>AW165+AX165</f>
        <v>0</v>
      </c>
      <c r="BD165" s="64">
        <f>I165/(100-BE165)*100</f>
        <v>0</v>
      </c>
      <c r="BE165" s="64">
        <v>0</v>
      </c>
      <c r="BF165" s="64">
        <f>165</f>
        <v>165</v>
      </c>
      <c r="BH165" s="49">
        <f>H165*AO165</f>
        <v>0</v>
      </c>
      <c r="BI165" s="49">
        <f>H165*AP165</f>
        <v>0</v>
      </c>
      <c r="BJ165" s="49">
        <f>H165*I165</f>
        <v>0</v>
      </c>
      <c r="BK165" s="49" t="s">
        <v>780</v>
      </c>
      <c r="BL165" s="64">
        <v>94</v>
      </c>
    </row>
    <row r="166" spans="1:14" ht="12.75">
      <c r="A166" s="90"/>
      <c r="B166" s="91"/>
      <c r="C166" s="84" t="s">
        <v>527</v>
      </c>
      <c r="F166" s="92"/>
      <c r="G166" s="91"/>
      <c r="H166" s="93">
        <v>900.4</v>
      </c>
      <c r="I166" s="91"/>
      <c r="J166" s="91"/>
      <c r="K166" s="91"/>
      <c r="L166" s="91"/>
      <c r="M166" s="80"/>
      <c r="N166" s="72"/>
    </row>
    <row r="167" spans="1:14" ht="12.75">
      <c r="A167" s="90"/>
      <c r="B167" s="91"/>
      <c r="C167" s="84" t="s">
        <v>528</v>
      </c>
      <c r="F167" s="92"/>
      <c r="G167" s="91"/>
      <c r="H167" s="93">
        <v>151.04</v>
      </c>
      <c r="I167" s="91"/>
      <c r="J167" s="91"/>
      <c r="K167" s="91"/>
      <c r="L167" s="91"/>
      <c r="M167" s="80"/>
      <c r="N167" s="72"/>
    </row>
    <row r="168" spans="1:14" ht="12.75">
      <c r="A168" s="90"/>
      <c r="B168" s="91"/>
      <c r="C168" s="84" t="s">
        <v>529</v>
      </c>
      <c r="F168" s="92"/>
      <c r="G168" s="91"/>
      <c r="H168" s="93">
        <v>20.4</v>
      </c>
      <c r="I168" s="91"/>
      <c r="J168" s="91"/>
      <c r="K168" s="91"/>
      <c r="L168" s="91"/>
      <c r="M168" s="80"/>
      <c r="N168" s="72"/>
    </row>
    <row r="169" spans="1:64" ht="12.75">
      <c r="A169" s="82" t="s">
        <v>126</v>
      </c>
      <c r="B169" s="82" t="s">
        <v>277</v>
      </c>
      <c r="C169" s="229" t="s">
        <v>530</v>
      </c>
      <c r="D169" s="230"/>
      <c r="E169" s="230"/>
      <c r="F169" s="231"/>
      <c r="G169" s="82" t="s">
        <v>714</v>
      </c>
      <c r="H169" s="88">
        <v>1071.84</v>
      </c>
      <c r="I169" s="88">
        <v>0</v>
      </c>
      <c r="J169" s="88">
        <f aca="true" t="shared" si="0" ref="J169:J176">H169*AO169</f>
        <v>0</v>
      </c>
      <c r="K169" s="88">
        <f aca="true" t="shared" si="1" ref="K169:K176">H169*AP169</f>
        <v>0</v>
      </c>
      <c r="L169" s="88">
        <f aca="true" t="shared" si="2" ref="L169:L176">H169*I169</f>
        <v>0</v>
      </c>
      <c r="M169" s="78" t="s">
        <v>732</v>
      </c>
      <c r="N169" s="72"/>
      <c r="Z169" s="64">
        <f aca="true" t="shared" si="3" ref="Z169:Z176">IF(AQ169="5",BJ169,0)</f>
        <v>0</v>
      </c>
      <c r="AB169" s="64">
        <f aca="true" t="shared" si="4" ref="AB169:AB176">IF(AQ169="1",BH169,0)</f>
        <v>0</v>
      </c>
      <c r="AC169" s="64">
        <f aca="true" t="shared" si="5" ref="AC169:AC176">IF(AQ169="1",BI169,0)</f>
        <v>0</v>
      </c>
      <c r="AD169" s="64">
        <f aca="true" t="shared" si="6" ref="AD169:AD176">IF(AQ169="7",BH169,0)</f>
        <v>0</v>
      </c>
      <c r="AE169" s="64">
        <f aca="true" t="shared" si="7" ref="AE169:AE176">IF(AQ169="7",BI169,0)</f>
        <v>0</v>
      </c>
      <c r="AF169" s="64">
        <f aca="true" t="shared" si="8" ref="AF169:AF176">IF(AQ169="2",BH169,0)</f>
        <v>0</v>
      </c>
      <c r="AG169" s="64">
        <f aca="true" t="shared" si="9" ref="AG169:AG176">IF(AQ169="2",BI169,0)</f>
        <v>0</v>
      </c>
      <c r="AH169" s="64">
        <f aca="true" t="shared" si="10" ref="AH169:AH176">IF(AQ169="0",BJ169,0)</f>
        <v>0</v>
      </c>
      <c r="AI169" s="63"/>
      <c r="AJ169" s="49">
        <f aca="true" t="shared" si="11" ref="AJ169:AJ176">IF(AN169=0,L169,0)</f>
        <v>0</v>
      </c>
      <c r="AK169" s="49">
        <f aca="true" t="shared" si="12" ref="AK169:AK176">IF(AN169=15,L169,0)</f>
        <v>0</v>
      </c>
      <c r="AL169" s="49">
        <f aca="true" t="shared" si="13" ref="AL169:AL176">IF(AN169=21,L169,0)</f>
        <v>0</v>
      </c>
      <c r="AN169" s="64">
        <v>15</v>
      </c>
      <c r="AO169" s="64">
        <f>I169*0.903873120663227</f>
        <v>0</v>
      </c>
      <c r="AP169" s="64">
        <f>I169*(1-0.903873120663227)</f>
        <v>0</v>
      </c>
      <c r="AQ169" s="65" t="s">
        <v>74</v>
      </c>
      <c r="AV169" s="64">
        <f aca="true" t="shared" si="14" ref="AV169:AV176">AW169+AX169</f>
        <v>0</v>
      </c>
      <c r="AW169" s="64">
        <f aca="true" t="shared" si="15" ref="AW169:AW176">H169*AO169</f>
        <v>0</v>
      </c>
      <c r="AX169" s="64">
        <f aca="true" t="shared" si="16" ref="AX169:AX176">H169*AP169</f>
        <v>0</v>
      </c>
      <c r="AY169" s="67" t="s">
        <v>749</v>
      </c>
      <c r="AZ169" s="67" t="s">
        <v>770</v>
      </c>
      <c r="BA169" s="63" t="s">
        <v>775</v>
      </c>
      <c r="BC169" s="64">
        <f aca="true" t="shared" si="17" ref="BC169:BC176">AW169+AX169</f>
        <v>0</v>
      </c>
      <c r="BD169" s="64">
        <f aca="true" t="shared" si="18" ref="BD169:BD176">I169/(100-BE169)*100</f>
        <v>0</v>
      </c>
      <c r="BE169" s="64">
        <v>0</v>
      </c>
      <c r="BF169" s="64">
        <f>169</f>
        <v>169</v>
      </c>
      <c r="BH169" s="49">
        <f aca="true" t="shared" si="19" ref="BH169:BH176">H169*AO169</f>
        <v>0</v>
      </c>
      <c r="BI169" s="49">
        <f aca="true" t="shared" si="20" ref="BI169:BI176">H169*AP169</f>
        <v>0</v>
      </c>
      <c r="BJ169" s="49">
        <f aca="true" t="shared" si="21" ref="BJ169:BJ176">H169*I169</f>
        <v>0</v>
      </c>
      <c r="BK169" s="49" t="s">
        <v>780</v>
      </c>
      <c r="BL169" s="64">
        <v>94</v>
      </c>
    </row>
    <row r="170" spans="1:64" ht="12.75">
      <c r="A170" s="82" t="s">
        <v>127</v>
      </c>
      <c r="B170" s="82" t="s">
        <v>278</v>
      </c>
      <c r="C170" s="229" t="s">
        <v>531</v>
      </c>
      <c r="D170" s="230"/>
      <c r="E170" s="230"/>
      <c r="F170" s="231"/>
      <c r="G170" s="82" t="s">
        <v>714</v>
      </c>
      <c r="H170" s="88">
        <v>1071.84</v>
      </c>
      <c r="I170" s="88">
        <v>0</v>
      </c>
      <c r="J170" s="88">
        <f t="shared" si="0"/>
        <v>0</v>
      </c>
      <c r="K170" s="88">
        <f t="shared" si="1"/>
        <v>0</v>
      </c>
      <c r="L170" s="88">
        <f t="shared" si="2"/>
        <v>0</v>
      </c>
      <c r="M170" s="78" t="s">
        <v>732</v>
      </c>
      <c r="N170" s="72"/>
      <c r="Z170" s="64">
        <f t="shared" si="3"/>
        <v>0</v>
      </c>
      <c r="AB170" s="64">
        <f t="shared" si="4"/>
        <v>0</v>
      </c>
      <c r="AC170" s="64">
        <f t="shared" si="5"/>
        <v>0</v>
      </c>
      <c r="AD170" s="64">
        <f t="shared" si="6"/>
        <v>0</v>
      </c>
      <c r="AE170" s="64">
        <f t="shared" si="7"/>
        <v>0</v>
      </c>
      <c r="AF170" s="64">
        <f t="shared" si="8"/>
        <v>0</v>
      </c>
      <c r="AG170" s="64">
        <f t="shared" si="9"/>
        <v>0</v>
      </c>
      <c r="AH170" s="64">
        <f t="shared" si="10"/>
        <v>0</v>
      </c>
      <c r="AI170" s="63"/>
      <c r="AJ170" s="49">
        <f t="shared" si="11"/>
        <v>0</v>
      </c>
      <c r="AK170" s="49">
        <f t="shared" si="12"/>
        <v>0</v>
      </c>
      <c r="AL170" s="49">
        <f t="shared" si="13"/>
        <v>0</v>
      </c>
      <c r="AN170" s="64">
        <v>15</v>
      </c>
      <c r="AO170" s="64">
        <f>I170*0</f>
        <v>0</v>
      </c>
      <c r="AP170" s="64">
        <f>I170*(1-0)</f>
        <v>0</v>
      </c>
      <c r="AQ170" s="65" t="s">
        <v>74</v>
      </c>
      <c r="AV170" s="64">
        <f t="shared" si="14"/>
        <v>0</v>
      </c>
      <c r="AW170" s="64">
        <f t="shared" si="15"/>
        <v>0</v>
      </c>
      <c r="AX170" s="64">
        <f t="shared" si="16"/>
        <v>0</v>
      </c>
      <c r="AY170" s="67" t="s">
        <v>749</v>
      </c>
      <c r="AZ170" s="67" t="s">
        <v>770</v>
      </c>
      <c r="BA170" s="63" t="s">
        <v>775</v>
      </c>
      <c r="BC170" s="64">
        <f t="shared" si="17"/>
        <v>0</v>
      </c>
      <c r="BD170" s="64">
        <f t="shared" si="18"/>
        <v>0</v>
      </c>
      <c r="BE170" s="64">
        <v>0</v>
      </c>
      <c r="BF170" s="64">
        <f>170</f>
        <v>170</v>
      </c>
      <c r="BH170" s="49">
        <f t="shared" si="19"/>
        <v>0</v>
      </c>
      <c r="BI170" s="49">
        <f t="shared" si="20"/>
        <v>0</v>
      </c>
      <c r="BJ170" s="49">
        <f t="shared" si="21"/>
        <v>0</v>
      </c>
      <c r="BK170" s="49" t="s">
        <v>780</v>
      </c>
      <c r="BL170" s="64">
        <v>94</v>
      </c>
    </row>
    <row r="171" spans="1:64" ht="12.75">
      <c r="A171" s="82" t="s">
        <v>128</v>
      </c>
      <c r="B171" s="82" t="s">
        <v>279</v>
      </c>
      <c r="C171" s="229" t="s">
        <v>532</v>
      </c>
      <c r="D171" s="230"/>
      <c r="E171" s="230"/>
      <c r="F171" s="231"/>
      <c r="G171" s="82" t="s">
        <v>714</v>
      </c>
      <c r="H171" s="88">
        <v>1071.84</v>
      </c>
      <c r="I171" s="88">
        <v>0</v>
      </c>
      <c r="J171" s="88">
        <f t="shared" si="0"/>
        <v>0</v>
      </c>
      <c r="K171" s="88">
        <f t="shared" si="1"/>
        <v>0</v>
      </c>
      <c r="L171" s="88">
        <f t="shared" si="2"/>
        <v>0</v>
      </c>
      <c r="M171" s="78" t="s">
        <v>732</v>
      </c>
      <c r="N171" s="72"/>
      <c r="Z171" s="64">
        <f t="shared" si="3"/>
        <v>0</v>
      </c>
      <c r="AB171" s="64">
        <f t="shared" si="4"/>
        <v>0</v>
      </c>
      <c r="AC171" s="64">
        <f t="shared" si="5"/>
        <v>0</v>
      </c>
      <c r="AD171" s="64">
        <f t="shared" si="6"/>
        <v>0</v>
      </c>
      <c r="AE171" s="64">
        <f t="shared" si="7"/>
        <v>0</v>
      </c>
      <c r="AF171" s="64">
        <f t="shared" si="8"/>
        <v>0</v>
      </c>
      <c r="AG171" s="64">
        <f t="shared" si="9"/>
        <v>0</v>
      </c>
      <c r="AH171" s="64">
        <f t="shared" si="10"/>
        <v>0</v>
      </c>
      <c r="AI171" s="63"/>
      <c r="AJ171" s="49">
        <f t="shared" si="11"/>
        <v>0</v>
      </c>
      <c r="AK171" s="49">
        <f t="shared" si="12"/>
        <v>0</v>
      </c>
      <c r="AL171" s="49">
        <f t="shared" si="13"/>
        <v>0</v>
      </c>
      <c r="AN171" s="64">
        <v>15</v>
      </c>
      <c r="AO171" s="64">
        <f>I171*0</f>
        <v>0</v>
      </c>
      <c r="AP171" s="64">
        <f>I171*(1-0)</f>
        <v>0</v>
      </c>
      <c r="AQ171" s="65" t="s">
        <v>74</v>
      </c>
      <c r="AV171" s="64">
        <f t="shared" si="14"/>
        <v>0</v>
      </c>
      <c r="AW171" s="64">
        <f t="shared" si="15"/>
        <v>0</v>
      </c>
      <c r="AX171" s="64">
        <f t="shared" si="16"/>
        <v>0</v>
      </c>
      <c r="AY171" s="67" t="s">
        <v>749</v>
      </c>
      <c r="AZ171" s="67" t="s">
        <v>770</v>
      </c>
      <c r="BA171" s="63" t="s">
        <v>775</v>
      </c>
      <c r="BC171" s="64">
        <f t="shared" si="17"/>
        <v>0</v>
      </c>
      <c r="BD171" s="64">
        <f t="shared" si="18"/>
        <v>0</v>
      </c>
      <c r="BE171" s="64">
        <v>0</v>
      </c>
      <c r="BF171" s="64">
        <f>171</f>
        <v>171</v>
      </c>
      <c r="BH171" s="49">
        <f t="shared" si="19"/>
        <v>0</v>
      </c>
      <c r="BI171" s="49">
        <f t="shared" si="20"/>
        <v>0</v>
      </c>
      <c r="BJ171" s="49">
        <f t="shared" si="21"/>
        <v>0</v>
      </c>
      <c r="BK171" s="49" t="s">
        <v>780</v>
      </c>
      <c r="BL171" s="64">
        <v>94</v>
      </c>
    </row>
    <row r="172" spans="1:64" ht="12.75">
      <c r="A172" s="82" t="s">
        <v>129</v>
      </c>
      <c r="B172" s="82" t="s">
        <v>280</v>
      </c>
      <c r="C172" s="229" t="s">
        <v>533</v>
      </c>
      <c r="D172" s="230"/>
      <c r="E172" s="230"/>
      <c r="F172" s="231"/>
      <c r="G172" s="82" t="s">
        <v>714</v>
      </c>
      <c r="H172" s="88">
        <v>1071.84</v>
      </c>
      <c r="I172" s="88">
        <v>0</v>
      </c>
      <c r="J172" s="88">
        <f t="shared" si="0"/>
        <v>0</v>
      </c>
      <c r="K172" s="88">
        <f t="shared" si="1"/>
        <v>0</v>
      </c>
      <c r="L172" s="88">
        <f t="shared" si="2"/>
        <v>0</v>
      </c>
      <c r="M172" s="78" t="s">
        <v>732</v>
      </c>
      <c r="N172" s="72"/>
      <c r="Z172" s="64">
        <f t="shared" si="3"/>
        <v>0</v>
      </c>
      <c r="AB172" s="64">
        <f t="shared" si="4"/>
        <v>0</v>
      </c>
      <c r="AC172" s="64">
        <f t="shared" si="5"/>
        <v>0</v>
      </c>
      <c r="AD172" s="64">
        <f t="shared" si="6"/>
        <v>0</v>
      </c>
      <c r="AE172" s="64">
        <f t="shared" si="7"/>
        <v>0</v>
      </c>
      <c r="AF172" s="64">
        <f t="shared" si="8"/>
        <v>0</v>
      </c>
      <c r="AG172" s="64">
        <f t="shared" si="9"/>
        <v>0</v>
      </c>
      <c r="AH172" s="64">
        <f t="shared" si="10"/>
        <v>0</v>
      </c>
      <c r="AI172" s="63"/>
      <c r="AJ172" s="49">
        <f t="shared" si="11"/>
        <v>0</v>
      </c>
      <c r="AK172" s="49">
        <f t="shared" si="12"/>
        <v>0</v>
      </c>
      <c r="AL172" s="49">
        <f t="shared" si="13"/>
        <v>0</v>
      </c>
      <c r="AN172" s="64">
        <v>15</v>
      </c>
      <c r="AO172" s="64">
        <f>I172*0.999999757668871</f>
        <v>0</v>
      </c>
      <c r="AP172" s="64">
        <f>I172*(1-0.999999757668871)</f>
        <v>0</v>
      </c>
      <c r="AQ172" s="65" t="s">
        <v>74</v>
      </c>
      <c r="AV172" s="64">
        <f t="shared" si="14"/>
        <v>0</v>
      </c>
      <c r="AW172" s="64">
        <f t="shared" si="15"/>
        <v>0</v>
      </c>
      <c r="AX172" s="64">
        <f t="shared" si="16"/>
        <v>0</v>
      </c>
      <c r="AY172" s="67" t="s">
        <v>749</v>
      </c>
      <c r="AZ172" s="67" t="s">
        <v>770</v>
      </c>
      <c r="BA172" s="63" t="s">
        <v>775</v>
      </c>
      <c r="BC172" s="64">
        <f t="shared" si="17"/>
        <v>0</v>
      </c>
      <c r="BD172" s="64">
        <f t="shared" si="18"/>
        <v>0</v>
      </c>
      <c r="BE172" s="64">
        <v>0</v>
      </c>
      <c r="BF172" s="64">
        <f>172</f>
        <v>172</v>
      </c>
      <c r="BH172" s="49">
        <f t="shared" si="19"/>
        <v>0</v>
      </c>
      <c r="BI172" s="49">
        <f t="shared" si="20"/>
        <v>0</v>
      </c>
      <c r="BJ172" s="49">
        <f t="shared" si="21"/>
        <v>0</v>
      </c>
      <c r="BK172" s="49" t="s">
        <v>780</v>
      </c>
      <c r="BL172" s="64">
        <v>94</v>
      </c>
    </row>
    <row r="173" spans="1:64" ht="12.75">
      <c r="A173" s="82" t="s">
        <v>130</v>
      </c>
      <c r="B173" s="82" t="s">
        <v>281</v>
      </c>
      <c r="C173" s="229" t="s">
        <v>534</v>
      </c>
      <c r="D173" s="230"/>
      <c r="E173" s="230"/>
      <c r="F173" s="231"/>
      <c r="G173" s="82" t="s">
        <v>714</v>
      </c>
      <c r="H173" s="88">
        <v>1071.84</v>
      </c>
      <c r="I173" s="88">
        <v>0</v>
      </c>
      <c r="J173" s="88">
        <f t="shared" si="0"/>
        <v>0</v>
      </c>
      <c r="K173" s="88">
        <f t="shared" si="1"/>
        <v>0</v>
      </c>
      <c r="L173" s="88">
        <f t="shared" si="2"/>
        <v>0</v>
      </c>
      <c r="M173" s="78" t="s">
        <v>732</v>
      </c>
      <c r="N173" s="72"/>
      <c r="Z173" s="64">
        <f t="shared" si="3"/>
        <v>0</v>
      </c>
      <c r="AB173" s="64">
        <f t="shared" si="4"/>
        <v>0</v>
      </c>
      <c r="AC173" s="64">
        <f t="shared" si="5"/>
        <v>0</v>
      </c>
      <c r="AD173" s="64">
        <f t="shared" si="6"/>
        <v>0</v>
      </c>
      <c r="AE173" s="64">
        <f t="shared" si="7"/>
        <v>0</v>
      </c>
      <c r="AF173" s="64">
        <f t="shared" si="8"/>
        <v>0</v>
      </c>
      <c r="AG173" s="64">
        <f t="shared" si="9"/>
        <v>0</v>
      </c>
      <c r="AH173" s="64">
        <f t="shared" si="10"/>
        <v>0</v>
      </c>
      <c r="AI173" s="63"/>
      <c r="AJ173" s="49">
        <f t="shared" si="11"/>
        <v>0</v>
      </c>
      <c r="AK173" s="49">
        <f t="shared" si="12"/>
        <v>0</v>
      </c>
      <c r="AL173" s="49">
        <f t="shared" si="13"/>
        <v>0</v>
      </c>
      <c r="AN173" s="64">
        <v>15</v>
      </c>
      <c r="AO173" s="64">
        <f>I173*0</f>
        <v>0</v>
      </c>
      <c r="AP173" s="64">
        <f>I173*(1-0)</f>
        <v>0</v>
      </c>
      <c r="AQ173" s="65" t="s">
        <v>74</v>
      </c>
      <c r="AV173" s="64">
        <f t="shared" si="14"/>
        <v>0</v>
      </c>
      <c r="AW173" s="64">
        <f t="shared" si="15"/>
        <v>0</v>
      </c>
      <c r="AX173" s="64">
        <f t="shared" si="16"/>
        <v>0</v>
      </c>
      <c r="AY173" s="67" t="s">
        <v>749</v>
      </c>
      <c r="AZ173" s="67" t="s">
        <v>770</v>
      </c>
      <c r="BA173" s="63" t="s">
        <v>775</v>
      </c>
      <c r="BC173" s="64">
        <f t="shared" si="17"/>
        <v>0</v>
      </c>
      <c r="BD173" s="64">
        <f t="shared" si="18"/>
        <v>0</v>
      </c>
      <c r="BE173" s="64">
        <v>0</v>
      </c>
      <c r="BF173" s="64">
        <f>173</f>
        <v>173</v>
      </c>
      <c r="BH173" s="49">
        <f t="shared" si="19"/>
        <v>0</v>
      </c>
      <c r="BI173" s="49">
        <f t="shared" si="20"/>
        <v>0</v>
      </c>
      <c r="BJ173" s="49">
        <f t="shared" si="21"/>
        <v>0</v>
      </c>
      <c r="BK173" s="49" t="s">
        <v>780</v>
      </c>
      <c r="BL173" s="64">
        <v>94</v>
      </c>
    </row>
    <row r="174" spans="1:64" ht="12.75">
      <c r="A174" s="82" t="s">
        <v>131</v>
      </c>
      <c r="B174" s="82" t="s">
        <v>282</v>
      </c>
      <c r="C174" s="229" t="s">
        <v>535</v>
      </c>
      <c r="D174" s="230"/>
      <c r="E174" s="230"/>
      <c r="F174" s="231"/>
      <c r="G174" s="82" t="s">
        <v>716</v>
      </c>
      <c r="H174" s="88">
        <v>3.5</v>
      </c>
      <c r="I174" s="88">
        <v>0</v>
      </c>
      <c r="J174" s="88">
        <f t="shared" si="0"/>
        <v>0</v>
      </c>
      <c r="K174" s="88">
        <f t="shared" si="1"/>
        <v>0</v>
      </c>
      <c r="L174" s="88">
        <f t="shared" si="2"/>
        <v>0</v>
      </c>
      <c r="M174" s="78" t="s">
        <v>732</v>
      </c>
      <c r="N174" s="72"/>
      <c r="Z174" s="64">
        <f t="shared" si="3"/>
        <v>0</v>
      </c>
      <c r="AB174" s="64">
        <f t="shared" si="4"/>
        <v>0</v>
      </c>
      <c r="AC174" s="64">
        <f t="shared" si="5"/>
        <v>0</v>
      </c>
      <c r="AD174" s="64">
        <f t="shared" si="6"/>
        <v>0</v>
      </c>
      <c r="AE174" s="64">
        <f t="shared" si="7"/>
        <v>0</v>
      </c>
      <c r="AF174" s="64">
        <f t="shared" si="8"/>
        <v>0</v>
      </c>
      <c r="AG174" s="64">
        <f t="shared" si="9"/>
        <v>0</v>
      </c>
      <c r="AH174" s="64">
        <f t="shared" si="10"/>
        <v>0</v>
      </c>
      <c r="AI174" s="63"/>
      <c r="AJ174" s="49">
        <f t="shared" si="11"/>
        <v>0</v>
      </c>
      <c r="AK174" s="49">
        <f t="shared" si="12"/>
        <v>0</v>
      </c>
      <c r="AL174" s="49">
        <f t="shared" si="13"/>
        <v>0</v>
      </c>
      <c r="AN174" s="64">
        <v>15</v>
      </c>
      <c r="AO174" s="64">
        <f>I174*0.314324324324324</f>
        <v>0</v>
      </c>
      <c r="AP174" s="64">
        <f>I174*(1-0.314324324324324)</f>
        <v>0</v>
      </c>
      <c r="AQ174" s="65" t="s">
        <v>74</v>
      </c>
      <c r="AV174" s="64">
        <f t="shared" si="14"/>
        <v>0</v>
      </c>
      <c r="AW174" s="64">
        <f t="shared" si="15"/>
        <v>0</v>
      </c>
      <c r="AX174" s="64">
        <f t="shared" si="16"/>
        <v>0</v>
      </c>
      <c r="AY174" s="67" t="s">
        <v>749</v>
      </c>
      <c r="AZ174" s="67" t="s">
        <v>770</v>
      </c>
      <c r="BA174" s="63" t="s">
        <v>775</v>
      </c>
      <c r="BC174" s="64">
        <f t="shared" si="17"/>
        <v>0</v>
      </c>
      <c r="BD174" s="64">
        <f t="shared" si="18"/>
        <v>0</v>
      </c>
      <c r="BE174" s="64">
        <v>0</v>
      </c>
      <c r="BF174" s="64">
        <f>174</f>
        <v>174</v>
      </c>
      <c r="BH174" s="49">
        <f t="shared" si="19"/>
        <v>0</v>
      </c>
      <c r="BI174" s="49">
        <f t="shared" si="20"/>
        <v>0</v>
      </c>
      <c r="BJ174" s="49">
        <f t="shared" si="21"/>
        <v>0</v>
      </c>
      <c r="BK174" s="49" t="s">
        <v>780</v>
      </c>
      <c r="BL174" s="64">
        <v>94</v>
      </c>
    </row>
    <row r="175" spans="1:64" ht="12.75">
      <c r="A175" s="82" t="s">
        <v>132</v>
      </c>
      <c r="B175" s="82" t="s">
        <v>283</v>
      </c>
      <c r="C175" s="229" t="s">
        <v>536</v>
      </c>
      <c r="D175" s="230"/>
      <c r="E175" s="230"/>
      <c r="F175" s="231"/>
      <c r="G175" s="82" t="s">
        <v>716</v>
      </c>
      <c r="H175" s="88">
        <v>3.5</v>
      </c>
      <c r="I175" s="88">
        <v>0</v>
      </c>
      <c r="J175" s="88">
        <f t="shared" si="0"/>
        <v>0</v>
      </c>
      <c r="K175" s="88">
        <f t="shared" si="1"/>
        <v>0</v>
      </c>
      <c r="L175" s="88">
        <f t="shared" si="2"/>
        <v>0</v>
      </c>
      <c r="M175" s="78" t="s">
        <v>732</v>
      </c>
      <c r="N175" s="72"/>
      <c r="Z175" s="64">
        <f t="shared" si="3"/>
        <v>0</v>
      </c>
      <c r="AB175" s="64">
        <f t="shared" si="4"/>
        <v>0</v>
      </c>
      <c r="AC175" s="64">
        <f t="shared" si="5"/>
        <v>0</v>
      </c>
      <c r="AD175" s="64">
        <f t="shared" si="6"/>
        <v>0</v>
      </c>
      <c r="AE175" s="64">
        <f t="shared" si="7"/>
        <v>0</v>
      </c>
      <c r="AF175" s="64">
        <f t="shared" si="8"/>
        <v>0</v>
      </c>
      <c r="AG175" s="64">
        <f t="shared" si="9"/>
        <v>0</v>
      </c>
      <c r="AH175" s="64">
        <f t="shared" si="10"/>
        <v>0</v>
      </c>
      <c r="AI175" s="63"/>
      <c r="AJ175" s="49">
        <f t="shared" si="11"/>
        <v>0</v>
      </c>
      <c r="AK175" s="49">
        <f t="shared" si="12"/>
        <v>0</v>
      </c>
      <c r="AL175" s="49">
        <f t="shared" si="13"/>
        <v>0</v>
      </c>
      <c r="AN175" s="64">
        <v>15</v>
      </c>
      <c r="AO175" s="64">
        <f>I175*0.89281045751634</f>
        <v>0</v>
      </c>
      <c r="AP175" s="64">
        <f>I175*(1-0.89281045751634)</f>
        <v>0</v>
      </c>
      <c r="AQ175" s="65" t="s">
        <v>74</v>
      </c>
      <c r="AV175" s="64">
        <f t="shared" si="14"/>
        <v>0</v>
      </c>
      <c r="AW175" s="64">
        <f t="shared" si="15"/>
        <v>0</v>
      </c>
      <c r="AX175" s="64">
        <f t="shared" si="16"/>
        <v>0</v>
      </c>
      <c r="AY175" s="67" t="s">
        <v>749</v>
      </c>
      <c r="AZ175" s="67" t="s">
        <v>770</v>
      </c>
      <c r="BA175" s="63" t="s">
        <v>775</v>
      </c>
      <c r="BC175" s="64">
        <f t="shared" si="17"/>
        <v>0</v>
      </c>
      <c r="BD175" s="64">
        <f t="shared" si="18"/>
        <v>0</v>
      </c>
      <c r="BE175" s="64">
        <v>0</v>
      </c>
      <c r="BF175" s="64">
        <f>175</f>
        <v>175</v>
      </c>
      <c r="BH175" s="49">
        <f t="shared" si="19"/>
        <v>0</v>
      </c>
      <c r="BI175" s="49">
        <f t="shared" si="20"/>
        <v>0</v>
      </c>
      <c r="BJ175" s="49">
        <f t="shared" si="21"/>
        <v>0</v>
      </c>
      <c r="BK175" s="49" t="s">
        <v>780</v>
      </c>
      <c r="BL175" s="64">
        <v>94</v>
      </c>
    </row>
    <row r="176" spans="1:64" ht="12.75">
      <c r="A176" s="75" t="s">
        <v>133</v>
      </c>
      <c r="B176" s="75" t="s">
        <v>284</v>
      </c>
      <c r="C176" s="240" t="s">
        <v>537</v>
      </c>
      <c r="D176" s="230"/>
      <c r="E176" s="230"/>
      <c r="F176" s="234"/>
      <c r="G176" s="75" t="s">
        <v>716</v>
      </c>
      <c r="H176" s="76">
        <v>3.5</v>
      </c>
      <c r="I176" s="76">
        <v>0</v>
      </c>
      <c r="J176" s="76">
        <f t="shared" si="0"/>
        <v>0</v>
      </c>
      <c r="K176" s="76">
        <f t="shared" si="1"/>
        <v>0</v>
      </c>
      <c r="L176" s="76">
        <f t="shared" si="2"/>
        <v>0</v>
      </c>
      <c r="M176" s="79" t="s">
        <v>732</v>
      </c>
      <c r="N176" s="72"/>
      <c r="Z176" s="64">
        <f t="shared" si="3"/>
        <v>0</v>
      </c>
      <c r="AB176" s="64">
        <f t="shared" si="4"/>
        <v>0</v>
      </c>
      <c r="AC176" s="64">
        <f t="shared" si="5"/>
        <v>0</v>
      </c>
      <c r="AD176" s="64">
        <f t="shared" si="6"/>
        <v>0</v>
      </c>
      <c r="AE176" s="64">
        <f t="shared" si="7"/>
        <v>0</v>
      </c>
      <c r="AF176" s="64">
        <f t="shared" si="8"/>
        <v>0</v>
      </c>
      <c r="AG176" s="64">
        <f t="shared" si="9"/>
        <v>0</v>
      </c>
      <c r="AH176" s="64">
        <f t="shared" si="10"/>
        <v>0</v>
      </c>
      <c r="AI176" s="63"/>
      <c r="AJ176" s="49">
        <f t="shared" si="11"/>
        <v>0</v>
      </c>
      <c r="AK176" s="49">
        <f t="shared" si="12"/>
        <v>0</v>
      </c>
      <c r="AL176" s="49">
        <f t="shared" si="13"/>
        <v>0</v>
      </c>
      <c r="AN176" s="64">
        <v>15</v>
      </c>
      <c r="AO176" s="64">
        <f>I176*0</f>
        <v>0</v>
      </c>
      <c r="AP176" s="64">
        <f>I176*(1-0)</f>
        <v>0</v>
      </c>
      <c r="AQ176" s="65" t="s">
        <v>74</v>
      </c>
      <c r="AV176" s="64">
        <f t="shared" si="14"/>
        <v>0</v>
      </c>
      <c r="AW176" s="64">
        <f t="shared" si="15"/>
        <v>0</v>
      </c>
      <c r="AX176" s="64">
        <f t="shared" si="16"/>
        <v>0</v>
      </c>
      <c r="AY176" s="67" t="s">
        <v>749</v>
      </c>
      <c r="AZ176" s="67" t="s">
        <v>770</v>
      </c>
      <c r="BA176" s="63" t="s">
        <v>775</v>
      </c>
      <c r="BC176" s="64">
        <f t="shared" si="17"/>
        <v>0</v>
      </c>
      <c r="BD176" s="64">
        <f t="shared" si="18"/>
        <v>0</v>
      </c>
      <c r="BE176" s="64">
        <v>0</v>
      </c>
      <c r="BF176" s="64">
        <f>176</f>
        <v>176</v>
      </c>
      <c r="BH176" s="49">
        <f t="shared" si="19"/>
        <v>0</v>
      </c>
      <c r="BI176" s="49">
        <f t="shared" si="20"/>
        <v>0</v>
      </c>
      <c r="BJ176" s="49">
        <f t="shared" si="21"/>
        <v>0</v>
      </c>
      <c r="BK176" s="49" t="s">
        <v>780</v>
      </c>
      <c r="BL176" s="64">
        <v>94</v>
      </c>
    </row>
    <row r="177" spans="1:47" ht="12.75">
      <c r="A177" s="34"/>
      <c r="B177" s="41" t="s">
        <v>168</v>
      </c>
      <c r="C177" s="235" t="s">
        <v>538</v>
      </c>
      <c r="D177" s="236"/>
      <c r="E177" s="236"/>
      <c r="F177" s="236"/>
      <c r="G177" s="47" t="s">
        <v>73</v>
      </c>
      <c r="H177" s="47" t="s">
        <v>73</v>
      </c>
      <c r="I177" s="47" t="s">
        <v>73</v>
      </c>
      <c r="J177" s="70">
        <f>SUM(J178:J184)</f>
        <v>0</v>
      </c>
      <c r="K177" s="70">
        <f>SUM(K178:K184)</f>
        <v>0</v>
      </c>
      <c r="L177" s="70">
        <f>SUM(L178:L184)</f>
        <v>0</v>
      </c>
      <c r="M177" s="60"/>
      <c r="N177" s="18"/>
      <c r="AI177" s="63"/>
      <c r="AS177" s="70">
        <f>SUM(AJ178:AJ184)</f>
        <v>0</v>
      </c>
      <c r="AT177" s="70">
        <f>SUM(AK178:AK184)</f>
        <v>0</v>
      </c>
      <c r="AU177" s="70">
        <f>SUM(AL178:AL184)</f>
        <v>0</v>
      </c>
    </row>
    <row r="178" spans="1:64" ht="12.75">
      <c r="A178" s="82" t="s">
        <v>134</v>
      </c>
      <c r="B178" s="82" t="s">
        <v>285</v>
      </c>
      <c r="C178" s="229" t="s">
        <v>539</v>
      </c>
      <c r="D178" s="230"/>
      <c r="E178" s="230"/>
      <c r="F178" s="231"/>
      <c r="G178" s="82" t="s">
        <v>715</v>
      </c>
      <c r="H178" s="88">
        <v>144</v>
      </c>
      <c r="I178" s="88">
        <v>0</v>
      </c>
      <c r="J178" s="88">
        <f>H178*AO178</f>
        <v>0</v>
      </c>
      <c r="K178" s="88">
        <f>H178*AP178</f>
        <v>0</v>
      </c>
      <c r="L178" s="88">
        <f>H178*I178</f>
        <v>0</v>
      </c>
      <c r="M178" s="78" t="s">
        <v>732</v>
      </c>
      <c r="N178" s="72"/>
      <c r="Z178" s="64">
        <f>IF(AQ178="5",BJ178,0)</f>
        <v>0</v>
      </c>
      <c r="AB178" s="64">
        <f>IF(AQ178="1",BH178,0)</f>
        <v>0</v>
      </c>
      <c r="AC178" s="64">
        <f>IF(AQ178="1",BI178,0)</f>
        <v>0</v>
      </c>
      <c r="AD178" s="64">
        <f>IF(AQ178="7",BH178,0)</f>
        <v>0</v>
      </c>
      <c r="AE178" s="64">
        <f>IF(AQ178="7",BI178,0)</f>
        <v>0</v>
      </c>
      <c r="AF178" s="64">
        <f>IF(AQ178="2",BH178,0)</f>
        <v>0</v>
      </c>
      <c r="AG178" s="64">
        <f>IF(AQ178="2",BI178,0)</f>
        <v>0</v>
      </c>
      <c r="AH178" s="64">
        <f>IF(AQ178="0",BJ178,0)</f>
        <v>0</v>
      </c>
      <c r="AI178" s="63"/>
      <c r="AJ178" s="49">
        <f>IF(AN178=0,L178,0)</f>
        <v>0</v>
      </c>
      <c r="AK178" s="49">
        <f>IF(AN178=15,L178,0)</f>
        <v>0</v>
      </c>
      <c r="AL178" s="49">
        <f>IF(AN178=21,L178,0)</f>
        <v>0</v>
      </c>
      <c r="AN178" s="64">
        <v>15</v>
      </c>
      <c r="AO178" s="64">
        <f>I178*0</f>
        <v>0</v>
      </c>
      <c r="AP178" s="64">
        <f>I178*(1-0)</f>
        <v>0</v>
      </c>
      <c r="AQ178" s="65" t="s">
        <v>74</v>
      </c>
      <c r="AV178" s="64">
        <f>AW178+AX178</f>
        <v>0</v>
      </c>
      <c r="AW178" s="64">
        <f>H178*AO178</f>
        <v>0</v>
      </c>
      <c r="AX178" s="64">
        <f>H178*AP178</f>
        <v>0</v>
      </c>
      <c r="AY178" s="67" t="s">
        <v>750</v>
      </c>
      <c r="AZ178" s="67" t="s">
        <v>770</v>
      </c>
      <c r="BA178" s="63" t="s">
        <v>775</v>
      </c>
      <c r="BC178" s="64">
        <f>AW178+AX178</f>
        <v>0</v>
      </c>
      <c r="BD178" s="64">
        <f>I178/(100-BE178)*100</f>
        <v>0</v>
      </c>
      <c r="BE178" s="64">
        <v>0</v>
      </c>
      <c r="BF178" s="64">
        <f>178</f>
        <v>178</v>
      </c>
      <c r="BH178" s="49">
        <f>H178*AO178</f>
        <v>0</v>
      </c>
      <c r="BI178" s="49">
        <f>H178*AP178</f>
        <v>0</v>
      </c>
      <c r="BJ178" s="49">
        <f>H178*I178</f>
        <v>0</v>
      </c>
      <c r="BK178" s="49" t="s">
        <v>780</v>
      </c>
      <c r="BL178" s="64">
        <v>95</v>
      </c>
    </row>
    <row r="179" spans="1:14" ht="12.75">
      <c r="A179" s="90"/>
      <c r="B179" s="91"/>
      <c r="C179" s="84" t="s">
        <v>540</v>
      </c>
      <c r="F179" s="92"/>
      <c r="G179" s="91"/>
      <c r="H179" s="93">
        <v>144</v>
      </c>
      <c r="I179" s="91"/>
      <c r="J179" s="91"/>
      <c r="K179" s="91"/>
      <c r="L179" s="91"/>
      <c r="M179" s="80"/>
      <c r="N179" s="72"/>
    </row>
    <row r="180" spans="1:64" ht="12.75">
      <c r="A180" s="82" t="s">
        <v>135</v>
      </c>
      <c r="B180" s="82" t="s">
        <v>286</v>
      </c>
      <c r="C180" s="229" t="s">
        <v>541</v>
      </c>
      <c r="D180" s="230"/>
      <c r="E180" s="230"/>
      <c r="F180" s="231"/>
      <c r="G180" s="82" t="s">
        <v>714</v>
      </c>
      <c r="H180" s="88">
        <v>876.12</v>
      </c>
      <c r="I180" s="88">
        <v>0</v>
      </c>
      <c r="J180" s="88">
        <f>H180*AO180</f>
        <v>0</v>
      </c>
      <c r="K180" s="88">
        <f>H180*AP180</f>
        <v>0</v>
      </c>
      <c r="L180" s="88">
        <f>H180*I180</f>
        <v>0</v>
      </c>
      <c r="M180" s="78" t="s">
        <v>732</v>
      </c>
      <c r="N180" s="72"/>
      <c r="Z180" s="64">
        <f>IF(AQ180="5",BJ180,0)</f>
        <v>0</v>
      </c>
      <c r="AB180" s="64">
        <f>IF(AQ180="1",BH180,0)</f>
        <v>0</v>
      </c>
      <c r="AC180" s="64">
        <f>IF(AQ180="1",BI180,0)</f>
        <v>0</v>
      </c>
      <c r="AD180" s="64">
        <f>IF(AQ180="7",BH180,0)</f>
        <v>0</v>
      </c>
      <c r="AE180" s="64">
        <f>IF(AQ180="7",BI180,0)</f>
        <v>0</v>
      </c>
      <c r="AF180" s="64">
        <f>IF(AQ180="2",BH180,0)</f>
        <v>0</v>
      </c>
      <c r="AG180" s="64">
        <f>IF(AQ180="2",BI180,0)</f>
        <v>0</v>
      </c>
      <c r="AH180" s="64">
        <f>IF(AQ180="0",BJ180,0)</f>
        <v>0</v>
      </c>
      <c r="AI180" s="63"/>
      <c r="AJ180" s="49">
        <f>IF(AN180=0,L180,0)</f>
        <v>0</v>
      </c>
      <c r="AK180" s="49">
        <f>IF(AN180=15,L180,0)</f>
        <v>0</v>
      </c>
      <c r="AL180" s="49">
        <f>IF(AN180=21,L180,0)</f>
        <v>0</v>
      </c>
      <c r="AN180" s="64">
        <v>15</v>
      </c>
      <c r="AO180" s="64">
        <f>I180*0.0121518987341772</f>
        <v>0</v>
      </c>
      <c r="AP180" s="64">
        <f>I180*(1-0.0121518987341772)</f>
        <v>0</v>
      </c>
      <c r="AQ180" s="65" t="s">
        <v>74</v>
      </c>
      <c r="AV180" s="64">
        <f>AW180+AX180</f>
        <v>0</v>
      </c>
      <c r="AW180" s="64">
        <f>H180*AO180</f>
        <v>0</v>
      </c>
      <c r="AX180" s="64">
        <f>H180*AP180</f>
        <v>0</v>
      </c>
      <c r="AY180" s="67" t="s">
        <v>750</v>
      </c>
      <c r="AZ180" s="67" t="s">
        <v>770</v>
      </c>
      <c r="BA180" s="63" t="s">
        <v>775</v>
      </c>
      <c r="BC180" s="64">
        <f>AW180+AX180</f>
        <v>0</v>
      </c>
      <c r="BD180" s="64">
        <f>I180/(100-BE180)*100</f>
        <v>0</v>
      </c>
      <c r="BE180" s="64">
        <v>0</v>
      </c>
      <c r="BF180" s="64">
        <f>180</f>
        <v>180</v>
      </c>
      <c r="BH180" s="49">
        <f>H180*AO180</f>
        <v>0</v>
      </c>
      <c r="BI180" s="49">
        <f>H180*AP180</f>
        <v>0</v>
      </c>
      <c r="BJ180" s="49">
        <f>H180*I180</f>
        <v>0</v>
      </c>
      <c r="BK180" s="49" t="s">
        <v>780</v>
      </c>
      <c r="BL180" s="64">
        <v>95</v>
      </c>
    </row>
    <row r="181" spans="1:14" ht="12.75">
      <c r="A181" s="83"/>
      <c r="B181" s="86"/>
      <c r="C181" s="85" t="s">
        <v>542</v>
      </c>
      <c r="F181" s="87"/>
      <c r="G181" s="86"/>
      <c r="H181" s="89">
        <v>876.12</v>
      </c>
      <c r="I181" s="86"/>
      <c r="J181" s="86"/>
      <c r="K181" s="86"/>
      <c r="L181" s="86"/>
      <c r="M181" s="81"/>
      <c r="N181" s="72"/>
    </row>
    <row r="182" spans="1:64" ht="12.75">
      <c r="A182" s="136" t="s">
        <v>136</v>
      </c>
      <c r="B182" s="137" t="s">
        <v>267</v>
      </c>
      <c r="C182" s="237" t="s">
        <v>543</v>
      </c>
      <c r="D182" s="230"/>
      <c r="E182" s="230"/>
      <c r="F182" s="230"/>
      <c r="G182" s="137" t="s">
        <v>714</v>
      </c>
      <c r="H182" s="138">
        <v>438.06</v>
      </c>
      <c r="I182" s="138">
        <v>0</v>
      </c>
      <c r="J182" s="138">
        <f>H182*AO182</f>
        <v>0</v>
      </c>
      <c r="K182" s="138">
        <f>H182*AP182</f>
        <v>0</v>
      </c>
      <c r="L182" s="138">
        <f>H182*I182</f>
        <v>0</v>
      </c>
      <c r="M182" s="139" t="s">
        <v>267</v>
      </c>
      <c r="N182" s="18"/>
      <c r="Z182" s="64">
        <f>IF(AQ182="5",BJ182,0)</f>
        <v>0</v>
      </c>
      <c r="AB182" s="64">
        <f>IF(AQ182="1",BH182,0)</f>
        <v>0</v>
      </c>
      <c r="AC182" s="64">
        <f>IF(AQ182="1",BI182,0)</f>
        <v>0</v>
      </c>
      <c r="AD182" s="64">
        <f>IF(AQ182="7",BH182,0)</f>
        <v>0</v>
      </c>
      <c r="AE182" s="64">
        <f>IF(AQ182="7",BI182,0)</f>
        <v>0</v>
      </c>
      <c r="AF182" s="64">
        <f>IF(AQ182="2",BH182,0)</f>
        <v>0</v>
      </c>
      <c r="AG182" s="64">
        <f>IF(AQ182="2",BI182,0)</f>
        <v>0</v>
      </c>
      <c r="AH182" s="64">
        <f>IF(AQ182="0",BJ182,0)</f>
        <v>0</v>
      </c>
      <c r="AI182" s="63"/>
      <c r="AJ182" s="49">
        <f>IF(AN182=0,L182,0)</f>
        <v>0</v>
      </c>
      <c r="AK182" s="49">
        <f>IF(AN182=15,L182,0)</f>
        <v>0</v>
      </c>
      <c r="AL182" s="49">
        <f>IF(AN182=21,L182,0)</f>
        <v>0</v>
      </c>
      <c r="AN182" s="64">
        <v>15</v>
      </c>
      <c r="AO182" s="64">
        <f>I182*0</f>
        <v>0</v>
      </c>
      <c r="AP182" s="64">
        <f>I182*(1-0)</f>
        <v>0</v>
      </c>
      <c r="AQ182" s="65" t="s">
        <v>78</v>
      </c>
      <c r="AV182" s="64">
        <f>AW182+AX182</f>
        <v>0</v>
      </c>
      <c r="AW182" s="64">
        <f>H182*AO182</f>
        <v>0</v>
      </c>
      <c r="AX182" s="64">
        <f>H182*AP182</f>
        <v>0</v>
      </c>
      <c r="AY182" s="67" t="s">
        <v>750</v>
      </c>
      <c r="AZ182" s="67" t="s">
        <v>770</v>
      </c>
      <c r="BA182" s="63" t="s">
        <v>775</v>
      </c>
      <c r="BC182" s="64">
        <f>AW182+AX182</f>
        <v>0</v>
      </c>
      <c r="BD182" s="64">
        <f>I182/(100-BE182)*100</f>
        <v>0</v>
      </c>
      <c r="BE182" s="64">
        <v>0</v>
      </c>
      <c r="BF182" s="64">
        <f>182</f>
        <v>182</v>
      </c>
      <c r="BH182" s="49">
        <f>H182*AO182</f>
        <v>0</v>
      </c>
      <c r="BI182" s="49">
        <f>H182*AP182</f>
        <v>0</v>
      </c>
      <c r="BJ182" s="49">
        <f>H182*I182</f>
        <v>0</v>
      </c>
      <c r="BK182" s="49" t="s">
        <v>780</v>
      </c>
      <c r="BL182" s="64">
        <v>95</v>
      </c>
    </row>
    <row r="183" spans="1:14" ht="12.75">
      <c r="A183" s="140"/>
      <c r="B183" s="141"/>
      <c r="C183" s="142" t="s">
        <v>544</v>
      </c>
      <c r="F183" s="142"/>
      <c r="G183" s="141"/>
      <c r="H183" s="143">
        <v>438.06</v>
      </c>
      <c r="I183" s="141"/>
      <c r="J183" s="141"/>
      <c r="K183" s="141"/>
      <c r="L183" s="141"/>
      <c r="M183" s="144"/>
      <c r="N183" s="18"/>
    </row>
    <row r="184" spans="1:64" ht="12.75">
      <c r="A184" s="136" t="s">
        <v>137</v>
      </c>
      <c r="B184" s="137" t="s">
        <v>267</v>
      </c>
      <c r="C184" s="237" t="s">
        <v>545</v>
      </c>
      <c r="D184" s="230"/>
      <c r="E184" s="230"/>
      <c r="F184" s="230"/>
      <c r="G184" s="137" t="s">
        <v>718</v>
      </c>
      <c r="H184" s="138">
        <v>2</v>
      </c>
      <c r="I184" s="138">
        <v>0</v>
      </c>
      <c r="J184" s="138">
        <f>H184*AO184</f>
        <v>0</v>
      </c>
      <c r="K184" s="138">
        <f>H184*AP184</f>
        <v>0</v>
      </c>
      <c r="L184" s="138">
        <f>H184*I184</f>
        <v>0</v>
      </c>
      <c r="M184" s="139" t="s">
        <v>267</v>
      </c>
      <c r="N184" s="18"/>
      <c r="Z184" s="64">
        <f>IF(AQ184="5",BJ184,0)</f>
        <v>0</v>
      </c>
      <c r="AB184" s="64">
        <f>IF(AQ184="1",BH184,0)</f>
        <v>0</v>
      </c>
      <c r="AC184" s="64">
        <f>IF(AQ184="1",BI184,0)</f>
        <v>0</v>
      </c>
      <c r="AD184" s="64">
        <f>IF(AQ184="7",BH184,0)</f>
        <v>0</v>
      </c>
      <c r="AE184" s="64">
        <f>IF(AQ184="7",BI184,0)</f>
        <v>0</v>
      </c>
      <c r="AF184" s="64">
        <f>IF(AQ184="2",BH184,0)</f>
        <v>0</v>
      </c>
      <c r="AG184" s="64">
        <f>IF(AQ184="2",BI184,0)</f>
        <v>0</v>
      </c>
      <c r="AH184" s="64">
        <f>IF(AQ184="0",BJ184,0)</f>
        <v>0</v>
      </c>
      <c r="AI184" s="63"/>
      <c r="AJ184" s="49">
        <f>IF(AN184=0,L184,0)</f>
        <v>0</v>
      </c>
      <c r="AK184" s="49">
        <f>IF(AN184=15,L184,0)</f>
        <v>0</v>
      </c>
      <c r="AL184" s="49">
        <f>IF(AN184=21,L184,0)</f>
        <v>0</v>
      </c>
      <c r="AN184" s="64">
        <v>15</v>
      </c>
      <c r="AO184" s="64">
        <f>I184*0</f>
        <v>0</v>
      </c>
      <c r="AP184" s="64">
        <f>I184*(1-0)</f>
        <v>0</v>
      </c>
      <c r="AQ184" s="65" t="s">
        <v>78</v>
      </c>
      <c r="AV184" s="64">
        <f>AW184+AX184</f>
        <v>0</v>
      </c>
      <c r="AW184" s="64">
        <f>H184*AO184</f>
        <v>0</v>
      </c>
      <c r="AX184" s="64">
        <f>H184*AP184</f>
        <v>0</v>
      </c>
      <c r="AY184" s="67" t="s">
        <v>750</v>
      </c>
      <c r="AZ184" s="67" t="s">
        <v>770</v>
      </c>
      <c r="BA184" s="63" t="s">
        <v>775</v>
      </c>
      <c r="BC184" s="64">
        <f>AW184+AX184</f>
        <v>0</v>
      </c>
      <c r="BD184" s="64">
        <f>I184/(100-BE184)*100</f>
        <v>0</v>
      </c>
      <c r="BE184" s="64">
        <v>0</v>
      </c>
      <c r="BF184" s="64">
        <f>184</f>
        <v>184</v>
      </c>
      <c r="BH184" s="49">
        <f>H184*AO184</f>
        <v>0</v>
      </c>
      <c r="BI184" s="49">
        <f>H184*AP184</f>
        <v>0</v>
      </c>
      <c r="BJ184" s="49">
        <f>H184*I184</f>
        <v>0</v>
      </c>
      <c r="BK184" s="49" t="s">
        <v>780</v>
      </c>
      <c r="BL184" s="64">
        <v>95</v>
      </c>
    </row>
    <row r="185" spans="1:14" ht="12.75">
      <c r="A185" s="140"/>
      <c r="B185" s="141"/>
      <c r="C185" s="142" t="s">
        <v>75</v>
      </c>
      <c r="F185" s="142"/>
      <c r="G185" s="141"/>
      <c r="H185" s="143">
        <v>2</v>
      </c>
      <c r="I185" s="141"/>
      <c r="J185" s="141"/>
      <c r="K185" s="141"/>
      <c r="L185" s="141"/>
      <c r="M185" s="144"/>
      <c r="N185" s="18"/>
    </row>
    <row r="186" spans="1:47" ht="12.75">
      <c r="A186" s="34"/>
      <c r="B186" s="41" t="s">
        <v>169</v>
      </c>
      <c r="C186" s="235" t="s">
        <v>546</v>
      </c>
      <c r="D186" s="236"/>
      <c r="E186" s="236"/>
      <c r="F186" s="236"/>
      <c r="G186" s="47" t="s">
        <v>73</v>
      </c>
      <c r="H186" s="47" t="s">
        <v>73</v>
      </c>
      <c r="I186" s="47" t="s">
        <v>73</v>
      </c>
      <c r="J186" s="70">
        <f>SUM(J187:J192)</f>
        <v>0</v>
      </c>
      <c r="K186" s="70">
        <f>SUM(K187:K192)</f>
        <v>0</v>
      </c>
      <c r="L186" s="70">
        <f>SUM(L187:L192)</f>
        <v>0</v>
      </c>
      <c r="M186" s="60"/>
      <c r="N186" s="18"/>
      <c r="AI186" s="63"/>
      <c r="AS186" s="70">
        <f>SUM(AJ187:AJ192)</f>
        <v>0</v>
      </c>
      <c r="AT186" s="70">
        <f>SUM(AK187:AK192)</f>
        <v>0</v>
      </c>
      <c r="AU186" s="70">
        <f>SUM(AL187:AL192)</f>
        <v>0</v>
      </c>
    </row>
    <row r="187" spans="1:64" ht="12.75">
      <c r="A187" s="150" t="s">
        <v>138</v>
      </c>
      <c r="B187" s="150" t="s">
        <v>287</v>
      </c>
      <c r="C187" s="249" t="s">
        <v>547</v>
      </c>
      <c r="D187" s="230"/>
      <c r="E187" s="230"/>
      <c r="F187" s="231"/>
      <c r="G187" s="150" t="s">
        <v>714</v>
      </c>
      <c r="H187" s="152">
        <v>11.34</v>
      </c>
      <c r="I187" s="152">
        <v>0</v>
      </c>
      <c r="J187" s="152">
        <f>H187*AO187</f>
        <v>0</v>
      </c>
      <c r="K187" s="152">
        <f>H187*AP187</f>
        <v>0</v>
      </c>
      <c r="L187" s="152">
        <f>H187*I187</f>
        <v>0</v>
      </c>
      <c r="M187" s="147" t="s">
        <v>734</v>
      </c>
      <c r="N187" s="72"/>
      <c r="Z187" s="64">
        <f>IF(AQ187="5",BJ187,0)</f>
        <v>0</v>
      </c>
      <c r="AB187" s="64">
        <f>IF(AQ187="1",BH187,0)</f>
        <v>0</v>
      </c>
      <c r="AC187" s="64">
        <f>IF(AQ187="1",BI187,0)</f>
        <v>0</v>
      </c>
      <c r="AD187" s="64">
        <f>IF(AQ187="7",BH187,0)</f>
        <v>0</v>
      </c>
      <c r="AE187" s="64">
        <f>IF(AQ187="7",BI187,0)</f>
        <v>0</v>
      </c>
      <c r="AF187" s="64">
        <f>IF(AQ187="2",BH187,0)</f>
        <v>0</v>
      </c>
      <c r="AG187" s="64">
        <f>IF(AQ187="2",BI187,0)</f>
        <v>0</v>
      </c>
      <c r="AH187" s="64">
        <f>IF(AQ187="0",BJ187,0)</f>
        <v>0</v>
      </c>
      <c r="AI187" s="63"/>
      <c r="AJ187" s="49">
        <f>IF(AN187=0,L187,0)</f>
        <v>0</v>
      </c>
      <c r="AK187" s="49">
        <f>IF(AN187=15,L187,0)</f>
        <v>0</v>
      </c>
      <c r="AL187" s="49">
        <f>IF(AN187=21,L187,0)</f>
        <v>0</v>
      </c>
      <c r="AN187" s="64">
        <v>15</v>
      </c>
      <c r="AO187" s="64">
        <f>I187*0.212320799814953</f>
        <v>0</v>
      </c>
      <c r="AP187" s="64">
        <f>I187*(1-0.212320799814953)</f>
        <v>0</v>
      </c>
      <c r="AQ187" s="65" t="s">
        <v>74</v>
      </c>
      <c r="AV187" s="64">
        <f>AW187+AX187</f>
        <v>0</v>
      </c>
      <c r="AW187" s="64">
        <f>H187*AO187</f>
        <v>0</v>
      </c>
      <c r="AX187" s="64">
        <f>H187*AP187</f>
        <v>0</v>
      </c>
      <c r="AY187" s="67" t="s">
        <v>751</v>
      </c>
      <c r="AZ187" s="67" t="s">
        <v>770</v>
      </c>
      <c r="BA187" s="63" t="s">
        <v>775</v>
      </c>
      <c r="BC187" s="64">
        <f>AW187+AX187</f>
        <v>0</v>
      </c>
      <c r="BD187" s="64">
        <f>I187/(100-BE187)*100</f>
        <v>0</v>
      </c>
      <c r="BE187" s="64">
        <v>0</v>
      </c>
      <c r="BF187" s="64">
        <f>187</f>
        <v>187</v>
      </c>
      <c r="BH187" s="49">
        <f>H187*AO187</f>
        <v>0</v>
      </c>
      <c r="BI187" s="49">
        <f>H187*AP187</f>
        <v>0</v>
      </c>
      <c r="BJ187" s="49">
        <f>H187*I187</f>
        <v>0</v>
      </c>
      <c r="BK187" s="49" t="s">
        <v>780</v>
      </c>
      <c r="BL187" s="64">
        <v>96</v>
      </c>
    </row>
    <row r="188" spans="1:14" ht="12.75">
      <c r="A188" s="153"/>
      <c r="B188" s="154"/>
      <c r="C188" s="151" t="s">
        <v>423</v>
      </c>
      <c r="F188" s="155"/>
      <c r="G188" s="154"/>
      <c r="H188" s="156">
        <v>11.34</v>
      </c>
      <c r="I188" s="154"/>
      <c r="J188" s="154"/>
      <c r="K188" s="154"/>
      <c r="L188" s="154"/>
      <c r="M188" s="149"/>
      <c r="N188" s="72"/>
    </row>
    <row r="189" spans="1:64" ht="12.75">
      <c r="A189" s="150" t="s">
        <v>139</v>
      </c>
      <c r="B189" s="150" t="s">
        <v>288</v>
      </c>
      <c r="C189" s="249" t="s">
        <v>548</v>
      </c>
      <c r="D189" s="230"/>
      <c r="E189" s="230"/>
      <c r="F189" s="231"/>
      <c r="G189" s="150" t="s">
        <v>714</v>
      </c>
      <c r="H189" s="152">
        <v>145.8</v>
      </c>
      <c r="I189" s="152">
        <v>0</v>
      </c>
      <c r="J189" s="152">
        <f>H189*AO189</f>
        <v>0</v>
      </c>
      <c r="K189" s="152">
        <f>H189*AP189</f>
        <v>0</v>
      </c>
      <c r="L189" s="152">
        <f>H189*I189</f>
        <v>0</v>
      </c>
      <c r="M189" s="147" t="s">
        <v>734</v>
      </c>
      <c r="N189" s="72"/>
      <c r="Z189" s="64">
        <f>IF(AQ189="5",BJ189,0)</f>
        <v>0</v>
      </c>
      <c r="AB189" s="64">
        <f>IF(AQ189="1",BH189,0)</f>
        <v>0</v>
      </c>
      <c r="AC189" s="64">
        <f>IF(AQ189="1",BI189,0)</f>
        <v>0</v>
      </c>
      <c r="AD189" s="64">
        <f>IF(AQ189="7",BH189,0)</f>
        <v>0</v>
      </c>
      <c r="AE189" s="64">
        <f>IF(AQ189="7",BI189,0)</f>
        <v>0</v>
      </c>
      <c r="AF189" s="64">
        <f>IF(AQ189="2",BH189,0)</f>
        <v>0</v>
      </c>
      <c r="AG189" s="64">
        <f>IF(AQ189="2",BI189,0)</f>
        <v>0</v>
      </c>
      <c r="AH189" s="64">
        <f>IF(AQ189="0",BJ189,0)</f>
        <v>0</v>
      </c>
      <c r="AI189" s="63"/>
      <c r="AJ189" s="49">
        <f>IF(AN189=0,L189,0)</f>
        <v>0</v>
      </c>
      <c r="AK189" s="49">
        <f>IF(AN189=15,L189,0)</f>
        <v>0</v>
      </c>
      <c r="AL189" s="49">
        <f>IF(AN189=21,L189,0)</f>
        <v>0</v>
      </c>
      <c r="AN189" s="64">
        <v>15</v>
      </c>
      <c r="AO189" s="64">
        <f>I189*0.138143408638744</f>
        <v>0</v>
      </c>
      <c r="AP189" s="64">
        <f>I189*(1-0.138143408638744)</f>
        <v>0</v>
      </c>
      <c r="AQ189" s="65" t="s">
        <v>74</v>
      </c>
      <c r="AV189" s="64">
        <f>AW189+AX189</f>
        <v>0</v>
      </c>
      <c r="AW189" s="64">
        <f>H189*AO189</f>
        <v>0</v>
      </c>
      <c r="AX189" s="64">
        <f>H189*AP189</f>
        <v>0</v>
      </c>
      <c r="AY189" s="67" t="s">
        <v>751</v>
      </c>
      <c r="AZ189" s="67" t="s">
        <v>770</v>
      </c>
      <c r="BA189" s="63" t="s">
        <v>775</v>
      </c>
      <c r="BC189" s="64">
        <f>AW189+AX189</f>
        <v>0</v>
      </c>
      <c r="BD189" s="64">
        <f>I189/(100-BE189)*100</f>
        <v>0</v>
      </c>
      <c r="BE189" s="64">
        <v>0</v>
      </c>
      <c r="BF189" s="64">
        <f>189</f>
        <v>189</v>
      </c>
      <c r="BH189" s="49">
        <f>H189*AO189</f>
        <v>0</v>
      </c>
      <c r="BI189" s="49">
        <f>H189*AP189</f>
        <v>0</v>
      </c>
      <c r="BJ189" s="49">
        <f>H189*I189</f>
        <v>0</v>
      </c>
      <c r="BK189" s="49" t="s">
        <v>780</v>
      </c>
      <c r="BL189" s="64">
        <v>96</v>
      </c>
    </row>
    <row r="190" spans="1:14" ht="12.75">
      <c r="A190" s="153"/>
      <c r="B190" s="154"/>
      <c r="C190" s="151" t="s">
        <v>549</v>
      </c>
      <c r="F190" s="155"/>
      <c r="G190" s="154"/>
      <c r="H190" s="156">
        <v>145.8</v>
      </c>
      <c r="I190" s="154"/>
      <c r="J190" s="154"/>
      <c r="K190" s="154"/>
      <c r="L190" s="154"/>
      <c r="M190" s="149"/>
      <c r="N190" s="72"/>
    </row>
    <row r="191" spans="1:64" ht="12.75">
      <c r="A191" s="82" t="s">
        <v>140</v>
      </c>
      <c r="B191" s="82" t="s">
        <v>289</v>
      </c>
      <c r="C191" s="229" t="s">
        <v>550</v>
      </c>
      <c r="D191" s="230"/>
      <c r="E191" s="230"/>
      <c r="F191" s="231"/>
      <c r="G191" s="82" t="s">
        <v>715</v>
      </c>
      <c r="H191" s="88">
        <v>2</v>
      </c>
      <c r="I191" s="88">
        <v>0</v>
      </c>
      <c r="J191" s="88">
        <f>H191*AO191</f>
        <v>0</v>
      </c>
      <c r="K191" s="88">
        <f>H191*AP191</f>
        <v>0</v>
      </c>
      <c r="L191" s="88">
        <f>H191*I191</f>
        <v>0</v>
      </c>
      <c r="M191" s="78" t="s">
        <v>732</v>
      </c>
      <c r="N191" s="72"/>
      <c r="Z191" s="64">
        <f>IF(AQ191="5",BJ191,0)</f>
        <v>0</v>
      </c>
      <c r="AB191" s="64">
        <f>IF(AQ191="1",BH191,0)</f>
        <v>0</v>
      </c>
      <c r="AC191" s="64">
        <f>IF(AQ191="1",BI191,0)</f>
        <v>0</v>
      </c>
      <c r="AD191" s="64">
        <f>IF(AQ191="7",BH191,0)</f>
        <v>0</v>
      </c>
      <c r="AE191" s="64">
        <f>IF(AQ191="7",BI191,0)</f>
        <v>0</v>
      </c>
      <c r="AF191" s="64">
        <f>IF(AQ191="2",BH191,0)</f>
        <v>0</v>
      </c>
      <c r="AG191" s="64">
        <f>IF(AQ191="2",BI191,0)</f>
        <v>0</v>
      </c>
      <c r="AH191" s="64">
        <f>IF(AQ191="0",BJ191,0)</f>
        <v>0</v>
      </c>
      <c r="AI191" s="63"/>
      <c r="AJ191" s="49">
        <f>IF(AN191=0,L191,0)</f>
        <v>0</v>
      </c>
      <c r="AK191" s="49">
        <f>IF(AN191=15,L191,0)</f>
        <v>0</v>
      </c>
      <c r="AL191" s="49">
        <f>IF(AN191=21,L191,0)</f>
        <v>0</v>
      </c>
      <c r="AN191" s="64">
        <v>15</v>
      </c>
      <c r="AO191" s="64">
        <f>I191*0</f>
        <v>0</v>
      </c>
      <c r="AP191" s="64">
        <f>I191*(1-0)</f>
        <v>0</v>
      </c>
      <c r="AQ191" s="65" t="s">
        <v>74</v>
      </c>
      <c r="AV191" s="64">
        <f>AW191+AX191</f>
        <v>0</v>
      </c>
      <c r="AW191" s="64">
        <f>H191*AO191</f>
        <v>0</v>
      </c>
      <c r="AX191" s="64">
        <f>H191*AP191</f>
        <v>0</v>
      </c>
      <c r="AY191" s="67" t="s">
        <v>751</v>
      </c>
      <c r="AZ191" s="67" t="s">
        <v>770</v>
      </c>
      <c r="BA191" s="63" t="s">
        <v>775</v>
      </c>
      <c r="BC191" s="64">
        <f>AW191+AX191</f>
        <v>0</v>
      </c>
      <c r="BD191" s="64">
        <f>I191/(100-BE191)*100</f>
        <v>0</v>
      </c>
      <c r="BE191" s="64">
        <v>0</v>
      </c>
      <c r="BF191" s="64">
        <f>191</f>
        <v>191</v>
      </c>
      <c r="BH191" s="49">
        <f>H191*AO191</f>
        <v>0</v>
      </c>
      <c r="BI191" s="49">
        <f>H191*AP191</f>
        <v>0</v>
      </c>
      <c r="BJ191" s="49">
        <f>H191*I191</f>
        <v>0</v>
      </c>
      <c r="BK191" s="49" t="s">
        <v>780</v>
      </c>
      <c r="BL191" s="64">
        <v>96</v>
      </c>
    </row>
    <row r="192" spans="1:64" ht="12.75">
      <c r="A192" s="82" t="s">
        <v>141</v>
      </c>
      <c r="B192" s="82" t="s">
        <v>290</v>
      </c>
      <c r="C192" s="229" t="s">
        <v>551</v>
      </c>
      <c r="D192" s="230"/>
      <c r="E192" s="230"/>
      <c r="F192" s="231"/>
      <c r="G192" s="82" t="s">
        <v>714</v>
      </c>
      <c r="H192" s="88">
        <v>6.24</v>
      </c>
      <c r="I192" s="88">
        <v>0</v>
      </c>
      <c r="J192" s="88">
        <f>H192*AO192</f>
        <v>0</v>
      </c>
      <c r="K192" s="88">
        <f>H192*AP192</f>
        <v>0</v>
      </c>
      <c r="L192" s="88">
        <f>H192*I192</f>
        <v>0</v>
      </c>
      <c r="M192" s="78" t="s">
        <v>732</v>
      </c>
      <c r="N192" s="72"/>
      <c r="Z192" s="64">
        <f>IF(AQ192="5",BJ192,0)</f>
        <v>0</v>
      </c>
      <c r="AB192" s="64">
        <f>IF(AQ192="1",BH192,0)</f>
        <v>0</v>
      </c>
      <c r="AC192" s="64">
        <f>IF(AQ192="1",BI192,0)</f>
        <v>0</v>
      </c>
      <c r="AD192" s="64">
        <f>IF(AQ192="7",BH192,0)</f>
        <v>0</v>
      </c>
      <c r="AE192" s="64">
        <f>IF(AQ192="7",BI192,0)</f>
        <v>0</v>
      </c>
      <c r="AF192" s="64">
        <f>IF(AQ192="2",BH192,0)</f>
        <v>0</v>
      </c>
      <c r="AG192" s="64">
        <f>IF(AQ192="2",BI192,0)</f>
        <v>0</v>
      </c>
      <c r="AH192" s="64">
        <f>IF(AQ192="0",BJ192,0)</f>
        <v>0</v>
      </c>
      <c r="AI192" s="63"/>
      <c r="AJ192" s="49">
        <f>IF(AN192=0,L192,0)</f>
        <v>0</v>
      </c>
      <c r="AK192" s="49">
        <f>IF(AN192=15,L192,0)</f>
        <v>0</v>
      </c>
      <c r="AL192" s="49">
        <f>IF(AN192=21,L192,0)</f>
        <v>0</v>
      </c>
      <c r="AN192" s="64">
        <v>15</v>
      </c>
      <c r="AO192" s="64">
        <f>I192*0.0714457185177618</f>
        <v>0</v>
      </c>
      <c r="AP192" s="64">
        <f>I192*(1-0.0714457185177618)</f>
        <v>0</v>
      </c>
      <c r="AQ192" s="65" t="s">
        <v>74</v>
      </c>
      <c r="AV192" s="64">
        <f>AW192+AX192</f>
        <v>0</v>
      </c>
      <c r="AW192" s="64">
        <f>H192*AO192</f>
        <v>0</v>
      </c>
      <c r="AX192" s="64">
        <f>H192*AP192</f>
        <v>0</v>
      </c>
      <c r="AY192" s="67" t="s">
        <v>751</v>
      </c>
      <c r="AZ192" s="67" t="s">
        <v>770</v>
      </c>
      <c r="BA192" s="63" t="s">
        <v>775</v>
      </c>
      <c r="BC192" s="64">
        <f>AW192+AX192</f>
        <v>0</v>
      </c>
      <c r="BD192" s="64">
        <f>I192/(100-BE192)*100</f>
        <v>0</v>
      </c>
      <c r="BE192" s="64">
        <v>0</v>
      </c>
      <c r="BF192" s="64">
        <f>192</f>
        <v>192</v>
      </c>
      <c r="BH192" s="49">
        <f>H192*AO192</f>
        <v>0</v>
      </c>
      <c r="BI192" s="49">
        <f>H192*AP192</f>
        <v>0</v>
      </c>
      <c r="BJ192" s="49">
        <f>H192*I192</f>
        <v>0</v>
      </c>
      <c r="BK192" s="49" t="s">
        <v>780</v>
      </c>
      <c r="BL192" s="64">
        <v>96</v>
      </c>
    </row>
    <row r="193" spans="1:14" ht="12.75">
      <c r="A193" s="90"/>
      <c r="B193" s="91"/>
      <c r="C193" s="84" t="s">
        <v>552</v>
      </c>
      <c r="F193" s="92"/>
      <c r="G193" s="91"/>
      <c r="H193" s="93">
        <v>0</v>
      </c>
      <c r="I193" s="91"/>
      <c r="J193" s="91"/>
      <c r="K193" s="91"/>
      <c r="L193" s="91"/>
      <c r="M193" s="80"/>
      <c r="N193" s="72"/>
    </row>
    <row r="194" spans="1:14" ht="12.75">
      <c r="A194" s="83"/>
      <c r="B194" s="86"/>
      <c r="C194" s="85" t="s">
        <v>553</v>
      </c>
      <c r="F194" s="87"/>
      <c r="G194" s="86"/>
      <c r="H194" s="89">
        <v>6.24</v>
      </c>
      <c r="I194" s="86"/>
      <c r="J194" s="86"/>
      <c r="K194" s="86"/>
      <c r="L194" s="86"/>
      <c r="M194" s="81"/>
      <c r="N194" s="72"/>
    </row>
    <row r="195" spans="1:47" ht="12.75">
      <c r="A195" s="34"/>
      <c r="B195" s="41" t="s">
        <v>170</v>
      </c>
      <c r="C195" s="235" t="s">
        <v>554</v>
      </c>
      <c r="D195" s="236"/>
      <c r="E195" s="236"/>
      <c r="F195" s="236"/>
      <c r="G195" s="47" t="s">
        <v>73</v>
      </c>
      <c r="H195" s="47" t="s">
        <v>73</v>
      </c>
      <c r="I195" s="47" t="s">
        <v>73</v>
      </c>
      <c r="J195" s="70">
        <f>SUM(J196:J208)</f>
        <v>0</v>
      </c>
      <c r="K195" s="70">
        <f>SUM(K196:K208)</f>
        <v>0</v>
      </c>
      <c r="L195" s="70">
        <f>SUM(L196:L208)</f>
        <v>0</v>
      </c>
      <c r="M195" s="60"/>
      <c r="N195" s="18"/>
      <c r="AI195" s="63"/>
      <c r="AS195" s="70">
        <f>SUM(AJ196:AJ208)</f>
        <v>0</v>
      </c>
      <c r="AT195" s="70">
        <f>SUM(AK196:AK208)</f>
        <v>0</v>
      </c>
      <c r="AU195" s="70">
        <f>SUM(AL196:AL208)</f>
        <v>0</v>
      </c>
    </row>
    <row r="196" spans="1:64" ht="12.75">
      <c r="A196" s="35" t="s">
        <v>142</v>
      </c>
      <c r="B196" s="42" t="s">
        <v>291</v>
      </c>
      <c r="C196" s="239" t="s">
        <v>555</v>
      </c>
      <c r="D196" s="230"/>
      <c r="E196" s="230"/>
      <c r="F196" s="230"/>
      <c r="G196" s="42" t="s">
        <v>716</v>
      </c>
      <c r="H196" s="49">
        <v>3.6</v>
      </c>
      <c r="I196" s="49">
        <v>0</v>
      </c>
      <c r="J196" s="49">
        <f>H196*AO196</f>
        <v>0</v>
      </c>
      <c r="K196" s="49">
        <f>H196*AP196</f>
        <v>0</v>
      </c>
      <c r="L196" s="49">
        <f>H196*I196</f>
        <v>0</v>
      </c>
      <c r="M196" s="61" t="s">
        <v>732</v>
      </c>
      <c r="N196" s="18"/>
      <c r="Z196" s="64">
        <f>IF(AQ196="5",BJ196,0)</f>
        <v>0</v>
      </c>
      <c r="AB196" s="64">
        <f>IF(AQ196="1",BH196,0)</f>
        <v>0</v>
      </c>
      <c r="AC196" s="64">
        <f>IF(AQ196="1",BI196,0)</f>
        <v>0</v>
      </c>
      <c r="AD196" s="64">
        <f>IF(AQ196="7",BH196,0)</f>
        <v>0</v>
      </c>
      <c r="AE196" s="64">
        <f>IF(AQ196="7",BI196,0)</f>
        <v>0</v>
      </c>
      <c r="AF196" s="64">
        <f>IF(AQ196="2",BH196,0)</f>
        <v>0</v>
      </c>
      <c r="AG196" s="64">
        <f>IF(AQ196="2",BI196,0)</f>
        <v>0</v>
      </c>
      <c r="AH196" s="64">
        <f>IF(AQ196="0",BJ196,0)</f>
        <v>0</v>
      </c>
      <c r="AI196" s="63"/>
      <c r="AJ196" s="49">
        <f>IF(AN196=0,L196,0)</f>
        <v>0</v>
      </c>
      <c r="AK196" s="49">
        <f>IF(AN196=15,L196,0)</f>
        <v>0</v>
      </c>
      <c r="AL196" s="49">
        <f>IF(AN196=21,L196,0)</f>
        <v>0</v>
      </c>
      <c r="AN196" s="64">
        <v>15</v>
      </c>
      <c r="AO196" s="64">
        <f>I196*0.355813353341203</f>
        <v>0</v>
      </c>
      <c r="AP196" s="64">
        <f>I196*(1-0.355813353341203)</f>
        <v>0</v>
      </c>
      <c r="AQ196" s="65" t="s">
        <v>74</v>
      </c>
      <c r="AV196" s="64">
        <f>AW196+AX196</f>
        <v>0</v>
      </c>
      <c r="AW196" s="64">
        <f>H196*AO196</f>
        <v>0</v>
      </c>
      <c r="AX196" s="64">
        <f>H196*AP196</f>
        <v>0</v>
      </c>
      <c r="AY196" s="67" t="s">
        <v>752</v>
      </c>
      <c r="AZ196" s="67" t="s">
        <v>770</v>
      </c>
      <c r="BA196" s="63" t="s">
        <v>775</v>
      </c>
      <c r="BC196" s="64">
        <f>AW196+AX196</f>
        <v>0</v>
      </c>
      <c r="BD196" s="64">
        <f>I196/(100-BE196)*100</f>
        <v>0</v>
      </c>
      <c r="BE196" s="64">
        <v>0</v>
      </c>
      <c r="BF196" s="64">
        <f>196</f>
        <v>196</v>
      </c>
      <c r="BH196" s="49">
        <f>H196*AO196</f>
        <v>0</v>
      </c>
      <c r="BI196" s="49">
        <f>H196*AP196</f>
        <v>0</v>
      </c>
      <c r="BJ196" s="49">
        <f>H196*I196</f>
        <v>0</v>
      </c>
      <c r="BK196" s="49" t="s">
        <v>780</v>
      </c>
      <c r="BL196" s="64">
        <v>97</v>
      </c>
    </row>
    <row r="197" spans="1:14" ht="12.75">
      <c r="A197" s="18"/>
      <c r="C197" s="44" t="s">
        <v>556</v>
      </c>
      <c r="F197" s="45"/>
      <c r="H197" s="50">
        <v>0</v>
      </c>
      <c r="M197" s="16"/>
      <c r="N197" s="18"/>
    </row>
    <row r="198" spans="1:14" ht="12.75">
      <c r="A198" s="18"/>
      <c r="C198" s="44" t="s">
        <v>557</v>
      </c>
      <c r="F198" s="45"/>
      <c r="H198" s="50">
        <v>3.6</v>
      </c>
      <c r="M198" s="16"/>
      <c r="N198" s="18"/>
    </row>
    <row r="199" spans="1:64" ht="12.75">
      <c r="A199" s="150" t="s">
        <v>143</v>
      </c>
      <c r="B199" s="150" t="s">
        <v>292</v>
      </c>
      <c r="C199" s="249" t="s">
        <v>558</v>
      </c>
      <c r="D199" s="230"/>
      <c r="E199" s="230"/>
      <c r="F199" s="231"/>
      <c r="G199" s="150" t="s">
        <v>714</v>
      </c>
      <c r="H199" s="152">
        <v>116.87</v>
      </c>
      <c r="I199" s="152">
        <v>0</v>
      </c>
      <c r="J199" s="152">
        <f>H199*AO199</f>
        <v>0</v>
      </c>
      <c r="K199" s="152">
        <f>H199*AP199</f>
        <v>0</v>
      </c>
      <c r="L199" s="152">
        <f>H199*I199</f>
        <v>0</v>
      </c>
      <c r="M199" s="147" t="s">
        <v>732</v>
      </c>
      <c r="N199" s="72"/>
      <c r="Z199" s="64">
        <f>IF(AQ199="5",BJ199,0)</f>
        <v>0</v>
      </c>
      <c r="AB199" s="64">
        <f>IF(AQ199="1",BH199,0)</f>
        <v>0</v>
      </c>
      <c r="AC199" s="64">
        <f>IF(AQ199="1",BI199,0)</f>
        <v>0</v>
      </c>
      <c r="AD199" s="64">
        <f>IF(AQ199="7",BH199,0)</f>
        <v>0</v>
      </c>
      <c r="AE199" s="64">
        <f>IF(AQ199="7",BI199,0)</f>
        <v>0</v>
      </c>
      <c r="AF199" s="64">
        <f>IF(AQ199="2",BH199,0)</f>
        <v>0</v>
      </c>
      <c r="AG199" s="64">
        <f>IF(AQ199="2",BI199,0)</f>
        <v>0</v>
      </c>
      <c r="AH199" s="64">
        <f>IF(AQ199="0",BJ199,0)</f>
        <v>0</v>
      </c>
      <c r="AI199" s="63"/>
      <c r="AJ199" s="49">
        <f>IF(AN199=0,L199,0)</f>
        <v>0</v>
      </c>
      <c r="AK199" s="49">
        <f>IF(AN199=15,L199,0)</f>
        <v>0</v>
      </c>
      <c r="AL199" s="49">
        <f>IF(AN199=21,L199,0)</f>
        <v>0</v>
      </c>
      <c r="AN199" s="64">
        <v>15</v>
      </c>
      <c r="AO199" s="64">
        <f>I199*0</f>
        <v>0</v>
      </c>
      <c r="AP199" s="64">
        <f>I199*(1-0)</f>
        <v>0</v>
      </c>
      <c r="AQ199" s="65" t="s">
        <v>74</v>
      </c>
      <c r="AV199" s="64">
        <f>AW199+AX199</f>
        <v>0</v>
      </c>
      <c r="AW199" s="64">
        <f>H199*AO199</f>
        <v>0</v>
      </c>
      <c r="AX199" s="64">
        <f>H199*AP199</f>
        <v>0</v>
      </c>
      <c r="AY199" s="67" t="s">
        <v>752</v>
      </c>
      <c r="AZ199" s="67" t="s">
        <v>770</v>
      </c>
      <c r="BA199" s="63" t="s">
        <v>775</v>
      </c>
      <c r="BC199" s="64">
        <f>AW199+AX199</f>
        <v>0</v>
      </c>
      <c r="BD199" s="64">
        <f>I199/(100-BE199)*100</f>
        <v>0</v>
      </c>
      <c r="BE199" s="64">
        <v>0</v>
      </c>
      <c r="BF199" s="64">
        <f>199</f>
        <v>199</v>
      </c>
      <c r="BH199" s="49">
        <f>H199*AO199</f>
        <v>0</v>
      </c>
      <c r="BI199" s="49">
        <f>H199*AP199</f>
        <v>0</v>
      </c>
      <c r="BJ199" s="49">
        <f>H199*I199</f>
        <v>0</v>
      </c>
      <c r="BK199" s="49" t="s">
        <v>780</v>
      </c>
      <c r="BL199" s="64">
        <v>97</v>
      </c>
    </row>
    <row r="200" spans="1:14" ht="12.75">
      <c r="A200" s="153"/>
      <c r="B200" s="154"/>
      <c r="C200" s="151" t="s">
        <v>559</v>
      </c>
      <c r="F200" s="155"/>
      <c r="G200" s="154"/>
      <c r="H200" s="156">
        <v>0</v>
      </c>
      <c r="I200" s="154"/>
      <c r="J200" s="154"/>
      <c r="K200" s="154"/>
      <c r="L200" s="154"/>
      <c r="M200" s="149"/>
      <c r="N200" s="72"/>
    </row>
    <row r="201" spans="1:14" ht="12.75">
      <c r="A201" s="153"/>
      <c r="B201" s="154"/>
      <c r="C201" s="151" t="s">
        <v>560</v>
      </c>
      <c r="F201" s="155"/>
      <c r="G201" s="154"/>
      <c r="H201" s="156">
        <v>116.87</v>
      </c>
      <c r="I201" s="154"/>
      <c r="J201" s="154"/>
      <c r="K201" s="154"/>
      <c r="L201" s="154"/>
      <c r="M201" s="149"/>
      <c r="N201" s="72"/>
    </row>
    <row r="202" spans="1:64" ht="12.75">
      <c r="A202" s="82" t="s">
        <v>144</v>
      </c>
      <c r="B202" s="82" t="s">
        <v>293</v>
      </c>
      <c r="C202" s="229" t="s">
        <v>561</v>
      </c>
      <c r="D202" s="230"/>
      <c r="E202" s="230"/>
      <c r="F202" s="231"/>
      <c r="G202" s="82" t="s">
        <v>714</v>
      </c>
      <c r="H202" s="88">
        <v>699.1</v>
      </c>
      <c r="I202" s="88">
        <v>0</v>
      </c>
      <c r="J202" s="88">
        <f>H202*AO202</f>
        <v>0</v>
      </c>
      <c r="K202" s="88">
        <f>H202*AP202</f>
        <v>0</v>
      </c>
      <c r="L202" s="88">
        <f>H202*I202</f>
        <v>0</v>
      </c>
      <c r="M202" s="78" t="s">
        <v>732</v>
      </c>
      <c r="N202" s="72"/>
      <c r="Z202" s="64">
        <f>IF(AQ202="5",BJ202,0)</f>
        <v>0</v>
      </c>
      <c r="AB202" s="64">
        <f>IF(AQ202="1",BH202,0)</f>
        <v>0</v>
      </c>
      <c r="AC202" s="64">
        <f>IF(AQ202="1",BI202,0)</f>
        <v>0</v>
      </c>
      <c r="AD202" s="64">
        <f>IF(AQ202="7",BH202,0)</f>
        <v>0</v>
      </c>
      <c r="AE202" s="64">
        <f>IF(AQ202="7",BI202,0)</f>
        <v>0</v>
      </c>
      <c r="AF202" s="64">
        <f>IF(AQ202="2",BH202,0)</f>
        <v>0</v>
      </c>
      <c r="AG202" s="64">
        <f>IF(AQ202="2",BI202,0)</f>
        <v>0</v>
      </c>
      <c r="AH202" s="64">
        <f>IF(AQ202="0",BJ202,0)</f>
        <v>0</v>
      </c>
      <c r="AI202" s="63"/>
      <c r="AJ202" s="49">
        <f>IF(AN202=0,L202,0)</f>
        <v>0</v>
      </c>
      <c r="AK202" s="49">
        <f>IF(AN202=15,L202,0)</f>
        <v>0</v>
      </c>
      <c r="AL202" s="49">
        <f>IF(AN202=21,L202,0)</f>
        <v>0</v>
      </c>
      <c r="AN202" s="64">
        <v>15</v>
      </c>
      <c r="AO202" s="64">
        <f>I202*0</f>
        <v>0</v>
      </c>
      <c r="AP202" s="64">
        <f>I202*(1-0)</f>
        <v>0</v>
      </c>
      <c r="AQ202" s="65" t="s">
        <v>74</v>
      </c>
      <c r="AV202" s="64">
        <f>AW202+AX202</f>
        <v>0</v>
      </c>
      <c r="AW202" s="64">
        <f>H202*AO202</f>
        <v>0</v>
      </c>
      <c r="AX202" s="64">
        <f>H202*AP202</f>
        <v>0</v>
      </c>
      <c r="AY202" s="67" t="s">
        <v>752</v>
      </c>
      <c r="AZ202" s="67" t="s">
        <v>770</v>
      </c>
      <c r="BA202" s="63" t="s">
        <v>775</v>
      </c>
      <c r="BC202" s="64">
        <f>AW202+AX202</f>
        <v>0</v>
      </c>
      <c r="BD202" s="64">
        <f>I202/(100-BE202)*100</f>
        <v>0</v>
      </c>
      <c r="BE202" s="64">
        <v>0</v>
      </c>
      <c r="BF202" s="64">
        <f>202</f>
        <v>202</v>
      </c>
      <c r="BH202" s="49">
        <f>H202*AO202</f>
        <v>0</v>
      </c>
      <c r="BI202" s="49">
        <f>H202*AP202</f>
        <v>0</v>
      </c>
      <c r="BJ202" s="49">
        <f>H202*I202</f>
        <v>0</v>
      </c>
      <c r="BK202" s="49" t="s">
        <v>780</v>
      </c>
      <c r="BL202" s="64">
        <v>97</v>
      </c>
    </row>
    <row r="203" spans="1:14" ht="12.75">
      <c r="A203" s="90"/>
      <c r="B203" s="91"/>
      <c r="C203" s="84" t="s">
        <v>442</v>
      </c>
      <c r="F203" s="92"/>
      <c r="G203" s="91"/>
      <c r="H203" s="93">
        <v>699.1</v>
      </c>
      <c r="I203" s="91"/>
      <c r="J203" s="91"/>
      <c r="K203" s="91"/>
      <c r="L203" s="91"/>
      <c r="M203" s="80"/>
      <c r="N203" s="72"/>
    </row>
    <row r="204" spans="1:64" ht="12.75">
      <c r="A204" s="82" t="s">
        <v>145</v>
      </c>
      <c r="B204" s="82" t="s">
        <v>294</v>
      </c>
      <c r="C204" s="229" t="s">
        <v>562</v>
      </c>
      <c r="D204" s="230"/>
      <c r="E204" s="230"/>
      <c r="F204" s="231"/>
      <c r="G204" s="82" t="s">
        <v>714</v>
      </c>
      <c r="H204" s="88">
        <v>50.895</v>
      </c>
      <c r="I204" s="88">
        <v>0</v>
      </c>
      <c r="J204" s="88">
        <f>H204*AO204</f>
        <v>0</v>
      </c>
      <c r="K204" s="88">
        <f>H204*AP204</f>
        <v>0</v>
      </c>
      <c r="L204" s="88">
        <f>H204*I204</f>
        <v>0</v>
      </c>
      <c r="M204" s="78" t="s">
        <v>732</v>
      </c>
      <c r="N204" s="72"/>
      <c r="Z204" s="64">
        <f>IF(AQ204="5",BJ204,0)</f>
        <v>0</v>
      </c>
      <c r="AB204" s="64">
        <f>IF(AQ204="1",BH204,0)</f>
        <v>0</v>
      </c>
      <c r="AC204" s="64">
        <f>IF(AQ204="1",BI204,0)</f>
        <v>0</v>
      </c>
      <c r="AD204" s="64">
        <f>IF(AQ204="7",BH204,0)</f>
        <v>0</v>
      </c>
      <c r="AE204" s="64">
        <f>IF(AQ204="7",BI204,0)</f>
        <v>0</v>
      </c>
      <c r="AF204" s="64">
        <f>IF(AQ204="2",BH204,0)</f>
        <v>0</v>
      </c>
      <c r="AG204" s="64">
        <f>IF(AQ204="2",BI204,0)</f>
        <v>0</v>
      </c>
      <c r="AH204" s="64">
        <f>IF(AQ204="0",BJ204,0)</f>
        <v>0</v>
      </c>
      <c r="AI204" s="63"/>
      <c r="AJ204" s="49">
        <f>IF(AN204=0,L204,0)</f>
        <v>0</v>
      </c>
      <c r="AK204" s="49">
        <f>IF(AN204=15,L204,0)</f>
        <v>0</v>
      </c>
      <c r="AL204" s="49">
        <f>IF(AN204=21,L204,0)</f>
        <v>0</v>
      </c>
      <c r="AN204" s="64">
        <v>15</v>
      </c>
      <c r="AO204" s="64">
        <f>I204*0</f>
        <v>0</v>
      </c>
      <c r="AP204" s="64">
        <f>I204*(1-0)</f>
        <v>0</v>
      </c>
      <c r="AQ204" s="65" t="s">
        <v>74</v>
      </c>
      <c r="AV204" s="64">
        <f>AW204+AX204</f>
        <v>0</v>
      </c>
      <c r="AW204" s="64">
        <f>H204*AO204</f>
        <v>0</v>
      </c>
      <c r="AX204" s="64">
        <f>H204*AP204</f>
        <v>0</v>
      </c>
      <c r="AY204" s="67" t="s">
        <v>752</v>
      </c>
      <c r="AZ204" s="67" t="s">
        <v>770</v>
      </c>
      <c r="BA204" s="63" t="s">
        <v>775</v>
      </c>
      <c r="BC204" s="64">
        <f>AW204+AX204</f>
        <v>0</v>
      </c>
      <c r="BD204" s="64">
        <f>I204/(100-BE204)*100</f>
        <v>0</v>
      </c>
      <c r="BE204" s="64">
        <v>0</v>
      </c>
      <c r="BF204" s="64">
        <f>204</f>
        <v>204</v>
      </c>
      <c r="BH204" s="49">
        <f>H204*AO204</f>
        <v>0</v>
      </c>
      <c r="BI204" s="49">
        <f>H204*AP204</f>
        <v>0</v>
      </c>
      <c r="BJ204" s="49">
        <f>H204*I204</f>
        <v>0</v>
      </c>
      <c r="BK204" s="49" t="s">
        <v>780</v>
      </c>
      <c r="BL204" s="64">
        <v>97</v>
      </c>
    </row>
    <row r="205" spans="1:14" ht="12.75">
      <c r="A205" s="90"/>
      <c r="B205" s="91"/>
      <c r="C205" s="84" t="s">
        <v>563</v>
      </c>
      <c r="F205" s="92"/>
      <c r="G205" s="91"/>
      <c r="H205" s="93">
        <v>0</v>
      </c>
      <c r="I205" s="91"/>
      <c r="J205" s="91"/>
      <c r="K205" s="91"/>
      <c r="L205" s="91"/>
      <c r="M205" s="80"/>
      <c r="N205" s="72"/>
    </row>
    <row r="206" spans="1:14" ht="12.75">
      <c r="A206" s="90"/>
      <c r="B206" s="91"/>
      <c r="C206" s="84" t="s">
        <v>564</v>
      </c>
      <c r="F206" s="92"/>
      <c r="G206" s="91"/>
      <c r="H206" s="93">
        <v>44.28</v>
      </c>
      <c r="I206" s="91"/>
      <c r="J206" s="91"/>
      <c r="K206" s="91"/>
      <c r="L206" s="91"/>
      <c r="M206" s="80"/>
      <c r="N206" s="72"/>
    </row>
    <row r="207" spans="1:14" ht="12.75">
      <c r="A207" s="90"/>
      <c r="B207" s="91"/>
      <c r="C207" s="84" t="s">
        <v>565</v>
      </c>
      <c r="F207" s="92"/>
      <c r="G207" s="91"/>
      <c r="H207" s="93">
        <v>6.615</v>
      </c>
      <c r="I207" s="91"/>
      <c r="J207" s="91"/>
      <c r="K207" s="91"/>
      <c r="L207" s="91"/>
      <c r="M207" s="80"/>
      <c r="N207" s="72"/>
    </row>
    <row r="208" spans="1:64" ht="12.75">
      <c r="A208" s="145" t="s">
        <v>146</v>
      </c>
      <c r="B208" s="145" t="s">
        <v>267</v>
      </c>
      <c r="C208" s="232" t="s">
        <v>566</v>
      </c>
      <c r="D208" s="230"/>
      <c r="E208" s="230"/>
      <c r="F208" s="234"/>
      <c r="G208" s="145" t="s">
        <v>714</v>
      </c>
      <c r="H208" s="146">
        <v>699.1</v>
      </c>
      <c r="I208" s="146">
        <v>0</v>
      </c>
      <c r="J208" s="146">
        <f>H208*AO208</f>
        <v>0</v>
      </c>
      <c r="K208" s="146">
        <f>H208*AP208</f>
        <v>0</v>
      </c>
      <c r="L208" s="146">
        <f>H208*I208</f>
        <v>0</v>
      </c>
      <c r="M208" s="148" t="s">
        <v>267</v>
      </c>
      <c r="N208" s="72"/>
      <c r="Z208" s="64">
        <f>IF(AQ208="5",BJ208,0)</f>
        <v>0</v>
      </c>
      <c r="AB208" s="64">
        <f>IF(AQ208="1",BH208,0)</f>
        <v>0</v>
      </c>
      <c r="AC208" s="64">
        <f>IF(AQ208="1",BI208,0)</f>
        <v>0</v>
      </c>
      <c r="AD208" s="64">
        <f>IF(AQ208="7",BH208,0)</f>
        <v>0</v>
      </c>
      <c r="AE208" s="64">
        <f>IF(AQ208="7",BI208,0)</f>
        <v>0</v>
      </c>
      <c r="AF208" s="64">
        <f>IF(AQ208="2",BH208,0)</f>
        <v>0</v>
      </c>
      <c r="AG208" s="64">
        <f>IF(AQ208="2",BI208,0)</f>
        <v>0</v>
      </c>
      <c r="AH208" s="64">
        <f>IF(AQ208="0",BJ208,0)</f>
        <v>0</v>
      </c>
      <c r="AI208" s="63"/>
      <c r="AJ208" s="49">
        <f>IF(AN208=0,L208,0)</f>
        <v>0</v>
      </c>
      <c r="AK208" s="49">
        <f>IF(AN208=15,L208,0)</f>
        <v>0</v>
      </c>
      <c r="AL208" s="49">
        <f>IF(AN208=21,L208,0)</f>
        <v>0</v>
      </c>
      <c r="AN208" s="64">
        <v>15</v>
      </c>
      <c r="AO208" s="64">
        <f>I208*0</f>
        <v>0</v>
      </c>
      <c r="AP208" s="64">
        <f>I208*(1-0)</f>
        <v>0</v>
      </c>
      <c r="AQ208" s="65" t="s">
        <v>74</v>
      </c>
      <c r="AV208" s="64">
        <f>AW208+AX208</f>
        <v>0</v>
      </c>
      <c r="AW208" s="64">
        <f>H208*AO208</f>
        <v>0</v>
      </c>
      <c r="AX208" s="64">
        <f>H208*AP208</f>
        <v>0</v>
      </c>
      <c r="AY208" s="67" t="s">
        <v>752</v>
      </c>
      <c r="AZ208" s="67" t="s">
        <v>770</v>
      </c>
      <c r="BA208" s="63" t="s">
        <v>775</v>
      </c>
      <c r="BC208" s="64">
        <f>AW208+AX208</f>
        <v>0</v>
      </c>
      <c r="BD208" s="64">
        <f>I208/(100-BE208)*100</f>
        <v>0</v>
      </c>
      <c r="BE208" s="64">
        <v>0</v>
      </c>
      <c r="BF208" s="64">
        <f>208</f>
        <v>208</v>
      </c>
      <c r="BH208" s="49">
        <f>H208*AO208</f>
        <v>0</v>
      </c>
      <c r="BI208" s="49">
        <f>H208*AP208</f>
        <v>0</v>
      </c>
      <c r="BJ208" s="49">
        <f>H208*I208</f>
        <v>0</v>
      </c>
      <c r="BK208" s="49" t="s">
        <v>780</v>
      </c>
      <c r="BL208" s="64">
        <v>97</v>
      </c>
    </row>
    <row r="209" spans="1:47" ht="12.75">
      <c r="A209" s="34"/>
      <c r="B209" s="41" t="s">
        <v>295</v>
      </c>
      <c r="C209" s="235" t="s">
        <v>567</v>
      </c>
      <c r="D209" s="236"/>
      <c r="E209" s="236"/>
      <c r="F209" s="236"/>
      <c r="G209" s="47" t="s">
        <v>73</v>
      </c>
      <c r="H209" s="47" t="s">
        <v>73</v>
      </c>
      <c r="I209" s="47" t="s">
        <v>73</v>
      </c>
      <c r="J209" s="70">
        <f>SUM(J210:J210)</f>
        <v>0</v>
      </c>
      <c r="K209" s="70">
        <f>SUM(K210:K210)</f>
        <v>0</v>
      </c>
      <c r="L209" s="70">
        <f>SUM(L210:L210)</f>
        <v>0</v>
      </c>
      <c r="M209" s="60"/>
      <c r="N209" s="18"/>
      <c r="AI209" s="63"/>
      <c r="AS209" s="70">
        <f>SUM(AJ210:AJ210)</f>
        <v>0</v>
      </c>
      <c r="AT209" s="70">
        <f>SUM(AK210:AK210)</f>
        <v>0</v>
      </c>
      <c r="AU209" s="70">
        <f>SUM(AL210:AL210)</f>
        <v>0</v>
      </c>
    </row>
    <row r="210" spans="1:64" ht="12.75">
      <c r="A210" s="75" t="s">
        <v>147</v>
      </c>
      <c r="B210" s="75" t="s">
        <v>296</v>
      </c>
      <c r="C210" s="240" t="s">
        <v>568</v>
      </c>
      <c r="D210" s="230"/>
      <c r="E210" s="230"/>
      <c r="F210" s="234"/>
      <c r="G210" s="75" t="s">
        <v>719</v>
      </c>
      <c r="H210" s="76">
        <v>53.08923</v>
      </c>
      <c r="I210" s="76">
        <v>0</v>
      </c>
      <c r="J210" s="76">
        <f>H210*AO210</f>
        <v>0</v>
      </c>
      <c r="K210" s="76">
        <f>H210*AP210</f>
        <v>0</v>
      </c>
      <c r="L210" s="76">
        <f>H210*I210</f>
        <v>0</v>
      </c>
      <c r="M210" s="79" t="s">
        <v>732</v>
      </c>
      <c r="N210" s="72"/>
      <c r="Z210" s="64">
        <f>IF(AQ210="5",BJ210,0)</f>
        <v>0</v>
      </c>
      <c r="AB210" s="64">
        <f>IF(AQ210="1",BH210,0)</f>
        <v>0</v>
      </c>
      <c r="AC210" s="64">
        <f>IF(AQ210="1",BI210,0)</f>
        <v>0</v>
      </c>
      <c r="AD210" s="64">
        <f>IF(AQ210="7",BH210,0)</f>
        <v>0</v>
      </c>
      <c r="AE210" s="64">
        <f>IF(AQ210="7",BI210,0)</f>
        <v>0</v>
      </c>
      <c r="AF210" s="64">
        <f>IF(AQ210="2",BH210,0)</f>
        <v>0</v>
      </c>
      <c r="AG210" s="64">
        <f>IF(AQ210="2",BI210,0)</f>
        <v>0</v>
      </c>
      <c r="AH210" s="64">
        <f>IF(AQ210="0",BJ210,0)</f>
        <v>0</v>
      </c>
      <c r="AI210" s="63"/>
      <c r="AJ210" s="49">
        <f>IF(AN210=0,L210,0)</f>
        <v>0</v>
      </c>
      <c r="AK210" s="49">
        <f>IF(AN210=15,L210,0)</f>
        <v>0</v>
      </c>
      <c r="AL210" s="49">
        <f>IF(AN210=21,L210,0)</f>
        <v>0</v>
      </c>
      <c r="AN210" s="64">
        <v>15</v>
      </c>
      <c r="AO210" s="64">
        <f>I210*0</f>
        <v>0</v>
      </c>
      <c r="AP210" s="64">
        <f>I210*(1-0)</f>
        <v>0</v>
      </c>
      <c r="AQ210" s="65" t="s">
        <v>78</v>
      </c>
      <c r="AV210" s="64">
        <f>AW210+AX210</f>
        <v>0</v>
      </c>
      <c r="AW210" s="64">
        <f>H210*AO210</f>
        <v>0</v>
      </c>
      <c r="AX210" s="64">
        <f>H210*AP210</f>
        <v>0</v>
      </c>
      <c r="AY210" s="67" t="s">
        <v>753</v>
      </c>
      <c r="AZ210" s="67" t="s">
        <v>770</v>
      </c>
      <c r="BA210" s="63" t="s">
        <v>775</v>
      </c>
      <c r="BC210" s="64">
        <f>AW210+AX210</f>
        <v>0</v>
      </c>
      <c r="BD210" s="64">
        <f>I210/(100-BE210)*100</f>
        <v>0</v>
      </c>
      <c r="BE210" s="64">
        <v>0</v>
      </c>
      <c r="BF210" s="64">
        <f>210</f>
        <v>210</v>
      </c>
      <c r="BH210" s="49">
        <f>H210*AO210</f>
        <v>0</v>
      </c>
      <c r="BI210" s="49">
        <f>H210*AP210</f>
        <v>0</v>
      </c>
      <c r="BJ210" s="49">
        <f>H210*I210</f>
        <v>0</v>
      </c>
      <c r="BK210" s="49" t="s">
        <v>780</v>
      </c>
      <c r="BL210" s="64" t="s">
        <v>295</v>
      </c>
    </row>
    <row r="211" spans="1:47" ht="12.75">
      <c r="A211" s="34"/>
      <c r="B211" s="41" t="s">
        <v>297</v>
      </c>
      <c r="C211" s="235" t="s">
        <v>569</v>
      </c>
      <c r="D211" s="236"/>
      <c r="E211" s="236"/>
      <c r="F211" s="236"/>
      <c r="G211" s="47" t="s">
        <v>73</v>
      </c>
      <c r="H211" s="47" t="s">
        <v>73</v>
      </c>
      <c r="I211" s="47" t="s">
        <v>73</v>
      </c>
      <c r="J211" s="70">
        <f>SUM(J212:J237)</f>
        <v>0</v>
      </c>
      <c r="K211" s="70">
        <f>SUM(K212:K237)</f>
        <v>0</v>
      </c>
      <c r="L211" s="70">
        <f>SUM(L212:L237)</f>
        <v>0</v>
      </c>
      <c r="M211" s="60"/>
      <c r="N211" s="18"/>
      <c r="AI211" s="63"/>
      <c r="AS211" s="70">
        <f>SUM(AJ212:AJ237)</f>
        <v>0</v>
      </c>
      <c r="AT211" s="70">
        <f>SUM(AK212:AK237)</f>
        <v>0</v>
      </c>
      <c r="AU211" s="70">
        <f>SUM(AL212:AL237)</f>
        <v>0</v>
      </c>
    </row>
    <row r="212" spans="1:64" ht="12.75">
      <c r="A212" s="82" t="s">
        <v>148</v>
      </c>
      <c r="B212" s="82" t="s">
        <v>298</v>
      </c>
      <c r="C212" s="229" t="s">
        <v>570</v>
      </c>
      <c r="D212" s="230"/>
      <c r="E212" s="230"/>
      <c r="F212" s="231"/>
      <c r="G212" s="82" t="s">
        <v>714</v>
      </c>
      <c r="H212" s="88">
        <v>616.04</v>
      </c>
      <c r="I212" s="88">
        <v>0</v>
      </c>
      <c r="J212" s="88">
        <f>H212*AO212</f>
        <v>0</v>
      </c>
      <c r="K212" s="88">
        <f>H212*AP212</f>
        <v>0</v>
      </c>
      <c r="L212" s="88">
        <f>H212*I212</f>
        <v>0</v>
      </c>
      <c r="M212" s="78" t="s">
        <v>732</v>
      </c>
      <c r="N212" s="72"/>
      <c r="Z212" s="64">
        <f>IF(AQ212="5",BJ212,0)</f>
        <v>0</v>
      </c>
      <c r="AB212" s="64">
        <f>IF(AQ212="1",BH212,0)</f>
        <v>0</v>
      </c>
      <c r="AC212" s="64">
        <f>IF(AQ212="1",BI212,0)</f>
        <v>0</v>
      </c>
      <c r="AD212" s="64">
        <f>IF(AQ212="7",BH212,0)</f>
        <v>0</v>
      </c>
      <c r="AE212" s="64">
        <f>IF(AQ212="7",BI212,0)</f>
        <v>0</v>
      </c>
      <c r="AF212" s="64">
        <f>IF(AQ212="2",BH212,0)</f>
        <v>0</v>
      </c>
      <c r="AG212" s="64">
        <f>IF(AQ212="2",BI212,0)</f>
        <v>0</v>
      </c>
      <c r="AH212" s="64">
        <f>IF(AQ212="0",BJ212,0)</f>
        <v>0</v>
      </c>
      <c r="AI212" s="63"/>
      <c r="AJ212" s="49">
        <f>IF(AN212=0,L212,0)</f>
        <v>0</v>
      </c>
      <c r="AK212" s="49">
        <f>IF(AN212=15,L212,0)</f>
        <v>0</v>
      </c>
      <c r="AL212" s="49">
        <f>IF(AN212=21,L212,0)</f>
        <v>0</v>
      </c>
      <c r="AN212" s="64">
        <v>15</v>
      </c>
      <c r="AO212" s="64">
        <f>I212*0.347975880697256</f>
        <v>0</v>
      </c>
      <c r="AP212" s="64">
        <f>I212*(1-0.347975880697256)</f>
        <v>0</v>
      </c>
      <c r="AQ212" s="65" t="s">
        <v>80</v>
      </c>
      <c r="AV212" s="64">
        <f>AW212+AX212</f>
        <v>0</v>
      </c>
      <c r="AW212" s="64">
        <f>H212*AO212</f>
        <v>0</v>
      </c>
      <c r="AX212" s="64">
        <f>H212*AP212</f>
        <v>0</v>
      </c>
      <c r="AY212" s="67" t="s">
        <v>754</v>
      </c>
      <c r="AZ212" s="67" t="s">
        <v>771</v>
      </c>
      <c r="BA212" s="63" t="s">
        <v>775</v>
      </c>
      <c r="BC212" s="64">
        <f>AW212+AX212</f>
        <v>0</v>
      </c>
      <c r="BD212" s="64">
        <f>I212/(100-BE212)*100</f>
        <v>0</v>
      </c>
      <c r="BE212" s="64">
        <v>0</v>
      </c>
      <c r="BF212" s="64">
        <f>212</f>
        <v>212</v>
      </c>
      <c r="BH212" s="49">
        <f>H212*AO212</f>
        <v>0</v>
      </c>
      <c r="BI212" s="49">
        <f>H212*AP212</f>
        <v>0</v>
      </c>
      <c r="BJ212" s="49">
        <f>H212*I212</f>
        <v>0</v>
      </c>
      <c r="BK212" s="49" t="s">
        <v>780</v>
      </c>
      <c r="BL212" s="64">
        <v>713</v>
      </c>
    </row>
    <row r="213" spans="1:14" ht="12.75">
      <c r="A213" s="83"/>
      <c r="B213" s="86"/>
      <c r="C213" s="85" t="s">
        <v>571</v>
      </c>
      <c r="F213" s="87"/>
      <c r="G213" s="86"/>
      <c r="H213" s="89">
        <v>616.04</v>
      </c>
      <c r="I213" s="86"/>
      <c r="J213" s="86"/>
      <c r="K213" s="86"/>
      <c r="L213" s="86"/>
      <c r="M213" s="81"/>
      <c r="N213" s="72"/>
    </row>
    <row r="214" spans="1:64" ht="12.75">
      <c r="A214" s="35" t="s">
        <v>149</v>
      </c>
      <c r="B214" s="42" t="s">
        <v>299</v>
      </c>
      <c r="C214" s="239" t="s">
        <v>572</v>
      </c>
      <c r="D214" s="230"/>
      <c r="E214" s="230"/>
      <c r="F214" s="230"/>
      <c r="G214" s="42" t="s">
        <v>715</v>
      </c>
      <c r="H214" s="49">
        <v>6</v>
      </c>
      <c r="I214" s="49">
        <v>0</v>
      </c>
      <c r="J214" s="49">
        <f>H214*AO214</f>
        <v>0</v>
      </c>
      <c r="K214" s="49">
        <f>H214*AP214</f>
        <v>0</v>
      </c>
      <c r="L214" s="49">
        <f>H214*I214</f>
        <v>0</v>
      </c>
      <c r="M214" s="61" t="s">
        <v>732</v>
      </c>
      <c r="N214" s="18"/>
      <c r="Z214" s="64">
        <f>IF(AQ214="5",BJ214,0)</f>
        <v>0</v>
      </c>
      <c r="AB214" s="64">
        <f>IF(AQ214="1",BH214,0)</f>
        <v>0</v>
      </c>
      <c r="AC214" s="64">
        <f>IF(AQ214="1",BI214,0)</f>
        <v>0</v>
      </c>
      <c r="AD214" s="64">
        <f>IF(AQ214="7",BH214,0)</f>
        <v>0</v>
      </c>
      <c r="AE214" s="64">
        <f>IF(AQ214="7",BI214,0)</f>
        <v>0</v>
      </c>
      <c r="AF214" s="64">
        <f>IF(AQ214="2",BH214,0)</f>
        <v>0</v>
      </c>
      <c r="AG214" s="64">
        <f>IF(AQ214="2",BI214,0)</f>
        <v>0</v>
      </c>
      <c r="AH214" s="64">
        <f>IF(AQ214="0",BJ214,0)</f>
        <v>0</v>
      </c>
      <c r="AI214" s="63"/>
      <c r="AJ214" s="49">
        <f>IF(AN214=0,L214,0)</f>
        <v>0</v>
      </c>
      <c r="AK214" s="49">
        <f>IF(AN214=15,L214,0)</f>
        <v>0</v>
      </c>
      <c r="AL214" s="49">
        <f>IF(AN214=21,L214,0)</f>
        <v>0</v>
      </c>
      <c r="AN214" s="64">
        <v>15</v>
      </c>
      <c r="AO214" s="64">
        <f>I214*0.232913385826772</f>
        <v>0</v>
      </c>
      <c r="AP214" s="64">
        <f>I214*(1-0.232913385826772)</f>
        <v>0</v>
      </c>
      <c r="AQ214" s="65" t="s">
        <v>80</v>
      </c>
      <c r="AV214" s="64">
        <f>AW214+AX214</f>
        <v>0</v>
      </c>
      <c r="AW214" s="64">
        <f>H214*AO214</f>
        <v>0</v>
      </c>
      <c r="AX214" s="64">
        <f>H214*AP214</f>
        <v>0</v>
      </c>
      <c r="AY214" s="67" t="s">
        <v>754</v>
      </c>
      <c r="AZ214" s="67" t="s">
        <v>771</v>
      </c>
      <c r="BA214" s="63" t="s">
        <v>775</v>
      </c>
      <c r="BC214" s="64">
        <f>AW214+AX214</f>
        <v>0</v>
      </c>
      <c r="BD214" s="64">
        <f>I214/(100-BE214)*100</f>
        <v>0</v>
      </c>
      <c r="BE214" s="64">
        <v>0</v>
      </c>
      <c r="BF214" s="64">
        <f>214</f>
        <v>214</v>
      </c>
      <c r="BH214" s="49">
        <f>H214*AO214</f>
        <v>0</v>
      </c>
      <c r="BI214" s="49">
        <f>H214*AP214</f>
        <v>0</v>
      </c>
      <c r="BJ214" s="49">
        <f>H214*I214</f>
        <v>0</v>
      </c>
      <c r="BK214" s="49" t="s">
        <v>780</v>
      </c>
      <c r="BL214" s="64">
        <v>713</v>
      </c>
    </row>
    <row r="215" spans="1:14" ht="12.75">
      <c r="A215" s="18"/>
      <c r="C215" s="44" t="s">
        <v>79</v>
      </c>
      <c r="F215" s="45"/>
      <c r="H215" s="50">
        <v>6</v>
      </c>
      <c r="M215" s="16"/>
      <c r="N215" s="18"/>
    </row>
    <row r="216" spans="1:64" ht="12.75">
      <c r="A216" s="35" t="s">
        <v>150</v>
      </c>
      <c r="B216" s="42" t="s">
        <v>300</v>
      </c>
      <c r="C216" s="239" t="s">
        <v>573</v>
      </c>
      <c r="D216" s="230"/>
      <c r="E216" s="230"/>
      <c r="F216" s="230"/>
      <c r="G216" s="42" t="s">
        <v>716</v>
      </c>
      <c r="H216" s="49">
        <v>293.4</v>
      </c>
      <c r="I216" s="49">
        <v>0</v>
      </c>
      <c r="J216" s="49">
        <f>H216*AO216</f>
        <v>0</v>
      </c>
      <c r="K216" s="49">
        <f>H216*AP216</f>
        <v>0</v>
      </c>
      <c r="L216" s="49">
        <f>H216*I216</f>
        <v>0</v>
      </c>
      <c r="M216" s="61" t="s">
        <v>732</v>
      </c>
      <c r="N216" s="18"/>
      <c r="Z216" s="64">
        <f>IF(AQ216="5",BJ216,0)</f>
        <v>0</v>
      </c>
      <c r="AB216" s="64">
        <f>IF(AQ216="1",BH216,0)</f>
        <v>0</v>
      </c>
      <c r="AC216" s="64">
        <f>IF(AQ216="1",BI216,0)</f>
        <v>0</v>
      </c>
      <c r="AD216" s="64">
        <f>IF(AQ216="7",BH216,0)</f>
        <v>0</v>
      </c>
      <c r="AE216" s="64">
        <f>IF(AQ216="7",BI216,0)</f>
        <v>0</v>
      </c>
      <c r="AF216" s="64">
        <f>IF(AQ216="2",BH216,0)</f>
        <v>0</v>
      </c>
      <c r="AG216" s="64">
        <f>IF(AQ216="2",BI216,0)</f>
        <v>0</v>
      </c>
      <c r="AH216" s="64">
        <f>IF(AQ216="0",BJ216,0)</f>
        <v>0</v>
      </c>
      <c r="AI216" s="63"/>
      <c r="AJ216" s="49">
        <f>IF(AN216=0,L216,0)</f>
        <v>0</v>
      </c>
      <c r="AK216" s="49">
        <f>IF(AN216=15,L216,0)</f>
        <v>0</v>
      </c>
      <c r="AL216" s="49">
        <f>IF(AN216=21,L216,0)</f>
        <v>0</v>
      </c>
      <c r="AN216" s="64">
        <v>15</v>
      </c>
      <c r="AO216" s="64">
        <f>I216*0.777099236641221</f>
        <v>0</v>
      </c>
      <c r="AP216" s="64">
        <f>I216*(1-0.777099236641221)</f>
        <v>0</v>
      </c>
      <c r="AQ216" s="65" t="s">
        <v>80</v>
      </c>
      <c r="AV216" s="64">
        <f>AW216+AX216</f>
        <v>0</v>
      </c>
      <c r="AW216" s="64">
        <f>H216*AO216</f>
        <v>0</v>
      </c>
      <c r="AX216" s="64">
        <f>H216*AP216</f>
        <v>0</v>
      </c>
      <c r="AY216" s="67" t="s">
        <v>754</v>
      </c>
      <c r="AZ216" s="67" t="s">
        <v>771</v>
      </c>
      <c r="BA216" s="63" t="s">
        <v>775</v>
      </c>
      <c r="BC216" s="64">
        <f>AW216+AX216</f>
        <v>0</v>
      </c>
      <c r="BD216" s="64">
        <f>I216/(100-BE216)*100</f>
        <v>0</v>
      </c>
      <c r="BE216" s="64">
        <v>0</v>
      </c>
      <c r="BF216" s="64">
        <f>216</f>
        <v>216</v>
      </c>
      <c r="BH216" s="49">
        <f>H216*AO216</f>
        <v>0</v>
      </c>
      <c r="BI216" s="49">
        <f>H216*AP216</f>
        <v>0</v>
      </c>
      <c r="BJ216" s="49">
        <f>H216*I216</f>
        <v>0</v>
      </c>
      <c r="BK216" s="49" t="s">
        <v>780</v>
      </c>
      <c r="BL216" s="64">
        <v>713</v>
      </c>
    </row>
    <row r="217" spans="1:14" ht="12.75">
      <c r="A217" s="18"/>
      <c r="C217" s="44" t="s">
        <v>574</v>
      </c>
      <c r="F217" s="45"/>
      <c r="H217" s="50">
        <v>0</v>
      </c>
      <c r="M217" s="16"/>
      <c r="N217" s="18"/>
    </row>
    <row r="218" spans="1:14" ht="12.75">
      <c r="A218" s="18"/>
      <c r="C218" s="44" t="s">
        <v>575</v>
      </c>
      <c r="F218" s="45"/>
      <c r="H218" s="50">
        <v>293.4</v>
      </c>
      <c r="M218" s="16"/>
      <c r="N218" s="18"/>
    </row>
    <row r="219" spans="1:64" ht="12.75">
      <c r="A219" s="109" t="s">
        <v>151</v>
      </c>
      <c r="B219" s="110" t="s">
        <v>301</v>
      </c>
      <c r="C219" s="248" t="s">
        <v>576</v>
      </c>
      <c r="D219" s="238"/>
      <c r="E219" s="238"/>
      <c r="F219" s="238"/>
      <c r="G219" s="110" t="s">
        <v>714</v>
      </c>
      <c r="H219" s="112">
        <v>677.644</v>
      </c>
      <c r="I219" s="112">
        <v>0</v>
      </c>
      <c r="J219" s="112">
        <f>H219*AO219</f>
        <v>0</v>
      </c>
      <c r="K219" s="112">
        <f>H219*AP219</f>
        <v>0</v>
      </c>
      <c r="L219" s="112">
        <f>H219*I219</f>
        <v>0</v>
      </c>
      <c r="M219" s="114" t="s">
        <v>732</v>
      </c>
      <c r="N219" s="18"/>
      <c r="Z219" s="64">
        <f>IF(AQ219="5",BJ219,0)</f>
        <v>0</v>
      </c>
      <c r="AB219" s="64">
        <f>IF(AQ219="1",BH219,0)</f>
        <v>0</v>
      </c>
      <c r="AC219" s="64">
        <f>IF(AQ219="1",BI219,0)</f>
        <v>0</v>
      </c>
      <c r="AD219" s="64">
        <f>IF(AQ219="7",BH219,0)</f>
        <v>0</v>
      </c>
      <c r="AE219" s="64">
        <f>IF(AQ219="7",BI219,0)</f>
        <v>0</v>
      </c>
      <c r="AF219" s="64">
        <f>IF(AQ219="2",BH219,0)</f>
        <v>0</v>
      </c>
      <c r="AG219" s="64">
        <f>IF(AQ219="2",BI219,0)</f>
        <v>0</v>
      </c>
      <c r="AH219" s="64">
        <f>IF(AQ219="0",BJ219,0)</f>
        <v>0</v>
      </c>
      <c r="AI219" s="63"/>
      <c r="AJ219" s="51">
        <f>IF(AN219=0,L219,0)</f>
        <v>0</v>
      </c>
      <c r="AK219" s="51">
        <f>IF(AN219=15,L219,0)</f>
        <v>0</v>
      </c>
      <c r="AL219" s="51">
        <f>IF(AN219=21,L219,0)</f>
        <v>0</v>
      </c>
      <c r="AN219" s="64">
        <v>15</v>
      </c>
      <c r="AO219" s="64">
        <f>I219*1</f>
        <v>0</v>
      </c>
      <c r="AP219" s="64">
        <f>I219*(1-1)</f>
        <v>0</v>
      </c>
      <c r="AQ219" s="66" t="s">
        <v>80</v>
      </c>
      <c r="AV219" s="64">
        <f>AW219+AX219</f>
        <v>0</v>
      </c>
      <c r="AW219" s="64">
        <f>H219*AO219</f>
        <v>0</v>
      </c>
      <c r="AX219" s="64">
        <f>H219*AP219</f>
        <v>0</v>
      </c>
      <c r="AY219" s="67" t="s">
        <v>754</v>
      </c>
      <c r="AZ219" s="67" t="s">
        <v>771</v>
      </c>
      <c r="BA219" s="63" t="s">
        <v>775</v>
      </c>
      <c r="BC219" s="64">
        <f>AW219+AX219</f>
        <v>0</v>
      </c>
      <c r="BD219" s="64">
        <f>I219/(100-BE219)*100</f>
        <v>0</v>
      </c>
      <c r="BE219" s="64">
        <v>0</v>
      </c>
      <c r="BF219" s="64">
        <f>219</f>
        <v>219</v>
      </c>
      <c r="BH219" s="51">
        <f>H219*AO219</f>
        <v>0</v>
      </c>
      <c r="BI219" s="51">
        <f>H219*AP219</f>
        <v>0</v>
      </c>
      <c r="BJ219" s="51">
        <f>H219*I219</f>
        <v>0</v>
      </c>
      <c r="BK219" s="51" t="s">
        <v>781</v>
      </c>
      <c r="BL219" s="64">
        <v>713</v>
      </c>
    </row>
    <row r="220" spans="1:14" ht="12.75">
      <c r="A220" s="117"/>
      <c r="B220" s="121"/>
      <c r="C220" s="123" t="s">
        <v>577</v>
      </c>
      <c r="F220" s="123"/>
      <c r="G220" s="121"/>
      <c r="H220" s="128">
        <v>677.644</v>
      </c>
      <c r="I220" s="121"/>
      <c r="J220" s="121"/>
      <c r="K220" s="121"/>
      <c r="L220" s="121"/>
      <c r="M220" s="131"/>
      <c r="N220" s="18"/>
    </row>
    <row r="221" spans="1:64" ht="12.75">
      <c r="A221" s="82" t="s">
        <v>152</v>
      </c>
      <c r="B221" s="82" t="s">
        <v>302</v>
      </c>
      <c r="C221" s="229" t="s">
        <v>578</v>
      </c>
      <c r="D221" s="230"/>
      <c r="E221" s="230"/>
      <c r="F221" s="231"/>
      <c r="G221" s="82" t="s">
        <v>714</v>
      </c>
      <c r="H221" s="88">
        <v>559.62</v>
      </c>
      <c r="I221" s="88">
        <v>0</v>
      </c>
      <c r="J221" s="88">
        <f>H221*AO221</f>
        <v>0</v>
      </c>
      <c r="K221" s="88">
        <f>H221*AP221</f>
        <v>0</v>
      </c>
      <c r="L221" s="88">
        <f>H221*I221</f>
        <v>0</v>
      </c>
      <c r="M221" s="78" t="s">
        <v>732</v>
      </c>
      <c r="N221" s="72"/>
      <c r="Z221" s="64">
        <f>IF(AQ221="5",BJ221,0)</f>
        <v>0</v>
      </c>
      <c r="AB221" s="64">
        <f>IF(AQ221="1",BH221,0)</f>
        <v>0</v>
      </c>
      <c r="AC221" s="64">
        <f>IF(AQ221="1",BI221,0)</f>
        <v>0</v>
      </c>
      <c r="AD221" s="64">
        <f>IF(AQ221="7",BH221,0)</f>
        <v>0</v>
      </c>
      <c r="AE221" s="64">
        <f>IF(AQ221="7",BI221,0)</f>
        <v>0</v>
      </c>
      <c r="AF221" s="64">
        <f>IF(AQ221="2",BH221,0)</f>
        <v>0</v>
      </c>
      <c r="AG221" s="64">
        <f>IF(AQ221="2",BI221,0)</f>
        <v>0</v>
      </c>
      <c r="AH221" s="64">
        <f>IF(AQ221="0",BJ221,0)</f>
        <v>0</v>
      </c>
      <c r="AI221" s="63"/>
      <c r="AJ221" s="49">
        <f>IF(AN221=0,L221,0)</f>
        <v>0</v>
      </c>
      <c r="AK221" s="49">
        <f>IF(AN221=15,L221,0)</f>
        <v>0</v>
      </c>
      <c r="AL221" s="49">
        <f>IF(AN221=21,L221,0)</f>
        <v>0</v>
      </c>
      <c r="AN221" s="64">
        <v>15</v>
      </c>
      <c r="AO221" s="64">
        <f>I221*0</f>
        <v>0</v>
      </c>
      <c r="AP221" s="64">
        <f>I221*(1-0)</f>
        <v>0</v>
      </c>
      <c r="AQ221" s="65" t="s">
        <v>80</v>
      </c>
      <c r="AV221" s="64">
        <f>AW221+AX221</f>
        <v>0</v>
      </c>
      <c r="AW221" s="64">
        <f>H221*AO221</f>
        <v>0</v>
      </c>
      <c r="AX221" s="64">
        <f>H221*AP221</f>
        <v>0</v>
      </c>
      <c r="AY221" s="67" t="s">
        <v>754</v>
      </c>
      <c r="AZ221" s="67" t="s">
        <v>771</v>
      </c>
      <c r="BA221" s="63" t="s">
        <v>775</v>
      </c>
      <c r="BC221" s="64">
        <f>AW221+AX221</f>
        <v>0</v>
      </c>
      <c r="BD221" s="64">
        <f>I221/(100-BE221)*100</f>
        <v>0</v>
      </c>
      <c r="BE221" s="64">
        <v>0</v>
      </c>
      <c r="BF221" s="64">
        <f>221</f>
        <v>221</v>
      </c>
      <c r="BH221" s="49">
        <f>H221*AO221</f>
        <v>0</v>
      </c>
      <c r="BI221" s="49">
        <f>H221*AP221</f>
        <v>0</v>
      </c>
      <c r="BJ221" s="49">
        <f>H221*I221</f>
        <v>0</v>
      </c>
      <c r="BK221" s="49" t="s">
        <v>780</v>
      </c>
      <c r="BL221" s="64">
        <v>713</v>
      </c>
    </row>
    <row r="222" spans="1:14" ht="12.75">
      <c r="A222" s="90"/>
      <c r="B222" s="91"/>
      <c r="C222" s="84" t="s">
        <v>579</v>
      </c>
      <c r="F222" s="92"/>
      <c r="G222" s="91"/>
      <c r="H222" s="93">
        <v>0</v>
      </c>
      <c r="I222" s="91"/>
      <c r="J222" s="91"/>
      <c r="K222" s="91"/>
      <c r="L222" s="91"/>
      <c r="M222" s="80"/>
      <c r="N222" s="72"/>
    </row>
    <row r="223" spans="1:14" ht="12.75">
      <c r="A223" s="90"/>
      <c r="B223" s="91"/>
      <c r="C223" s="84" t="s">
        <v>580</v>
      </c>
      <c r="F223" s="92"/>
      <c r="G223" s="91"/>
      <c r="H223" s="93">
        <v>581.66</v>
      </c>
      <c r="I223" s="91"/>
      <c r="J223" s="91"/>
      <c r="K223" s="91"/>
      <c r="L223" s="91"/>
      <c r="M223" s="80"/>
      <c r="N223" s="72"/>
    </row>
    <row r="224" spans="1:14" ht="12.75">
      <c r="A224" s="90"/>
      <c r="B224" s="91"/>
      <c r="C224" s="84" t="s">
        <v>581</v>
      </c>
      <c r="F224" s="92"/>
      <c r="G224" s="91"/>
      <c r="H224" s="93">
        <v>0</v>
      </c>
      <c r="I224" s="91"/>
      <c r="J224" s="91"/>
      <c r="K224" s="91"/>
      <c r="L224" s="91"/>
      <c r="M224" s="80"/>
      <c r="N224" s="72"/>
    </row>
    <row r="225" spans="1:14" ht="12.75">
      <c r="A225" s="83"/>
      <c r="B225" s="86"/>
      <c r="C225" s="85" t="s">
        <v>582</v>
      </c>
      <c r="F225" s="87"/>
      <c r="G225" s="86"/>
      <c r="H225" s="89">
        <v>-22.04</v>
      </c>
      <c r="I225" s="86"/>
      <c r="J225" s="86"/>
      <c r="K225" s="86"/>
      <c r="L225" s="86"/>
      <c r="M225" s="81"/>
      <c r="N225" s="72"/>
    </row>
    <row r="226" spans="1:64" ht="12.75">
      <c r="A226" s="136" t="s">
        <v>153</v>
      </c>
      <c r="B226" s="137" t="s">
        <v>267</v>
      </c>
      <c r="C226" s="237" t="s">
        <v>583</v>
      </c>
      <c r="D226" s="238"/>
      <c r="E226" s="238"/>
      <c r="F226" s="238"/>
      <c r="G226" s="137" t="s">
        <v>714</v>
      </c>
      <c r="H226" s="138">
        <v>22.04</v>
      </c>
      <c r="I226" s="138">
        <v>0</v>
      </c>
      <c r="J226" s="138">
        <f>H226*AO226</f>
        <v>0</v>
      </c>
      <c r="K226" s="138">
        <f>H226*AP226</f>
        <v>0</v>
      </c>
      <c r="L226" s="138">
        <f>H226*I226</f>
        <v>0</v>
      </c>
      <c r="M226" s="139" t="s">
        <v>267</v>
      </c>
      <c r="N226" s="18"/>
      <c r="Z226" s="64">
        <f>IF(AQ226="5",BJ226,0)</f>
        <v>0</v>
      </c>
      <c r="AB226" s="64">
        <f>IF(AQ226="1",BH226,0)</f>
        <v>0</v>
      </c>
      <c r="AC226" s="64">
        <f>IF(AQ226="1",BI226,0)</f>
        <v>0</v>
      </c>
      <c r="AD226" s="64">
        <f>IF(AQ226="7",BH226,0)</f>
        <v>0</v>
      </c>
      <c r="AE226" s="64">
        <f>IF(AQ226="7",BI226,0)</f>
        <v>0</v>
      </c>
      <c r="AF226" s="64">
        <f>IF(AQ226="2",BH226,0)</f>
        <v>0</v>
      </c>
      <c r="AG226" s="64">
        <f>IF(AQ226="2",BI226,0)</f>
        <v>0</v>
      </c>
      <c r="AH226" s="64">
        <f>IF(AQ226="0",BJ226,0)</f>
        <v>0</v>
      </c>
      <c r="AI226" s="63"/>
      <c r="AJ226" s="51">
        <f>IF(AN226=0,L226,0)</f>
        <v>0</v>
      </c>
      <c r="AK226" s="51">
        <f>IF(AN226=15,L226,0)</f>
        <v>0</v>
      </c>
      <c r="AL226" s="51">
        <f>IF(AN226=21,L226,0)</f>
        <v>0</v>
      </c>
      <c r="AN226" s="64">
        <v>15</v>
      </c>
      <c r="AO226" s="64">
        <f>I226*1</f>
        <v>0</v>
      </c>
      <c r="AP226" s="64">
        <f>I226*(1-1)</f>
        <v>0</v>
      </c>
      <c r="AQ226" s="66" t="s">
        <v>80</v>
      </c>
      <c r="AV226" s="64">
        <f>AW226+AX226</f>
        <v>0</v>
      </c>
      <c r="AW226" s="64">
        <f>H226*AO226</f>
        <v>0</v>
      </c>
      <c r="AX226" s="64">
        <f>H226*AP226</f>
        <v>0</v>
      </c>
      <c r="AY226" s="67" t="s">
        <v>754</v>
      </c>
      <c r="AZ226" s="67" t="s">
        <v>771</v>
      </c>
      <c r="BA226" s="63" t="s">
        <v>775</v>
      </c>
      <c r="BC226" s="64">
        <f>AW226+AX226</f>
        <v>0</v>
      </c>
      <c r="BD226" s="64">
        <f>I226/(100-BE226)*100</f>
        <v>0</v>
      </c>
      <c r="BE226" s="64">
        <v>0</v>
      </c>
      <c r="BF226" s="64">
        <f>226</f>
        <v>226</v>
      </c>
      <c r="BH226" s="51">
        <f>H226*AO226</f>
        <v>0</v>
      </c>
      <c r="BI226" s="51">
        <f>H226*AP226</f>
        <v>0</v>
      </c>
      <c r="BJ226" s="51">
        <f>H226*I226</f>
        <v>0</v>
      </c>
      <c r="BK226" s="51" t="s">
        <v>781</v>
      </c>
      <c r="BL226" s="64">
        <v>713</v>
      </c>
    </row>
    <row r="227" spans="1:14" ht="12.75">
      <c r="A227" s="140"/>
      <c r="B227" s="141"/>
      <c r="C227" s="142" t="s">
        <v>584</v>
      </c>
      <c r="F227" s="142"/>
      <c r="G227" s="141"/>
      <c r="H227" s="143">
        <v>22.04</v>
      </c>
      <c r="I227" s="141"/>
      <c r="J227" s="141"/>
      <c r="K227" s="141"/>
      <c r="L227" s="141"/>
      <c r="M227" s="144"/>
      <c r="N227" s="18"/>
    </row>
    <row r="228" spans="1:64" ht="12.75">
      <c r="A228" s="120" t="s">
        <v>154</v>
      </c>
      <c r="B228" s="120" t="s">
        <v>303</v>
      </c>
      <c r="C228" s="243" t="s">
        <v>585</v>
      </c>
      <c r="D228" s="238"/>
      <c r="E228" s="238"/>
      <c r="F228" s="242"/>
      <c r="G228" s="120" t="s">
        <v>714</v>
      </c>
      <c r="H228" s="129">
        <v>1164.0096</v>
      </c>
      <c r="I228" s="129">
        <v>0</v>
      </c>
      <c r="J228" s="129">
        <f>H228*AO228</f>
        <v>0</v>
      </c>
      <c r="K228" s="129">
        <f>H228*AP228</f>
        <v>0</v>
      </c>
      <c r="L228" s="129">
        <f>H228*I228</f>
        <v>0</v>
      </c>
      <c r="M228" s="115" t="s">
        <v>732</v>
      </c>
      <c r="N228" s="72"/>
      <c r="Z228" s="64">
        <f>IF(AQ228="5",BJ228,0)</f>
        <v>0</v>
      </c>
      <c r="AB228" s="64">
        <f>IF(AQ228="1",BH228,0)</f>
        <v>0</v>
      </c>
      <c r="AC228" s="64">
        <f>IF(AQ228="1",BI228,0)</f>
        <v>0</v>
      </c>
      <c r="AD228" s="64">
        <f>IF(AQ228="7",BH228,0)</f>
        <v>0</v>
      </c>
      <c r="AE228" s="64">
        <f>IF(AQ228="7",BI228,0)</f>
        <v>0</v>
      </c>
      <c r="AF228" s="64">
        <f>IF(AQ228="2",BH228,0)</f>
        <v>0</v>
      </c>
      <c r="AG228" s="64">
        <f>IF(AQ228="2",BI228,0)</f>
        <v>0</v>
      </c>
      <c r="AH228" s="64">
        <f>IF(AQ228="0",BJ228,0)</f>
        <v>0</v>
      </c>
      <c r="AI228" s="63"/>
      <c r="AJ228" s="51">
        <f>IF(AN228=0,L228,0)</f>
        <v>0</v>
      </c>
      <c r="AK228" s="51">
        <f>IF(AN228=15,L228,0)</f>
        <v>0</v>
      </c>
      <c r="AL228" s="51">
        <f>IF(AN228=21,L228,0)</f>
        <v>0</v>
      </c>
      <c r="AN228" s="64">
        <v>15</v>
      </c>
      <c r="AO228" s="64">
        <f>I228*1</f>
        <v>0</v>
      </c>
      <c r="AP228" s="64">
        <f>I228*(1-1)</f>
        <v>0</v>
      </c>
      <c r="AQ228" s="66" t="s">
        <v>80</v>
      </c>
      <c r="AV228" s="64">
        <f>AW228+AX228</f>
        <v>0</v>
      </c>
      <c r="AW228" s="64">
        <f>H228*AO228</f>
        <v>0</v>
      </c>
      <c r="AX228" s="64">
        <f>H228*AP228</f>
        <v>0</v>
      </c>
      <c r="AY228" s="67" t="s">
        <v>754</v>
      </c>
      <c r="AZ228" s="67" t="s">
        <v>771</v>
      </c>
      <c r="BA228" s="63" t="s">
        <v>775</v>
      </c>
      <c r="BC228" s="64">
        <f>AW228+AX228</f>
        <v>0</v>
      </c>
      <c r="BD228" s="64">
        <f>I228/(100-BE228)*100</f>
        <v>0</v>
      </c>
      <c r="BE228" s="64">
        <v>0</v>
      </c>
      <c r="BF228" s="64">
        <f>228</f>
        <v>228</v>
      </c>
      <c r="BH228" s="51">
        <f>H228*AO228</f>
        <v>0</v>
      </c>
      <c r="BI228" s="51">
        <f>H228*AP228</f>
        <v>0</v>
      </c>
      <c r="BJ228" s="51">
        <f>H228*I228</f>
        <v>0</v>
      </c>
      <c r="BK228" s="51" t="s">
        <v>781</v>
      </c>
      <c r="BL228" s="64">
        <v>713</v>
      </c>
    </row>
    <row r="229" spans="1:14" ht="12.75">
      <c r="A229" s="132"/>
      <c r="B229" s="133"/>
      <c r="C229" s="124" t="s">
        <v>586</v>
      </c>
      <c r="F229" s="134"/>
      <c r="G229" s="133"/>
      <c r="H229" s="135">
        <v>1164.0096</v>
      </c>
      <c r="I229" s="133"/>
      <c r="J229" s="133"/>
      <c r="K229" s="133"/>
      <c r="L229" s="133"/>
      <c r="M229" s="118"/>
      <c r="N229" s="72"/>
    </row>
    <row r="230" spans="1:64" ht="12.75">
      <c r="A230" s="82" t="s">
        <v>155</v>
      </c>
      <c r="B230" s="82" t="s">
        <v>304</v>
      </c>
      <c r="C230" s="229" t="s">
        <v>587</v>
      </c>
      <c r="D230" s="230"/>
      <c r="E230" s="230"/>
      <c r="F230" s="231"/>
      <c r="G230" s="82" t="s">
        <v>714</v>
      </c>
      <c r="H230" s="88">
        <v>22.04</v>
      </c>
      <c r="I230" s="88">
        <v>0</v>
      </c>
      <c r="J230" s="88">
        <f>H230*AO230</f>
        <v>0</v>
      </c>
      <c r="K230" s="88">
        <f>H230*AP230</f>
        <v>0</v>
      </c>
      <c r="L230" s="88">
        <f>H230*I230</f>
        <v>0</v>
      </c>
      <c r="M230" s="78" t="s">
        <v>732</v>
      </c>
      <c r="N230" s="72"/>
      <c r="Z230" s="64">
        <f>IF(AQ230="5",BJ230,0)</f>
        <v>0</v>
      </c>
      <c r="AB230" s="64">
        <f>IF(AQ230="1",BH230,0)</f>
        <v>0</v>
      </c>
      <c r="AC230" s="64">
        <f>IF(AQ230="1",BI230,0)</f>
        <v>0</v>
      </c>
      <c r="AD230" s="64">
        <f>IF(AQ230="7",BH230,0)</f>
        <v>0</v>
      </c>
      <c r="AE230" s="64">
        <f>IF(AQ230="7",BI230,0)</f>
        <v>0</v>
      </c>
      <c r="AF230" s="64">
        <f>IF(AQ230="2",BH230,0)</f>
        <v>0</v>
      </c>
      <c r="AG230" s="64">
        <f>IF(AQ230="2",BI230,0)</f>
        <v>0</v>
      </c>
      <c r="AH230" s="64">
        <f>IF(AQ230="0",BJ230,0)</f>
        <v>0</v>
      </c>
      <c r="AI230" s="63"/>
      <c r="AJ230" s="49">
        <f>IF(AN230=0,L230,0)</f>
        <v>0</v>
      </c>
      <c r="AK230" s="49">
        <f>IF(AN230=15,L230,0)</f>
        <v>0</v>
      </c>
      <c r="AL230" s="49">
        <f>IF(AN230=21,L230,0)</f>
        <v>0</v>
      </c>
      <c r="AN230" s="64">
        <v>15</v>
      </c>
      <c r="AO230" s="64">
        <f>I230*0</f>
        <v>0</v>
      </c>
      <c r="AP230" s="64">
        <f>I230*(1-0)</f>
        <v>0</v>
      </c>
      <c r="AQ230" s="65" t="s">
        <v>80</v>
      </c>
      <c r="AV230" s="64">
        <f>AW230+AX230</f>
        <v>0</v>
      </c>
      <c r="AW230" s="64">
        <f>H230*AO230</f>
        <v>0</v>
      </c>
      <c r="AX230" s="64">
        <f>H230*AP230</f>
        <v>0</v>
      </c>
      <c r="AY230" s="67" t="s">
        <v>754</v>
      </c>
      <c r="AZ230" s="67" t="s">
        <v>771</v>
      </c>
      <c r="BA230" s="63" t="s">
        <v>775</v>
      </c>
      <c r="BC230" s="64">
        <f>AW230+AX230</f>
        <v>0</v>
      </c>
      <c r="BD230" s="64">
        <f>I230/(100-BE230)*100</f>
        <v>0</v>
      </c>
      <c r="BE230" s="64">
        <v>0</v>
      </c>
      <c r="BF230" s="64">
        <f>230</f>
        <v>230</v>
      </c>
      <c r="BH230" s="49">
        <f>H230*AO230</f>
        <v>0</v>
      </c>
      <c r="BI230" s="49">
        <f>H230*AP230</f>
        <v>0</v>
      </c>
      <c r="BJ230" s="49">
        <f>H230*I230</f>
        <v>0</v>
      </c>
      <c r="BK230" s="49" t="s">
        <v>780</v>
      </c>
      <c r="BL230" s="64">
        <v>713</v>
      </c>
    </row>
    <row r="231" spans="1:14" ht="12.75">
      <c r="A231" s="90"/>
      <c r="B231" s="91"/>
      <c r="C231" s="84" t="s">
        <v>579</v>
      </c>
      <c r="F231" s="92"/>
      <c r="G231" s="91"/>
      <c r="H231" s="93">
        <v>0</v>
      </c>
      <c r="I231" s="91"/>
      <c r="J231" s="91"/>
      <c r="K231" s="91"/>
      <c r="L231" s="91"/>
      <c r="M231" s="80"/>
      <c r="N231" s="72"/>
    </row>
    <row r="232" spans="1:14" ht="12.75">
      <c r="A232" s="90"/>
      <c r="B232" s="91"/>
      <c r="C232" s="84" t="s">
        <v>588</v>
      </c>
      <c r="F232" s="92"/>
      <c r="G232" s="91"/>
      <c r="H232" s="93">
        <v>0</v>
      </c>
      <c r="I232" s="91"/>
      <c r="J232" s="91"/>
      <c r="K232" s="91"/>
      <c r="L232" s="91"/>
      <c r="M232" s="80"/>
      <c r="N232" s="72"/>
    </row>
    <row r="233" spans="1:14" ht="12.75">
      <c r="A233" s="90"/>
      <c r="B233" s="91"/>
      <c r="C233" s="84" t="s">
        <v>589</v>
      </c>
      <c r="F233" s="92"/>
      <c r="G233" s="91"/>
      <c r="H233" s="93">
        <v>22.04</v>
      </c>
      <c r="I233" s="91"/>
      <c r="J233" s="91"/>
      <c r="K233" s="91"/>
      <c r="L233" s="91"/>
      <c r="M233" s="80"/>
      <c r="N233" s="72"/>
    </row>
    <row r="234" spans="1:64" ht="12.75">
      <c r="A234" s="120" t="s">
        <v>156</v>
      </c>
      <c r="B234" s="120" t="s">
        <v>305</v>
      </c>
      <c r="C234" s="243" t="s">
        <v>590</v>
      </c>
      <c r="D234" s="238"/>
      <c r="E234" s="238"/>
      <c r="F234" s="242"/>
      <c r="G234" s="120" t="s">
        <v>715</v>
      </c>
      <c r="H234" s="129">
        <v>116</v>
      </c>
      <c r="I234" s="129">
        <v>0</v>
      </c>
      <c r="J234" s="129">
        <f>H234*AO234</f>
        <v>0</v>
      </c>
      <c r="K234" s="129">
        <f>H234*AP234</f>
        <v>0</v>
      </c>
      <c r="L234" s="129">
        <f>H234*I234</f>
        <v>0</v>
      </c>
      <c r="M234" s="115" t="s">
        <v>732</v>
      </c>
      <c r="N234" s="72"/>
      <c r="Z234" s="64">
        <f>IF(AQ234="5",BJ234,0)</f>
        <v>0</v>
      </c>
      <c r="AB234" s="64">
        <f>IF(AQ234="1",BH234,0)</f>
        <v>0</v>
      </c>
      <c r="AC234" s="64">
        <f>IF(AQ234="1",BI234,0)</f>
        <v>0</v>
      </c>
      <c r="AD234" s="64">
        <f>IF(AQ234="7",BH234,0)</f>
        <v>0</v>
      </c>
      <c r="AE234" s="64">
        <f>IF(AQ234="7",BI234,0)</f>
        <v>0</v>
      </c>
      <c r="AF234" s="64">
        <f>IF(AQ234="2",BH234,0)</f>
        <v>0</v>
      </c>
      <c r="AG234" s="64">
        <f>IF(AQ234="2",BI234,0)</f>
        <v>0</v>
      </c>
      <c r="AH234" s="64">
        <f>IF(AQ234="0",BJ234,0)</f>
        <v>0</v>
      </c>
      <c r="AI234" s="63"/>
      <c r="AJ234" s="51">
        <f>IF(AN234=0,L234,0)</f>
        <v>0</v>
      </c>
      <c r="AK234" s="51">
        <f>IF(AN234=15,L234,0)</f>
        <v>0</v>
      </c>
      <c r="AL234" s="51">
        <f>IF(AN234=21,L234,0)</f>
        <v>0</v>
      </c>
      <c r="AN234" s="64">
        <v>15</v>
      </c>
      <c r="AO234" s="64">
        <f>I234*1</f>
        <v>0</v>
      </c>
      <c r="AP234" s="64">
        <f>I234*(1-1)</f>
        <v>0</v>
      </c>
      <c r="AQ234" s="66" t="s">
        <v>80</v>
      </c>
      <c r="AV234" s="64">
        <f>AW234+AX234</f>
        <v>0</v>
      </c>
      <c r="AW234" s="64">
        <f>H234*AO234</f>
        <v>0</v>
      </c>
      <c r="AX234" s="64">
        <f>H234*AP234</f>
        <v>0</v>
      </c>
      <c r="AY234" s="67" t="s">
        <v>754</v>
      </c>
      <c r="AZ234" s="67" t="s">
        <v>771</v>
      </c>
      <c r="BA234" s="63" t="s">
        <v>775</v>
      </c>
      <c r="BC234" s="64">
        <f>AW234+AX234</f>
        <v>0</v>
      </c>
      <c r="BD234" s="64">
        <f>I234/(100-BE234)*100</f>
        <v>0</v>
      </c>
      <c r="BE234" s="64">
        <v>0</v>
      </c>
      <c r="BF234" s="64">
        <f>234</f>
        <v>234</v>
      </c>
      <c r="BH234" s="51">
        <f>H234*AO234</f>
        <v>0</v>
      </c>
      <c r="BI234" s="51">
        <f>H234*AP234</f>
        <v>0</v>
      </c>
      <c r="BJ234" s="51">
        <f>H234*I234</f>
        <v>0</v>
      </c>
      <c r="BK234" s="51" t="s">
        <v>781</v>
      </c>
      <c r="BL234" s="64">
        <v>713</v>
      </c>
    </row>
    <row r="235" spans="1:14" ht="12.75">
      <c r="A235" s="132"/>
      <c r="B235" s="133"/>
      <c r="C235" s="124" t="s">
        <v>591</v>
      </c>
      <c r="F235" s="134"/>
      <c r="G235" s="133"/>
      <c r="H235" s="135">
        <v>116</v>
      </c>
      <c r="I235" s="133"/>
      <c r="J235" s="133"/>
      <c r="K235" s="133"/>
      <c r="L235" s="133"/>
      <c r="M235" s="118"/>
      <c r="N235" s="72"/>
    </row>
    <row r="236" spans="1:64" ht="12.75">
      <c r="A236" s="111" t="s">
        <v>157</v>
      </c>
      <c r="B236" s="111" t="s">
        <v>306</v>
      </c>
      <c r="C236" s="245" t="s">
        <v>592</v>
      </c>
      <c r="D236" s="238"/>
      <c r="E236" s="238"/>
      <c r="F236" s="246"/>
      <c r="G236" s="111" t="s">
        <v>716</v>
      </c>
      <c r="H236" s="113">
        <v>116</v>
      </c>
      <c r="I236" s="113">
        <v>0</v>
      </c>
      <c r="J236" s="113">
        <f>H236*AO236</f>
        <v>0</v>
      </c>
      <c r="K236" s="113">
        <f>H236*AP236</f>
        <v>0</v>
      </c>
      <c r="L236" s="113">
        <f>H236*I236</f>
        <v>0</v>
      </c>
      <c r="M236" s="116" t="s">
        <v>732</v>
      </c>
      <c r="N236" s="72"/>
      <c r="Z236" s="64">
        <f>IF(AQ236="5",BJ236,0)</f>
        <v>0</v>
      </c>
      <c r="AB236" s="64">
        <f>IF(AQ236="1",BH236,0)</f>
        <v>0</v>
      </c>
      <c r="AC236" s="64">
        <f>IF(AQ236="1",BI236,0)</f>
        <v>0</v>
      </c>
      <c r="AD236" s="64">
        <f>IF(AQ236="7",BH236,0)</f>
        <v>0</v>
      </c>
      <c r="AE236" s="64">
        <f>IF(AQ236="7",BI236,0)</f>
        <v>0</v>
      </c>
      <c r="AF236" s="64">
        <f>IF(AQ236="2",BH236,0)</f>
        <v>0</v>
      </c>
      <c r="AG236" s="64">
        <f>IF(AQ236="2",BI236,0)</f>
        <v>0</v>
      </c>
      <c r="AH236" s="64">
        <f>IF(AQ236="0",BJ236,0)</f>
        <v>0</v>
      </c>
      <c r="AI236" s="63"/>
      <c r="AJ236" s="51">
        <f>IF(AN236=0,L236,0)</f>
        <v>0</v>
      </c>
      <c r="AK236" s="51">
        <f>IF(AN236=15,L236,0)</f>
        <v>0</v>
      </c>
      <c r="AL236" s="51">
        <f>IF(AN236=21,L236,0)</f>
        <v>0</v>
      </c>
      <c r="AN236" s="64">
        <v>15</v>
      </c>
      <c r="AO236" s="64">
        <f>I236*1</f>
        <v>0</v>
      </c>
      <c r="AP236" s="64">
        <f>I236*(1-1)</f>
        <v>0</v>
      </c>
      <c r="AQ236" s="66" t="s">
        <v>80</v>
      </c>
      <c r="AV236" s="64">
        <f>AW236+AX236</f>
        <v>0</v>
      </c>
      <c r="AW236" s="64">
        <f>H236*AO236</f>
        <v>0</v>
      </c>
      <c r="AX236" s="64">
        <f>H236*AP236</f>
        <v>0</v>
      </c>
      <c r="AY236" s="67" t="s">
        <v>754</v>
      </c>
      <c r="AZ236" s="67" t="s">
        <v>771</v>
      </c>
      <c r="BA236" s="63" t="s">
        <v>775</v>
      </c>
      <c r="BC236" s="64">
        <f>AW236+AX236</f>
        <v>0</v>
      </c>
      <c r="BD236" s="64">
        <f>I236/(100-BE236)*100</f>
        <v>0</v>
      </c>
      <c r="BE236" s="64">
        <v>0</v>
      </c>
      <c r="BF236" s="64">
        <f>236</f>
        <v>236</v>
      </c>
      <c r="BH236" s="51">
        <f>H236*AO236</f>
        <v>0</v>
      </c>
      <c r="BI236" s="51">
        <f>H236*AP236</f>
        <v>0</v>
      </c>
      <c r="BJ236" s="51">
        <f>H236*I236</f>
        <v>0</v>
      </c>
      <c r="BK236" s="51" t="s">
        <v>781</v>
      </c>
      <c r="BL236" s="64">
        <v>713</v>
      </c>
    </row>
    <row r="237" spans="1:64" ht="12.75">
      <c r="A237" s="35" t="s">
        <v>158</v>
      </c>
      <c r="B237" s="42" t="s">
        <v>307</v>
      </c>
      <c r="C237" s="239" t="s">
        <v>593</v>
      </c>
      <c r="D237" s="230"/>
      <c r="E237" s="230"/>
      <c r="F237" s="230"/>
      <c r="G237" s="42" t="s">
        <v>719</v>
      </c>
      <c r="H237" s="49">
        <v>5.9475</v>
      </c>
      <c r="I237" s="49">
        <v>0</v>
      </c>
      <c r="J237" s="49">
        <f>H237*AO237</f>
        <v>0</v>
      </c>
      <c r="K237" s="49">
        <f>H237*AP237</f>
        <v>0</v>
      </c>
      <c r="L237" s="49">
        <f>H237*I237</f>
        <v>0</v>
      </c>
      <c r="M237" s="61" t="s">
        <v>733</v>
      </c>
      <c r="N237" s="18"/>
      <c r="Z237" s="64">
        <f>IF(AQ237="5",BJ237,0)</f>
        <v>0</v>
      </c>
      <c r="AB237" s="64">
        <f>IF(AQ237="1",BH237,0)</f>
        <v>0</v>
      </c>
      <c r="AC237" s="64">
        <f>IF(AQ237="1",BI237,0)</f>
        <v>0</v>
      </c>
      <c r="AD237" s="64">
        <f>IF(AQ237="7",BH237,0)</f>
        <v>0</v>
      </c>
      <c r="AE237" s="64">
        <f>IF(AQ237="7",BI237,0)</f>
        <v>0</v>
      </c>
      <c r="AF237" s="64">
        <f>IF(AQ237="2",BH237,0)</f>
        <v>0</v>
      </c>
      <c r="AG237" s="64">
        <f>IF(AQ237="2",BI237,0)</f>
        <v>0</v>
      </c>
      <c r="AH237" s="64">
        <f>IF(AQ237="0",BJ237,0)</f>
        <v>0</v>
      </c>
      <c r="AI237" s="63"/>
      <c r="AJ237" s="49">
        <f>IF(AN237=0,L237,0)</f>
        <v>0</v>
      </c>
      <c r="AK237" s="49">
        <f>IF(AN237=15,L237,0)</f>
        <v>0</v>
      </c>
      <c r="AL237" s="49">
        <f>IF(AN237=21,L237,0)</f>
        <v>0</v>
      </c>
      <c r="AN237" s="64">
        <v>15</v>
      </c>
      <c r="AO237" s="64">
        <f>I237*0</f>
        <v>0</v>
      </c>
      <c r="AP237" s="64">
        <f>I237*(1-0)</f>
        <v>0</v>
      </c>
      <c r="AQ237" s="65" t="s">
        <v>78</v>
      </c>
      <c r="AV237" s="64">
        <f>AW237+AX237</f>
        <v>0</v>
      </c>
      <c r="AW237" s="64">
        <f>H237*AO237</f>
        <v>0</v>
      </c>
      <c r="AX237" s="64">
        <f>H237*AP237</f>
        <v>0</v>
      </c>
      <c r="AY237" s="67" t="s">
        <v>754</v>
      </c>
      <c r="AZ237" s="67" t="s">
        <v>771</v>
      </c>
      <c r="BA237" s="63" t="s">
        <v>775</v>
      </c>
      <c r="BC237" s="64">
        <f>AW237+AX237</f>
        <v>0</v>
      </c>
      <c r="BD237" s="64">
        <f>I237/(100-BE237)*100</f>
        <v>0</v>
      </c>
      <c r="BE237" s="64">
        <v>0</v>
      </c>
      <c r="BF237" s="64">
        <f>237</f>
        <v>237</v>
      </c>
      <c r="BH237" s="49">
        <f>H237*AO237</f>
        <v>0</v>
      </c>
      <c r="BI237" s="49">
        <f>H237*AP237</f>
        <v>0</v>
      </c>
      <c r="BJ237" s="49">
        <f>H237*I237</f>
        <v>0</v>
      </c>
      <c r="BK237" s="49" t="s">
        <v>780</v>
      </c>
      <c r="BL237" s="64">
        <v>713</v>
      </c>
    </row>
    <row r="238" spans="1:47" ht="12.75">
      <c r="A238" s="34"/>
      <c r="B238" s="41" t="s">
        <v>308</v>
      </c>
      <c r="C238" s="235" t="s">
        <v>594</v>
      </c>
      <c r="D238" s="236"/>
      <c r="E238" s="236"/>
      <c r="F238" s="236"/>
      <c r="G238" s="47" t="s">
        <v>73</v>
      </c>
      <c r="H238" s="47" t="s">
        <v>73</v>
      </c>
      <c r="I238" s="47" t="s">
        <v>73</v>
      </c>
      <c r="J238" s="70">
        <f>SUM(J239:J244)</f>
        <v>0</v>
      </c>
      <c r="K238" s="70">
        <f>SUM(K239:K244)</f>
        <v>0</v>
      </c>
      <c r="L238" s="70">
        <f>SUM(L239:L244)</f>
        <v>0</v>
      </c>
      <c r="M238" s="60"/>
      <c r="N238" s="18"/>
      <c r="AI238" s="63"/>
      <c r="AS238" s="70">
        <f>SUM(AJ239:AJ244)</f>
        <v>0</v>
      </c>
      <c r="AT238" s="70">
        <f>SUM(AK239:AK244)</f>
        <v>0</v>
      </c>
      <c r="AU238" s="70">
        <f>SUM(AL239:AL244)</f>
        <v>0</v>
      </c>
    </row>
    <row r="239" spans="1:64" ht="12.75">
      <c r="A239" s="82" t="s">
        <v>159</v>
      </c>
      <c r="B239" s="82" t="s">
        <v>309</v>
      </c>
      <c r="C239" s="229" t="s">
        <v>595</v>
      </c>
      <c r="D239" s="230"/>
      <c r="E239" s="230"/>
      <c r="F239" s="231"/>
      <c r="G239" s="82" t="s">
        <v>715</v>
      </c>
      <c r="H239" s="88">
        <v>4</v>
      </c>
      <c r="I239" s="88">
        <v>0</v>
      </c>
      <c r="J239" s="88">
        <f>H239*AO239</f>
        <v>0</v>
      </c>
      <c r="K239" s="88">
        <f>H239*AP239</f>
        <v>0</v>
      </c>
      <c r="L239" s="88">
        <f>H239*I239</f>
        <v>0</v>
      </c>
      <c r="M239" s="78" t="s">
        <v>732</v>
      </c>
      <c r="N239" s="72"/>
      <c r="Z239" s="64">
        <f>IF(AQ239="5",BJ239,0)</f>
        <v>0</v>
      </c>
      <c r="AB239" s="64">
        <f>IF(AQ239="1",BH239,0)</f>
        <v>0</v>
      </c>
      <c r="AC239" s="64">
        <f>IF(AQ239="1",BI239,0)</f>
        <v>0</v>
      </c>
      <c r="AD239" s="64">
        <f>IF(AQ239="7",BH239,0)</f>
        <v>0</v>
      </c>
      <c r="AE239" s="64">
        <f>IF(AQ239="7",BI239,0)</f>
        <v>0</v>
      </c>
      <c r="AF239" s="64">
        <f>IF(AQ239="2",BH239,0)</f>
        <v>0</v>
      </c>
      <c r="AG239" s="64">
        <f>IF(AQ239="2",BI239,0)</f>
        <v>0</v>
      </c>
      <c r="AH239" s="64">
        <f>IF(AQ239="0",BJ239,0)</f>
        <v>0</v>
      </c>
      <c r="AI239" s="63"/>
      <c r="AJ239" s="49">
        <f>IF(AN239=0,L239,0)</f>
        <v>0</v>
      </c>
      <c r="AK239" s="49">
        <f>IF(AN239=15,L239,0)</f>
        <v>0</v>
      </c>
      <c r="AL239" s="49">
        <f>IF(AN239=21,L239,0)</f>
        <v>0</v>
      </c>
      <c r="AN239" s="64">
        <v>15</v>
      </c>
      <c r="AO239" s="64">
        <f>I239*0</f>
        <v>0</v>
      </c>
      <c r="AP239" s="64">
        <f>I239*(1-0)</f>
        <v>0</v>
      </c>
      <c r="AQ239" s="65" t="s">
        <v>80</v>
      </c>
      <c r="AV239" s="64">
        <f>AW239+AX239</f>
        <v>0</v>
      </c>
      <c r="AW239" s="64">
        <f>H239*AO239</f>
        <v>0</v>
      </c>
      <c r="AX239" s="64">
        <f>H239*AP239</f>
        <v>0</v>
      </c>
      <c r="AY239" s="67" t="s">
        <v>755</v>
      </c>
      <c r="AZ239" s="67" t="s">
        <v>772</v>
      </c>
      <c r="BA239" s="63" t="s">
        <v>775</v>
      </c>
      <c r="BC239" s="64">
        <f>AW239+AX239</f>
        <v>0</v>
      </c>
      <c r="BD239" s="64">
        <f>I239/(100-BE239)*100</f>
        <v>0</v>
      </c>
      <c r="BE239" s="64">
        <v>0</v>
      </c>
      <c r="BF239" s="64">
        <f>239</f>
        <v>239</v>
      </c>
      <c r="BH239" s="49">
        <f>H239*AO239</f>
        <v>0</v>
      </c>
      <c r="BI239" s="49">
        <f>H239*AP239</f>
        <v>0</v>
      </c>
      <c r="BJ239" s="49">
        <f>H239*I239</f>
        <v>0</v>
      </c>
      <c r="BK239" s="49" t="s">
        <v>780</v>
      </c>
      <c r="BL239" s="64">
        <v>721</v>
      </c>
    </row>
    <row r="240" spans="1:64" ht="12.75">
      <c r="A240" s="82" t="s">
        <v>160</v>
      </c>
      <c r="B240" s="82" t="s">
        <v>310</v>
      </c>
      <c r="C240" s="229" t="s">
        <v>596</v>
      </c>
      <c r="D240" s="230"/>
      <c r="E240" s="230"/>
      <c r="F240" s="231"/>
      <c r="G240" s="82" t="s">
        <v>715</v>
      </c>
      <c r="H240" s="88">
        <v>4</v>
      </c>
      <c r="I240" s="88">
        <v>0</v>
      </c>
      <c r="J240" s="88">
        <f>H240*AO240</f>
        <v>0</v>
      </c>
      <c r="K240" s="88">
        <f>H240*AP240</f>
        <v>0</v>
      </c>
      <c r="L240" s="88">
        <f>H240*I240</f>
        <v>0</v>
      </c>
      <c r="M240" s="78" t="s">
        <v>732</v>
      </c>
      <c r="N240" s="72"/>
      <c r="Z240" s="64">
        <f>IF(AQ240="5",BJ240,0)</f>
        <v>0</v>
      </c>
      <c r="AB240" s="64">
        <f>IF(AQ240="1",BH240,0)</f>
        <v>0</v>
      </c>
      <c r="AC240" s="64">
        <f>IF(AQ240="1",BI240,0)</f>
        <v>0</v>
      </c>
      <c r="AD240" s="64">
        <f>IF(AQ240="7",BH240,0)</f>
        <v>0</v>
      </c>
      <c r="AE240" s="64">
        <f>IF(AQ240="7",BI240,0)</f>
        <v>0</v>
      </c>
      <c r="AF240" s="64">
        <f>IF(AQ240="2",BH240,0)</f>
        <v>0</v>
      </c>
      <c r="AG240" s="64">
        <f>IF(AQ240="2",BI240,0)</f>
        <v>0</v>
      </c>
      <c r="AH240" s="64">
        <f>IF(AQ240="0",BJ240,0)</f>
        <v>0</v>
      </c>
      <c r="AI240" s="63"/>
      <c r="AJ240" s="49">
        <f>IF(AN240=0,L240,0)</f>
        <v>0</v>
      </c>
      <c r="AK240" s="49">
        <f>IF(AN240=15,L240,0)</f>
        <v>0</v>
      </c>
      <c r="AL240" s="49">
        <f>IF(AN240=21,L240,0)</f>
        <v>0</v>
      </c>
      <c r="AN240" s="64">
        <v>15</v>
      </c>
      <c r="AO240" s="64">
        <f>I240*0.919423574250246</f>
        <v>0</v>
      </c>
      <c r="AP240" s="64">
        <f>I240*(1-0.919423574250246)</f>
        <v>0</v>
      </c>
      <c r="AQ240" s="65" t="s">
        <v>80</v>
      </c>
      <c r="AV240" s="64">
        <f>AW240+AX240</f>
        <v>0</v>
      </c>
      <c r="AW240" s="64">
        <f>H240*AO240</f>
        <v>0</v>
      </c>
      <c r="AX240" s="64">
        <f>H240*AP240</f>
        <v>0</v>
      </c>
      <c r="AY240" s="67" t="s">
        <v>755</v>
      </c>
      <c r="AZ240" s="67" t="s">
        <v>772</v>
      </c>
      <c r="BA240" s="63" t="s">
        <v>775</v>
      </c>
      <c r="BC240" s="64">
        <f>AW240+AX240</f>
        <v>0</v>
      </c>
      <c r="BD240" s="64">
        <f>I240/(100-BE240)*100</f>
        <v>0</v>
      </c>
      <c r="BE240" s="64">
        <v>0</v>
      </c>
      <c r="BF240" s="64">
        <f>240</f>
        <v>240</v>
      </c>
      <c r="BH240" s="49">
        <f>H240*AO240</f>
        <v>0</v>
      </c>
      <c r="BI240" s="49">
        <f>H240*AP240</f>
        <v>0</v>
      </c>
      <c r="BJ240" s="49">
        <f>H240*I240</f>
        <v>0</v>
      </c>
      <c r="BK240" s="49" t="s">
        <v>780</v>
      </c>
      <c r="BL240" s="64">
        <v>721</v>
      </c>
    </row>
    <row r="241" spans="1:64" ht="12.75">
      <c r="A241" s="150" t="s">
        <v>161</v>
      </c>
      <c r="B241" s="150" t="s">
        <v>311</v>
      </c>
      <c r="C241" s="249" t="s">
        <v>597</v>
      </c>
      <c r="D241" s="230"/>
      <c r="E241" s="230"/>
      <c r="F241" s="231"/>
      <c r="G241" s="150" t="s">
        <v>716</v>
      </c>
      <c r="H241" s="152">
        <v>8</v>
      </c>
      <c r="I241" s="152">
        <v>0</v>
      </c>
      <c r="J241" s="152">
        <f>H241*AO241</f>
        <v>0</v>
      </c>
      <c r="K241" s="152">
        <f>H241*AP241</f>
        <v>0</v>
      </c>
      <c r="L241" s="152">
        <f>H241*I241</f>
        <v>0</v>
      </c>
      <c r="M241" s="147" t="s">
        <v>732</v>
      </c>
      <c r="N241" s="72"/>
      <c r="Z241" s="64">
        <f>IF(AQ241="5",BJ241,0)</f>
        <v>0</v>
      </c>
      <c r="AB241" s="64">
        <f>IF(AQ241="1",BH241,0)</f>
        <v>0</v>
      </c>
      <c r="AC241" s="64">
        <f>IF(AQ241="1",BI241,0)</f>
        <v>0</v>
      </c>
      <c r="AD241" s="64">
        <f>IF(AQ241="7",BH241,0)</f>
        <v>0</v>
      </c>
      <c r="AE241" s="64">
        <f>IF(AQ241="7",BI241,0)</f>
        <v>0</v>
      </c>
      <c r="AF241" s="64">
        <f>IF(AQ241="2",BH241,0)</f>
        <v>0</v>
      </c>
      <c r="AG241" s="64">
        <f>IF(AQ241="2",BI241,0)</f>
        <v>0</v>
      </c>
      <c r="AH241" s="64">
        <f>IF(AQ241="0",BJ241,0)</f>
        <v>0</v>
      </c>
      <c r="AI241" s="63"/>
      <c r="AJ241" s="49">
        <f>IF(AN241=0,L241,0)</f>
        <v>0</v>
      </c>
      <c r="AK241" s="49">
        <f>IF(AN241=15,L241,0)</f>
        <v>0</v>
      </c>
      <c r="AL241" s="49">
        <f>IF(AN241=21,L241,0)</f>
        <v>0</v>
      </c>
      <c r="AN241" s="64">
        <v>15</v>
      </c>
      <c r="AO241" s="64">
        <f>I241*0.398586956521739</f>
        <v>0</v>
      </c>
      <c r="AP241" s="64">
        <f>I241*(1-0.398586956521739)</f>
        <v>0</v>
      </c>
      <c r="AQ241" s="65" t="s">
        <v>80</v>
      </c>
      <c r="AV241" s="64">
        <f>AW241+AX241</f>
        <v>0</v>
      </c>
      <c r="AW241" s="64">
        <f>H241*AO241</f>
        <v>0</v>
      </c>
      <c r="AX241" s="64">
        <f>H241*AP241</f>
        <v>0</v>
      </c>
      <c r="AY241" s="67" t="s">
        <v>755</v>
      </c>
      <c r="AZ241" s="67" t="s">
        <v>772</v>
      </c>
      <c r="BA241" s="63" t="s">
        <v>775</v>
      </c>
      <c r="BC241" s="64">
        <f>AW241+AX241</f>
        <v>0</v>
      </c>
      <c r="BD241" s="64">
        <f>I241/(100-BE241)*100</f>
        <v>0</v>
      </c>
      <c r="BE241" s="64">
        <v>0</v>
      </c>
      <c r="BF241" s="64">
        <f>241</f>
        <v>241</v>
      </c>
      <c r="BH241" s="49">
        <f>H241*AO241</f>
        <v>0</v>
      </c>
      <c r="BI241" s="49">
        <f>H241*AP241</f>
        <v>0</v>
      </c>
      <c r="BJ241" s="49">
        <f>H241*I241</f>
        <v>0</v>
      </c>
      <c r="BK241" s="49" t="s">
        <v>780</v>
      </c>
      <c r="BL241" s="64">
        <v>721</v>
      </c>
    </row>
    <row r="242" spans="1:14" ht="12.75">
      <c r="A242" s="153"/>
      <c r="B242" s="154"/>
      <c r="C242" s="151" t="s">
        <v>598</v>
      </c>
      <c r="F242" s="155"/>
      <c r="G242" s="154"/>
      <c r="H242" s="156">
        <v>0</v>
      </c>
      <c r="I242" s="154"/>
      <c r="J242" s="154"/>
      <c r="K242" s="154"/>
      <c r="L242" s="154"/>
      <c r="M242" s="149"/>
      <c r="N242" s="72"/>
    </row>
    <row r="243" spans="1:14" ht="12.75">
      <c r="A243" s="153"/>
      <c r="B243" s="154"/>
      <c r="C243" s="151" t="s">
        <v>81</v>
      </c>
      <c r="F243" s="155"/>
      <c r="G243" s="154"/>
      <c r="H243" s="156">
        <v>8</v>
      </c>
      <c r="I243" s="154"/>
      <c r="J243" s="154"/>
      <c r="K243" s="154"/>
      <c r="L243" s="154"/>
      <c r="M243" s="149"/>
      <c r="N243" s="72"/>
    </row>
    <row r="244" spans="1:64" ht="12.75">
      <c r="A244" s="82" t="s">
        <v>162</v>
      </c>
      <c r="B244" s="82" t="s">
        <v>312</v>
      </c>
      <c r="C244" s="229" t="s">
        <v>599</v>
      </c>
      <c r="D244" s="230"/>
      <c r="E244" s="230"/>
      <c r="F244" s="231"/>
      <c r="G244" s="82" t="s">
        <v>719</v>
      </c>
      <c r="H244" s="88">
        <v>0.391</v>
      </c>
      <c r="I244" s="88">
        <v>0</v>
      </c>
      <c r="J244" s="88">
        <f>H244*AO244</f>
        <v>0</v>
      </c>
      <c r="K244" s="88">
        <f>H244*AP244</f>
        <v>0</v>
      </c>
      <c r="L244" s="88">
        <f>H244*I244</f>
        <v>0</v>
      </c>
      <c r="M244" s="78" t="s">
        <v>732</v>
      </c>
      <c r="N244" s="72"/>
      <c r="Z244" s="64">
        <f>IF(AQ244="5",BJ244,0)</f>
        <v>0</v>
      </c>
      <c r="AB244" s="64">
        <f>IF(AQ244="1",BH244,0)</f>
        <v>0</v>
      </c>
      <c r="AC244" s="64">
        <f>IF(AQ244="1",BI244,0)</f>
        <v>0</v>
      </c>
      <c r="AD244" s="64">
        <f>IF(AQ244="7",BH244,0)</f>
        <v>0</v>
      </c>
      <c r="AE244" s="64">
        <f>IF(AQ244="7",BI244,0)</f>
        <v>0</v>
      </c>
      <c r="AF244" s="64">
        <f>IF(AQ244="2",BH244,0)</f>
        <v>0</v>
      </c>
      <c r="AG244" s="64">
        <f>IF(AQ244="2",BI244,0)</f>
        <v>0</v>
      </c>
      <c r="AH244" s="64">
        <f>IF(AQ244="0",BJ244,0)</f>
        <v>0</v>
      </c>
      <c r="AI244" s="63"/>
      <c r="AJ244" s="49">
        <f>IF(AN244=0,L244,0)</f>
        <v>0</v>
      </c>
      <c r="AK244" s="49">
        <f>IF(AN244=15,L244,0)</f>
        <v>0</v>
      </c>
      <c r="AL244" s="49">
        <f>IF(AN244=21,L244,0)</f>
        <v>0</v>
      </c>
      <c r="AN244" s="64">
        <v>15</v>
      </c>
      <c r="AO244" s="64">
        <f>I244*0</f>
        <v>0</v>
      </c>
      <c r="AP244" s="64">
        <f>I244*(1-0)</f>
        <v>0</v>
      </c>
      <c r="AQ244" s="65" t="s">
        <v>78</v>
      </c>
      <c r="AV244" s="64">
        <f>AW244+AX244</f>
        <v>0</v>
      </c>
      <c r="AW244" s="64">
        <f>H244*AO244</f>
        <v>0</v>
      </c>
      <c r="AX244" s="64">
        <f>H244*AP244</f>
        <v>0</v>
      </c>
      <c r="AY244" s="67" t="s">
        <v>755</v>
      </c>
      <c r="AZ244" s="67" t="s">
        <v>772</v>
      </c>
      <c r="BA244" s="63" t="s">
        <v>775</v>
      </c>
      <c r="BC244" s="64">
        <f>AW244+AX244</f>
        <v>0</v>
      </c>
      <c r="BD244" s="64">
        <f>I244/(100-BE244)*100</f>
        <v>0</v>
      </c>
      <c r="BE244" s="64">
        <v>0</v>
      </c>
      <c r="BF244" s="64">
        <f>244</f>
        <v>244</v>
      </c>
      <c r="BH244" s="49">
        <f>H244*AO244</f>
        <v>0</v>
      </c>
      <c r="BI244" s="49">
        <f>H244*AP244</f>
        <v>0</v>
      </c>
      <c r="BJ244" s="49">
        <f>H244*I244</f>
        <v>0</v>
      </c>
      <c r="BK244" s="49" t="s">
        <v>780</v>
      </c>
      <c r="BL244" s="64">
        <v>721</v>
      </c>
    </row>
    <row r="245" spans="1:47" ht="12.75">
      <c r="A245" s="73"/>
      <c r="B245" s="74" t="s">
        <v>313</v>
      </c>
      <c r="C245" s="250" t="s">
        <v>600</v>
      </c>
      <c r="D245" s="236"/>
      <c r="E245" s="236"/>
      <c r="F245" s="251"/>
      <c r="G245" s="73" t="s">
        <v>73</v>
      </c>
      <c r="H245" s="73" t="s">
        <v>73</v>
      </c>
      <c r="I245" s="73" t="s">
        <v>73</v>
      </c>
      <c r="J245" s="77">
        <f>SUM(J246:J246)</f>
        <v>0</v>
      </c>
      <c r="K245" s="77">
        <f>SUM(K246:K246)</f>
        <v>0</v>
      </c>
      <c r="L245" s="77">
        <f>SUM(L246:L246)</f>
        <v>0</v>
      </c>
      <c r="M245" s="71"/>
      <c r="N245" s="72"/>
      <c r="AI245" s="63"/>
      <c r="AS245" s="70">
        <f>SUM(AJ246:AJ246)</f>
        <v>0</v>
      </c>
      <c r="AT245" s="70">
        <f>SUM(AK246:AK246)</f>
        <v>0</v>
      </c>
      <c r="AU245" s="70">
        <f>SUM(AL246:AL246)</f>
        <v>0</v>
      </c>
    </row>
    <row r="246" spans="1:64" ht="12.75">
      <c r="A246" s="82" t="s">
        <v>163</v>
      </c>
      <c r="B246" s="82" t="s">
        <v>314</v>
      </c>
      <c r="C246" s="229" t="s">
        <v>601</v>
      </c>
      <c r="D246" s="230"/>
      <c r="E246" s="230"/>
      <c r="F246" s="231"/>
      <c r="G246" s="82" t="s">
        <v>715</v>
      </c>
      <c r="H246" s="88">
        <v>4</v>
      </c>
      <c r="I246" s="88">
        <v>0</v>
      </c>
      <c r="J246" s="88">
        <f>H246*AO246</f>
        <v>0</v>
      </c>
      <c r="K246" s="88">
        <f>H246*AP246</f>
        <v>0</v>
      </c>
      <c r="L246" s="88">
        <f>H246*I246</f>
        <v>0</v>
      </c>
      <c r="M246" s="78" t="s">
        <v>732</v>
      </c>
      <c r="N246" s="72"/>
      <c r="Z246" s="64">
        <f>IF(AQ246="5",BJ246,0)</f>
        <v>0</v>
      </c>
      <c r="AB246" s="64">
        <f>IF(AQ246="1",BH246,0)</f>
        <v>0</v>
      </c>
      <c r="AC246" s="64">
        <f>IF(AQ246="1",BI246,0)</f>
        <v>0</v>
      </c>
      <c r="AD246" s="64">
        <f>IF(AQ246="7",BH246,0)</f>
        <v>0</v>
      </c>
      <c r="AE246" s="64">
        <f>IF(AQ246="7",BI246,0)</f>
        <v>0</v>
      </c>
      <c r="AF246" s="64">
        <f>IF(AQ246="2",BH246,0)</f>
        <v>0</v>
      </c>
      <c r="AG246" s="64">
        <f>IF(AQ246="2",BI246,0)</f>
        <v>0</v>
      </c>
      <c r="AH246" s="64">
        <f>IF(AQ246="0",BJ246,0)</f>
        <v>0</v>
      </c>
      <c r="AI246" s="63"/>
      <c r="AJ246" s="49">
        <f>IF(AN246=0,L246,0)</f>
        <v>0</v>
      </c>
      <c r="AK246" s="49">
        <f>IF(AN246=15,L246,0)</f>
        <v>0</v>
      </c>
      <c r="AL246" s="49">
        <f>IF(AN246=21,L246,0)</f>
        <v>0</v>
      </c>
      <c r="AN246" s="64">
        <v>15</v>
      </c>
      <c r="AO246" s="64">
        <f>I246*0</f>
        <v>0</v>
      </c>
      <c r="AP246" s="64">
        <f>I246*(1-0)</f>
        <v>0</v>
      </c>
      <c r="AQ246" s="65" t="s">
        <v>80</v>
      </c>
      <c r="AV246" s="64">
        <f>AW246+AX246</f>
        <v>0</v>
      </c>
      <c r="AW246" s="64">
        <f>H246*AO246</f>
        <v>0</v>
      </c>
      <c r="AX246" s="64">
        <f>H246*AP246</f>
        <v>0</v>
      </c>
      <c r="AY246" s="67" t="s">
        <v>756</v>
      </c>
      <c r="AZ246" s="67" t="s">
        <v>772</v>
      </c>
      <c r="BA246" s="63" t="s">
        <v>775</v>
      </c>
      <c r="BC246" s="64">
        <f>AW246+AX246</f>
        <v>0</v>
      </c>
      <c r="BD246" s="64">
        <f>I246/(100-BE246)*100</f>
        <v>0</v>
      </c>
      <c r="BE246" s="64">
        <v>0</v>
      </c>
      <c r="BF246" s="64">
        <f>246</f>
        <v>246</v>
      </c>
      <c r="BH246" s="49">
        <f>H246*AO246</f>
        <v>0</v>
      </c>
      <c r="BI246" s="49">
        <f>H246*AP246</f>
        <v>0</v>
      </c>
      <c r="BJ246" s="49">
        <f>H246*I246</f>
        <v>0</v>
      </c>
      <c r="BK246" s="49" t="s">
        <v>780</v>
      </c>
      <c r="BL246" s="64">
        <v>722</v>
      </c>
    </row>
    <row r="247" spans="1:14" ht="12.75">
      <c r="A247" s="90"/>
      <c r="B247" s="91"/>
      <c r="C247" s="84" t="s">
        <v>602</v>
      </c>
      <c r="F247" s="92"/>
      <c r="G247" s="91"/>
      <c r="H247" s="93">
        <v>0</v>
      </c>
      <c r="I247" s="91"/>
      <c r="J247" s="91"/>
      <c r="K247" s="91"/>
      <c r="L247" s="91"/>
      <c r="M247" s="80"/>
      <c r="N247" s="72"/>
    </row>
    <row r="248" spans="1:14" ht="12.75">
      <c r="A248" s="83"/>
      <c r="B248" s="86"/>
      <c r="C248" s="85" t="s">
        <v>77</v>
      </c>
      <c r="F248" s="87"/>
      <c r="G248" s="86"/>
      <c r="H248" s="89">
        <v>4</v>
      </c>
      <c r="I248" s="86"/>
      <c r="J248" s="86"/>
      <c r="K248" s="86"/>
      <c r="L248" s="86"/>
      <c r="M248" s="81"/>
      <c r="N248" s="72"/>
    </row>
    <row r="249" spans="1:47" ht="12.75">
      <c r="A249" s="34"/>
      <c r="B249" s="41" t="s">
        <v>315</v>
      </c>
      <c r="C249" s="235" t="s">
        <v>603</v>
      </c>
      <c r="D249" s="236"/>
      <c r="E249" s="236"/>
      <c r="F249" s="236"/>
      <c r="G249" s="47" t="s">
        <v>73</v>
      </c>
      <c r="H249" s="47" t="s">
        <v>73</v>
      </c>
      <c r="I249" s="47" t="s">
        <v>73</v>
      </c>
      <c r="J249" s="70">
        <f>SUM(J250:J265)</f>
        <v>0</v>
      </c>
      <c r="K249" s="70">
        <f>SUM(K250:K265)</f>
        <v>0</v>
      </c>
      <c r="L249" s="70">
        <f>SUM(L250:L265)</f>
        <v>0</v>
      </c>
      <c r="M249" s="60"/>
      <c r="N249" s="18"/>
      <c r="AI249" s="63"/>
      <c r="AS249" s="70">
        <f>SUM(AJ250:AJ265)</f>
        <v>0</v>
      </c>
      <c r="AT249" s="70">
        <f>SUM(AK250:AK265)</f>
        <v>0</v>
      </c>
      <c r="AU249" s="70">
        <f>SUM(AL250:AL265)</f>
        <v>0</v>
      </c>
    </row>
    <row r="250" spans="1:64" ht="12.75">
      <c r="A250" s="82" t="s">
        <v>164</v>
      </c>
      <c r="B250" s="82" t="s">
        <v>316</v>
      </c>
      <c r="C250" s="229" t="s">
        <v>604</v>
      </c>
      <c r="D250" s="230"/>
      <c r="E250" s="230"/>
      <c r="F250" s="231"/>
      <c r="G250" s="82" t="s">
        <v>714</v>
      </c>
      <c r="H250" s="88">
        <v>26.28</v>
      </c>
      <c r="I250" s="88">
        <v>0</v>
      </c>
      <c r="J250" s="88">
        <f>H250*AO250</f>
        <v>0</v>
      </c>
      <c r="K250" s="88">
        <f>H250*AP250</f>
        <v>0</v>
      </c>
      <c r="L250" s="88">
        <f>H250*I250</f>
        <v>0</v>
      </c>
      <c r="M250" s="78" t="s">
        <v>732</v>
      </c>
      <c r="N250" s="72"/>
      <c r="Z250" s="64">
        <f>IF(AQ250="5",BJ250,0)</f>
        <v>0</v>
      </c>
      <c r="AB250" s="64">
        <f>IF(AQ250="1",BH250,0)</f>
        <v>0</v>
      </c>
      <c r="AC250" s="64">
        <f>IF(AQ250="1",BI250,0)</f>
        <v>0</v>
      </c>
      <c r="AD250" s="64">
        <f>IF(AQ250="7",BH250,0)</f>
        <v>0</v>
      </c>
      <c r="AE250" s="64">
        <f>IF(AQ250="7",BI250,0)</f>
        <v>0</v>
      </c>
      <c r="AF250" s="64">
        <f>IF(AQ250="2",BH250,0)</f>
        <v>0</v>
      </c>
      <c r="AG250" s="64">
        <f>IF(AQ250="2",BI250,0)</f>
        <v>0</v>
      </c>
      <c r="AH250" s="64">
        <f>IF(AQ250="0",BJ250,0)</f>
        <v>0</v>
      </c>
      <c r="AI250" s="63"/>
      <c r="AJ250" s="49">
        <f>IF(AN250=0,L250,0)</f>
        <v>0</v>
      </c>
      <c r="AK250" s="49">
        <f>IF(AN250=15,L250,0)</f>
        <v>0</v>
      </c>
      <c r="AL250" s="49">
        <f>IF(AN250=21,L250,0)</f>
        <v>0</v>
      </c>
      <c r="AN250" s="64">
        <v>15</v>
      </c>
      <c r="AO250" s="64">
        <f>I250*0</f>
        <v>0</v>
      </c>
      <c r="AP250" s="64">
        <f>I250*(1-0)</f>
        <v>0</v>
      </c>
      <c r="AQ250" s="65" t="s">
        <v>80</v>
      </c>
      <c r="AV250" s="64">
        <f>AW250+AX250</f>
        <v>0</v>
      </c>
      <c r="AW250" s="64">
        <f>H250*AO250</f>
        <v>0</v>
      </c>
      <c r="AX250" s="64">
        <f>H250*AP250</f>
        <v>0</v>
      </c>
      <c r="AY250" s="67" t="s">
        <v>757</v>
      </c>
      <c r="AZ250" s="67" t="s">
        <v>773</v>
      </c>
      <c r="BA250" s="63" t="s">
        <v>775</v>
      </c>
      <c r="BC250" s="64">
        <f>AW250+AX250</f>
        <v>0</v>
      </c>
      <c r="BD250" s="64">
        <f>I250/(100-BE250)*100</f>
        <v>0</v>
      </c>
      <c r="BE250" s="64">
        <v>0</v>
      </c>
      <c r="BF250" s="64">
        <f>250</f>
        <v>250</v>
      </c>
      <c r="BH250" s="49">
        <f>H250*AO250</f>
        <v>0</v>
      </c>
      <c r="BI250" s="49">
        <f>H250*AP250</f>
        <v>0</v>
      </c>
      <c r="BJ250" s="49">
        <f>H250*I250</f>
        <v>0</v>
      </c>
      <c r="BK250" s="49" t="s">
        <v>780</v>
      </c>
      <c r="BL250" s="64">
        <v>762</v>
      </c>
    </row>
    <row r="251" spans="1:14" ht="12.75">
      <c r="A251" s="90"/>
      <c r="B251" s="91"/>
      <c r="C251" s="84" t="s">
        <v>605</v>
      </c>
      <c r="F251" s="92"/>
      <c r="G251" s="91"/>
      <c r="H251" s="93">
        <v>0</v>
      </c>
      <c r="I251" s="91"/>
      <c r="J251" s="91"/>
      <c r="K251" s="91"/>
      <c r="L251" s="91"/>
      <c r="M251" s="80"/>
      <c r="N251" s="72"/>
    </row>
    <row r="252" spans="1:14" ht="12.75">
      <c r="A252" s="83"/>
      <c r="B252" s="86"/>
      <c r="C252" s="85" t="s">
        <v>606</v>
      </c>
      <c r="F252" s="87"/>
      <c r="G252" s="86"/>
      <c r="H252" s="89">
        <v>26.28</v>
      </c>
      <c r="I252" s="86"/>
      <c r="J252" s="86"/>
      <c r="K252" s="86"/>
      <c r="L252" s="86"/>
      <c r="M252" s="81"/>
      <c r="N252" s="72"/>
    </row>
    <row r="253" spans="1:64" ht="12.75">
      <c r="A253" s="109" t="s">
        <v>165</v>
      </c>
      <c r="B253" s="110" t="s">
        <v>317</v>
      </c>
      <c r="C253" s="248" t="s">
        <v>607</v>
      </c>
      <c r="D253" s="238"/>
      <c r="E253" s="238"/>
      <c r="F253" s="238"/>
      <c r="G253" s="110" t="s">
        <v>720</v>
      </c>
      <c r="H253" s="112">
        <v>0.56765</v>
      </c>
      <c r="I253" s="112">
        <v>0</v>
      </c>
      <c r="J253" s="112">
        <f>H253*AO253</f>
        <v>0</v>
      </c>
      <c r="K253" s="112">
        <f>H253*AP253</f>
        <v>0</v>
      </c>
      <c r="L253" s="112">
        <f>H253*I253</f>
        <v>0</v>
      </c>
      <c r="M253" s="114" t="s">
        <v>732</v>
      </c>
      <c r="N253" s="18"/>
      <c r="Z253" s="64">
        <f>IF(AQ253="5",BJ253,0)</f>
        <v>0</v>
      </c>
      <c r="AB253" s="64">
        <f>IF(AQ253="1",BH253,0)</f>
        <v>0</v>
      </c>
      <c r="AC253" s="64">
        <f>IF(AQ253="1",BI253,0)</f>
        <v>0</v>
      </c>
      <c r="AD253" s="64">
        <f>IF(AQ253="7",BH253,0)</f>
        <v>0</v>
      </c>
      <c r="AE253" s="64">
        <f>IF(AQ253="7",BI253,0)</f>
        <v>0</v>
      </c>
      <c r="AF253" s="64">
        <f>IF(AQ253="2",BH253,0)</f>
        <v>0</v>
      </c>
      <c r="AG253" s="64">
        <f>IF(AQ253="2",BI253,0)</f>
        <v>0</v>
      </c>
      <c r="AH253" s="64">
        <f>IF(AQ253="0",BJ253,0)</f>
        <v>0</v>
      </c>
      <c r="AI253" s="63"/>
      <c r="AJ253" s="51">
        <f>IF(AN253=0,L253,0)</f>
        <v>0</v>
      </c>
      <c r="AK253" s="51">
        <f>IF(AN253=15,L253,0)</f>
        <v>0</v>
      </c>
      <c r="AL253" s="51">
        <f>IF(AN253=21,L253,0)</f>
        <v>0</v>
      </c>
      <c r="AN253" s="64">
        <v>15</v>
      </c>
      <c r="AO253" s="64">
        <f>I253*1</f>
        <v>0</v>
      </c>
      <c r="AP253" s="64">
        <f>I253*(1-1)</f>
        <v>0</v>
      </c>
      <c r="AQ253" s="66" t="s">
        <v>80</v>
      </c>
      <c r="AV253" s="64">
        <f>AW253+AX253</f>
        <v>0</v>
      </c>
      <c r="AW253" s="64">
        <f>H253*AO253</f>
        <v>0</v>
      </c>
      <c r="AX253" s="64">
        <f>H253*AP253</f>
        <v>0</v>
      </c>
      <c r="AY253" s="67" t="s">
        <v>757</v>
      </c>
      <c r="AZ253" s="67" t="s">
        <v>773</v>
      </c>
      <c r="BA253" s="63" t="s">
        <v>775</v>
      </c>
      <c r="BC253" s="64">
        <f>AW253+AX253</f>
        <v>0</v>
      </c>
      <c r="BD253" s="64">
        <f>I253/(100-BE253)*100</f>
        <v>0</v>
      </c>
      <c r="BE253" s="64">
        <v>0</v>
      </c>
      <c r="BF253" s="64">
        <f>253</f>
        <v>253</v>
      </c>
      <c r="BH253" s="51">
        <f>H253*AO253</f>
        <v>0</v>
      </c>
      <c r="BI253" s="51">
        <f>H253*AP253</f>
        <v>0</v>
      </c>
      <c r="BJ253" s="51">
        <f>H253*I253</f>
        <v>0</v>
      </c>
      <c r="BK253" s="51" t="s">
        <v>781</v>
      </c>
      <c r="BL253" s="64">
        <v>762</v>
      </c>
    </row>
    <row r="254" spans="1:14" ht="12.75">
      <c r="A254" s="117"/>
      <c r="B254" s="121"/>
      <c r="C254" s="123" t="s">
        <v>608</v>
      </c>
      <c r="F254" s="123"/>
      <c r="G254" s="121"/>
      <c r="H254" s="128">
        <v>0.56765</v>
      </c>
      <c r="I254" s="121"/>
      <c r="J254" s="121"/>
      <c r="K254" s="121"/>
      <c r="L254" s="121"/>
      <c r="M254" s="131"/>
      <c r="N254" s="18"/>
    </row>
    <row r="255" spans="1:64" ht="12.75">
      <c r="A255" s="109" t="s">
        <v>166</v>
      </c>
      <c r="B255" s="110" t="s">
        <v>318</v>
      </c>
      <c r="C255" s="248" t="s">
        <v>609</v>
      </c>
      <c r="D255" s="238"/>
      <c r="E255" s="238"/>
      <c r="F255" s="238"/>
      <c r="G255" s="110" t="s">
        <v>714</v>
      </c>
      <c r="H255" s="112">
        <v>109.3248</v>
      </c>
      <c r="I255" s="112">
        <v>0</v>
      </c>
      <c r="J255" s="112">
        <f>H255*AO255</f>
        <v>0</v>
      </c>
      <c r="K255" s="112">
        <f>H255*AP255</f>
        <v>0</v>
      </c>
      <c r="L255" s="112">
        <f>H255*I255</f>
        <v>0</v>
      </c>
      <c r="M255" s="114" t="s">
        <v>732</v>
      </c>
      <c r="N255" s="18"/>
      <c r="Z255" s="64">
        <f>IF(AQ255="5",BJ255,0)</f>
        <v>0</v>
      </c>
      <c r="AB255" s="64">
        <f>IF(AQ255="1",BH255,0)</f>
        <v>0</v>
      </c>
      <c r="AC255" s="64">
        <f>IF(AQ255="1",BI255,0)</f>
        <v>0</v>
      </c>
      <c r="AD255" s="64">
        <f>IF(AQ255="7",BH255,0)</f>
        <v>0</v>
      </c>
      <c r="AE255" s="64">
        <f>IF(AQ255="7",BI255,0)</f>
        <v>0</v>
      </c>
      <c r="AF255" s="64">
        <f>IF(AQ255="2",BH255,0)</f>
        <v>0</v>
      </c>
      <c r="AG255" s="64">
        <f>IF(AQ255="2",BI255,0)</f>
        <v>0</v>
      </c>
      <c r="AH255" s="64">
        <f>IF(AQ255="0",BJ255,0)</f>
        <v>0</v>
      </c>
      <c r="AI255" s="63"/>
      <c r="AJ255" s="51">
        <f>IF(AN255=0,L255,0)</f>
        <v>0</v>
      </c>
      <c r="AK255" s="51">
        <f>IF(AN255=15,L255,0)</f>
        <v>0</v>
      </c>
      <c r="AL255" s="51">
        <f>IF(AN255=21,L255,0)</f>
        <v>0</v>
      </c>
      <c r="AN255" s="64">
        <v>15</v>
      </c>
      <c r="AO255" s="64">
        <f>I255*1</f>
        <v>0</v>
      </c>
      <c r="AP255" s="64">
        <f>I255*(1-1)</f>
        <v>0</v>
      </c>
      <c r="AQ255" s="66" t="s">
        <v>80</v>
      </c>
      <c r="AV255" s="64">
        <f>AW255+AX255</f>
        <v>0</v>
      </c>
      <c r="AW255" s="64">
        <f>H255*AO255</f>
        <v>0</v>
      </c>
      <c r="AX255" s="64">
        <f>H255*AP255</f>
        <v>0</v>
      </c>
      <c r="AY255" s="67" t="s">
        <v>757</v>
      </c>
      <c r="AZ255" s="67" t="s">
        <v>773</v>
      </c>
      <c r="BA255" s="63" t="s">
        <v>775</v>
      </c>
      <c r="BC255" s="64">
        <f>AW255+AX255</f>
        <v>0</v>
      </c>
      <c r="BD255" s="64">
        <f>I255/(100-BE255)*100</f>
        <v>0</v>
      </c>
      <c r="BE255" s="64">
        <v>0</v>
      </c>
      <c r="BF255" s="64">
        <f>255</f>
        <v>255</v>
      </c>
      <c r="BH255" s="51">
        <f>H255*AO255</f>
        <v>0</v>
      </c>
      <c r="BI255" s="51">
        <f>H255*AP255</f>
        <v>0</v>
      </c>
      <c r="BJ255" s="51">
        <f>H255*I255</f>
        <v>0</v>
      </c>
      <c r="BK255" s="51" t="s">
        <v>781</v>
      </c>
      <c r="BL255" s="64">
        <v>762</v>
      </c>
    </row>
    <row r="256" spans="1:14" ht="12.75">
      <c r="A256" s="117"/>
      <c r="B256" s="121"/>
      <c r="C256" s="123" t="s">
        <v>610</v>
      </c>
      <c r="F256" s="123"/>
      <c r="G256" s="121"/>
      <c r="H256" s="128">
        <v>109.3248</v>
      </c>
      <c r="I256" s="121"/>
      <c r="J256" s="121"/>
      <c r="K256" s="121"/>
      <c r="L256" s="121"/>
      <c r="M256" s="131"/>
      <c r="N256" s="18"/>
    </row>
    <row r="257" spans="1:64" ht="12.75">
      <c r="A257" s="35" t="s">
        <v>167</v>
      </c>
      <c r="B257" s="42" t="s">
        <v>319</v>
      </c>
      <c r="C257" s="239" t="s">
        <v>611</v>
      </c>
      <c r="D257" s="230"/>
      <c r="E257" s="230"/>
      <c r="F257" s="230"/>
      <c r="G257" s="42" t="s">
        <v>720</v>
      </c>
      <c r="H257" s="49">
        <v>2.45981</v>
      </c>
      <c r="I257" s="49">
        <v>0</v>
      </c>
      <c r="J257" s="49">
        <f>H257*AO257</f>
        <v>0</v>
      </c>
      <c r="K257" s="49">
        <f>H257*AP257</f>
        <v>0</v>
      </c>
      <c r="L257" s="49">
        <f>H257*I257</f>
        <v>0</v>
      </c>
      <c r="M257" s="61" t="s">
        <v>732</v>
      </c>
      <c r="N257" s="18"/>
      <c r="Z257" s="64">
        <f>IF(AQ257="5",BJ257,0)</f>
        <v>0</v>
      </c>
      <c r="AB257" s="64">
        <f>IF(AQ257="1",BH257,0)</f>
        <v>0</v>
      </c>
      <c r="AC257" s="64">
        <f>IF(AQ257="1",BI257,0)</f>
        <v>0</v>
      </c>
      <c r="AD257" s="64">
        <f>IF(AQ257="7",BH257,0)</f>
        <v>0</v>
      </c>
      <c r="AE257" s="64">
        <f>IF(AQ257="7",BI257,0)</f>
        <v>0</v>
      </c>
      <c r="AF257" s="64">
        <f>IF(AQ257="2",BH257,0)</f>
        <v>0</v>
      </c>
      <c r="AG257" s="64">
        <f>IF(AQ257="2",BI257,0)</f>
        <v>0</v>
      </c>
      <c r="AH257" s="64">
        <f>IF(AQ257="0",BJ257,0)</f>
        <v>0</v>
      </c>
      <c r="AI257" s="63"/>
      <c r="AJ257" s="49">
        <f>IF(AN257=0,L257,0)</f>
        <v>0</v>
      </c>
      <c r="AK257" s="49">
        <f>IF(AN257=15,L257,0)</f>
        <v>0</v>
      </c>
      <c r="AL257" s="49">
        <f>IF(AN257=21,L257,0)</f>
        <v>0</v>
      </c>
      <c r="AN257" s="64">
        <v>15</v>
      </c>
      <c r="AO257" s="64">
        <f>I257*1.00001089615054</f>
        <v>0</v>
      </c>
      <c r="AP257" s="64">
        <f>I257*(1-1.00001089615054)</f>
        <v>0</v>
      </c>
      <c r="AQ257" s="65" t="s">
        <v>80</v>
      </c>
      <c r="AV257" s="64">
        <f>AW257+AX257</f>
        <v>0</v>
      </c>
      <c r="AW257" s="64">
        <f>H257*AO257</f>
        <v>0</v>
      </c>
      <c r="AX257" s="64">
        <f>H257*AP257</f>
        <v>0</v>
      </c>
      <c r="AY257" s="67" t="s">
        <v>757</v>
      </c>
      <c r="AZ257" s="67" t="s">
        <v>773</v>
      </c>
      <c r="BA257" s="63" t="s">
        <v>775</v>
      </c>
      <c r="BC257" s="64">
        <f>AW257+AX257</f>
        <v>0</v>
      </c>
      <c r="BD257" s="64">
        <f>I257/(100-BE257)*100</f>
        <v>0</v>
      </c>
      <c r="BE257" s="64">
        <v>0</v>
      </c>
      <c r="BF257" s="64">
        <f>257</f>
        <v>257</v>
      </c>
      <c r="BH257" s="49">
        <f>H257*AO257</f>
        <v>0</v>
      </c>
      <c r="BI257" s="49">
        <f>H257*AP257</f>
        <v>0</v>
      </c>
      <c r="BJ257" s="49">
        <f>H257*I257</f>
        <v>0</v>
      </c>
      <c r="BK257" s="49" t="s">
        <v>780</v>
      </c>
      <c r="BL257" s="64">
        <v>762</v>
      </c>
    </row>
    <row r="258" spans="1:14" ht="12.75">
      <c r="A258" s="18"/>
      <c r="C258" s="44" t="s">
        <v>612</v>
      </c>
      <c r="F258" s="45"/>
      <c r="H258" s="50">
        <v>2.45981</v>
      </c>
      <c r="M258" s="16"/>
      <c r="N258" s="18"/>
    </row>
    <row r="259" spans="1:64" ht="12.75">
      <c r="A259" s="35" t="s">
        <v>168</v>
      </c>
      <c r="B259" s="42" t="s">
        <v>320</v>
      </c>
      <c r="C259" s="239" t="s">
        <v>613</v>
      </c>
      <c r="D259" s="230"/>
      <c r="E259" s="230"/>
      <c r="F259" s="230"/>
      <c r="G259" s="42" t="s">
        <v>714</v>
      </c>
      <c r="H259" s="49">
        <v>4.8</v>
      </c>
      <c r="I259" s="49">
        <v>0</v>
      </c>
      <c r="J259" s="49">
        <f>H259*AO259</f>
        <v>0</v>
      </c>
      <c r="K259" s="49">
        <f>H259*AP259</f>
        <v>0</v>
      </c>
      <c r="L259" s="49">
        <f>H259*I259</f>
        <v>0</v>
      </c>
      <c r="M259" s="61" t="s">
        <v>732</v>
      </c>
      <c r="N259" s="18"/>
      <c r="Z259" s="64">
        <f>IF(AQ259="5",BJ259,0)</f>
        <v>0</v>
      </c>
      <c r="AB259" s="64">
        <f>IF(AQ259="1",BH259,0)</f>
        <v>0</v>
      </c>
      <c r="AC259" s="64">
        <f>IF(AQ259="1",BI259,0)</f>
        <v>0</v>
      </c>
      <c r="AD259" s="64">
        <f>IF(AQ259="7",BH259,0)</f>
        <v>0</v>
      </c>
      <c r="AE259" s="64">
        <f>IF(AQ259="7",BI259,0)</f>
        <v>0</v>
      </c>
      <c r="AF259" s="64">
        <f>IF(AQ259="2",BH259,0)</f>
        <v>0</v>
      </c>
      <c r="AG259" s="64">
        <f>IF(AQ259="2",BI259,0)</f>
        <v>0</v>
      </c>
      <c r="AH259" s="64">
        <f>IF(AQ259="0",BJ259,0)</f>
        <v>0</v>
      </c>
      <c r="AI259" s="63"/>
      <c r="AJ259" s="49">
        <f>IF(AN259=0,L259,0)</f>
        <v>0</v>
      </c>
      <c r="AK259" s="49">
        <f>IF(AN259=15,L259,0)</f>
        <v>0</v>
      </c>
      <c r="AL259" s="49">
        <f>IF(AN259=21,L259,0)</f>
        <v>0</v>
      </c>
      <c r="AN259" s="64">
        <v>15</v>
      </c>
      <c r="AO259" s="64">
        <f>I259*0.0644599303135889</f>
        <v>0</v>
      </c>
      <c r="AP259" s="64">
        <f>I259*(1-0.0644599303135889)</f>
        <v>0</v>
      </c>
      <c r="AQ259" s="65" t="s">
        <v>80</v>
      </c>
      <c r="AV259" s="64">
        <f>AW259+AX259</f>
        <v>0</v>
      </c>
      <c r="AW259" s="64">
        <f>H259*AO259</f>
        <v>0</v>
      </c>
      <c r="AX259" s="64">
        <f>H259*AP259</f>
        <v>0</v>
      </c>
      <c r="AY259" s="67" t="s">
        <v>757</v>
      </c>
      <c r="AZ259" s="67" t="s">
        <v>773</v>
      </c>
      <c r="BA259" s="63" t="s">
        <v>775</v>
      </c>
      <c r="BC259" s="64">
        <f>AW259+AX259</f>
        <v>0</v>
      </c>
      <c r="BD259" s="64">
        <f>I259/(100-BE259)*100</f>
        <v>0</v>
      </c>
      <c r="BE259" s="64">
        <v>0</v>
      </c>
      <c r="BF259" s="64">
        <f>259</f>
        <v>259</v>
      </c>
      <c r="BH259" s="49">
        <f>H259*AO259</f>
        <v>0</v>
      </c>
      <c r="BI259" s="49">
        <f>H259*AP259</f>
        <v>0</v>
      </c>
      <c r="BJ259" s="49">
        <f>H259*I259</f>
        <v>0</v>
      </c>
      <c r="BK259" s="49" t="s">
        <v>780</v>
      </c>
      <c r="BL259" s="64">
        <v>762</v>
      </c>
    </row>
    <row r="260" spans="1:14" ht="12.75">
      <c r="A260" s="18"/>
      <c r="C260" s="44" t="s">
        <v>614</v>
      </c>
      <c r="F260" s="45"/>
      <c r="H260" s="50">
        <v>0</v>
      </c>
      <c r="M260" s="16"/>
      <c r="N260" s="18"/>
    </row>
    <row r="261" spans="1:14" ht="12.75">
      <c r="A261" s="18"/>
      <c r="C261" s="44" t="s">
        <v>615</v>
      </c>
      <c r="F261" s="45"/>
      <c r="H261" s="50">
        <v>4.8</v>
      </c>
      <c r="M261" s="16"/>
      <c r="N261" s="18"/>
    </row>
    <row r="262" spans="1:64" ht="12.75">
      <c r="A262" s="35" t="s">
        <v>169</v>
      </c>
      <c r="B262" s="42" t="s">
        <v>321</v>
      </c>
      <c r="C262" s="239" t="s">
        <v>616</v>
      </c>
      <c r="D262" s="230"/>
      <c r="E262" s="230"/>
      <c r="F262" s="230"/>
      <c r="G262" s="42" t="s">
        <v>714</v>
      </c>
      <c r="H262" s="49">
        <v>4.8</v>
      </c>
      <c r="I262" s="49">
        <v>0</v>
      </c>
      <c r="J262" s="49">
        <f>H262*AO262</f>
        <v>0</v>
      </c>
      <c r="K262" s="49">
        <f>H262*AP262</f>
        <v>0</v>
      </c>
      <c r="L262" s="49">
        <f>H262*I262</f>
        <v>0</v>
      </c>
      <c r="M262" s="61" t="s">
        <v>732</v>
      </c>
      <c r="N262" s="18"/>
      <c r="Z262" s="64">
        <f>IF(AQ262="5",BJ262,0)</f>
        <v>0</v>
      </c>
      <c r="AB262" s="64">
        <f>IF(AQ262="1",BH262,0)</f>
        <v>0</v>
      </c>
      <c r="AC262" s="64">
        <f>IF(AQ262="1",BI262,0)</f>
        <v>0</v>
      </c>
      <c r="AD262" s="64">
        <f>IF(AQ262="7",BH262,0)</f>
        <v>0</v>
      </c>
      <c r="AE262" s="64">
        <f>IF(AQ262="7",BI262,0)</f>
        <v>0</v>
      </c>
      <c r="AF262" s="64">
        <f>IF(AQ262="2",BH262,0)</f>
        <v>0</v>
      </c>
      <c r="AG262" s="64">
        <f>IF(AQ262="2",BI262,0)</f>
        <v>0</v>
      </c>
      <c r="AH262" s="64">
        <f>IF(AQ262="0",BJ262,0)</f>
        <v>0</v>
      </c>
      <c r="AI262" s="63"/>
      <c r="AJ262" s="49">
        <f>IF(AN262=0,L262,0)</f>
        <v>0</v>
      </c>
      <c r="AK262" s="49">
        <f>IF(AN262=15,L262,0)</f>
        <v>0</v>
      </c>
      <c r="AL262" s="49">
        <f>IF(AN262=21,L262,0)</f>
        <v>0</v>
      </c>
      <c r="AN262" s="64">
        <v>15</v>
      </c>
      <c r="AO262" s="64">
        <f>I262*0.40441416893733</f>
        <v>0</v>
      </c>
      <c r="AP262" s="64">
        <f>I262*(1-0.40441416893733)</f>
        <v>0</v>
      </c>
      <c r="AQ262" s="65" t="s">
        <v>80</v>
      </c>
      <c r="AV262" s="64">
        <f>AW262+AX262</f>
        <v>0</v>
      </c>
      <c r="AW262" s="64">
        <f>H262*AO262</f>
        <v>0</v>
      </c>
      <c r="AX262" s="64">
        <f>H262*AP262</f>
        <v>0</v>
      </c>
      <c r="AY262" s="67" t="s">
        <v>757</v>
      </c>
      <c r="AZ262" s="67" t="s">
        <v>773</v>
      </c>
      <c r="BA262" s="63" t="s">
        <v>775</v>
      </c>
      <c r="BC262" s="64">
        <f>AW262+AX262</f>
        <v>0</v>
      </c>
      <c r="BD262" s="64">
        <f>I262/(100-BE262)*100</f>
        <v>0</v>
      </c>
      <c r="BE262" s="64">
        <v>0</v>
      </c>
      <c r="BF262" s="64">
        <f>262</f>
        <v>262</v>
      </c>
      <c r="BH262" s="49">
        <f>H262*AO262</f>
        <v>0</v>
      </c>
      <c r="BI262" s="49">
        <f>H262*AP262</f>
        <v>0</v>
      </c>
      <c r="BJ262" s="49">
        <f>H262*I262</f>
        <v>0</v>
      </c>
      <c r="BK262" s="49" t="s">
        <v>780</v>
      </c>
      <c r="BL262" s="64">
        <v>762</v>
      </c>
    </row>
    <row r="263" spans="1:14" ht="12.75">
      <c r="A263" s="18"/>
      <c r="C263" s="44" t="s">
        <v>617</v>
      </c>
      <c r="F263" s="45"/>
      <c r="H263" s="50">
        <v>0</v>
      </c>
      <c r="M263" s="16"/>
      <c r="N263" s="18"/>
    </row>
    <row r="264" spans="1:14" ht="12.75">
      <c r="A264" s="18"/>
      <c r="C264" s="44" t="s">
        <v>618</v>
      </c>
      <c r="F264" s="45"/>
      <c r="H264" s="50">
        <v>4.8</v>
      </c>
      <c r="M264" s="16"/>
      <c r="N264" s="18"/>
    </row>
    <row r="265" spans="1:64" ht="12.75">
      <c r="A265" s="75" t="s">
        <v>170</v>
      </c>
      <c r="B265" s="75" t="s">
        <v>322</v>
      </c>
      <c r="C265" s="240" t="s">
        <v>619</v>
      </c>
      <c r="D265" s="230"/>
      <c r="E265" s="230"/>
      <c r="F265" s="234"/>
      <c r="G265" s="75" t="s">
        <v>719</v>
      </c>
      <c r="H265" s="76">
        <v>1.6024</v>
      </c>
      <c r="I265" s="76">
        <v>0</v>
      </c>
      <c r="J265" s="76">
        <f>H265*AO265</f>
        <v>0</v>
      </c>
      <c r="K265" s="76">
        <f>H265*AP265</f>
        <v>0</v>
      </c>
      <c r="L265" s="76">
        <f>H265*I265</f>
        <v>0</v>
      </c>
      <c r="M265" s="79" t="s">
        <v>733</v>
      </c>
      <c r="N265" s="72"/>
      <c r="Z265" s="64">
        <f>IF(AQ265="5",BJ265,0)</f>
        <v>0</v>
      </c>
      <c r="AB265" s="64">
        <f>IF(AQ265="1",BH265,0)</f>
        <v>0</v>
      </c>
      <c r="AC265" s="64">
        <f>IF(AQ265="1",BI265,0)</f>
        <v>0</v>
      </c>
      <c r="AD265" s="64">
        <f>IF(AQ265="7",BH265,0)</f>
        <v>0</v>
      </c>
      <c r="AE265" s="64">
        <f>IF(AQ265="7",BI265,0)</f>
        <v>0</v>
      </c>
      <c r="AF265" s="64">
        <f>IF(AQ265="2",BH265,0)</f>
        <v>0</v>
      </c>
      <c r="AG265" s="64">
        <f>IF(AQ265="2",BI265,0)</f>
        <v>0</v>
      </c>
      <c r="AH265" s="64">
        <f>IF(AQ265="0",BJ265,0)</f>
        <v>0</v>
      </c>
      <c r="AI265" s="63"/>
      <c r="AJ265" s="49">
        <f>IF(AN265=0,L265,0)</f>
        <v>0</v>
      </c>
      <c r="AK265" s="49">
        <f>IF(AN265=15,L265,0)</f>
        <v>0</v>
      </c>
      <c r="AL265" s="49">
        <f>IF(AN265=21,L265,0)</f>
        <v>0</v>
      </c>
      <c r="AN265" s="64">
        <v>15</v>
      </c>
      <c r="AO265" s="64">
        <f>I265*0</f>
        <v>0</v>
      </c>
      <c r="AP265" s="64">
        <f>I265*(1-0)</f>
        <v>0</v>
      </c>
      <c r="AQ265" s="65" t="s">
        <v>78</v>
      </c>
      <c r="AV265" s="64">
        <f>AW265+AX265</f>
        <v>0</v>
      </c>
      <c r="AW265" s="64">
        <f>H265*AO265</f>
        <v>0</v>
      </c>
      <c r="AX265" s="64">
        <f>H265*AP265</f>
        <v>0</v>
      </c>
      <c r="AY265" s="67" t="s">
        <v>757</v>
      </c>
      <c r="AZ265" s="67" t="s">
        <v>773</v>
      </c>
      <c r="BA265" s="63" t="s">
        <v>775</v>
      </c>
      <c r="BC265" s="64">
        <f>AW265+AX265</f>
        <v>0</v>
      </c>
      <c r="BD265" s="64">
        <f>I265/(100-BE265)*100</f>
        <v>0</v>
      </c>
      <c r="BE265" s="64">
        <v>0</v>
      </c>
      <c r="BF265" s="64">
        <f>265</f>
        <v>265</v>
      </c>
      <c r="BH265" s="49">
        <f>H265*AO265</f>
        <v>0</v>
      </c>
      <c r="BI265" s="49">
        <f>H265*AP265</f>
        <v>0</v>
      </c>
      <c r="BJ265" s="49">
        <f>H265*I265</f>
        <v>0</v>
      </c>
      <c r="BK265" s="49" t="s">
        <v>780</v>
      </c>
      <c r="BL265" s="64">
        <v>762</v>
      </c>
    </row>
    <row r="266" spans="1:47" ht="12.75">
      <c r="A266" s="34"/>
      <c r="B266" s="41" t="s">
        <v>323</v>
      </c>
      <c r="C266" s="235" t="s">
        <v>620</v>
      </c>
      <c r="D266" s="236"/>
      <c r="E266" s="236"/>
      <c r="F266" s="236"/>
      <c r="G266" s="47" t="s">
        <v>73</v>
      </c>
      <c r="H266" s="47" t="s">
        <v>73</v>
      </c>
      <c r="I266" s="47" t="s">
        <v>73</v>
      </c>
      <c r="J266" s="70">
        <f>SUM(J267:J267)</f>
        <v>0</v>
      </c>
      <c r="K266" s="70">
        <f>SUM(K267:K267)</f>
        <v>0</v>
      </c>
      <c r="L266" s="70">
        <f>SUM(L267:L267)</f>
        <v>0</v>
      </c>
      <c r="M266" s="60"/>
      <c r="N266" s="18"/>
      <c r="AI266" s="63"/>
      <c r="AS266" s="70">
        <f>SUM(AJ267:AJ267)</f>
        <v>0</v>
      </c>
      <c r="AT266" s="70">
        <f>SUM(AK267:AK267)</f>
        <v>0</v>
      </c>
      <c r="AU266" s="70">
        <f>SUM(AL267:AL267)</f>
        <v>0</v>
      </c>
    </row>
    <row r="267" spans="1:64" ht="12.75">
      <c r="A267" s="82" t="s">
        <v>171</v>
      </c>
      <c r="B267" s="82" t="s">
        <v>324</v>
      </c>
      <c r="C267" s="229" t="s">
        <v>621</v>
      </c>
      <c r="D267" s="230"/>
      <c r="E267" s="230"/>
      <c r="F267" s="231"/>
      <c r="G267" s="82" t="s">
        <v>714</v>
      </c>
      <c r="H267" s="88">
        <v>105.12</v>
      </c>
      <c r="I267" s="88">
        <v>0</v>
      </c>
      <c r="J267" s="88">
        <f>H267*AO267</f>
        <v>0</v>
      </c>
      <c r="K267" s="88">
        <f>H267*AP267</f>
        <v>0</v>
      </c>
      <c r="L267" s="88">
        <f>H267*I267</f>
        <v>0</v>
      </c>
      <c r="M267" s="78" t="s">
        <v>732</v>
      </c>
      <c r="N267" s="72"/>
      <c r="Z267" s="64">
        <f>IF(AQ267="5",BJ267,0)</f>
        <v>0</v>
      </c>
      <c r="AB267" s="64">
        <f>IF(AQ267="1",BH267,0)</f>
        <v>0</v>
      </c>
      <c r="AC267" s="64">
        <f>IF(AQ267="1",BI267,0)</f>
        <v>0</v>
      </c>
      <c r="AD267" s="64">
        <f>IF(AQ267="7",BH267,0)</f>
        <v>0</v>
      </c>
      <c r="AE267" s="64">
        <f>IF(AQ267="7",BI267,0)</f>
        <v>0</v>
      </c>
      <c r="AF267" s="64">
        <f>IF(AQ267="2",BH267,0)</f>
        <v>0</v>
      </c>
      <c r="AG267" s="64">
        <f>IF(AQ267="2",BI267,0)</f>
        <v>0</v>
      </c>
      <c r="AH267" s="64">
        <f>IF(AQ267="0",BJ267,0)</f>
        <v>0</v>
      </c>
      <c r="AI267" s="63"/>
      <c r="AJ267" s="49">
        <f>IF(AN267=0,L267,0)</f>
        <v>0</v>
      </c>
      <c r="AK267" s="49">
        <f>IF(AN267=15,L267,0)</f>
        <v>0</v>
      </c>
      <c r="AL267" s="49">
        <f>IF(AN267=21,L267,0)</f>
        <v>0</v>
      </c>
      <c r="AN267" s="64">
        <v>15</v>
      </c>
      <c r="AO267" s="64">
        <f>I267*0.00926754008449587</f>
        <v>0</v>
      </c>
      <c r="AP267" s="64">
        <f>I267*(1-0.00926754008449587)</f>
        <v>0</v>
      </c>
      <c r="AQ267" s="65" t="s">
        <v>80</v>
      </c>
      <c r="AV267" s="64">
        <f>AW267+AX267</f>
        <v>0</v>
      </c>
      <c r="AW267" s="64">
        <f>H267*AO267</f>
        <v>0</v>
      </c>
      <c r="AX267" s="64">
        <f>H267*AP267</f>
        <v>0</v>
      </c>
      <c r="AY267" s="67" t="s">
        <v>758</v>
      </c>
      <c r="AZ267" s="67" t="s">
        <v>773</v>
      </c>
      <c r="BA267" s="63" t="s">
        <v>775</v>
      </c>
      <c r="BC267" s="64">
        <f>AW267+AX267</f>
        <v>0</v>
      </c>
      <c r="BD267" s="64">
        <f>I267/(100-BE267)*100</f>
        <v>0</v>
      </c>
      <c r="BE267" s="64">
        <v>0</v>
      </c>
      <c r="BF267" s="64">
        <f>267</f>
        <v>267</v>
      </c>
      <c r="BH267" s="49">
        <f>H267*AO267</f>
        <v>0</v>
      </c>
      <c r="BI267" s="49">
        <f>H267*AP267</f>
        <v>0</v>
      </c>
      <c r="BJ267" s="49">
        <f>H267*I267</f>
        <v>0</v>
      </c>
      <c r="BK267" s="49" t="s">
        <v>780</v>
      </c>
      <c r="BL267" s="64">
        <v>763</v>
      </c>
    </row>
    <row r="268" spans="1:14" ht="12.75">
      <c r="A268" s="90"/>
      <c r="B268" s="91"/>
      <c r="C268" s="84" t="s">
        <v>622</v>
      </c>
      <c r="F268" s="92"/>
      <c r="G268" s="91"/>
      <c r="H268" s="93">
        <v>0</v>
      </c>
      <c r="I268" s="91"/>
      <c r="J268" s="91"/>
      <c r="K268" s="91"/>
      <c r="L268" s="91"/>
      <c r="M268" s="80"/>
      <c r="N268" s="72"/>
    </row>
    <row r="269" spans="1:14" ht="12.75">
      <c r="A269" s="83"/>
      <c r="B269" s="86"/>
      <c r="C269" s="85" t="s">
        <v>623</v>
      </c>
      <c r="F269" s="87"/>
      <c r="G269" s="86"/>
      <c r="H269" s="89">
        <v>105.12</v>
      </c>
      <c r="I269" s="86"/>
      <c r="J269" s="86"/>
      <c r="K269" s="86"/>
      <c r="L269" s="86"/>
      <c r="M269" s="81"/>
      <c r="N269" s="72"/>
    </row>
    <row r="270" spans="1:47" ht="12.75">
      <c r="A270" s="34"/>
      <c r="B270" s="41" t="s">
        <v>325</v>
      </c>
      <c r="C270" s="235" t="s">
        <v>624</v>
      </c>
      <c r="D270" s="236"/>
      <c r="E270" s="236"/>
      <c r="F270" s="236"/>
      <c r="G270" s="47" t="s">
        <v>73</v>
      </c>
      <c r="H270" s="47" t="s">
        <v>73</v>
      </c>
      <c r="I270" s="47" t="s">
        <v>73</v>
      </c>
      <c r="J270" s="70">
        <f>SUM(J271:J288)</f>
        <v>0</v>
      </c>
      <c r="K270" s="70">
        <f>SUM(K271:K288)</f>
        <v>0</v>
      </c>
      <c r="L270" s="70">
        <f>SUM(L271:L288)</f>
        <v>0</v>
      </c>
      <c r="M270" s="60"/>
      <c r="N270" s="18"/>
      <c r="AI270" s="63"/>
      <c r="AS270" s="70">
        <f>SUM(AJ271:AJ288)</f>
        <v>0</v>
      </c>
      <c r="AT270" s="70">
        <f>SUM(AK271:AK288)</f>
        <v>0</v>
      </c>
      <c r="AU270" s="70">
        <f>SUM(AL271:AL288)</f>
        <v>0</v>
      </c>
    </row>
    <row r="271" spans="1:64" ht="12.75">
      <c r="A271" s="82" t="s">
        <v>172</v>
      </c>
      <c r="B271" s="82" t="s">
        <v>326</v>
      </c>
      <c r="C271" s="229" t="s">
        <v>625</v>
      </c>
      <c r="D271" s="230"/>
      <c r="E271" s="230"/>
      <c r="F271" s="231"/>
      <c r="G271" s="82" t="s">
        <v>716</v>
      </c>
      <c r="H271" s="88">
        <v>131.7</v>
      </c>
      <c r="I271" s="88">
        <v>0</v>
      </c>
      <c r="J271" s="88">
        <f>H271*AO271</f>
        <v>0</v>
      </c>
      <c r="K271" s="88">
        <f>H271*AP271</f>
        <v>0</v>
      </c>
      <c r="L271" s="88">
        <f>H271*I271</f>
        <v>0</v>
      </c>
      <c r="M271" s="78" t="s">
        <v>732</v>
      </c>
      <c r="N271" s="72"/>
      <c r="Z271" s="64">
        <f>IF(AQ271="5",BJ271,0)</f>
        <v>0</v>
      </c>
      <c r="AB271" s="64">
        <f>IF(AQ271="1",BH271,0)</f>
        <v>0</v>
      </c>
      <c r="AC271" s="64">
        <f>IF(AQ271="1",BI271,0)</f>
        <v>0</v>
      </c>
      <c r="AD271" s="64">
        <f>IF(AQ271="7",BH271,0)</f>
        <v>0</v>
      </c>
      <c r="AE271" s="64">
        <f>IF(AQ271="7",BI271,0)</f>
        <v>0</v>
      </c>
      <c r="AF271" s="64">
        <f>IF(AQ271="2",BH271,0)</f>
        <v>0</v>
      </c>
      <c r="AG271" s="64">
        <f>IF(AQ271="2",BI271,0)</f>
        <v>0</v>
      </c>
      <c r="AH271" s="64">
        <f>IF(AQ271="0",BJ271,0)</f>
        <v>0</v>
      </c>
      <c r="AI271" s="63"/>
      <c r="AJ271" s="49">
        <f>IF(AN271=0,L271,0)</f>
        <v>0</v>
      </c>
      <c r="AK271" s="49">
        <f>IF(AN271=15,L271,0)</f>
        <v>0</v>
      </c>
      <c r="AL271" s="49">
        <f>IF(AN271=21,L271,0)</f>
        <v>0</v>
      </c>
      <c r="AN271" s="64">
        <v>15</v>
      </c>
      <c r="AO271" s="64">
        <f>I271*0</f>
        <v>0</v>
      </c>
      <c r="AP271" s="64">
        <f>I271*(1-0)</f>
        <v>0</v>
      </c>
      <c r="AQ271" s="65" t="s">
        <v>80</v>
      </c>
      <c r="AV271" s="64">
        <f>AW271+AX271</f>
        <v>0</v>
      </c>
      <c r="AW271" s="64">
        <f>H271*AO271</f>
        <v>0</v>
      </c>
      <c r="AX271" s="64">
        <f>H271*AP271</f>
        <v>0</v>
      </c>
      <c r="AY271" s="67" t="s">
        <v>759</v>
      </c>
      <c r="AZ271" s="67" t="s">
        <v>773</v>
      </c>
      <c r="BA271" s="63" t="s">
        <v>775</v>
      </c>
      <c r="BC271" s="64">
        <f>AW271+AX271</f>
        <v>0</v>
      </c>
      <c r="BD271" s="64">
        <f>I271/(100-BE271)*100</f>
        <v>0</v>
      </c>
      <c r="BE271" s="64">
        <v>0</v>
      </c>
      <c r="BF271" s="64">
        <f>271</f>
        <v>271</v>
      </c>
      <c r="BH271" s="49">
        <f>H271*AO271</f>
        <v>0</v>
      </c>
      <c r="BI271" s="49">
        <f>H271*AP271</f>
        <v>0</v>
      </c>
      <c r="BJ271" s="49">
        <f>H271*I271</f>
        <v>0</v>
      </c>
      <c r="BK271" s="49" t="s">
        <v>780</v>
      </c>
      <c r="BL271" s="64">
        <v>764</v>
      </c>
    </row>
    <row r="272" spans="1:14" ht="12.75">
      <c r="A272" s="90"/>
      <c r="B272" s="91"/>
      <c r="C272" s="84" t="s">
        <v>626</v>
      </c>
      <c r="F272" s="92"/>
      <c r="G272" s="91"/>
      <c r="H272" s="93">
        <v>131.7</v>
      </c>
      <c r="I272" s="91"/>
      <c r="J272" s="91"/>
      <c r="K272" s="91"/>
      <c r="L272" s="91"/>
      <c r="M272" s="80"/>
      <c r="N272" s="72"/>
    </row>
    <row r="273" spans="1:64" ht="12.75">
      <c r="A273" s="82" t="s">
        <v>173</v>
      </c>
      <c r="B273" s="82" t="s">
        <v>327</v>
      </c>
      <c r="C273" s="229" t="s">
        <v>627</v>
      </c>
      <c r="D273" s="230"/>
      <c r="E273" s="230"/>
      <c r="F273" s="231"/>
      <c r="G273" s="82" t="s">
        <v>716</v>
      </c>
      <c r="H273" s="88">
        <v>89.4</v>
      </c>
      <c r="I273" s="88">
        <v>0</v>
      </c>
      <c r="J273" s="88">
        <f>H273*AO273</f>
        <v>0</v>
      </c>
      <c r="K273" s="88">
        <f>H273*AP273</f>
        <v>0</v>
      </c>
      <c r="L273" s="88">
        <f>H273*I273</f>
        <v>0</v>
      </c>
      <c r="M273" s="78" t="s">
        <v>732</v>
      </c>
      <c r="N273" s="72"/>
      <c r="Z273" s="64">
        <f>IF(AQ273="5",BJ273,0)</f>
        <v>0</v>
      </c>
      <c r="AB273" s="64">
        <f>IF(AQ273="1",BH273,0)</f>
        <v>0</v>
      </c>
      <c r="AC273" s="64">
        <f>IF(AQ273="1",BI273,0)</f>
        <v>0</v>
      </c>
      <c r="AD273" s="64">
        <f>IF(AQ273="7",BH273,0)</f>
        <v>0</v>
      </c>
      <c r="AE273" s="64">
        <f>IF(AQ273="7",BI273,0)</f>
        <v>0</v>
      </c>
      <c r="AF273" s="64">
        <f>IF(AQ273="2",BH273,0)</f>
        <v>0</v>
      </c>
      <c r="AG273" s="64">
        <f>IF(AQ273="2",BI273,0)</f>
        <v>0</v>
      </c>
      <c r="AH273" s="64">
        <f>IF(AQ273="0",BJ273,0)</f>
        <v>0</v>
      </c>
      <c r="AI273" s="63"/>
      <c r="AJ273" s="49">
        <f>IF(AN273=0,L273,0)</f>
        <v>0</v>
      </c>
      <c r="AK273" s="49">
        <f>IF(AN273=15,L273,0)</f>
        <v>0</v>
      </c>
      <c r="AL273" s="49">
        <f>IF(AN273=21,L273,0)</f>
        <v>0</v>
      </c>
      <c r="AN273" s="64">
        <v>15</v>
      </c>
      <c r="AO273" s="64">
        <f>I273*0</f>
        <v>0</v>
      </c>
      <c r="AP273" s="64">
        <f>I273*(1-0)</f>
        <v>0</v>
      </c>
      <c r="AQ273" s="65" t="s">
        <v>80</v>
      </c>
      <c r="AV273" s="64">
        <f>AW273+AX273</f>
        <v>0</v>
      </c>
      <c r="AW273" s="64">
        <f>H273*AO273</f>
        <v>0</v>
      </c>
      <c r="AX273" s="64">
        <f>H273*AP273</f>
        <v>0</v>
      </c>
      <c r="AY273" s="67" t="s">
        <v>759</v>
      </c>
      <c r="AZ273" s="67" t="s">
        <v>773</v>
      </c>
      <c r="BA273" s="63" t="s">
        <v>775</v>
      </c>
      <c r="BC273" s="64">
        <f>AW273+AX273</f>
        <v>0</v>
      </c>
      <c r="BD273" s="64">
        <f>I273/(100-BE273)*100</f>
        <v>0</v>
      </c>
      <c r="BE273" s="64">
        <v>0</v>
      </c>
      <c r="BF273" s="64">
        <f>273</f>
        <v>273</v>
      </c>
      <c r="BH273" s="49">
        <f>H273*AO273</f>
        <v>0</v>
      </c>
      <c r="BI273" s="49">
        <f>H273*AP273</f>
        <v>0</v>
      </c>
      <c r="BJ273" s="49">
        <f>H273*I273</f>
        <v>0</v>
      </c>
      <c r="BK273" s="49" t="s">
        <v>780</v>
      </c>
      <c r="BL273" s="64">
        <v>764</v>
      </c>
    </row>
    <row r="274" spans="1:64" ht="12.75">
      <c r="A274" s="75" t="s">
        <v>174</v>
      </c>
      <c r="B274" s="75" t="s">
        <v>328</v>
      </c>
      <c r="C274" s="240" t="s">
        <v>628</v>
      </c>
      <c r="D274" s="230"/>
      <c r="E274" s="230"/>
      <c r="F274" s="234"/>
      <c r="G274" s="75" t="s">
        <v>716</v>
      </c>
      <c r="H274" s="76">
        <v>35.6</v>
      </c>
      <c r="I274" s="76">
        <v>0</v>
      </c>
      <c r="J274" s="76">
        <f>H274*AO274</f>
        <v>0</v>
      </c>
      <c r="K274" s="76">
        <f>H274*AP274</f>
        <v>0</v>
      </c>
      <c r="L274" s="76">
        <f>H274*I274</f>
        <v>0</v>
      </c>
      <c r="M274" s="79" t="s">
        <v>732</v>
      </c>
      <c r="N274" s="72"/>
      <c r="Z274" s="64">
        <f>IF(AQ274="5",BJ274,0)</f>
        <v>0</v>
      </c>
      <c r="AB274" s="64">
        <f>IF(AQ274="1",BH274,0)</f>
        <v>0</v>
      </c>
      <c r="AC274" s="64">
        <f>IF(AQ274="1",BI274,0)</f>
        <v>0</v>
      </c>
      <c r="AD274" s="64">
        <f>IF(AQ274="7",BH274,0)</f>
        <v>0</v>
      </c>
      <c r="AE274" s="64">
        <f>IF(AQ274="7",BI274,0)</f>
        <v>0</v>
      </c>
      <c r="AF274" s="64">
        <f>IF(AQ274="2",BH274,0)</f>
        <v>0</v>
      </c>
      <c r="AG274" s="64">
        <f>IF(AQ274="2",BI274,0)</f>
        <v>0</v>
      </c>
      <c r="AH274" s="64">
        <f>IF(AQ274="0",BJ274,0)</f>
        <v>0</v>
      </c>
      <c r="AI274" s="63"/>
      <c r="AJ274" s="49">
        <f>IF(AN274=0,L274,0)</f>
        <v>0</v>
      </c>
      <c r="AK274" s="49">
        <f>IF(AN274=15,L274,0)</f>
        <v>0</v>
      </c>
      <c r="AL274" s="49">
        <f>IF(AN274=21,L274,0)</f>
        <v>0</v>
      </c>
      <c r="AN274" s="64">
        <v>15</v>
      </c>
      <c r="AO274" s="64">
        <f>I274*0</f>
        <v>0</v>
      </c>
      <c r="AP274" s="64">
        <f>I274*(1-0)</f>
        <v>0</v>
      </c>
      <c r="AQ274" s="65" t="s">
        <v>80</v>
      </c>
      <c r="AV274" s="64">
        <f>AW274+AX274</f>
        <v>0</v>
      </c>
      <c r="AW274" s="64">
        <f>H274*AO274</f>
        <v>0</v>
      </c>
      <c r="AX274" s="64">
        <f>H274*AP274</f>
        <v>0</v>
      </c>
      <c r="AY274" s="67" t="s">
        <v>759</v>
      </c>
      <c r="AZ274" s="67" t="s">
        <v>773</v>
      </c>
      <c r="BA274" s="63" t="s">
        <v>775</v>
      </c>
      <c r="BC274" s="64">
        <f>AW274+AX274</f>
        <v>0</v>
      </c>
      <c r="BD274" s="64">
        <f>I274/(100-BE274)*100</f>
        <v>0</v>
      </c>
      <c r="BE274" s="64">
        <v>0</v>
      </c>
      <c r="BF274" s="64">
        <f>274</f>
        <v>274</v>
      </c>
      <c r="BH274" s="49">
        <f>H274*AO274</f>
        <v>0</v>
      </c>
      <c r="BI274" s="49">
        <f>H274*AP274</f>
        <v>0</v>
      </c>
      <c r="BJ274" s="49">
        <f>H274*I274</f>
        <v>0</v>
      </c>
      <c r="BK274" s="49" t="s">
        <v>780</v>
      </c>
      <c r="BL274" s="64">
        <v>764</v>
      </c>
    </row>
    <row r="275" spans="1:64" ht="12.75">
      <c r="A275" s="35" t="s">
        <v>175</v>
      </c>
      <c r="B275" s="42" t="s">
        <v>329</v>
      </c>
      <c r="C275" s="239" t="s">
        <v>629</v>
      </c>
      <c r="D275" s="230"/>
      <c r="E275" s="230"/>
      <c r="F275" s="230"/>
      <c r="G275" s="42" t="s">
        <v>715</v>
      </c>
      <c r="H275" s="49">
        <v>90</v>
      </c>
      <c r="I275" s="49">
        <v>0</v>
      </c>
      <c r="J275" s="49">
        <f>H275*AO275</f>
        <v>0</v>
      </c>
      <c r="K275" s="49">
        <f>H275*AP275</f>
        <v>0</v>
      </c>
      <c r="L275" s="49">
        <f>H275*I275</f>
        <v>0</v>
      </c>
      <c r="M275" s="61" t="s">
        <v>732</v>
      </c>
      <c r="N275" s="18"/>
      <c r="Z275" s="64">
        <f>IF(AQ275="5",BJ275,0)</f>
        <v>0</v>
      </c>
      <c r="AB275" s="64">
        <f>IF(AQ275="1",BH275,0)</f>
        <v>0</v>
      </c>
      <c r="AC275" s="64">
        <f>IF(AQ275="1",BI275,0)</f>
        <v>0</v>
      </c>
      <c r="AD275" s="64">
        <f>IF(AQ275="7",BH275,0)</f>
        <v>0</v>
      </c>
      <c r="AE275" s="64">
        <f>IF(AQ275="7",BI275,0)</f>
        <v>0</v>
      </c>
      <c r="AF275" s="64">
        <f>IF(AQ275="2",BH275,0)</f>
        <v>0</v>
      </c>
      <c r="AG275" s="64">
        <f>IF(AQ275="2",BI275,0)</f>
        <v>0</v>
      </c>
      <c r="AH275" s="64">
        <f>IF(AQ275="0",BJ275,0)</f>
        <v>0</v>
      </c>
      <c r="AI275" s="63"/>
      <c r="AJ275" s="49">
        <f>IF(AN275=0,L275,0)</f>
        <v>0</v>
      </c>
      <c r="AK275" s="49">
        <f>IF(AN275=15,L275,0)</f>
        <v>0</v>
      </c>
      <c r="AL275" s="49">
        <f>IF(AN275=21,L275,0)</f>
        <v>0</v>
      </c>
      <c r="AN275" s="64">
        <v>15</v>
      </c>
      <c r="AO275" s="64">
        <f>I275*0</f>
        <v>0</v>
      </c>
      <c r="AP275" s="64">
        <f>I275*(1-0)</f>
        <v>0</v>
      </c>
      <c r="AQ275" s="65" t="s">
        <v>80</v>
      </c>
      <c r="AV275" s="64">
        <f>AW275+AX275</f>
        <v>0</v>
      </c>
      <c r="AW275" s="64">
        <f>H275*AO275</f>
        <v>0</v>
      </c>
      <c r="AX275" s="64">
        <f>H275*AP275</f>
        <v>0</v>
      </c>
      <c r="AY275" s="67" t="s">
        <v>759</v>
      </c>
      <c r="AZ275" s="67" t="s">
        <v>773</v>
      </c>
      <c r="BA275" s="63" t="s">
        <v>775</v>
      </c>
      <c r="BC275" s="64">
        <f>AW275+AX275</f>
        <v>0</v>
      </c>
      <c r="BD275" s="64">
        <f>I275/(100-BE275)*100</f>
        <v>0</v>
      </c>
      <c r="BE275" s="64">
        <v>0</v>
      </c>
      <c r="BF275" s="64">
        <f>275</f>
        <v>275</v>
      </c>
      <c r="BH275" s="49">
        <f>H275*AO275</f>
        <v>0</v>
      </c>
      <c r="BI275" s="49">
        <f>H275*AP275</f>
        <v>0</v>
      </c>
      <c r="BJ275" s="49">
        <f>H275*I275</f>
        <v>0</v>
      </c>
      <c r="BK275" s="49" t="s">
        <v>780</v>
      </c>
      <c r="BL275" s="64">
        <v>764</v>
      </c>
    </row>
    <row r="276" spans="1:64" ht="12.75">
      <c r="A276" s="35" t="s">
        <v>176</v>
      </c>
      <c r="B276" s="42" t="s">
        <v>330</v>
      </c>
      <c r="C276" s="239" t="s">
        <v>630</v>
      </c>
      <c r="D276" s="230"/>
      <c r="E276" s="230"/>
      <c r="F276" s="230"/>
      <c r="G276" s="42" t="s">
        <v>715</v>
      </c>
      <c r="H276" s="49">
        <v>4</v>
      </c>
      <c r="I276" s="49">
        <v>0</v>
      </c>
      <c r="J276" s="49">
        <f>H276*AO276</f>
        <v>0</v>
      </c>
      <c r="K276" s="49">
        <f>H276*AP276</f>
        <v>0</v>
      </c>
      <c r="L276" s="49">
        <f>H276*I276</f>
        <v>0</v>
      </c>
      <c r="M276" s="61" t="s">
        <v>732</v>
      </c>
      <c r="N276" s="18"/>
      <c r="Z276" s="64">
        <f>IF(AQ276="5",BJ276,0)</f>
        <v>0</v>
      </c>
      <c r="AB276" s="64">
        <f>IF(AQ276="1",BH276,0)</f>
        <v>0</v>
      </c>
      <c r="AC276" s="64">
        <f>IF(AQ276="1",BI276,0)</f>
        <v>0</v>
      </c>
      <c r="AD276" s="64">
        <f>IF(AQ276="7",BH276,0)</f>
        <v>0</v>
      </c>
      <c r="AE276" s="64">
        <f>IF(AQ276="7",BI276,0)</f>
        <v>0</v>
      </c>
      <c r="AF276" s="64">
        <f>IF(AQ276="2",BH276,0)</f>
        <v>0</v>
      </c>
      <c r="AG276" s="64">
        <f>IF(AQ276="2",BI276,0)</f>
        <v>0</v>
      </c>
      <c r="AH276" s="64">
        <f>IF(AQ276="0",BJ276,0)</f>
        <v>0</v>
      </c>
      <c r="AI276" s="63"/>
      <c r="AJ276" s="49">
        <f>IF(AN276=0,L276,0)</f>
        <v>0</v>
      </c>
      <c r="AK276" s="49">
        <f>IF(AN276=15,L276,0)</f>
        <v>0</v>
      </c>
      <c r="AL276" s="49">
        <f>IF(AN276=21,L276,0)</f>
        <v>0</v>
      </c>
      <c r="AN276" s="64">
        <v>15</v>
      </c>
      <c r="AO276" s="64">
        <f>I276*0</f>
        <v>0</v>
      </c>
      <c r="AP276" s="64">
        <f>I276*(1-0)</f>
        <v>0</v>
      </c>
      <c r="AQ276" s="65" t="s">
        <v>80</v>
      </c>
      <c r="AV276" s="64">
        <f>AW276+AX276</f>
        <v>0</v>
      </c>
      <c r="AW276" s="64">
        <f>H276*AO276</f>
        <v>0</v>
      </c>
      <c r="AX276" s="64">
        <f>H276*AP276</f>
        <v>0</v>
      </c>
      <c r="AY276" s="67" t="s">
        <v>759</v>
      </c>
      <c r="AZ276" s="67" t="s">
        <v>773</v>
      </c>
      <c r="BA276" s="63" t="s">
        <v>775</v>
      </c>
      <c r="BC276" s="64">
        <f>AW276+AX276</f>
        <v>0</v>
      </c>
      <c r="BD276" s="64">
        <f>I276/(100-BE276)*100</f>
        <v>0</v>
      </c>
      <c r="BE276" s="64">
        <v>0</v>
      </c>
      <c r="BF276" s="64">
        <f>276</f>
        <v>276</v>
      </c>
      <c r="BH276" s="49">
        <f>H276*AO276</f>
        <v>0</v>
      </c>
      <c r="BI276" s="49">
        <f>H276*AP276</f>
        <v>0</v>
      </c>
      <c r="BJ276" s="49">
        <f>H276*I276</f>
        <v>0</v>
      </c>
      <c r="BK276" s="49" t="s">
        <v>780</v>
      </c>
      <c r="BL276" s="64">
        <v>764</v>
      </c>
    </row>
    <row r="277" spans="1:64" ht="12.75">
      <c r="A277" s="82" t="s">
        <v>177</v>
      </c>
      <c r="B277" s="82" t="s">
        <v>331</v>
      </c>
      <c r="C277" s="229" t="s">
        <v>631</v>
      </c>
      <c r="D277" s="230"/>
      <c r="E277" s="230"/>
      <c r="F277" s="231"/>
      <c r="G277" s="82" t="s">
        <v>716</v>
      </c>
      <c r="H277" s="88">
        <v>23.7</v>
      </c>
      <c r="I277" s="88">
        <v>0</v>
      </c>
      <c r="J277" s="88">
        <f>H277*AO277</f>
        <v>0</v>
      </c>
      <c r="K277" s="88">
        <f>H277*AP277</f>
        <v>0</v>
      </c>
      <c r="L277" s="88">
        <f>H277*I277</f>
        <v>0</v>
      </c>
      <c r="M277" s="78" t="s">
        <v>732</v>
      </c>
      <c r="N277" s="72"/>
      <c r="Z277" s="64">
        <f>IF(AQ277="5",BJ277,0)</f>
        <v>0</v>
      </c>
      <c r="AB277" s="64">
        <f>IF(AQ277="1",BH277,0)</f>
        <v>0</v>
      </c>
      <c r="AC277" s="64">
        <f>IF(AQ277="1",BI277,0)</f>
        <v>0</v>
      </c>
      <c r="AD277" s="64">
        <f>IF(AQ277="7",BH277,0)</f>
        <v>0</v>
      </c>
      <c r="AE277" s="64">
        <f>IF(AQ277="7",BI277,0)</f>
        <v>0</v>
      </c>
      <c r="AF277" s="64">
        <f>IF(AQ277="2",BH277,0)</f>
        <v>0</v>
      </c>
      <c r="AG277" s="64">
        <f>IF(AQ277="2",BI277,0)</f>
        <v>0</v>
      </c>
      <c r="AH277" s="64">
        <f>IF(AQ277="0",BJ277,0)</f>
        <v>0</v>
      </c>
      <c r="AI277" s="63"/>
      <c r="AJ277" s="49">
        <f>IF(AN277=0,L277,0)</f>
        <v>0</v>
      </c>
      <c r="AK277" s="49">
        <f>IF(AN277=15,L277,0)</f>
        <v>0</v>
      </c>
      <c r="AL277" s="49">
        <f>IF(AN277=21,L277,0)</f>
        <v>0</v>
      </c>
      <c r="AN277" s="64">
        <v>15</v>
      </c>
      <c r="AO277" s="64">
        <f>I277*0.0275368421052632</f>
        <v>0</v>
      </c>
      <c r="AP277" s="64">
        <f>I277*(1-0.0275368421052632)</f>
        <v>0</v>
      </c>
      <c r="AQ277" s="65" t="s">
        <v>80</v>
      </c>
      <c r="AV277" s="64">
        <f>AW277+AX277</f>
        <v>0</v>
      </c>
      <c r="AW277" s="64">
        <f>H277*AO277</f>
        <v>0</v>
      </c>
      <c r="AX277" s="64">
        <f>H277*AP277</f>
        <v>0</v>
      </c>
      <c r="AY277" s="67" t="s">
        <v>759</v>
      </c>
      <c r="AZ277" s="67" t="s">
        <v>773</v>
      </c>
      <c r="BA277" s="63" t="s">
        <v>775</v>
      </c>
      <c r="BC277" s="64">
        <f>AW277+AX277</f>
        <v>0</v>
      </c>
      <c r="BD277" s="64">
        <f>I277/(100-BE277)*100</f>
        <v>0</v>
      </c>
      <c r="BE277" s="64">
        <v>0</v>
      </c>
      <c r="BF277" s="64">
        <f>277</f>
        <v>277</v>
      </c>
      <c r="BH277" s="49">
        <f>H277*AO277</f>
        <v>0</v>
      </c>
      <c r="BI277" s="49">
        <f>H277*AP277</f>
        <v>0</v>
      </c>
      <c r="BJ277" s="49">
        <f>H277*I277</f>
        <v>0</v>
      </c>
      <c r="BK277" s="49" t="s">
        <v>780</v>
      </c>
      <c r="BL277" s="64">
        <v>764</v>
      </c>
    </row>
    <row r="278" spans="1:14" ht="12.75">
      <c r="A278" s="90"/>
      <c r="B278" s="91"/>
      <c r="C278" s="84" t="s">
        <v>632</v>
      </c>
      <c r="F278" s="92"/>
      <c r="G278" s="91"/>
      <c r="H278" s="93">
        <v>23.7</v>
      </c>
      <c r="I278" s="91"/>
      <c r="J278" s="91"/>
      <c r="K278" s="91"/>
      <c r="L278" s="91"/>
      <c r="M278" s="80"/>
      <c r="N278" s="72"/>
    </row>
    <row r="279" spans="1:64" ht="12.75">
      <c r="A279" s="82" t="s">
        <v>178</v>
      </c>
      <c r="B279" s="82" t="s">
        <v>332</v>
      </c>
      <c r="C279" s="229" t="s">
        <v>633</v>
      </c>
      <c r="D279" s="230"/>
      <c r="E279" s="230"/>
      <c r="F279" s="231"/>
      <c r="G279" s="82" t="s">
        <v>716</v>
      </c>
      <c r="H279" s="88">
        <v>108</v>
      </c>
      <c r="I279" s="88">
        <v>0</v>
      </c>
      <c r="J279" s="88">
        <f>H279*AO279</f>
        <v>0</v>
      </c>
      <c r="K279" s="88">
        <f>H279*AP279</f>
        <v>0</v>
      </c>
      <c r="L279" s="88">
        <f>H279*I279</f>
        <v>0</v>
      </c>
      <c r="M279" s="78" t="s">
        <v>732</v>
      </c>
      <c r="N279" s="72"/>
      <c r="Z279" s="64">
        <f>IF(AQ279="5",BJ279,0)</f>
        <v>0</v>
      </c>
      <c r="AB279" s="64">
        <f>IF(AQ279="1",BH279,0)</f>
        <v>0</v>
      </c>
      <c r="AC279" s="64">
        <f>IF(AQ279="1",BI279,0)</f>
        <v>0</v>
      </c>
      <c r="AD279" s="64">
        <f>IF(AQ279="7",BH279,0)</f>
        <v>0</v>
      </c>
      <c r="AE279" s="64">
        <f>IF(AQ279="7",BI279,0)</f>
        <v>0</v>
      </c>
      <c r="AF279" s="64">
        <f>IF(AQ279="2",BH279,0)</f>
        <v>0</v>
      </c>
      <c r="AG279" s="64">
        <f>IF(AQ279="2",BI279,0)</f>
        <v>0</v>
      </c>
      <c r="AH279" s="64">
        <f>IF(AQ279="0",BJ279,0)</f>
        <v>0</v>
      </c>
      <c r="AI279" s="63"/>
      <c r="AJ279" s="49">
        <f>IF(AN279=0,L279,0)</f>
        <v>0</v>
      </c>
      <c r="AK279" s="49">
        <f>IF(AN279=15,L279,0)</f>
        <v>0</v>
      </c>
      <c r="AL279" s="49">
        <f>IF(AN279=21,L279,0)</f>
        <v>0</v>
      </c>
      <c r="AN279" s="64">
        <v>15</v>
      </c>
      <c r="AO279" s="64">
        <f>I279*0.0302777777777778</f>
        <v>0</v>
      </c>
      <c r="AP279" s="64">
        <f>I279*(1-0.0302777777777778)</f>
        <v>0</v>
      </c>
      <c r="AQ279" s="65" t="s">
        <v>80</v>
      </c>
      <c r="AV279" s="64">
        <f>AW279+AX279</f>
        <v>0</v>
      </c>
      <c r="AW279" s="64">
        <f>H279*AO279</f>
        <v>0</v>
      </c>
      <c r="AX279" s="64">
        <f>H279*AP279</f>
        <v>0</v>
      </c>
      <c r="AY279" s="67" t="s">
        <v>759</v>
      </c>
      <c r="AZ279" s="67" t="s">
        <v>773</v>
      </c>
      <c r="BA279" s="63" t="s">
        <v>775</v>
      </c>
      <c r="BC279" s="64">
        <f>AW279+AX279</f>
        <v>0</v>
      </c>
      <c r="BD279" s="64">
        <f>I279/(100-BE279)*100</f>
        <v>0</v>
      </c>
      <c r="BE279" s="64">
        <v>0</v>
      </c>
      <c r="BF279" s="64">
        <f>279</f>
        <v>279</v>
      </c>
      <c r="BH279" s="49">
        <f>H279*AO279</f>
        <v>0</v>
      </c>
      <c r="BI279" s="49">
        <f>H279*AP279</f>
        <v>0</v>
      </c>
      <c r="BJ279" s="49">
        <f>H279*I279</f>
        <v>0</v>
      </c>
      <c r="BK279" s="49" t="s">
        <v>780</v>
      </c>
      <c r="BL279" s="64">
        <v>764</v>
      </c>
    </row>
    <row r="280" spans="1:14" ht="12.75">
      <c r="A280" s="90"/>
      <c r="B280" s="91"/>
      <c r="C280" s="84" t="s">
        <v>520</v>
      </c>
      <c r="F280" s="92"/>
      <c r="G280" s="91"/>
      <c r="H280" s="93">
        <v>108</v>
      </c>
      <c r="I280" s="91"/>
      <c r="J280" s="91"/>
      <c r="K280" s="91"/>
      <c r="L280" s="91"/>
      <c r="M280" s="80"/>
      <c r="N280" s="72"/>
    </row>
    <row r="281" spans="1:64" ht="12.75">
      <c r="A281" s="82" t="s">
        <v>179</v>
      </c>
      <c r="B281" s="82" t="s">
        <v>333</v>
      </c>
      <c r="C281" s="229" t="s">
        <v>634</v>
      </c>
      <c r="D281" s="230"/>
      <c r="E281" s="230"/>
      <c r="F281" s="231"/>
      <c r="G281" s="82" t="s">
        <v>716</v>
      </c>
      <c r="H281" s="88">
        <v>89.4</v>
      </c>
      <c r="I281" s="88">
        <v>0</v>
      </c>
      <c r="J281" s="88">
        <f aca="true" t="shared" si="22" ref="J281:J288">H281*AO281</f>
        <v>0</v>
      </c>
      <c r="K281" s="88">
        <f aca="true" t="shared" si="23" ref="K281:K288">H281*AP281</f>
        <v>0</v>
      </c>
      <c r="L281" s="88">
        <f aca="true" t="shared" si="24" ref="L281:L288">H281*I281</f>
        <v>0</v>
      </c>
      <c r="M281" s="78" t="s">
        <v>732</v>
      </c>
      <c r="N281" s="72"/>
      <c r="Z281" s="64">
        <f aca="true" t="shared" si="25" ref="Z281:Z288">IF(AQ281="5",BJ281,0)</f>
        <v>0</v>
      </c>
      <c r="AB281" s="64">
        <f aca="true" t="shared" si="26" ref="AB281:AB288">IF(AQ281="1",BH281,0)</f>
        <v>0</v>
      </c>
      <c r="AC281" s="64">
        <f aca="true" t="shared" si="27" ref="AC281:AC288">IF(AQ281="1",BI281,0)</f>
        <v>0</v>
      </c>
      <c r="AD281" s="64">
        <f aca="true" t="shared" si="28" ref="AD281:AD288">IF(AQ281="7",BH281,0)</f>
        <v>0</v>
      </c>
      <c r="AE281" s="64">
        <f aca="true" t="shared" si="29" ref="AE281:AE288">IF(AQ281="7",BI281,0)</f>
        <v>0</v>
      </c>
      <c r="AF281" s="64">
        <f aca="true" t="shared" si="30" ref="AF281:AF288">IF(AQ281="2",BH281,0)</f>
        <v>0</v>
      </c>
      <c r="AG281" s="64">
        <f aca="true" t="shared" si="31" ref="AG281:AG288">IF(AQ281="2",BI281,0)</f>
        <v>0</v>
      </c>
      <c r="AH281" s="64">
        <f aca="true" t="shared" si="32" ref="AH281:AH288">IF(AQ281="0",BJ281,0)</f>
        <v>0</v>
      </c>
      <c r="AI281" s="63"/>
      <c r="AJ281" s="49">
        <f aca="true" t="shared" si="33" ref="AJ281:AJ288">IF(AN281=0,L281,0)</f>
        <v>0</v>
      </c>
      <c r="AK281" s="49">
        <f aca="true" t="shared" si="34" ref="AK281:AK288">IF(AN281=15,L281,0)</f>
        <v>0</v>
      </c>
      <c r="AL281" s="49">
        <f aca="true" t="shared" si="35" ref="AL281:AL288">IF(AN281=21,L281,0)</f>
        <v>0</v>
      </c>
      <c r="AN281" s="64">
        <v>15</v>
      </c>
      <c r="AO281" s="64">
        <f>I281*0.655971223021583</f>
        <v>0</v>
      </c>
      <c r="AP281" s="64">
        <f>I281*(1-0.655971223021583)</f>
        <v>0</v>
      </c>
      <c r="AQ281" s="65" t="s">
        <v>80</v>
      </c>
      <c r="AV281" s="64">
        <f aca="true" t="shared" si="36" ref="AV281:AV288">AW281+AX281</f>
        <v>0</v>
      </c>
      <c r="AW281" s="64">
        <f aca="true" t="shared" si="37" ref="AW281:AW288">H281*AO281</f>
        <v>0</v>
      </c>
      <c r="AX281" s="64">
        <f aca="true" t="shared" si="38" ref="AX281:AX288">H281*AP281</f>
        <v>0</v>
      </c>
      <c r="AY281" s="67" t="s">
        <v>759</v>
      </c>
      <c r="AZ281" s="67" t="s">
        <v>773</v>
      </c>
      <c r="BA281" s="63" t="s">
        <v>775</v>
      </c>
      <c r="BC281" s="64">
        <f aca="true" t="shared" si="39" ref="BC281:BC288">AW281+AX281</f>
        <v>0</v>
      </c>
      <c r="BD281" s="64">
        <f aca="true" t="shared" si="40" ref="BD281:BD288">I281/(100-BE281)*100</f>
        <v>0</v>
      </c>
      <c r="BE281" s="64">
        <v>0</v>
      </c>
      <c r="BF281" s="64">
        <f>281</f>
        <v>281</v>
      </c>
      <c r="BH281" s="49">
        <f aca="true" t="shared" si="41" ref="BH281:BH288">H281*AO281</f>
        <v>0</v>
      </c>
      <c r="BI281" s="49">
        <f aca="true" t="shared" si="42" ref="BI281:BI288">H281*AP281</f>
        <v>0</v>
      </c>
      <c r="BJ281" s="49">
        <f aca="true" t="shared" si="43" ref="BJ281:BJ288">H281*I281</f>
        <v>0</v>
      </c>
      <c r="BK281" s="49" t="s">
        <v>780</v>
      </c>
      <c r="BL281" s="64">
        <v>764</v>
      </c>
    </row>
    <row r="282" spans="1:64" ht="12.75">
      <c r="A282" s="82" t="s">
        <v>180</v>
      </c>
      <c r="B282" s="82" t="s">
        <v>334</v>
      </c>
      <c r="C282" s="229" t="s">
        <v>635</v>
      </c>
      <c r="D282" s="230"/>
      <c r="E282" s="230"/>
      <c r="F282" s="231"/>
      <c r="G282" s="82" t="s">
        <v>716</v>
      </c>
      <c r="H282" s="88">
        <v>35.6</v>
      </c>
      <c r="I282" s="88">
        <v>0</v>
      </c>
      <c r="J282" s="88">
        <f t="shared" si="22"/>
        <v>0</v>
      </c>
      <c r="K282" s="88">
        <f t="shared" si="23"/>
        <v>0</v>
      </c>
      <c r="L282" s="88">
        <f t="shared" si="24"/>
        <v>0</v>
      </c>
      <c r="M282" s="78" t="s">
        <v>732</v>
      </c>
      <c r="N282" s="72"/>
      <c r="Z282" s="64">
        <f t="shared" si="25"/>
        <v>0</v>
      </c>
      <c r="AB282" s="64">
        <f t="shared" si="26"/>
        <v>0</v>
      </c>
      <c r="AC282" s="64">
        <f t="shared" si="27"/>
        <v>0</v>
      </c>
      <c r="AD282" s="64">
        <f t="shared" si="28"/>
        <v>0</v>
      </c>
      <c r="AE282" s="64">
        <f t="shared" si="29"/>
        <v>0</v>
      </c>
      <c r="AF282" s="64">
        <f t="shared" si="30"/>
        <v>0</v>
      </c>
      <c r="AG282" s="64">
        <f t="shared" si="31"/>
        <v>0</v>
      </c>
      <c r="AH282" s="64">
        <f t="shared" si="32"/>
        <v>0</v>
      </c>
      <c r="AI282" s="63"/>
      <c r="AJ282" s="49">
        <f t="shared" si="33"/>
        <v>0</v>
      </c>
      <c r="AK282" s="49">
        <f t="shared" si="34"/>
        <v>0</v>
      </c>
      <c r="AL282" s="49">
        <f t="shared" si="35"/>
        <v>0</v>
      </c>
      <c r="AN282" s="64">
        <v>15</v>
      </c>
      <c r="AO282" s="64">
        <f>I282*0.798905241677571</f>
        <v>0</v>
      </c>
      <c r="AP282" s="64">
        <f>I282*(1-0.798905241677571)</f>
        <v>0</v>
      </c>
      <c r="AQ282" s="65" t="s">
        <v>80</v>
      </c>
      <c r="AV282" s="64">
        <f t="shared" si="36"/>
        <v>0</v>
      </c>
      <c r="AW282" s="64">
        <f t="shared" si="37"/>
        <v>0</v>
      </c>
      <c r="AX282" s="64">
        <f t="shared" si="38"/>
        <v>0</v>
      </c>
      <c r="AY282" s="67" t="s">
        <v>759</v>
      </c>
      <c r="AZ282" s="67" t="s">
        <v>773</v>
      </c>
      <c r="BA282" s="63" t="s">
        <v>775</v>
      </c>
      <c r="BC282" s="64">
        <f t="shared" si="39"/>
        <v>0</v>
      </c>
      <c r="BD282" s="64">
        <f t="shared" si="40"/>
        <v>0</v>
      </c>
      <c r="BE282" s="64">
        <v>0</v>
      </c>
      <c r="BF282" s="64">
        <f>282</f>
        <v>282</v>
      </c>
      <c r="BH282" s="49">
        <f t="shared" si="41"/>
        <v>0</v>
      </c>
      <c r="BI282" s="49">
        <f t="shared" si="42"/>
        <v>0</v>
      </c>
      <c r="BJ282" s="49">
        <f t="shared" si="43"/>
        <v>0</v>
      </c>
      <c r="BK282" s="49" t="s">
        <v>780</v>
      </c>
      <c r="BL282" s="64">
        <v>764</v>
      </c>
    </row>
    <row r="283" spans="1:64" ht="12.75">
      <c r="A283" s="75" t="s">
        <v>181</v>
      </c>
      <c r="B283" s="75" t="s">
        <v>335</v>
      </c>
      <c r="C283" s="240" t="s">
        <v>636</v>
      </c>
      <c r="D283" s="230"/>
      <c r="E283" s="230"/>
      <c r="F283" s="234"/>
      <c r="G283" s="75" t="s">
        <v>715</v>
      </c>
      <c r="H283" s="76">
        <v>4</v>
      </c>
      <c r="I283" s="76">
        <v>0</v>
      </c>
      <c r="J283" s="76">
        <f t="shared" si="22"/>
        <v>0</v>
      </c>
      <c r="K283" s="76">
        <f t="shared" si="23"/>
        <v>0</v>
      </c>
      <c r="L283" s="76">
        <f t="shared" si="24"/>
        <v>0</v>
      </c>
      <c r="M283" s="79" t="s">
        <v>732</v>
      </c>
      <c r="N283" s="72"/>
      <c r="Z283" s="64">
        <f t="shared" si="25"/>
        <v>0</v>
      </c>
      <c r="AB283" s="64">
        <f t="shared" si="26"/>
        <v>0</v>
      </c>
      <c r="AC283" s="64">
        <f t="shared" si="27"/>
        <v>0</v>
      </c>
      <c r="AD283" s="64">
        <f t="shared" si="28"/>
        <v>0</v>
      </c>
      <c r="AE283" s="64">
        <f t="shared" si="29"/>
        <v>0</v>
      </c>
      <c r="AF283" s="64">
        <f t="shared" si="30"/>
        <v>0</v>
      </c>
      <c r="AG283" s="64">
        <f t="shared" si="31"/>
        <v>0</v>
      </c>
      <c r="AH283" s="64">
        <f t="shared" si="32"/>
        <v>0</v>
      </c>
      <c r="AI283" s="63"/>
      <c r="AJ283" s="49">
        <f t="shared" si="33"/>
        <v>0</v>
      </c>
      <c r="AK283" s="49">
        <f t="shared" si="34"/>
        <v>0</v>
      </c>
      <c r="AL283" s="49">
        <f t="shared" si="35"/>
        <v>0</v>
      </c>
      <c r="AN283" s="64">
        <v>15</v>
      </c>
      <c r="AO283" s="64">
        <f>I283*0.548740458015267</f>
        <v>0</v>
      </c>
      <c r="AP283" s="64">
        <f>I283*(1-0.548740458015267)</f>
        <v>0</v>
      </c>
      <c r="AQ283" s="65" t="s">
        <v>80</v>
      </c>
      <c r="AV283" s="64">
        <f t="shared" si="36"/>
        <v>0</v>
      </c>
      <c r="AW283" s="64">
        <f t="shared" si="37"/>
        <v>0</v>
      </c>
      <c r="AX283" s="64">
        <f t="shared" si="38"/>
        <v>0</v>
      </c>
      <c r="AY283" s="67" t="s">
        <v>759</v>
      </c>
      <c r="AZ283" s="67" t="s">
        <v>773</v>
      </c>
      <c r="BA283" s="63" t="s">
        <v>775</v>
      </c>
      <c r="BC283" s="64">
        <f t="shared" si="39"/>
        <v>0</v>
      </c>
      <c r="BD283" s="64">
        <f t="shared" si="40"/>
        <v>0</v>
      </c>
      <c r="BE283" s="64">
        <v>0</v>
      </c>
      <c r="BF283" s="64">
        <f>283</f>
        <v>283</v>
      </c>
      <c r="BH283" s="49">
        <f t="shared" si="41"/>
        <v>0</v>
      </c>
      <c r="BI283" s="49">
        <f t="shared" si="42"/>
        <v>0</v>
      </c>
      <c r="BJ283" s="49">
        <f t="shared" si="43"/>
        <v>0</v>
      </c>
      <c r="BK283" s="49" t="s">
        <v>780</v>
      </c>
      <c r="BL283" s="64">
        <v>764</v>
      </c>
    </row>
    <row r="284" spans="1:64" ht="12.75">
      <c r="A284" s="35" t="s">
        <v>182</v>
      </c>
      <c r="B284" s="42" t="s">
        <v>336</v>
      </c>
      <c r="C284" s="239" t="s">
        <v>637</v>
      </c>
      <c r="D284" s="230"/>
      <c r="E284" s="230"/>
      <c r="F284" s="230"/>
      <c r="G284" s="42" t="s">
        <v>715</v>
      </c>
      <c r="H284" s="49">
        <v>90</v>
      </c>
      <c r="I284" s="49">
        <v>0</v>
      </c>
      <c r="J284" s="49">
        <f t="shared" si="22"/>
        <v>0</v>
      </c>
      <c r="K284" s="49">
        <f t="shared" si="23"/>
        <v>0</v>
      </c>
      <c r="L284" s="49">
        <f t="shared" si="24"/>
        <v>0</v>
      </c>
      <c r="M284" s="61" t="s">
        <v>732</v>
      </c>
      <c r="N284" s="18"/>
      <c r="Z284" s="64">
        <f t="shared" si="25"/>
        <v>0</v>
      </c>
      <c r="AB284" s="64">
        <f t="shared" si="26"/>
        <v>0</v>
      </c>
      <c r="AC284" s="64">
        <f t="shared" si="27"/>
        <v>0</v>
      </c>
      <c r="AD284" s="64">
        <f t="shared" si="28"/>
        <v>0</v>
      </c>
      <c r="AE284" s="64">
        <f t="shared" si="29"/>
        <v>0</v>
      </c>
      <c r="AF284" s="64">
        <f t="shared" si="30"/>
        <v>0</v>
      </c>
      <c r="AG284" s="64">
        <f t="shared" si="31"/>
        <v>0</v>
      </c>
      <c r="AH284" s="64">
        <f t="shared" si="32"/>
        <v>0</v>
      </c>
      <c r="AI284" s="63"/>
      <c r="AJ284" s="49">
        <f t="shared" si="33"/>
        <v>0</v>
      </c>
      <c r="AK284" s="49">
        <f t="shared" si="34"/>
        <v>0</v>
      </c>
      <c r="AL284" s="49">
        <f t="shared" si="35"/>
        <v>0</v>
      </c>
      <c r="AN284" s="64">
        <v>15</v>
      </c>
      <c r="AO284" s="64">
        <f>I284*0.00408163265306122</f>
        <v>0</v>
      </c>
      <c r="AP284" s="64">
        <f>I284*(1-0.00408163265306122)</f>
        <v>0</v>
      </c>
      <c r="AQ284" s="65" t="s">
        <v>80</v>
      </c>
      <c r="AV284" s="64">
        <f t="shared" si="36"/>
        <v>0</v>
      </c>
      <c r="AW284" s="64">
        <f t="shared" si="37"/>
        <v>0</v>
      </c>
      <c r="AX284" s="64">
        <f t="shared" si="38"/>
        <v>0</v>
      </c>
      <c r="AY284" s="67" t="s">
        <v>759</v>
      </c>
      <c r="AZ284" s="67" t="s">
        <v>773</v>
      </c>
      <c r="BA284" s="63" t="s">
        <v>775</v>
      </c>
      <c r="BC284" s="64">
        <f t="shared" si="39"/>
        <v>0</v>
      </c>
      <c r="BD284" s="64">
        <f t="shared" si="40"/>
        <v>0</v>
      </c>
      <c r="BE284" s="64">
        <v>0</v>
      </c>
      <c r="BF284" s="64">
        <f>284</f>
        <v>284</v>
      </c>
      <c r="BH284" s="49">
        <f t="shared" si="41"/>
        <v>0</v>
      </c>
      <c r="BI284" s="49">
        <f t="shared" si="42"/>
        <v>0</v>
      </c>
      <c r="BJ284" s="49">
        <f t="shared" si="43"/>
        <v>0</v>
      </c>
      <c r="BK284" s="49" t="s">
        <v>780</v>
      </c>
      <c r="BL284" s="64">
        <v>764</v>
      </c>
    </row>
    <row r="285" spans="1:64" ht="12.75">
      <c r="A285" s="157" t="s">
        <v>183</v>
      </c>
      <c r="B285" s="158" t="s">
        <v>337</v>
      </c>
      <c r="C285" s="247" t="s">
        <v>638</v>
      </c>
      <c r="D285" s="238"/>
      <c r="E285" s="238"/>
      <c r="F285" s="238"/>
      <c r="G285" s="158" t="s">
        <v>715</v>
      </c>
      <c r="H285" s="159">
        <v>90</v>
      </c>
      <c r="I285" s="159">
        <v>0</v>
      </c>
      <c r="J285" s="159">
        <f t="shared" si="22"/>
        <v>0</v>
      </c>
      <c r="K285" s="159">
        <f t="shared" si="23"/>
        <v>0</v>
      </c>
      <c r="L285" s="159">
        <f t="shared" si="24"/>
        <v>0</v>
      </c>
      <c r="M285" s="160" t="s">
        <v>732</v>
      </c>
      <c r="N285" s="18"/>
      <c r="Z285" s="64">
        <f t="shared" si="25"/>
        <v>0</v>
      </c>
      <c r="AB285" s="64">
        <f t="shared" si="26"/>
        <v>0</v>
      </c>
      <c r="AC285" s="64">
        <f t="shared" si="27"/>
        <v>0</v>
      </c>
      <c r="AD285" s="64">
        <f t="shared" si="28"/>
        <v>0</v>
      </c>
      <c r="AE285" s="64">
        <f t="shared" si="29"/>
        <v>0</v>
      </c>
      <c r="AF285" s="64">
        <f t="shared" si="30"/>
        <v>0</v>
      </c>
      <c r="AG285" s="64">
        <f t="shared" si="31"/>
        <v>0</v>
      </c>
      <c r="AH285" s="64">
        <f t="shared" si="32"/>
        <v>0</v>
      </c>
      <c r="AI285" s="63"/>
      <c r="AJ285" s="51">
        <f t="shared" si="33"/>
        <v>0</v>
      </c>
      <c r="AK285" s="51">
        <f t="shared" si="34"/>
        <v>0</v>
      </c>
      <c r="AL285" s="51">
        <f t="shared" si="35"/>
        <v>0</v>
      </c>
      <c r="AN285" s="64">
        <v>15</v>
      </c>
      <c r="AO285" s="64">
        <f>I285*1</f>
        <v>0</v>
      </c>
      <c r="AP285" s="64">
        <f>I285*(1-1)</f>
        <v>0</v>
      </c>
      <c r="AQ285" s="66" t="s">
        <v>80</v>
      </c>
      <c r="AV285" s="64">
        <f t="shared" si="36"/>
        <v>0</v>
      </c>
      <c r="AW285" s="64">
        <f t="shared" si="37"/>
        <v>0</v>
      </c>
      <c r="AX285" s="64">
        <f t="shared" si="38"/>
        <v>0</v>
      </c>
      <c r="AY285" s="67" t="s">
        <v>759</v>
      </c>
      <c r="AZ285" s="67" t="s">
        <v>773</v>
      </c>
      <c r="BA285" s="63" t="s">
        <v>775</v>
      </c>
      <c r="BC285" s="64">
        <f t="shared" si="39"/>
        <v>0</v>
      </c>
      <c r="BD285" s="64">
        <f t="shared" si="40"/>
        <v>0</v>
      </c>
      <c r="BE285" s="64">
        <v>0</v>
      </c>
      <c r="BF285" s="64">
        <f>285</f>
        <v>285</v>
      </c>
      <c r="BH285" s="51">
        <f t="shared" si="41"/>
        <v>0</v>
      </c>
      <c r="BI285" s="51">
        <f t="shared" si="42"/>
        <v>0</v>
      </c>
      <c r="BJ285" s="51">
        <f t="shared" si="43"/>
        <v>0</v>
      </c>
      <c r="BK285" s="51" t="s">
        <v>781</v>
      </c>
      <c r="BL285" s="64">
        <v>764</v>
      </c>
    </row>
    <row r="286" spans="1:64" ht="12.75">
      <c r="A286" s="136" t="s">
        <v>184</v>
      </c>
      <c r="B286" s="137" t="s">
        <v>267</v>
      </c>
      <c r="C286" s="237" t="s">
        <v>639</v>
      </c>
      <c r="D286" s="238"/>
      <c r="E286" s="238"/>
      <c r="F286" s="238"/>
      <c r="G286" s="137" t="s">
        <v>717</v>
      </c>
      <c r="H286" s="138">
        <v>1</v>
      </c>
      <c r="I286" s="138">
        <v>0</v>
      </c>
      <c r="J286" s="138">
        <f t="shared" si="22"/>
        <v>0</v>
      </c>
      <c r="K286" s="138">
        <f t="shared" si="23"/>
        <v>0</v>
      </c>
      <c r="L286" s="138">
        <f t="shared" si="24"/>
        <v>0</v>
      </c>
      <c r="M286" s="139" t="s">
        <v>267</v>
      </c>
      <c r="N286" s="18"/>
      <c r="Z286" s="64">
        <f t="shared" si="25"/>
        <v>0</v>
      </c>
      <c r="AB286" s="64">
        <f t="shared" si="26"/>
        <v>0</v>
      </c>
      <c r="AC286" s="64">
        <f t="shared" si="27"/>
        <v>0</v>
      </c>
      <c r="AD286" s="64">
        <f t="shared" si="28"/>
        <v>0</v>
      </c>
      <c r="AE286" s="64">
        <f t="shared" si="29"/>
        <v>0</v>
      </c>
      <c r="AF286" s="64">
        <f t="shared" si="30"/>
        <v>0</v>
      </c>
      <c r="AG286" s="64">
        <f t="shared" si="31"/>
        <v>0</v>
      </c>
      <c r="AH286" s="64">
        <f t="shared" si="32"/>
        <v>0</v>
      </c>
      <c r="AI286" s="63"/>
      <c r="AJ286" s="51">
        <f t="shared" si="33"/>
        <v>0</v>
      </c>
      <c r="AK286" s="51">
        <f t="shared" si="34"/>
        <v>0</v>
      </c>
      <c r="AL286" s="51">
        <f t="shared" si="35"/>
        <v>0</v>
      </c>
      <c r="AN286" s="64">
        <v>15</v>
      </c>
      <c r="AO286" s="64">
        <f>I286*1</f>
        <v>0</v>
      </c>
      <c r="AP286" s="64">
        <f>I286*(1-1)</f>
        <v>0</v>
      </c>
      <c r="AQ286" s="66" t="s">
        <v>80</v>
      </c>
      <c r="AV286" s="64">
        <f t="shared" si="36"/>
        <v>0</v>
      </c>
      <c r="AW286" s="64">
        <f t="shared" si="37"/>
        <v>0</v>
      </c>
      <c r="AX286" s="64">
        <f t="shared" si="38"/>
        <v>0</v>
      </c>
      <c r="AY286" s="67" t="s">
        <v>759</v>
      </c>
      <c r="AZ286" s="67" t="s">
        <v>773</v>
      </c>
      <c r="BA286" s="63" t="s">
        <v>775</v>
      </c>
      <c r="BC286" s="64">
        <f t="shared" si="39"/>
        <v>0</v>
      </c>
      <c r="BD286" s="64">
        <f t="shared" si="40"/>
        <v>0</v>
      </c>
      <c r="BE286" s="64">
        <v>0</v>
      </c>
      <c r="BF286" s="64">
        <f>286</f>
        <v>286</v>
      </c>
      <c r="BH286" s="51">
        <f t="shared" si="41"/>
        <v>0</v>
      </c>
      <c r="BI286" s="51">
        <f t="shared" si="42"/>
        <v>0</v>
      </c>
      <c r="BJ286" s="51">
        <f t="shared" si="43"/>
        <v>0</v>
      </c>
      <c r="BK286" s="51" t="s">
        <v>781</v>
      </c>
      <c r="BL286" s="64">
        <v>764</v>
      </c>
    </row>
    <row r="287" spans="1:64" ht="12.75">
      <c r="A287" s="136" t="s">
        <v>185</v>
      </c>
      <c r="B287" s="137" t="s">
        <v>267</v>
      </c>
      <c r="C287" s="237" t="s">
        <v>640</v>
      </c>
      <c r="D287" s="238"/>
      <c r="E287" s="238"/>
      <c r="F287" s="238"/>
      <c r="G287" s="137" t="s">
        <v>717</v>
      </c>
      <c r="H287" s="138">
        <v>1</v>
      </c>
      <c r="I287" s="138">
        <v>0</v>
      </c>
      <c r="J287" s="138">
        <f t="shared" si="22"/>
        <v>0</v>
      </c>
      <c r="K287" s="138">
        <f t="shared" si="23"/>
        <v>0</v>
      </c>
      <c r="L287" s="138">
        <f t="shared" si="24"/>
        <v>0</v>
      </c>
      <c r="M287" s="139" t="s">
        <v>267</v>
      </c>
      <c r="N287" s="18"/>
      <c r="Z287" s="64">
        <f t="shared" si="25"/>
        <v>0</v>
      </c>
      <c r="AB287" s="64">
        <f t="shared" si="26"/>
        <v>0</v>
      </c>
      <c r="AC287" s="64">
        <f t="shared" si="27"/>
        <v>0</v>
      </c>
      <c r="AD287" s="64">
        <f t="shared" si="28"/>
        <v>0</v>
      </c>
      <c r="AE287" s="64">
        <f t="shared" si="29"/>
        <v>0</v>
      </c>
      <c r="AF287" s="64">
        <f t="shared" si="30"/>
        <v>0</v>
      </c>
      <c r="AG287" s="64">
        <f t="shared" si="31"/>
        <v>0</v>
      </c>
      <c r="AH287" s="64">
        <f t="shared" si="32"/>
        <v>0</v>
      </c>
      <c r="AI287" s="63"/>
      <c r="AJ287" s="51">
        <f t="shared" si="33"/>
        <v>0</v>
      </c>
      <c r="AK287" s="51">
        <f t="shared" si="34"/>
        <v>0</v>
      </c>
      <c r="AL287" s="51">
        <f t="shared" si="35"/>
        <v>0</v>
      </c>
      <c r="AN287" s="64">
        <v>15</v>
      </c>
      <c r="AO287" s="64">
        <f>I287*1</f>
        <v>0</v>
      </c>
      <c r="AP287" s="64">
        <f>I287*(1-1)</f>
        <v>0</v>
      </c>
      <c r="AQ287" s="66" t="s">
        <v>80</v>
      </c>
      <c r="AV287" s="64">
        <f t="shared" si="36"/>
        <v>0</v>
      </c>
      <c r="AW287" s="64">
        <f t="shared" si="37"/>
        <v>0</v>
      </c>
      <c r="AX287" s="64">
        <f t="shared" si="38"/>
        <v>0</v>
      </c>
      <c r="AY287" s="67" t="s">
        <v>759</v>
      </c>
      <c r="AZ287" s="67" t="s">
        <v>773</v>
      </c>
      <c r="BA287" s="63" t="s">
        <v>775</v>
      </c>
      <c r="BC287" s="64">
        <f t="shared" si="39"/>
        <v>0</v>
      </c>
      <c r="BD287" s="64">
        <f t="shared" si="40"/>
        <v>0</v>
      </c>
      <c r="BE287" s="64">
        <v>0</v>
      </c>
      <c r="BF287" s="64">
        <f>287</f>
        <v>287</v>
      </c>
      <c r="BH287" s="51">
        <f t="shared" si="41"/>
        <v>0</v>
      </c>
      <c r="BI287" s="51">
        <f t="shared" si="42"/>
        <v>0</v>
      </c>
      <c r="BJ287" s="51">
        <f t="shared" si="43"/>
        <v>0</v>
      </c>
      <c r="BK287" s="51" t="s">
        <v>781</v>
      </c>
      <c r="BL287" s="64">
        <v>764</v>
      </c>
    </row>
    <row r="288" spans="1:64" ht="12.75">
      <c r="A288" s="75" t="s">
        <v>186</v>
      </c>
      <c r="B288" s="75" t="s">
        <v>338</v>
      </c>
      <c r="C288" s="240" t="s">
        <v>641</v>
      </c>
      <c r="D288" s="230"/>
      <c r="E288" s="230"/>
      <c r="F288" s="234"/>
      <c r="G288" s="75" t="s">
        <v>719</v>
      </c>
      <c r="H288" s="76">
        <v>1.2609</v>
      </c>
      <c r="I288" s="76">
        <v>0</v>
      </c>
      <c r="J288" s="76">
        <f t="shared" si="22"/>
        <v>0</v>
      </c>
      <c r="K288" s="76">
        <f t="shared" si="23"/>
        <v>0</v>
      </c>
      <c r="L288" s="76">
        <f t="shared" si="24"/>
        <v>0</v>
      </c>
      <c r="M288" s="79" t="s">
        <v>732</v>
      </c>
      <c r="N288" s="72"/>
      <c r="Z288" s="64">
        <f t="shared" si="25"/>
        <v>0</v>
      </c>
      <c r="AB288" s="64">
        <f t="shared" si="26"/>
        <v>0</v>
      </c>
      <c r="AC288" s="64">
        <f t="shared" si="27"/>
        <v>0</v>
      </c>
      <c r="AD288" s="64">
        <f t="shared" si="28"/>
        <v>0</v>
      </c>
      <c r="AE288" s="64">
        <f t="shared" si="29"/>
        <v>0</v>
      </c>
      <c r="AF288" s="64">
        <f t="shared" si="30"/>
        <v>0</v>
      </c>
      <c r="AG288" s="64">
        <f t="shared" si="31"/>
        <v>0</v>
      </c>
      <c r="AH288" s="64">
        <f t="shared" si="32"/>
        <v>0</v>
      </c>
      <c r="AI288" s="63"/>
      <c r="AJ288" s="49">
        <f t="shared" si="33"/>
        <v>0</v>
      </c>
      <c r="AK288" s="49">
        <f t="shared" si="34"/>
        <v>0</v>
      </c>
      <c r="AL288" s="49">
        <f t="shared" si="35"/>
        <v>0</v>
      </c>
      <c r="AN288" s="64">
        <v>15</v>
      </c>
      <c r="AO288" s="64">
        <f>I288*0</f>
        <v>0</v>
      </c>
      <c r="AP288" s="64">
        <f>I288*(1-0)</f>
        <v>0</v>
      </c>
      <c r="AQ288" s="65" t="s">
        <v>78</v>
      </c>
      <c r="AV288" s="64">
        <f t="shared" si="36"/>
        <v>0</v>
      </c>
      <c r="AW288" s="64">
        <f t="shared" si="37"/>
        <v>0</v>
      </c>
      <c r="AX288" s="64">
        <f t="shared" si="38"/>
        <v>0</v>
      </c>
      <c r="AY288" s="67" t="s">
        <v>759</v>
      </c>
      <c r="AZ288" s="67" t="s">
        <v>773</v>
      </c>
      <c r="BA288" s="63" t="s">
        <v>775</v>
      </c>
      <c r="BC288" s="64">
        <f t="shared" si="39"/>
        <v>0</v>
      </c>
      <c r="BD288" s="64">
        <f t="shared" si="40"/>
        <v>0</v>
      </c>
      <c r="BE288" s="64">
        <v>0</v>
      </c>
      <c r="BF288" s="64">
        <f>288</f>
        <v>288</v>
      </c>
      <c r="BH288" s="49">
        <f t="shared" si="41"/>
        <v>0</v>
      </c>
      <c r="BI288" s="49">
        <f t="shared" si="42"/>
        <v>0</v>
      </c>
      <c r="BJ288" s="49">
        <f t="shared" si="43"/>
        <v>0</v>
      </c>
      <c r="BK288" s="49" t="s">
        <v>780</v>
      </c>
      <c r="BL288" s="64">
        <v>764</v>
      </c>
    </row>
    <row r="289" spans="1:47" ht="12.75">
      <c r="A289" s="34"/>
      <c r="B289" s="41" t="s">
        <v>339</v>
      </c>
      <c r="C289" s="235" t="s">
        <v>642</v>
      </c>
      <c r="D289" s="236"/>
      <c r="E289" s="236"/>
      <c r="F289" s="236"/>
      <c r="G289" s="47" t="s">
        <v>73</v>
      </c>
      <c r="H289" s="47" t="s">
        <v>73</v>
      </c>
      <c r="I289" s="47" t="s">
        <v>73</v>
      </c>
      <c r="J289" s="70">
        <f>SUM(J290:J297)</f>
        <v>0</v>
      </c>
      <c r="K289" s="70">
        <f>SUM(K290:K297)</f>
        <v>0</v>
      </c>
      <c r="L289" s="70">
        <f>SUM(L290:L297)</f>
        <v>0</v>
      </c>
      <c r="M289" s="60"/>
      <c r="N289" s="18"/>
      <c r="AI289" s="63"/>
      <c r="AS289" s="70">
        <f>SUM(AJ290:AJ297)</f>
        <v>0</v>
      </c>
      <c r="AT289" s="70">
        <f>SUM(AK290:AK297)</f>
        <v>0</v>
      </c>
      <c r="AU289" s="70">
        <f>SUM(AL290:AL297)</f>
        <v>0</v>
      </c>
    </row>
    <row r="290" spans="1:64" ht="12.75">
      <c r="A290" s="35" t="s">
        <v>187</v>
      </c>
      <c r="B290" s="42" t="s">
        <v>340</v>
      </c>
      <c r="C290" s="239" t="s">
        <v>643</v>
      </c>
      <c r="D290" s="230"/>
      <c r="E290" s="230"/>
      <c r="F290" s="230"/>
      <c r="G290" s="42" t="s">
        <v>714</v>
      </c>
      <c r="H290" s="49">
        <v>45.03</v>
      </c>
      <c r="I290" s="49">
        <v>0</v>
      </c>
      <c r="J290" s="49">
        <f>H290*AO290</f>
        <v>0</v>
      </c>
      <c r="K290" s="49">
        <f>H290*AP290</f>
        <v>0</v>
      </c>
      <c r="L290" s="49">
        <f>H290*I290</f>
        <v>0</v>
      </c>
      <c r="M290" s="61" t="s">
        <v>732</v>
      </c>
      <c r="N290" s="18"/>
      <c r="Z290" s="64">
        <f>IF(AQ290="5",BJ290,0)</f>
        <v>0</v>
      </c>
      <c r="AB290" s="64">
        <f>IF(AQ290="1",BH290,0)</f>
        <v>0</v>
      </c>
      <c r="AC290" s="64">
        <f>IF(AQ290="1",BI290,0)</f>
        <v>0</v>
      </c>
      <c r="AD290" s="64">
        <f>IF(AQ290="7",BH290,0)</f>
        <v>0</v>
      </c>
      <c r="AE290" s="64">
        <f>IF(AQ290="7",BI290,0)</f>
        <v>0</v>
      </c>
      <c r="AF290" s="64">
        <f>IF(AQ290="2",BH290,0)</f>
        <v>0</v>
      </c>
      <c r="AG290" s="64">
        <f>IF(AQ290="2",BI290,0)</f>
        <v>0</v>
      </c>
      <c r="AH290" s="64">
        <f>IF(AQ290="0",BJ290,0)</f>
        <v>0</v>
      </c>
      <c r="AI290" s="63"/>
      <c r="AJ290" s="49">
        <f>IF(AN290=0,L290,0)</f>
        <v>0</v>
      </c>
      <c r="AK290" s="49">
        <f>IF(AN290=15,L290,0)</f>
        <v>0</v>
      </c>
      <c r="AL290" s="49">
        <f>IF(AN290=21,L290,0)</f>
        <v>0</v>
      </c>
      <c r="AN290" s="64">
        <v>15</v>
      </c>
      <c r="AO290" s="64">
        <f>I290*0</f>
        <v>0</v>
      </c>
      <c r="AP290" s="64">
        <f>I290*(1-0)</f>
        <v>0</v>
      </c>
      <c r="AQ290" s="65" t="s">
        <v>80</v>
      </c>
      <c r="AV290" s="64">
        <f>AW290+AX290</f>
        <v>0</v>
      </c>
      <c r="AW290" s="64">
        <f>H290*AO290</f>
        <v>0</v>
      </c>
      <c r="AX290" s="64">
        <f>H290*AP290</f>
        <v>0</v>
      </c>
      <c r="AY290" s="67" t="s">
        <v>760</v>
      </c>
      <c r="AZ290" s="67" t="s">
        <v>773</v>
      </c>
      <c r="BA290" s="63" t="s">
        <v>775</v>
      </c>
      <c r="BC290" s="64">
        <f>AW290+AX290</f>
        <v>0</v>
      </c>
      <c r="BD290" s="64">
        <f>I290/(100-BE290)*100</f>
        <v>0</v>
      </c>
      <c r="BE290" s="64">
        <v>0</v>
      </c>
      <c r="BF290" s="64">
        <f>290</f>
        <v>290</v>
      </c>
      <c r="BH290" s="49">
        <f>H290*AO290</f>
        <v>0</v>
      </c>
      <c r="BI290" s="49">
        <f>H290*AP290</f>
        <v>0</v>
      </c>
      <c r="BJ290" s="49">
        <f>H290*I290</f>
        <v>0</v>
      </c>
      <c r="BK290" s="49" t="s">
        <v>780</v>
      </c>
      <c r="BL290" s="64">
        <v>765</v>
      </c>
    </row>
    <row r="291" spans="1:14" ht="12.75">
      <c r="A291" s="18"/>
      <c r="C291" s="44" t="s">
        <v>644</v>
      </c>
      <c r="F291" s="45"/>
      <c r="H291" s="50">
        <v>0</v>
      </c>
      <c r="M291" s="16"/>
      <c r="N291" s="18"/>
    </row>
    <row r="292" spans="1:14" ht="12.75">
      <c r="A292" s="18"/>
      <c r="C292" s="44" t="s">
        <v>645</v>
      </c>
      <c r="F292" s="45"/>
      <c r="H292" s="50">
        <v>40.23</v>
      </c>
      <c r="M292" s="16"/>
      <c r="N292" s="18"/>
    </row>
    <row r="293" spans="1:14" ht="12.75">
      <c r="A293" s="18"/>
      <c r="C293" s="44" t="s">
        <v>615</v>
      </c>
      <c r="F293" s="45"/>
      <c r="H293" s="50">
        <v>4.8</v>
      </c>
      <c r="M293" s="16"/>
      <c r="N293" s="18"/>
    </row>
    <row r="294" spans="1:14" ht="12.75">
      <c r="A294" s="18"/>
      <c r="C294" s="44" t="s">
        <v>646</v>
      </c>
      <c r="F294" s="45"/>
      <c r="H294" s="50">
        <v>0</v>
      </c>
      <c r="M294" s="16"/>
      <c r="N294" s="18"/>
    </row>
    <row r="295" spans="1:64" ht="12.75">
      <c r="A295" s="35" t="s">
        <v>188</v>
      </c>
      <c r="B295" s="42" t="s">
        <v>341</v>
      </c>
      <c r="C295" s="239" t="s">
        <v>647</v>
      </c>
      <c r="D295" s="230"/>
      <c r="E295" s="230"/>
      <c r="F295" s="230"/>
      <c r="G295" s="42" t="s">
        <v>714</v>
      </c>
      <c r="H295" s="49">
        <v>45.03</v>
      </c>
      <c r="I295" s="49">
        <v>0</v>
      </c>
      <c r="J295" s="49">
        <f>H295*AO295</f>
        <v>0</v>
      </c>
      <c r="K295" s="49">
        <f>H295*AP295</f>
        <v>0</v>
      </c>
      <c r="L295" s="49">
        <f>H295*I295</f>
        <v>0</v>
      </c>
      <c r="M295" s="61" t="s">
        <v>732</v>
      </c>
      <c r="N295" s="18"/>
      <c r="Z295" s="64">
        <f>IF(AQ295="5",BJ295,0)</f>
        <v>0</v>
      </c>
      <c r="AB295" s="64">
        <f>IF(AQ295="1",BH295,0)</f>
        <v>0</v>
      </c>
      <c r="AC295" s="64">
        <f>IF(AQ295="1",BI295,0)</f>
        <v>0</v>
      </c>
      <c r="AD295" s="64">
        <f>IF(AQ295="7",BH295,0)</f>
        <v>0</v>
      </c>
      <c r="AE295" s="64">
        <f>IF(AQ295="7",BI295,0)</f>
        <v>0</v>
      </c>
      <c r="AF295" s="64">
        <f>IF(AQ295="2",BH295,0)</f>
        <v>0</v>
      </c>
      <c r="AG295" s="64">
        <f>IF(AQ295="2",BI295,0)</f>
        <v>0</v>
      </c>
      <c r="AH295" s="64">
        <f>IF(AQ295="0",BJ295,0)</f>
        <v>0</v>
      </c>
      <c r="AI295" s="63"/>
      <c r="AJ295" s="49">
        <f>IF(AN295=0,L295,0)</f>
        <v>0</v>
      </c>
      <c r="AK295" s="49">
        <f>IF(AN295=15,L295,0)</f>
        <v>0</v>
      </c>
      <c r="AL295" s="49">
        <f>IF(AN295=21,L295,0)</f>
        <v>0</v>
      </c>
      <c r="AN295" s="64">
        <v>15</v>
      </c>
      <c r="AO295" s="64">
        <f>I295*0.0123882011140103</f>
        <v>0</v>
      </c>
      <c r="AP295" s="64">
        <f>I295*(1-0.0123882011140103)</f>
        <v>0</v>
      </c>
      <c r="AQ295" s="65" t="s">
        <v>80</v>
      </c>
      <c r="AV295" s="64">
        <f>AW295+AX295</f>
        <v>0</v>
      </c>
      <c r="AW295" s="64">
        <f>H295*AO295</f>
        <v>0</v>
      </c>
      <c r="AX295" s="64">
        <f>H295*AP295</f>
        <v>0</v>
      </c>
      <c r="AY295" s="67" t="s">
        <v>760</v>
      </c>
      <c r="AZ295" s="67" t="s">
        <v>773</v>
      </c>
      <c r="BA295" s="63" t="s">
        <v>775</v>
      </c>
      <c r="BC295" s="64">
        <f>AW295+AX295</f>
        <v>0</v>
      </c>
      <c r="BD295" s="64">
        <f>I295/(100-BE295)*100</f>
        <v>0</v>
      </c>
      <c r="BE295" s="64">
        <v>0</v>
      </c>
      <c r="BF295" s="64">
        <f>295</f>
        <v>295</v>
      </c>
      <c r="BH295" s="49">
        <f>H295*AO295</f>
        <v>0</v>
      </c>
      <c r="BI295" s="49">
        <f>H295*AP295</f>
        <v>0</v>
      </c>
      <c r="BJ295" s="49">
        <f>H295*I295</f>
        <v>0</v>
      </c>
      <c r="BK295" s="49" t="s">
        <v>780</v>
      </c>
      <c r="BL295" s="64">
        <v>765</v>
      </c>
    </row>
    <row r="296" spans="1:64" ht="12.75">
      <c r="A296" s="35" t="s">
        <v>189</v>
      </c>
      <c r="B296" s="42" t="s">
        <v>342</v>
      </c>
      <c r="C296" s="239" t="s">
        <v>648</v>
      </c>
      <c r="D296" s="230"/>
      <c r="E296" s="230"/>
      <c r="F296" s="230"/>
      <c r="G296" s="42" t="s">
        <v>714</v>
      </c>
      <c r="H296" s="49">
        <v>45.03</v>
      </c>
      <c r="I296" s="49">
        <v>0</v>
      </c>
      <c r="J296" s="49">
        <f>H296*AO296</f>
        <v>0</v>
      </c>
      <c r="K296" s="49">
        <f>H296*AP296</f>
        <v>0</v>
      </c>
      <c r="L296" s="49">
        <f>H296*I296</f>
        <v>0</v>
      </c>
      <c r="M296" s="61" t="s">
        <v>732</v>
      </c>
      <c r="N296" s="18"/>
      <c r="Z296" s="64">
        <f>IF(AQ296="5",BJ296,0)</f>
        <v>0</v>
      </c>
      <c r="AB296" s="64">
        <f>IF(AQ296="1",BH296,0)</f>
        <v>0</v>
      </c>
      <c r="AC296" s="64">
        <f>IF(AQ296="1",BI296,0)</f>
        <v>0</v>
      </c>
      <c r="AD296" s="64">
        <f>IF(AQ296="7",BH296,0)</f>
        <v>0</v>
      </c>
      <c r="AE296" s="64">
        <f>IF(AQ296="7",BI296,0)</f>
        <v>0</v>
      </c>
      <c r="AF296" s="64">
        <f>IF(AQ296="2",BH296,0)</f>
        <v>0</v>
      </c>
      <c r="AG296" s="64">
        <f>IF(AQ296="2",BI296,0)</f>
        <v>0</v>
      </c>
      <c r="AH296" s="64">
        <f>IF(AQ296="0",BJ296,0)</f>
        <v>0</v>
      </c>
      <c r="AI296" s="63"/>
      <c r="AJ296" s="49">
        <f>IF(AN296=0,L296,0)</f>
        <v>0</v>
      </c>
      <c r="AK296" s="49">
        <f>IF(AN296=15,L296,0)</f>
        <v>0</v>
      </c>
      <c r="AL296" s="49">
        <f>IF(AN296=21,L296,0)</f>
        <v>0</v>
      </c>
      <c r="AN296" s="64">
        <v>15</v>
      </c>
      <c r="AO296" s="64">
        <f>I296*0</f>
        <v>0</v>
      </c>
      <c r="AP296" s="64">
        <f>I296*(1-0)</f>
        <v>0</v>
      </c>
      <c r="AQ296" s="65" t="s">
        <v>80</v>
      </c>
      <c r="AV296" s="64">
        <f>AW296+AX296</f>
        <v>0</v>
      </c>
      <c r="AW296" s="64">
        <f>H296*AO296</f>
        <v>0</v>
      </c>
      <c r="AX296" s="64">
        <f>H296*AP296</f>
        <v>0</v>
      </c>
      <c r="AY296" s="67" t="s">
        <v>760</v>
      </c>
      <c r="AZ296" s="67" t="s">
        <v>773</v>
      </c>
      <c r="BA296" s="63" t="s">
        <v>775</v>
      </c>
      <c r="BC296" s="64">
        <f>AW296+AX296</f>
        <v>0</v>
      </c>
      <c r="BD296" s="64">
        <f>I296/(100-BE296)*100</f>
        <v>0</v>
      </c>
      <c r="BE296" s="64">
        <v>0</v>
      </c>
      <c r="BF296" s="64">
        <f>296</f>
        <v>296</v>
      </c>
      <c r="BH296" s="49">
        <f>H296*AO296</f>
        <v>0</v>
      </c>
      <c r="BI296" s="49">
        <f>H296*AP296</f>
        <v>0</v>
      </c>
      <c r="BJ296" s="49">
        <f>H296*I296</f>
        <v>0</v>
      </c>
      <c r="BK296" s="49" t="s">
        <v>780</v>
      </c>
      <c r="BL296" s="64">
        <v>765</v>
      </c>
    </row>
    <row r="297" spans="1:64" ht="12.75">
      <c r="A297" s="97" t="s">
        <v>190</v>
      </c>
      <c r="B297" s="17" t="s">
        <v>343</v>
      </c>
      <c r="C297" s="193" t="s">
        <v>649</v>
      </c>
      <c r="D297" s="230"/>
      <c r="E297" s="230"/>
      <c r="F297" s="230"/>
      <c r="G297" s="17" t="s">
        <v>719</v>
      </c>
      <c r="H297" s="64">
        <v>0.9758</v>
      </c>
      <c r="I297" s="64">
        <v>0</v>
      </c>
      <c r="J297" s="64">
        <f>H297*AO297</f>
        <v>0</v>
      </c>
      <c r="K297" s="64">
        <f>H297*AP297</f>
        <v>0</v>
      </c>
      <c r="L297" s="64">
        <f>H297*I297</f>
        <v>0</v>
      </c>
      <c r="M297" s="98" t="s">
        <v>732</v>
      </c>
      <c r="N297" s="18"/>
      <c r="Z297" s="64">
        <f>IF(AQ297="5",BJ297,0)</f>
        <v>0</v>
      </c>
      <c r="AB297" s="64">
        <f>IF(AQ297="1",BH297,0)</f>
        <v>0</v>
      </c>
      <c r="AC297" s="64">
        <f>IF(AQ297="1",BI297,0)</f>
        <v>0</v>
      </c>
      <c r="AD297" s="64">
        <f>IF(AQ297="7",BH297,0)</f>
        <v>0</v>
      </c>
      <c r="AE297" s="64">
        <f>IF(AQ297="7",BI297,0)</f>
        <v>0</v>
      </c>
      <c r="AF297" s="64">
        <f>IF(AQ297="2",BH297,0)</f>
        <v>0</v>
      </c>
      <c r="AG297" s="64">
        <f>IF(AQ297="2",BI297,0)</f>
        <v>0</v>
      </c>
      <c r="AH297" s="64">
        <f>IF(AQ297="0",BJ297,0)</f>
        <v>0</v>
      </c>
      <c r="AI297" s="63"/>
      <c r="AJ297" s="49">
        <f>IF(AN297=0,L297,0)</f>
        <v>0</v>
      </c>
      <c r="AK297" s="49">
        <f>IF(AN297=15,L297,0)</f>
        <v>0</v>
      </c>
      <c r="AL297" s="49">
        <f>IF(AN297=21,L297,0)</f>
        <v>0</v>
      </c>
      <c r="AN297" s="64">
        <v>15</v>
      </c>
      <c r="AO297" s="64">
        <f>I297*0</f>
        <v>0</v>
      </c>
      <c r="AP297" s="64">
        <f>I297*(1-0)</f>
        <v>0</v>
      </c>
      <c r="AQ297" s="65" t="s">
        <v>78</v>
      </c>
      <c r="AV297" s="64">
        <f>AW297+AX297</f>
        <v>0</v>
      </c>
      <c r="AW297" s="64">
        <f>H297*AO297</f>
        <v>0</v>
      </c>
      <c r="AX297" s="64">
        <f>H297*AP297</f>
        <v>0</v>
      </c>
      <c r="AY297" s="67" t="s">
        <v>760</v>
      </c>
      <c r="AZ297" s="67" t="s">
        <v>773</v>
      </c>
      <c r="BA297" s="63" t="s">
        <v>775</v>
      </c>
      <c r="BC297" s="64">
        <f>AW297+AX297</f>
        <v>0</v>
      </c>
      <c r="BD297" s="64">
        <f>I297/(100-BE297)*100</f>
        <v>0</v>
      </c>
      <c r="BE297" s="64">
        <v>0</v>
      </c>
      <c r="BF297" s="64">
        <f>297</f>
        <v>297</v>
      </c>
      <c r="BH297" s="49">
        <f>H297*AO297</f>
        <v>0</v>
      </c>
      <c r="BI297" s="49">
        <f>H297*AP297</f>
        <v>0</v>
      </c>
      <c r="BJ297" s="49">
        <f>H297*I297</f>
        <v>0</v>
      </c>
      <c r="BK297" s="49" t="s">
        <v>780</v>
      </c>
      <c r="BL297" s="64">
        <v>765</v>
      </c>
    </row>
    <row r="298" spans="1:47" ht="12.75">
      <c r="A298" s="34"/>
      <c r="B298" s="41" t="s">
        <v>344</v>
      </c>
      <c r="C298" s="235" t="s">
        <v>650</v>
      </c>
      <c r="D298" s="236"/>
      <c r="E298" s="236"/>
      <c r="F298" s="236"/>
      <c r="G298" s="47" t="s">
        <v>73</v>
      </c>
      <c r="H298" s="47" t="s">
        <v>73</v>
      </c>
      <c r="I298" s="47" t="s">
        <v>73</v>
      </c>
      <c r="J298" s="70">
        <f>SUM(J299:J328)</f>
        <v>0</v>
      </c>
      <c r="K298" s="70">
        <f>SUM(K299:K328)</f>
        <v>0</v>
      </c>
      <c r="L298" s="70">
        <f>SUM(L299:L328)</f>
        <v>0</v>
      </c>
      <c r="M298" s="60"/>
      <c r="N298" s="18"/>
      <c r="AI298" s="63"/>
      <c r="AS298" s="70">
        <f>SUM(AJ299:AJ328)</f>
        <v>0</v>
      </c>
      <c r="AT298" s="70">
        <f>SUM(AK299:AK328)</f>
        <v>0</v>
      </c>
      <c r="AU298" s="70">
        <f>SUM(AL299:AL328)</f>
        <v>0</v>
      </c>
    </row>
    <row r="299" spans="1:64" ht="12.75">
      <c r="A299" s="82" t="s">
        <v>191</v>
      </c>
      <c r="B299" s="82" t="s">
        <v>345</v>
      </c>
      <c r="C299" s="229" t="s">
        <v>651</v>
      </c>
      <c r="D299" s="230"/>
      <c r="E299" s="230"/>
      <c r="F299" s="231"/>
      <c r="G299" s="82" t="s">
        <v>714</v>
      </c>
      <c r="H299" s="88">
        <v>53.64</v>
      </c>
      <c r="I299" s="88">
        <v>0</v>
      </c>
      <c r="J299" s="88">
        <f>H299*AO299</f>
        <v>0</v>
      </c>
      <c r="K299" s="88">
        <f>H299*AP299</f>
        <v>0</v>
      </c>
      <c r="L299" s="88">
        <f>H299*I299</f>
        <v>0</v>
      </c>
      <c r="M299" s="78" t="s">
        <v>732</v>
      </c>
      <c r="N299" s="72"/>
      <c r="Z299" s="64">
        <f>IF(AQ299="5",BJ299,0)</f>
        <v>0</v>
      </c>
      <c r="AB299" s="64">
        <f>IF(AQ299="1",BH299,0)</f>
        <v>0</v>
      </c>
      <c r="AC299" s="64">
        <f>IF(AQ299="1",BI299,0)</f>
        <v>0</v>
      </c>
      <c r="AD299" s="64">
        <f>IF(AQ299="7",BH299,0)</f>
        <v>0</v>
      </c>
      <c r="AE299" s="64">
        <f>IF(AQ299="7",BI299,0)</f>
        <v>0</v>
      </c>
      <c r="AF299" s="64">
        <f>IF(AQ299="2",BH299,0)</f>
        <v>0</v>
      </c>
      <c r="AG299" s="64">
        <f>IF(AQ299="2",BI299,0)</f>
        <v>0</v>
      </c>
      <c r="AH299" s="64">
        <f>IF(AQ299="0",BJ299,0)</f>
        <v>0</v>
      </c>
      <c r="AI299" s="63"/>
      <c r="AJ299" s="49">
        <f>IF(AN299=0,L299,0)</f>
        <v>0</v>
      </c>
      <c r="AK299" s="49">
        <f>IF(AN299=15,L299,0)</f>
        <v>0</v>
      </c>
      <c r="AL299" s="49">
        <f>IF(AN299=21,L299,0)</f>
        <v>0</v>
      </c>
      <c r="AN299" s="64">
        <v>15</v>
      </c>
      <c r="AO299" s="64">
        <f>I299*0</f>
        <v>0</v>
      </c>
      <c r="AP299" s="64">
        <f>I299*(1-0)</f>
        <v>0</v>
      </c>
      <c r="AQ299" s="65" t="s">
        <v>80</v>
      </c>
      <c r="AV299" s="64">
        <f>AW299+AX299</f>
        <v>0</v>
      </c>
      <c r="AW299" s="64">
        <f>H299*AO299</f>
        <v>0</v>
      </c>
      <c r="AX299" s="64">
        <f>H299*AP299</f>
        <v>0</v>
      </c>
      <c r="AY299" s="67" t="s">
        <v>761</v>
      </c>
      <c r="AZ299" s="67" t="s">
        <v>773</v>
      </c>
      <c r="BA299" s="63" t="s">
        <v>775</v>
      </c>
      <c r="BC299" s="64">
        <f>AW299+AX299</f>
        <v>0</v>
      </c>
      <c r="BD299" s="64">
        <f>I299/(100-BE299)*100</f>
        <v>0</v>
      </c>
      <c r="BE299" s="64">
        <v>0</v>
      </c>
      <c r="BF299" s="64">
        <f>299</f>
        <v>299</v>
      </c>
      <c r="BH299" s="49">
        <f>H299*AO299</f>
        <v>0</v>
      </c>
      <c r="BI299" s="49">
        <f>H299*AP299</f>
        <v>0</v>
      </c>
      <c r="BJ299" s="49">
        <f>H299*I299</f>
        <v>0</v>
      </c>
      <c r="BK299" s="49" t="s">
        <v>780</v>
      </c>
      <c r="BL299" s="64">
        <v>766</v>
      </c>
    </row>
    <row r="300" spans="1:14" ht="12.75">
      <c r="A300" s="90"/>
      <c r="B300" s="91"/>
      <c r="C300" s="84" t="s">
        <v>504</v>
      </c>
      <c r="F300" s="92"/>
      <c r="G300" s="91"/>
      <c r="H300" s="93">
        <v>53.64</v>
      </c>
      <c r="I300" s="91"/>
      <c r="J300" s="91"/>
      <c r="K300" s="91"/>
      <c r="L300" s="91"/>
      <c r="M300" s="80"/>
      <c r="N300" s="72"/>
    </row>
    <row r="301" spans="1:64" ht="12.75">
      <c r="A301" s="82" t="s">
        <v>192</v>
      </c>
      <c r="B301" s="82" t="s">
        <v>346</v>
      </c>
      <c r="C301" s="229" t="s">
        <v>652</v>
      </c>
      <c r="D301" s="230"/>
      <c r="E301" s="230"/>
      <c r="F301" s="231"/>
      <c r="G301" s="82" t="s">
        <v>714</v>
      </c>
      <c r="H301" s="88">
        <v>53.64</v>
      </c>
      <c r="I301" s="88">
        <v>0</v>
      </c>
      <c r="J301" s="88">
        <f>H301*AO301</f>
        <v>0</v>
      </c>
      <c r="K301" s="88">
        <f>H301*AP301</f>
        <v>0</v>
      </c>
      <c r="L301" s="88">
        <f>H301*I301</f>
        <v>0</v>
      </c>
      <c r="M301" s="78" t="s">
        <v>732</v>
      </c>
      <c r="N301" s="72"/>
      <c r="Z301" s="64">
        <f>IF(AQ301="5",BJ301,0)</f>
        <v>0</v>
      </c>
      <c r="AB301" s="64">
        <f>IF(AQ301="1",BH301,0)</f>
        <v>0</v>
      </c>
      <c r="AC301" s="64">
        <f>IF(AQ301="1",BI301,0)</f>
        <v>0</v>
      </c>
      <c r="AD301" s="64">
        <f>IF(AQ301="7",BH301,0)</f>
        <v>0</v>
      </c>
      <c r="AE301" s="64">
        <f>IF(AQ301="7",BI301,0)</f>
        <v>0</v>
      </c>
      <c r="AF301" s="64">
        <f>IF(AQ301="2",BH301,0)</f>
        <v>0</v>
      </c>
      <c r="AG301" s="64">
        <f>IF(AQ301="2",BI301,0)</f>
        <v>0</v>
      </c>
      <c r="AH301" s="64">
        <f>IF(AQ301="0",BJ301,0)</f>
        <v>0</v>
      </c>
      <c r="AI301" s="63"/>
      <c r="AJ301" s="49">
        <f>IF(AN301=0,L301,0)</f>
        <v>0</v>
      </c>
      <c r="AK301" s="49">
        <f>IF(AN301=15,L301,0)</f>
        <v>0</v>
      </c>
      <c r="AL301" s="49">
        <f>IF(AN301=21,L301,0)</f>
        <v>0</v>
      </c>
      <c r="AN301" s="64">
        <v>15</v>
      </c>
      <c r="AO301" s="64">
        <f>I301*0</f>
        <v>0</v>
      </c>
      <c r="AP301" s="64">
        <f>I301*(1-0)</f>
        <v>0</v>
      </c>
      <c r="AQ301" s="65" t="s">
        <v>80</v>
      </c>
      <c r="AV301" s="64">
        <f>AW301+AX301</f>
        <v>0</v>
      </c>
      <c r="AW301" s="64">
        <f>H301*AO301</f>
        <v>0</v>
      </c>
      <c r="AX301" s="64">
        <f>H301*AP301</f>
        <v>0</v>
      </c>
      <c r="AY301" s="67" t="s">
        <v>761</v>
      </c>
      <c r="AZ301" s="67" t="s">
        <v>773</v>
      </c>
      <c r="BA301" s="63" t="s">
        <v>775</v>
      </c>
      <c r="BC301" s="64">
        <f>AW301+AX301</f>
        <v>0</v>
      </c>
      <c r="BD301" s="64">
        <f>I301/(100-BE301)*100</f>
        <v>0</v>
      </c>
      <c r="BE301" s="64">
        <v>0</v>
      </c>
      <c r="BF301" s="64">
        <f>301</f>
        <v>301</v>
      </c>
      <c r="BH301" s="49">
        <f>H301*AO301</f>
        <v>0</v>
      </c>
      <c r="BI301" s="49">
        <f>H301*AP301</f>
        <v>0</v>
      </c>
      <c r="BJ301" s="49">
        <f>H301*I301</f>
        <v>0</v>
      </c>
      <c r="BK301" s="49" t="s">
        <v>780</v>
      </c>
      <c r="BL301" s="64">
        <v>766</v>
      </c>
    </row>
    <row r="302" spans="1:14" ht="12.75">
      <c r="A302" s="90"/>
      <c r="B302" s="91"/>
      <c r="C302" s="84" t="s">
        <v>494</v>
      </c>
      <c r="F302" s="92"/>
      <c r="G302" s="91"/>
      <c r="H302" s="93">
        <v>0</v>
      </c>
      <c r="I302" s="91"/>
      <c r="J302" s="91"/>
      <c r="K302" s="91"/>
      <c r="L302" s="91"/>
      <c r="M302" s="80"/>
      <c r="N302" s="72"/>
    </row>
    <row r="303" spans="1:14" ht="12.75">
      <c r="A303" s="90"/>
      <c r="B303" s="91"/>
      <c r="C303" s="84" t="s">
        <v>504</v>
      </c>
      <c r="F303" s="92"/>
      <c r="G303" s="91"/>
      <c r="H303" s="93">
        <v>53.64</v>
      </c>
      <c r="I303" s="91"/>
      <c r="J303" s="91"/>
      <c r="K303" s="91"/>
      <c r="L303" s="91"/>
      <c r="M303" s="80"/>
      <c r="N303" s="72"/>
    </row>
    <row r="304" spans="1:64" ht="12.75">
      <c r="A304" s="82" t="s">
        <v>193</v>
      </c>
      <c r="B304" s="82" t="s">
        <v>347</v>
      </c>
      <c r="C304" s="229" t="s">
        <v>653</v>
      </c>
      <c r="D304" s="230"/>
      <c r="E304" s="230"/>
      <c r="F304" s="231"/>
      <c r="G304" s="82" t="s">
        <v>716</v>
      </c>
      <c r="H304" s="88">
        <v>123</v>
      </c>
      <c r="I304" s="88">
        <v>0</v>
      </c>
      <c r="J304" s="88">
        <f>H304*AO304</f>
        <v>0</v>
      </c>
      <c r="K304" s="88">
        <f>H304*AP304</f>
        <v>0</v>
      </c>
      <c r="L304" s="88">
        <f>H304*I304</f>
        <v>0</v>
      </c>
      <c r="M304" s="78" t="s">
        <v>732</v>
      </c>
      <c r="N304" s="72"/>
      <c r="Z304" s="64">
        <f>IF(AQ304="5",BJ304,0)</f>
        <v>0</v>
      </c>
      <c r="AB304" s="64">
        <f>IF(AQ304="1",BH304,0)</f>
        <v>0</v>
      </c>
      <c r="AC304" s="64">
        <f>IF(AQ304="1",BI304,0)</f>
        <v>0</v>
      </c>
      <c r="AD304" s="64">
        <f>IF(AQ304="7",BH304,0)</f>
        <v>0</v>
      </c>
      <c r="AE304" s="64">
        <f>IF(AQ304="7",BI304,0)</f>
        <v>0</v>
      </c>
      <c r="AF304" s="64">
        <f>IF(AQ304="2",BH304,0)</f>
        <v>0</v>
      </c>
      <c r="AG304" s="64">
        <f>IF(AQ304="2",BI304,0)</f>
        <v>0</v>
      </c>
      <c r="AH304" s="64">
        <f>IF(AQ304="0",BJ304,0)</f>
        <v>0</v>
      </c>
      <c r="AI304" s="63"/>
      <c r="AJ304" s="49">
        <f>IF(AN304=0,L304,0)</f>
        <v>0</v>
      </c>
      <c r="AK304" s="49">
        <f>IF(AN304=15,L304,0)</f>
        <v>0</v>
      </c>
      <c r="AL304" s="49">
        <f>IF(AN304=21,L304,0)</f>
        <v>0</v>
      </c>
      <c r="AN304" s="64">
        <v>15</v>
      </c>
      <c r="AO304" s="64">
        <f>I304*0.14457102530497</f>
        <v>0</v>
      </c>
      <c r="AP304" s="64">
        <f>I304*(1-0.14457102530497)</f>
        <v>0</v>
      </c>
      <c r="AQ304" s="65" t="s">
        <v>80</v>
      </c>
      <c r="AV304" s="64">
        <f>AW304+AX304</f>
        <v>0</v>
      </c>
      <c r="AW304" s="64">
        <f>H304*AO304</f>
        <v>0</v>
      </c>
      <c r="AX304" s="64">
        <f>H304*AP304</f>
        <v>0</v>
      </c>
      <c r="AY304" s="67" t="s">
        <v>761</v>
      </c>
      <c r="AZ304" s="67" t="s">
        <v>773</v>
      </c>
      <c r="BA304" s="63" t="s">
        <v>775</v>
      </c>
      <c r="BC304" s="64">
        <f>AW304+AX304</f>
        <v>0</v>
      </c>
      <c r="BD304" s="64">
        <f>I304/(100-BE304)*100</f>
        <v>0</v>
      </c>
      <c r="BE304" s="64">
        <v>0</v>
      </c>
      <c r="BF304" s="64">
        <f>304</f>
        <v>304</v>
      </c>
      <c r="BH304" s="49">
        <f>H304*AO304</f>
        <v>0</v>
      </c>
      <c r="BI304" s="49">
        <f>H304*AP304</f>
        <v>0</v>
      </c>
      <c r="BJ304" s="49">
        <f>H304*I304</f>
        <v>0</v>
      </c>
      <c r="BK304" s="49" t="s">
        <v>780</v>
      </c>
      <c r="BL304" s="64">
        <v>766</v>
      </c>
    </row>
    <row r="305" spans="1:14" ht="12.75">
      <c r="A305" s="90"/>
      <c r="B305" s="91"/>
      <c r="C305" s="84" t="s">
        <v>654</v>
      </c>
      <c r="F305" s="92"/>
      <c r="G305" s="91"/>
      <c r="H305" s="93">
        <v>123</v>
      </c>
      <c r="I305" s="91"/>
      <c r="J305" s="91"/>
      <c r="K305" s="91"/>
      <c r="L305" s="91"/>
      <c r="M305" s="80"/>
      <c r="N305" s="72"/>
    </row>
    <row r="306" spans="1:64" ht="12.75">
      <c r="A306" s="82" t="s">
        <v>194</v>
      </c>
      <c r="B306" s="82" t="s">
        <v>348</v>
      </c>
      <c r="C306" s="229" t="s">
        <v>655</v>
      </c>
      <c r="D306" s="230"/>
      <c r="E306" s="230"/>
      <c r="F306" s="231"/>
      <c r="G306" s="82" t="s">
        <v>714</v>
      </c>
      <c r="H306" s="88">
        <v>62.04</v>
      </c>
      <c r="I306" s="88">
        <v>0</v>
      </c>
      <c r="J306" s="88">
        <f>H306*AO306</f>
        <v>0</v>
      </c>
      <c r="K306" s="88">
        <f>H306*AP306</f>
        <v>0</v>
      </c>
      <c r="L306" s="88">
        <f>H306*I306</f>
        <v>0</v>
      </c>
      <c r="M306" s="78" t="s">
        <v>732</v>
      </c>
      <c r="N306" s="72"/>
      <c r="Z306" s="64">
        <f>IF(AQ306="5",BJ306,0)</f>
        <v>0</v>
      </c>
      <c r="AB306" s="64">
        <f>IF(AQ306="1",BH306,0)</f>
        <v>0</v>
      </c>
      <c r="AC306" s="64">
        <f>IF(AQ306="1",BI306,0)</f>
        <v>0</v>
      </c>
      <c r="AD306" s="64">
        <f>IF(AQ306="7",BH306,0)</f>
        <v>0</v>
      </c>
      <c r="AE306" s="64">
        <f>IF(AQ306="7",BI306,0)</f>
        <v>0</v>
      </c>
      <c r="AF306" s="64">
        <f>IF(AQ306="2",BH306,0)</f>
        <v>0</v>
      </c>
      <c r="AG306" s="64">
        <f>IF(AQ306="2",BI306,0)</f>
        <v>0</v>
      </c>
      <c r="AH306" s="64">
        <f>IF(AQ306="0",BJ306,0)</f>
        <v>0</v>
      </c>
      <c r="AI306" s="63"/>
      <c r="AJ306" s="49">
        <f>IF(AN306=0,L306,0)</f>
        <v>0</v>
      </c>
      <c r="AK306" s="49">
        <f>IF(AN306=15,L306,0)</f>
        <v>0</v>
      </c>
      <c r="AL306" s="49">
        <f>IF(AN306=21,L306,0)</f>
        <v>0</v>
      </c>
      <c r="AN306" s="64">
        <v>15</v>
      </c>
      <c r="AO306" s="64">
        <f>I306*0.0246307152689568</f>
        <v>0</v>
      </c>
      <c r="AP306" s="64">
        <f>I306*(1-0.0246307152689568)</f>
        <v>0</v>
      </c>
      <c r="AQ306" s="65" t="s">
        <v>80</v>
      </c>
      <c r="AV306" s="64">
        <f>AW306+AX306</f>
        <v>0</v>
      </c>
      <c r="AW306" s="64">
        <f>H306*AO306</f>
        <v>0</v>
      </c>
      <c r="AX306" s="64">
        <f>H306*AP306</f>
        <v>0</v>
      </c>
      <c r="AY306" s="67" t="s">
        <v>761</v>
      </c>
      <c r="AZ306" s="67" t="s">
        <v>773</v>
      </c>
      <c r="BA306" s="63" t="s">
        <v>775</v>
      </c>
      <c r="BC306" s="64">
        <f>AW306+AX306</f>
        <v>0</v>
      </c>
      <c r="BD306" s="64">
        <f>I306/(100-BE306)*100</f>
        <v>0</v>
      </c>
      <c r="BE306" s="64">
        <v>0</v>
      </c>
      <c r="BF306" s="64">
        <f>306</f>
        <v>306</v>
      </c>
      <c r="BH306" s="49">
        <f>H306*AO306</f>
        <v>0</v>
      </c>
      <c r="BI306" s="49">
        <f>H306*AP306</f>
        <v>0</v>
      </c>
      <c r="BJ306" s="49">
        <f>H306*I306</f>
        <v>0</v>
      </c>
      <c r="BK306" s="49" t="s">
        <v>780</v>
      </c>
      <c r="BL306" s="64">
        <v>766</v>
      </c>
    </row>
    <row r="307" spans="1:14" ht="12.75">
      <c r="A307" s="90"/>
      <c r="B307" s="91"/>
      <c r="C307" s="84" t="s">
        <v>398</v>
      </c>
      <c r="F307" s="92"/>
      <c r="G307" s="91"/>
      <c r="H307" s="93">
        <v>53.64</v>
      </c>
      <c r="I307" s="91"/>
      <c r="J307" s="91"/>
      <c r="K307" s="91"/>
      <c r="L307" s="91"/>
      <c r="M307" s="80"/>
      <c r="N307" s="72"/>
    </row>
    <row r="308" spans="1:14" ht="12.75">
      <c r="A308" s="90"/>
      <c r="B308" s="91"/>
      <c r="C308" s="84" t="s">
        <v>656</v>
      </c>
      <c r="F308" s="92"/>
      <c r="G308" s="91"/>
      <c r="H308" s="93">
        <v>8.4</v>
      </c>
      <c r="I308" s="91"/>
      <c r="J308" s="91"/>
      <c r="K308" s="91"/>
      <c r="L308" s="91"/>
      <c r="M308" s="80"/>
      <c r="N308" s="72"/>
    </row>
    <row r="309" spans="1:64" ht="12.75">
      <c r="A309" s="120" t="s">
        <v>195</v>
      </c>
      <c r="B309" s="120" t="s">
        <v>349</v>
      </c>
      <c r="C309" s="243" t="s">
        <v>657</v>
      </c>
      <c r="D309" s="238"/>
      <c r="E309" s="238"/>
      <c r="F309" s="242"/>
      <c r="G309" s="120" t="s">
        <v>714</v>
      </c>
      <c r="H309" s="129">
        <v>64.5216</v>
      </c>
      <c r="I309" s="129">
        <v>0</v>
      </c>
      <c r="J309" s="129">
        <f>H309*AO309</f>
        <v>0</v>
      </c>
      <c r="K309" s="129">
        <f>H309*AP309</f>
        <v>0</v>
      </c>
      <c r="L309" s="129">
        <f>H309*I309</f>
        <v>0</v>
      </c>
      <c r="M309" s="115" t="s">
        <v>732</v>
      </c>
      <c r="N309" s="72"/>
      <c r="Z309" s="64">
        <f>IF(AQ309="5",BJ309,0)</f>
        <v>0</v>
      </c>
      <c r="AB309" s="64">
        <f>IF(AQ309="1",BH309,0)</f>
        <v>0</v>
      </c>
      <c r="AC309" s="64">
        <f>IF(AQ309="1",BI309,0)</f>
        <v>0</v>
      </c>
      <c r="AD309" s="64">
        <f>IF(AQ309="7",BH309,0)</f>
        <v>0</v>
      </c>
      <c r="AE309" s="64">
        <f>IF(AQ309="7",BI309,0)</f>
        <v>0</v>
      </c>
      <c r="AF309" s="64">
        <f>IF(AQ309="2",BH309,0)</f>
        <v>0</v>
      </c>
      <c r="AG309" s="64">
        <f>IF(AQ309="2",BI309,0)</f>
        <v>0</v>
      </c>
      <c r="AH309" s="64">
        <f>IF(AQ309="0",BJ309,0)</f>
        <v>0</v>
      </c>
      <c r="AI309" s="63"/>
      <c r="AJ309" s="51">
        <f>IF(AN309=0,L309,0)</f>
        <v>0</v>
      </c>
      <c r="AK309" s="51">
        <f>IF(AN309=15,L309,0)</f>
        <v>0</v>
      </c>
      <c r="AL309" s="51">
        <f>IF(AN309=21,L309,0)</f>
        <v>0</v>
      </c>
      <c r="AN309" s="64">
        <v>15</v>
      </c>
      <c r="AO309" s="64">
        <f>I309*1</f>
        <v>0</v>
      </c>
      <c r="AP309" s="64">
        <f>I309*(1-1)</f>
        <v>0</v>
      </c>
      <c r="AQ309" s="66" t="s">
        <v>80</v>
      </c>
      <c r="AV309" s="64">
        <f>AW309+AX309</f>
        <v>0</v>
      </c>
      <c r="AW309" s="64">
        <f>H309*AO309</f>
        <v>0</v>
      </c>
      <c r="AX309" s="64">
        <f>H309*AP309</f>
        <v>0</v>
      </c>
      <c r="AY309" s="67" t="s">
        <v>761</v>
      </c>
      <c r="AZ309" s="67" t="s">
        <v>773</v>
      </c>
      <c r="BA309" s="63" t="s">
        <v>775</v>
      </c>
      <c r="BC309" s="64">
        <f>AW309+AX309</f>
        <v>0</v>
      </c>
      <c r="BD309" s="64">
        <f>I309/(100-BE309)*100</f>
        <v>0</v>
      </c>
      <c r="BE309" s="64">
        <v>0</v>
      </c>
      <c r="BF309" s="64">
        <f>309</f>
        <v>309</v>
      </c>
      <c r="BH309" s="51">
        <f>H309*AO309</f>
        <v>0</v>
      </c>
      <c r="BI309" s="51">
        <f>H309*AP309</f>
        <v>0</v>
      </c>
      <c r="BJ309" s="51">
        <f>H309*I309</f>
        <v>0</v>
      </c>
      <c r="BK309" s="51" t="s">
        <v>781</v>
      </c>
      <c r="BL309" s="64">
        <v>766</v>
      </c>
    </row>
    <row r="310" spans="1:14" ht="12.75">
      <c r="A310" s="132"/>
      <c r="B310" s="133"/>
      <c r="C310" s="124" t="s">
        <v>658</v>
      </c>
      <c r="F310" s="134"/>
      <c r="G310" s="133"/>
      <c r="H310" s="135">
        <v>64.5216</v>
      </c>
      <c r="I310" s="133"/>
      <c r="J310" s="133"/>
      <c r="K310" s="133"/>
      <c r="L310" s="133"/>
      <c r="M310" s="118"/>
      <c r="N310" s="72"/>
    </row>
    <row r="311" spans="1:64" ht="12.75">
      <c r="A311" s="82" t="s">
        <v>196</v>
      </c>
      <c r="B311" s="82" t="s">
        <v>350</v>
      </c>
      <c r="C311" s="229" t="s">
        <v>659</v>
      </c>
      <c r="D311" s="230"/>
      <c r="E311" s="230"/>
      <c r="F311" s="231"/>
      <c r="G311" s="82" t="s">
        <v>715</v>
      </c>
      <c r="H311" s="88">
        <v>21</v>
      </c>
      <c r="I311" s="88">
        <v>0</v>
      </c>
      <c r="J311" s="88">
        <f aca="true" t="shared" si="44" ref="J311:J316">H311*AO311</f>
        <v>0</v>
      </c>
      <c r="K311" s="88">
        <f aca="true" t="shared" si="45" ref="K311:K316">H311*AP311</f>
        <v>0</v>
      </c>
      <c r="L311" s="88">
        <f aca="true" t="shared" si="46" ref="L311:L316">H311*I311</f>
        <v>0</v>
      </c>
      <c r="M311" s="78" t="s">
        <v>732</v>
      </c>
      <c r="N311" s="72"/>
      <c r="Z311" s="64">
        <f aca="true" t="shared" si="47" ref="Z311:Z316">IF(AQ311="5",BJ311,0)</f>
        <v>0</v>
      </c>
      <c r="AB311" s="64">
        <f aca="true" t="shared" si="48" ref="AB311:AB316">IF(AQ311="1",BH311,0)</f>
        <v>0</v>
      </c>
      <c r="AC311" s="64">
        <f aca="true" t="shared" si="49" ref="AC311:AC316">IF(AQ311="1",BI311,0)</f>
        <v>0</v>
      </c>
      <c r="AD311" s="64">
        <f aca="true" t="shared" si="50" ref="AD311:AD316">IF(AQ311="7",BH311,0)</f>
        <v>0</v>
      </c>
      <c r="AE311" s="64">
        <f aca="true" t="shared" si="51" ref="AE311:AE316">IF(AQ311="7",BI311,0)</f>
        <v>0</v>
      </c>
      <c r="AF311" s="64">
        <f aca="true" t="shared" si="52" ref="AF311:AF316">IF(AQ311="2",BH311,0)</f>
        <v>0</v>
      </c>
      <c r="AG311" s="64">
        <f aca="true" t="shared" si="53" ref="AG311:AG316">IF(AQ311="2",BI311,0)</f>
        <v>0</v>
      </c>
      <c r="AH311" s="64">
        <f aca="true" t="shared" si="54" ref="AH311:AH316">IF(AQ311="0",BJ311,0)</f>
        <v>0</v>
      </c>
      <c r="AI311" s="63"/>
      <c r="AJ311" s="49">
        <f aca="true" t="shared" si="55" ref="AJ311:AJ316">IF(AN311=0,L311,0)</f>
        <v>0</v>
      </c>
      <c r="AK311" s="49">
        <f aca="true" t="shared" si="56" ref="AK311:AK316">IF(AN311=15,L311,0)</f>
        <v>0</v>
      </c>
      <c r="AL311" s="49">
        <f aca="true" t="shared" si="57" ref="AL311:AL316">IF(AN311=21,L311,0)</f>
        <v>0</v>
      </c>
      <c r="AN311" s="64">
        <v>15</v>
      </c>
      <c r="AO311" s="64">
        <f>I311*0.0630492091388401</f>
        <v>0</v>
      </c>
      <c r="AP311" s="64">
        <f>I311*(1-0.0630492091388401)</f>
        <v>0</v>
      </c>
      <c r="AQ311" s="65" t="s">
        <v>80</v>
      </c>
      <c r="AV311" s="64">
        <f aca="true" t="shared" si="58" ref="AV311:AV316">AW311+AX311</f>
        <v>0</v>
      </c>
      <c r="AW311" s="64">
        <f aca="true" t="shared" si="59" ref="AW311:AW316">H311*AO311</f>
        <v>0</v>
      </c>
      <c r="AX311" s="64">
        <f aca="true" t="shared" si="60" ref="AX311:AX316">H311*AP311</f>
        <v>0</v>
      </c>
      <c r="AY311" s="67" t="s">
        <v>761</v>
      </c>
      <c r="AZ311" s="67" t="s">
        <v>773</v>
      </c>
      <c r="BA311" s="63" t="s">
        <v>775</v>
      </c>
      <c r="BC311" s="64">
        <f aca="true" t="shared" si="61" ref="BC311:BC316">AW311+AX311</f>
        <v>0</v>
      </c>
      <c r="BD311" s="64">
        <f aca="true" t="shared" si="62" ref="BD311:BD316">I311/(100-BE311)*100</f>
        <v>0</v>
      </c>
      <c r="BE311" s="64">
        <v>0</v>
      </c>
      <c r="BF311" s="64">
        <f>311</f>
        <v>311</v>
      </c>
      <c r="BH311" s="49">
        <f aca="true" t="shared" si="63" ref="BH311:BH316">H311*AO311</f>
        <v>0</v>
      </c>
      <c r="BI311" s="49">
        <f aca="true" t="shared" si="64" ref="BI311:BI316">H311*AP311</f>
        <v>0</v>
      </c>
      <c r="BJ311" s="49">
        <f aca="true" t="shared" si="65" ref="BJ311:BJ316">H311*I311</f>
        <v>0</v>
      </c>
      <c r="BK311" s="49" t="s">
        <v>780</v>
      </c>
      <c r="BL311" s="64">
        <v>766</v>
      </c>
    </row>
    <row r="312" spans="1:64" ht="12.75">
      <c r="A312" s="82" t="s">
        <v>197</v>
      </c>
      <c r="B312" s="82" t="s">
        <v>351</v>
      </c>
      <c r="C312" s="229" t="s">
        <v>660</v>
      </c>
      <c r="D312" s="230"/>
      <c r="E312" s="230"/>
      <c r="F312" s="231"/>
      <c r="G312" s="82" t="s">
        <v>715</v>
      </c>
      <c r="H312" s="88">
        <v>72</v>
      </c>
      <c r="I312" s="88">
        <v>0</v>
      </c>
      <c r="J312" s="88">
        <f t="shared" si="44"/>
        <v>0</v>
      </c>
      <c r="K312" s="88">
        <f t="shared" si="45"/>
        <v>0</v>
      </c>
      <c r="L312" s="88">
        <f t="shared" si="46"/>
        <v>0</v>
      </c>
      <c r="M312" s="78" t="s">
        <v>732</v>
      </c>
      <c r="N312" s="72"/>
      <c r="Z312" s="64">
        <f t="shared" si="47"/>
        <v>0</v>
      </c>
      <c r="AB312" s="64">
        <f t="shared" si="48"/>
        <v>0</v>
      </c>
      <c r="AC312" s="64">
        <f t="shared" si="49"/>
        <v>0</v>
      </c>
      <c r="AD312" s="64">
        <f t="shared" si="50"/>
        <v>0</v>
      </c>
      <c r="AE312" s="64">
        <f t="shared" si="51"/>
        <v>0</v>
      </c>
      <c r="AF312" s="64">
        <f t="shared" si="52"/>
        <v>0</v>
      </c>
      <c r="AG312" s="64">
        <f t="shared" si="53"/>
        <v>0</v>
      </c>
      <c r="AH312" s="64">
        <f t="shared" si="54"/>
        <v>0</v>
      </c>
      <c r="AI312" s="63"/>
      <c r="AJ312" s="49">
        <f t="shared" si="55"/>
        <v>0</v>
      </c>
      <c r="AK312" s="49">
        <f t="shared" si="56"/>
        <v>0</v>
      </c>
      <c r="AL312" s="49">
        <f t="shared" si="57"/>
        <v>0</v>
      </c>
      <c r="AN312" s="64">
        <v>15</v>
      </c>
      <c r="AO312" s="64">
        <f>I312*0.0690695970695971</f>
        <v>0</v>
      </c>
      <c r="AP312" s="64">
        <f>I312*(1-0.0690695970695971)</f>
        <v>0</v>
      </c>
      <c r="AQ312" s="65" t="s">
        <v>80</v>
      </c>
      <c r="AV312" s="64">
        <f t="shared" si="58"/>
        <v>0</v>
      </c>
      <c r="AW312" s="64">
        <f t="shared" si="59"/>
        <v>0</v>
      </c>
      <c r="AX312" s="64">
        <f t="shared" si="60"/>
        <v>0</v>
      </c>
      <c r="AY312" s="67" t="s">
        <v>761</v>
      </c>
      <c r="AZ312" s="67" t="s">
        <v>773</v>
      </c>
      <c r="BA312" s="63" t="s">
        <v>775</v>
      </c>
      <c r="BC312" s="64">
        <f t="shared" si="61"/>
        <v>0</v>
      </c>
      <c r="BD312" s="64">
        <f t="shared" si="62"/>
        <v>0</v>
      </c>
      <c r="BE312" s="64">
        <v>0</v>
      </c>
      <c r="BF312" s="64">
        <f>312</f>
        <v>312</v>
      </c>
      <c r="BH312" s="49">
        <f t="shared" si="63"/>
        <v>0</v>
      </c>
      <c r="BI312" s="49">
        <f t="shared" si="64"/>
        <v>0</v>
      </c>
      <c r="BJ312" s="49">
        <f t="shared" si="65"/>
        <v>0</v>
      </c>
      <c r="BK312" s="49" t="s">
        <v>780</v>
      </c>
      <c r="BL312" s="64">
        <v>766</v>
      </c>
    </row>
    <row r="313" spans="1:64" ht="12.75">
      <c r="A313" s="162" t="s">
        <v>198</v>
      </c>
      <c r="B313" s="162" t="s">
        <v>267</v>
      </c>
      <c r="C313" s="244" t="s">
        <v>661</v>
      </c>
      <c r="D313" s="238"/>
      <c r="E313" s="238"/>
      <c r="F313" s="242"/>
      <c r="G313" s="162" t="s">
        <v>718</v>
      </c>
      <c r="H313" s="163">
        <v>72</v>
      </c>
      <c r="I313" s="163">
        <v>0</v>
      </c>
      <c r="J313" s="163">
        <f t="shared" si="44"/>
        <v>0</v>
      </c>
      <c r="K313" s="163">
        <f t="shared" si="45"/>
        <v>0</v>
      </c>
      <c r="L313" s="163">
        <f t="shared" si="46"/>
        <v>0</v>
      </c>
      <c r="M313" s="161" t="s">
        <v>267</v>
      </c>
      <c r="N313" s="72"/>
      <c r="Z313" s="64">
        <f t="shared" si="47"/>
        <v>0</v>
      </c>
      <c r="AB313" s="64">
        <f t="shared" si="48"/>
        <v>0</v>
      </c>
      <c r="AC313" s="64">
        <f t="shared" si="49"/>
        <v>0</v>
      </c>
      <c r="AD313" s="64">
        <f t="shared" si="50"/>
        <v>0</v>
      </c>
      <c r="AE313" s="64">
        <f t="shared" si="51"/>
        <v>0</v>
      </c>
      <c r="AF313" s="64">
        <f t="shared" si="52"/>
        <v>0</v>
      </c>
      <c r="AG313" s="64">
        <f t="shared" si="53"/>
        <v>0</v>
      </c>
      <c r="AH313" s="64">
        <f t="shared" si="54"/>
        <v>0</v>
      </c>
      <c r="AI313" s="63"/>
      <c r="AJ313" s="51">
        <f t="shared" si="55"/>
        <v>0</v>
      </c>
      <c r="AK313" s="51">
        <f t="shared" si="56"/>
        <v>0</v>
      </c>
      <c r="AL313" s="51">
        <f t="shared" si="57"/>
        <v>0</v>
      </c>
      <c r="AN313" s="64">
        <v>15</v>
      </c>
      <c r="AO313" s="64">
        <f>I313*1</f>
        <v>0</v>
      </c>
      <c r="AP313" s="64">
        <f>I313*(1-1)</f>
        <v>0</v>
      </c>
      <c r="AQ313" s="66" t="s">
        <v>80</v>
      </c>
      <c r="AV313" s="64">
        <f t="shared" si="58"/>
        <v>0</v>
      </c>
      <c r="AW313" s="64">
        <f t="shared" si="59"/>
        <v>0</v>
      </c>
      <c r="AX313" s="64">
        <f t="shared" si="60"/>
        <v>0</v>
      </c>
      <c r="AY313" s="67" t="s">
        <v>761</v>
      </c>
      <c r="AZ313" s="67" t="s">
        <v>773</v>
      </c>
      <c r="BA313" s="63" t="s">
        <v>775</v>
      </c>
      <c r="BC313" s="64">
        <f t="shared" si="61"/>
        <v>0</v>
      </c>
      <c r="BD313" s="64">
        <f t="shared" si="62"/>
        <v>0</v>
      </c>
      <c r="BE313" s="64">
        <v>0</v>
      </c>
      <c r="BF313" s="64">
        <f>313</f>
        <v>313</v>
      </c>
      <c r="BH313" s="51">
        <f t="shared" si="63"/>
        <v>0</v>
      </c>
      <c r="BI313" s="51">
        <f t="shared" si="64"/>
        <v>0</v>
      </c>
      <c r="BJ313" s="51">
        <f t="shared" si="65"/>
        <v>0</v>
      </c>
      <c r="BK313" s="51" t="s">
        <v>781</v>
      </c>
      <c r="BL313" s="64">
        <v>766</v>
      </c>
    </row>
    <row r="314" spans="1:64" ht="12.75">
      <c r="A314" s="162" t="s">
        <v>199</v>
      </c>
      <c r="B314" s="162" t="s">
        <v>267</v>
      </c>
      <c r="C314" s="244" t="s">
        <v>662</v>
      </c>
      <c r="D314" s="238"/>
      <c r="E314" s="238"/>
      <c r="F314" s="242"/>
      <c r="G314" s="162" t="s">
        <v>718</v>
      </c>
      <c r="H314" s="163">
        <v>21</v>
      </c>
      <c r="I314" s="163">
        <v>0</v>
      </c>
      <c r="J314" s="163">
        <f t="shared" si="44"/>
        <v>0</v>
      </c>
      <c r="K314" s="163">
        <f t="shared" si="45"/>
        <v>0</v>
      </c>
      <c r="L314" s="163">
        <f t="shared" si="46"/>
        <v>0</v>
      </c>
      <c r="M314" s="161" t="s">
        <v>267</v>
      </c>
      <c r="N314" s="72"/>
      <c r="Z314" s="64">
        <f t="shared" si="47"/>
        <v>0</v>
      </c>
      <c r="AB314" s="64">
        <f t="shared" si="48"/>
        <v>0</v>
      </c>
      <c r="AC314" s="64">
        <f t="shared" si="49"/>
        <v>0</v>
      </c>
      <c r="AD314" s="64">
        <f t="shared" si="50"/>
        <v>0</v>
      </c>
      <c r="AE314" s="64">
        <f t="shared" si="51"/>
        <v>0</v>
      </c>
      <c r="AF314" s="64">
        <f t="shared" si="52"/>
        <v>0</v>
      </c>
      <c r="AG314" s="64">
        <f t="shared" si="53"/>
        <v>0</v>
      </c>
      <c r="AH314" s="64">
        <f t="shared" si="54"/>
        <v>0</v>
      </c>
      <c r="AI314" s="63"/>
      <c r="AJ314" s="51">
        <f t="shared" si="55"/>
        <v>0</v>
      </c>
      <c r="AK314" s="51">
        <f t="shared" si="56"/>
        <v>0</v>
      </c>
      <c r="AL314" s="51">
        <f t="shared" si="57"/>
        <v>0</v>
      </c>
      <c r="AN314" s="64">
        <v>15</v>
      </c>
      <c r="AO314" s="64">
        <f>I314*1</f>
        <v>0</v>
      </c>
      <c r="AP314" s="64">
        <f>I314*(1-1)</f>
        <v>0</v>
      </c>
      <c r="AQ314" s="66" t="s">
        <v>80</v>
      </c>
      <c r="AV314" s="64">
        <f t="shared" si="58"/>
        <v>0</v>
      </c>
      <c r="AW314" s="64">
        <f t="shared" si="59"/>
        <v>0</v>
      </c>
      <c r="AX314" s="64">
        <f t="shared" si="60"/>
        <v>0</v>
      </c>
      <c r="AY314" s="67" t="s">
        <v>761</v>
      </c>
      <c r="AZ314" s="67" t="s">
        <v>773</v>
      </c>
      <c r="BA314" s="63" t="s">
        <v>775</v>
      </c>
      <c r="BC314" s="64">
        <f t="shared" si="61"/>
        <v>0</v>
      </c>
      <c r="BD314" s="64">
        <f t="shared" si="62"/>
        <v>0</v>
      </c>
      <c r="BE314" s="64">
        <v>0</v>
      </c>
      <c r="BF314" s="64">
        <f>314</f>
        <v>314</v>
      </c>
      <c r="BH314" s="51">
        <f t="shared" si="63"/>
        <v>0</v>
      </c>
      <c r="BI314" s="51">
        <f t="shared" si="64"/>
        <v>0</v>
      </c>
      <c r="BJ314" s="51">
        <f t="shared" si="65"/>
        <v>0</v>
      </c>
      <c r="BK314" s="51" t="s">
        <v>781</v>
      </c>
      <c r="BL314" s="64">
        <v>766</v>
      </c>
    </row>
    <row r="315" spans="1:64" ht="12.75">
      <c r="A315" s="111" t="s">
        <v>200</v>
      </c>
      <c r="B315" s="111" t="s">
        <v>352</v>
      </c>
      <c r="C315" s="245" t="s">
        <v>663</v>
      </c>
      <c r="D315" s="238"/>
      <c r="E315" s="238"/>
      <c r="F315" s="246"/>
      <c r="G315" s="111" t="s">
        <v>715</v>
      </c>
      <c r="H315" s="113">
        <v>144</v>
      </c>
      <c r="I315" s="113">
        <v>0</v>
      </c>
      <c r="J315" s="113">
        <f t="shared" si="44"/>
        <v>0</v>
      </c>
      <c r="K315" s="113">
        <f t="shared" si="45"/>
        <v>0</v>
      </c>
      <c r="L315" s="113">
        <f t="shared" si="46"/>
        <v>0</v>
      </c>
      <c r="M315" s="116" t="s">
        <v>732</v>
      </c>
      <c r="N315" s="72"/>
      <c r="Z315" s="64">
        <f t="shared" si="47"/>
        <v>0</v>
      </c>
      <c r="AB315" s="64">
        <f t="shared" si="48"/>
        <v>0</v>
      </c>
      <c r="AC315" s="64">
        <f t="shared" si="49"/>
        <v>0</v>
      </c>
      <c r="AD315" s="64">
        <f t="shared" si="50"/>
        <v>0</v>
      </c>
      <c r="AE315" s="64">
        <f t="shared" si="51"/>
        <v>0</v>
      </c>
      <c r="AF315" s="64">
        <f t="shared" si="52"/>
        <v>0</v>
      </c>
      <c r="AG315" s="64">
        <f t="shared" si="53"/>
        <v>0</v>
      </c>
      <c r="AH315" s="64">
        <f t="shared" si="54"/>
        <v>0</v>
      </c>
      <c r="AI315" s="63"/>
      <c r="AJ315" s="51">
        <f t="shared" si="55"/>
        <v>0</v>
      </c>
      <c r="AK315" s="51">
        <f t="shared" si="56"/>
        <v>0</v>
      </c>
      <c r="AL315" s="51">
        <f t="shared" si="57"/>
        <v>0</v>
      </c>
      <c r="AN315" s="64">
        <v>15</v>
      </c>
      <c r="AO315" s="64">
        <f>I315*1</f>
        <v>0</v>
      </c>
      <c r="AP315" s="64">
        <f>I315*(1-1)</f>
        <v>0</v>
      </c>
      <c r="AQ315" s="66" t="s">
        <v>80</v>
      </c>
      <c r="AV315" s="64">
        <f t="shared" si="58"/>
        <v>0</v>
      </c>
      <c r="AW315" s="64">
        <f t="shared" si="59"/>
        <v>0</v>
      </c>
      <c r="AX315" s="64">
        <f t="shared" si="60"/>
        <v>0</v>
      </c>
      <c r="AY315" s="67" t="s">
        <v>761</v>
      </c>
      <c r="AZ315" s="67" t="s">
        <v>773</v>
      </c>
      <c r="BA315" s="63" t="s">
        <v>775</v>
      </c>
      <c r="BC315" s="64">
        <f t="shared" si="61"/>
        <v>0</v>
      </c>
      <c r="BD315" s="64">
        <f t="shared" si="62"/>
        <v>0</v>
      </c>
      <c r="BE315" s="64">
        <v>0</v>
      </c>
      <c r="BF315" s="64">
        <f>315</f>
        <v>315</v>
      </c>
      <c r="BH315" s="51">
        <f t="shared" si="63"/>
        <v>0</v>
      </c>
      <c r="BI315" s="51">
        <f t="shared" si="64"/>
        <v>0</v>
      </c>
      <c r="BJ315" s="51">
        <f t="shared" si="65"/>
        <v>0</v>
      </c>
      <c r="BK315" s="51" t="s">
        <v>781</v>
      </c>
      <c r="BL315" s="64">
        <v>766</v>
      </c>
    </row>
    <row r="316" spans="1:64" ht="12.75">
      <c r="A316" s="97" t="s">
        <v>201</v>
      </c>
      <c r="B316" s="17" t="s">
        <v>353</v>
      </c>
      <c r="C316" s="193" t="s">
        <v>664</v>
      </c>
      <c r="D316" s="230"/>
      <c r="E316" s="230"/>
      <c r="F316" s="230"/>
      <c r="G316" s="17" t="s">
        <v>714</v>
      </c>
      <c r="H316" s="64">
        <v>6.24</v>
      </c>
      <c r="I316" s="64">
        <v>0</v>
      </c>
      <c r="J316" s="64">
        <f t="shared" si="44"/>
        <v>0</v>
      </c>
      <c r="K316" s="64">
        <f t="shared" si="45"/>
        <v>0</v>
      </c>
      <c r="L316" s="64">
        <f t="shared" si="46"/>
        <v>0</v>
      </c>
      <c r="M316" s="98" t="s">
        <v>732</v>
      </c>
      <c r="N316" s="18"/>
      <c r="Z316" s="64">
        <f t="shared" si="47"/>
        <v>0</v>
      </c>
      <c r="AB316" s="64">
        <f t="shared" si="48"/>
        <v>0</v>
      </c>
      <c r="AC316" s="64">
        <f t="shared" si="49"/>
        <v>0</v>
      </c>
      <c r="AD316" s="64">
        <f t="shared" si="50"/>
        <v>0</v>
      </c>
      <c r="AE316" s="64">
        <f t="shared" si="51"/>
        <v>0</v>
      </c>
      <c r="AF316" s="64">
        <f t="shared" si="52"/>
        <v>0</v>
      </c>
      <c r="AG316" s="64">
        <f t="shared" si="53"/>
        <v>0</v>
      </c>
      <c r="AH316" s="64">
        <f t="shared" si="54"/>
        <v>0</v>
      </c>
      <c r="AI316" s="63"/>
      <c r="AJ316" s="49">
        <f t="shared" si="55"/>
        <v>0</v>
      </c>
      <c r="AK316" s="49">
        <f t="shared" si="56"/>
        <v>0</v>
      </c>
      <c r="AL316" s="49">
        <f t="shared" si="57"/>
        <v>0</v>
      </c>
      <c r="AN316" s="64">
        <v>15</v>
      </c>
      <c r="AO316" s="64">
        <f>I316*0.0293153787551218</f>
        <v>0</v>
      </c>
      <c r="AP316" s="64">
        <f>I316*(1-0.0293153787551218)</f>
        <v>0</v>
      </c>
      <c r="AQ316" s="65" t="s">
        <v>80</v>
      </c>
      <c r="AV316" s="64">
        <f t="shared" si="58"/>
        <v>0</v>
      </c>
      <c r="AW316" s="64">
        <f t="shared" si="59"/>
        <v>0</v>
      </c>
      <c r="AX316" s="64">
        <f t="shared" si="60"/>
        <v>0</v>
      </c>
      <c r="AY316" s="67" t="s">
        <v>761</v>
      </c>
      <c r="AZ316" s="67" t="s">
        <v>773</v>
      </c>
      <c r="BA316" s="63" t="s">
        <v>775</v>
      </c>
      <c r="BC316" s="64">
        <f t="shared" si="61"/>
        <v>0</v>
      </c>
      <c r="BD316" s="64">
        <f t="shared" si="62"/>
        <v>0</v>
      </c>
      <c r="BE316" s="64">
        <v>0</v>
      </c>
      <c r="BF316" s="64">
        <f>316</f>
        <v>316</v>
      </c>
      <c r="BH316" s="49">
        <f t="shared" si="63"/>
        <v>0</v>
      </c>
      <c r="BI316" s="49">
        <f t="shared" si="64"/>
        <v>0</v>
      </c>
      <c r="BJ316" s="49">
        <f t="shared" si="65"/>
        <v>0</v>
      </c>
      <c r="BK316" s="49" t="s">
        <v>780</v>
      </c>
      <c r="BL316" s="64">
        <v>766</v>
      </c>
    </row>
    <row r="317" spans="1:14" ht="12.75">
      <c r="A317" s="18"/>
      <c r="B317" s="101"/>
      <c r="C317" s="102" t="s">
        <v>665</v>
      </c>
      <c r="F317" s="102"/>
      <c r="G317" s="101"/>
      <c r="H317" s="104">
        <v>0</v>
      </c>
      <c r="I317" s="101"/>
      <c r="J317" s="101"/>
      <c r="K317" s="101"/>
      <c r="L317" s="101"/>
      <c r="M317" s="16"/>
      <c r="N317" s="18"/>
    </row>
    <row r="318" spans="1:14" ht="12.75">
      <c r="A318" s="18"/>
      <c r="B318" s="101"/>
      <c r="C318" s="102" t="s">
        <v>666</v>
      </c>
      <c r="F318" s="102"/>
      <c r="G318" s="101"/>
      <c r="H318" s="104">
        <v>6.24</v>
      </c>
      <c r="I318" s="101"/>
      <c r="J318" s="101"/>
      <c r="K318" s="101"/>
      <c r="L318" s="101"/>
      <c r="M318" s="16"/>
      <c r="N318" s="18"/>
    </row>
    <row r="319" spans="1:64" ht="12.75">
      <c r="A319" s="136" t="s">
        <v>202</v>
      </c>
      <c r="B319" s="137" t="s">
        <v>267</v>
      </c>
      <c r="C319" s="237" t="s">
        <v>667</v>
      </c>
      <c r="D319" s="238"/>
      <c r="E319" s="238"/>
      <c r="F319" s="238"/>
      <c r="G319" s="137" t="s">
        <v>718</v>
      </c>
      <c r="H319" s="138">
        <v>1</v>
      </c>
      <c r="I319" s="138">
        <v>0</v>
      </c>
      <c r="J319" s="138">
        <f>H319*AO319</f>
        <v>0</v>
      </c>
      <c r="K319" s="138">
        <f>H319*AP319</f>
        <v>0</v>
      </c>
      <c r="L319" s="138">
        <f>H319*I319</f>
        <v>0</v>
      </c>
      <c r="M319" s="139" t="s">
        <v>267</v>
      </c>
      <c r="N319" s="18"/>
      <c r="Z319" s="64">
        <f>IF(AQ319="5",BJ319,0)</f>
        <v>0</v>
      </c>
      <c r="AB319" s="64">
        <f>IF(AQ319="1",BH319,0)</f>
        <v>0</v>
      </c>
      <c r="AC319" s="64">
        <f>IF(AQ319="1",BI319,0)</f>
        <v>0</v>
      </c>
      <c r="AD319" s="64">
        <f>IF(AQ319="7",BH319,0)</f>
        <v>0</v>
      </c>
      <c r="AE319" s="64">
        <f>IF(AQ319="7",BI319,0)</f>
        <v>0</v>
      </c>
      <c r="AF319" s="64">
        <f>IF(AQ319="2",BH319,0)</f>
        <v>0</v>
      </c>
      <c r="AG319" s="64">
        <f>IF(AQ319="2",BI319,0)</f>
        <v>0</v>
      </c>
      <c r="AH319" s="64">
        <f>IF(AQ319="0",BJ319,0)</f>
        <v>0</v>
      </c>
      <c r="AI319" s="63"/>
      <c r="AJ319" s="51">
        <f>IF(AN319=0,L319,0)</f>
        <v>0</v>
      </c>
      <c r="AK319" s="51">
        <f>IF(AN319=15,L319,0)</f>
        <v>0</v>
      </c>
      <c r="AL319" s="51">
        <f>IF(AN319=21,L319,0)</f>
        <v>0</v>
      </c>
      <c r="AN319" s="64">
        <v>15</v>
      </c>
      <c r="AO319" s="64">
        <f>I319*1</f>
        <v>0</v>
      </c>
      <c r="AP319" s="64">
        <f>I319*(1-1)</f>
        <v>0</v>
      </c>
      <c r="AQ319" s="66" t="s">
        <v>80</v>
      </c>
      <c r="AV319" s="64">
        <f>AW319+AX319</f>
        <v>0</v>
      </c>
      <c r="AW319" s="64">
        <f>H319*AO319</f>
        <v>0</v>
      </c>
      <c r="AX319" s="64">
        <f>H319*AP319</f>
        <v>0</v>
      </c>
      <c r="AY319" s="67" t="s">
        <v>761</v>
      </c>
      <c r="AZ319" s="67" t="s">
        <v>773</v>
      </c>
      <c r="BA319" s="63" t="s">
        <v>775</v>
      </c>
      <c r="BC319" s="64">
        <f>AW319+AX319</f>
        <v>0</v>
      </c>
      <c r="BD319" s="64">
        <f>I319/(100-BE319)*100</f>
        <v>0</v>
      </c>
      <c r="BE319" s="64">
        <v>0</v>
      </c>
      <c r="BF319" s="64">
        <f>319</f>
        <v>319</v>
      </c>
      <c r="BH319" s="51">
        <f>H319*AO319</f>
        <v>0</v>
      </c>
      <c r="BI319" s="51">
        <f>H319*AP319</f>
        <v>0</v>
      </c>
      <c r="BJ319" s="51">
        <f>H319*I319</f>
        <v>0</v>
      </c>
      <c r="BK319" s="51" t="s">
        <v>781</v>
      </c>
      <c r="BL319" s="64">
        <v>766</v>
      </c>
    </row>
    <row r="320" spans="1:64" ht="12.75">
      <c r="A320" s="136" t="s">
        <v>203</v>
      </c>
      <c r="B320" s="137" t="s">
        <v>267</v>
      </c>
      <c r="C320" s="237" t="s">
        <v>668</v>
      </c>
      <c r="D320" s="238"/>
      <c r="E320" s="238"/>
      <c r="F320" s="238"/>
      <c r="G320" s="137" t="s">
        <v>715</v>
      </c>
      <c r="H320" s="138">
        <v>144</v>
      </c>
      <c r="I320" s="138">
        <v>0</v>
      </c>
      <c r="J320" s="138">
        <f>H320*AO320</f>
        <v>0</v>
      </c>
      <c r="K320" s="138">
        <f>H320*AP320</f>
        <v>0</v>
      </c>
      <c r="L320" s="138">
        <f>H320*I320</f>
        <v>0</v>
      </c>
      <c r="M320" s="139" t="s">
        <v>267</v>
      </c>
      <c r="N320" s="18"/>
      <c r="Z320" s="64">
        <f>IF(AQ320="5",BJ320,0)</f>
        <v>0</v>
      </c>
      <c r="AB320" s="64">
        <f>IF(AQ320="1",BH320,0)</f>
        <v>0</v>
      </c>
      <c r="AC320" s="64">
        <f>IF(AQ320="1",BI320,0)</f>
        <v>0</v>
      </c>
      <c r="AD320" s="64">
        <f>IF(AQ320="7",BH320,0)</f>
        <v>0</v>
      </c>
      <c r="AE320" s="64">
        <f>IF(AQ320="7",BI320,0)</f>
        <v>0</v>
      </c>
      <c r="AF320" s="64">
        <f>IF(AQ320="2",BH320,0)</f>
        <v>0</v>
      </c>
      <c r="AG320" s="64">
        <f>IF(AQ320="2",BI320,0)</f>
        <v>0</v>
      </c>
      <c r="AH320" s="64">
        <f>IF(AQ320="0",BJ320,0)</f>
        <v>0</v>
      </c>
      <c r="AI320" s="63"/>
      <c r="AJ320" s="51">
        <f>IF(AN320=0,L320,0)</f>
        <v>0</v>
      </c>
      <c r="AK320" s="51">
        <f>IF(AN320=15,L320,0)</f>
        <v>0</v>
      </c>
      <c r="AL320" s="51">
        <f>IF(AN320=21,L320,0)</f>
        <v>0</v>
      </c>
      <c r="AN320" s="64">
        <v>15</v>
      </c>
      <c r="AO320" s="64">
        <f>I320*1</f>
        <v>0</v>
      </c>
      <c r="AP320" s="64">
        <f>I320*(1-1)</f>
        <v>0</v>
      </c>
      <c r="AQ320" s="66" t="s">
        <v>80</v>
      </c>
      <c r="AV320" s="64">
        <f>AW320+AX320</f>
        <v>0</v>
      </c>
      <c r="AW320" s="64">
        <f>H320*AO320</f>
        <v>0</v>
      </c>
      <c r="AX320" s="64">
        <f>H320*AP320</f>
        <v>0</v>
      </c>
      <c r="AY320" s="67" t="s">
        <v>761</v>
      </c>
      <c r="AZ320" s="67" t="s">
        <v>773</v>
      </c>
      <c r="BA320" s="63" t="s">
        <v>775</v>
      </c>
      <c r="BC320" s="64">
        <f>AW320+AX320</f>
        <v>0</v>
      </c>
      <c r="BD320" s="64">
        <f>I320/(100-BE320)*100</f>
        <v>0</v>
      </c>
      <c r="BE320" s="64">
        <v>0</v>
      </c>
      <c r="BF320" s="64">
        <f>320</f>
        <v>320</v>
      </c>
      <c r="BH320" s="51">
        <f>H320*AO320</f>
        <v>0</v>
      </c>
      <c r="BI320" s="51">
        <f>H320*AP320</f>
        <v>0</v>
      </c>
      <c r="BJ320" s="51">
        <f>H320*I320</f>
        <v>0</v>
      </c>
      <c r="BK320" s="51" t="s">
        <v>781</v>
      </c>
      <c r="BL320" s="64">
        <v>766</v>
      </c>
    </row>
    <row r="321" spans="1:14" ht="12.75">
      <c r="A321" s="140"/>
      <c r="B321" s="141"/>
      <c r="C321" s="142" t="s">
        <v>217</v>
      </c>
      <c r="F321" s="142"/>
      <c r="G321" s="141"/>
      <c r="H321" s="143">
        <v>144</v>
      </c>
      <c r="I321" s="141"/>
      <c r="J321" s="141"/>
      <c r="K321" s="141"/>
      <c r="L321" s="141"/>
      <c r="M321" s="144"/>
      <c r="N321" s="18"/>
    </row>
    <row r="322" spans="1:64" ht="12.75">
      <c r="A322" s="82" t="s">
        <v>204</v>
      </c>
      <c r="B322" s="82" t="s">
        <v>354</v>
      </c>
      <c r="C322" s="229" t="s">
        <v>669</v>
      </c>
      <c r="D322" s="230"/>
      <c r="E322" s="230"/>
      <c r="F322" s="231"/>
      <c r="G322" s="82" t="s">
        <v>716</v>
      </c>
      <c r="H322" s="88">
        <v>410.4</v>
      </c>
      <c r="I322" s="88">
        <v>0</v>
      </c>
      <c r="J322" s="88">
        <f>H322*AO322</f>
        <v>0</v>
      </c>
      <c r="K322" s="88">
        <f>H322*AP322</f>
        <v>0</v>
      </c>
      <c r="L322" s="88">
        <f>H322*I322</f>
        <v>0</v>
      </c>
      <c r="M322" s="78" t="s">
        <v>732</v>
      </c>
      <c r="N322" s="72"/>
      <c r="Z322" s="64">
        <f>IF(AQ322="5",BJ322,0)</f>
        <v>0</v>
      </c>
      <c r="AB322" s="64">
        <f>IF(AQ322="1",BH322,0)</f>
        <v>0</v>
      </c>
      <c r="AC322" s="64">
        <f>IF(AQ322="1",BI322,0)</f>
        <v>0</v>
      </c>
      <c r="AD322" s="64">
        <f>IF(AQ322="7",BH322,0)</f>
        <v>0</v>
      </c>
      <c r="AE322" s="64">
        <f>IF(AQ322="7",BI322,0)</f>
        <v>0</v>
      </c>
      <c r="AF322" s="64">
        <f>IF(AQ322="2",BH322,0)</f>
        <v>0</v>
      </c>
      <c r="AG322" s="64">
        <f>IF(AQ322="2",BI322,0)</f>
        <v>0</v>
      </c>
      <c r="AH322" s="64">
        <f>IF(AQ322="0",BJ322,0)</f>
        <v>0</v>
      </c>
      <c r="AI322" s="63"/>
      <c r="AJ322" s="49">
        <f>IF(AN322=0,L322,0)</f>
        <v>0</v>
      </c>
      <c r="AK322" s="49">
        <f>IF(AN322=15,L322,0)</f>
        <v>0</v>
      </c>
      <c r="AL322" s="49">
        <f>IF(AN322=21,L322,0)</f>
        <v>0</v>
      </c>
      <c r="AN322" s="64">
        <v>15</v>
      </c>
      <c r="AO322" s="64">
        <f>I322*0.361292775665399</f>
        <v>0</v>
      </c>
      <c r="AP322" s="64">
        <f>I322*(1-0.361292775665399)</f>
        <v>0</v>
      </c>
      <c r="AQ322" s="65" t="s">
        <v>80</v>
      </c>
      <c r="AV322" s="64">
        <f>AW322+AX322</f>
        <v>0</v>
      </c>
      <c r="AW322" s="64">
        <f>H322*AO322</f>
        <v>0</v>
      </c>
      <c r="AX322" s="64">
        <f>H322*AP322</f>
        <v>0</v>
      </c>
      <c r="AY322" s="67" t="s">
        <v>761</v>
      </c>
      <c r="AZ322" s="67" t="s">
        <v>773</v>
      </c>
      <c r="BA322" s="63" t="s">
        <v>775</v>
      </c>
      <c r="BC322" s="64">
        <f>AW322+AX322</f>
        <v>0</v>
      </c>
      <c r="BD322" s="64">
        <f>I322/(100-BE322)*100</f>
        <v>0</v>
      </c>
      <c r="BE322" s="64">
        <v>0</v>
      </c>
      <c r="BF322" s="64">
        <f>322</f>
        <v>322</v>
      </c>
      <c r="BH322" s="49">
        <f>H322*AO322</f>
        <v>0</v>
      </c>
      <c r="BI322" s="49">
        <f>H322*AP322</f>
        <v>0</v>
      </c>
      <c r="BJ322" s="49">
        <f>H322*I322</f>
        <v>0</v>
      </c>
      <c r="BK322" s="49" t="s">
        <v>780</v>
      </c>
      <c r="BL322" s="64">
        <v>766</v>
      </c>
    </row>
    <row r="323" spans="1:14" ht="12.75">
      <c r="A323" s="90"/>
      <c r="B323" s="91"/>
      <c r="C323" s="84" t="s">
        <v>670</v>
      </c>
      <c r="F323" s="92"/>
      <c r="G323" s="91"/>
      <c r="H323" s="93">
        <v>0</v>
      </c>
      <c r="I323" s="91"/>
      <c r="J323" s="91"/>
      <c r="K323" s="91"/>
      <c r="L323" s="91"/>
      <c r="M323" s="80"/>
      <c r="N323" s="72"/>
    </row>
    <row r="324" spans="1:14" ht="12.75">
      <c r="A324" s="90"/>
      <c r="B324" s="91"/>
      <c r="C324" s="84" t="s">
        <v>671</v>
      </c>
      <c r="F324" s="92"/>
      <c r="G324" s="91"/>
      <c r="H324" s="93">
        <v>410.4</v>
      </c>
      <c r="I324" s="91"/>
      <c r="J324" s="91"/>
      <c r="K324" s="91"/>
      <c r="L324" s="91"/>
      <c r="M324" s="80"/>
      <c r="N324" s="72"/>
    </row>
    <row r="325" spans="1:64" ht="12.75">
      <c r="A325" s="82" t="s">
        <v>205</v>
      </c>
      <c r="B325" s="82" t="s">
        <v>355</v>
      </c>
      <c r="C325" s="229" t="s">
        <v>672</v>
      </c>
      <c r="D325" s="230"/>
      <c r="E325" s="230"/>
      <c r="F325" s="231"/>
      <c r="G325" s="82" t="s">
        <v>715</v>
      </c>
      <c r="H325" s="88">
        <v>72</v>
      </c>
      <c r="I325" s="88">
        <v>0</v>
      </c>
      <c r="J325" s="88">
        <f>H325*AO325</f>
        <v>0</v>
      </c>
      <c r="K325" s="88">
        <f>H325*AP325</f>
        <v>0</v>
      </c>
      <c r="L325" s="88">
        <f>H325*I325</f>
        <v>0</v>
      </c>
      <c r="M325" s="78" t="s">
        <v>732</v>
      </c>
      <c r="N325" s="72"/>
      <c r="Z325" s="64">
        <f>IF(AQ325="5",BJ325,0)</f>
        <v>0</v>
      </c>
      <c r="AB325" s="64">
        <f>IF(AQ325="1",BH325,0)</f>
        <v>0</v>
      </c>
      <c r="AC325" s="64">
        <f>IF(AQ325="1",BI325,0)</f>
        <v>0</v>
      </c>
      <c r="AD325" s="64">
        <f>IF(AQ325="7",BH325,0)</f>
        <v>0</v>
      </c>
      <c r="AE325" s="64">
        <f>IF(AQ325="7",BI325,0)</f>
        <v>0</v>
      </c>
      <c r="AF325" s="64">
        <f>IF(AQ325="2",BH325,0)</f>
        <v>0</v>
      </c>
      <c r="AG325" s="64">
        <f>IF(AQ325="2",BI325,0)</f>
        <v>0</v>
      </c>
      <c r="AH325" s="64">
        <f>IF(AQ325="0",BJ325,0)</f>
        <v>0</v>
      </c>
      <c r="AI325" s="63"/>
      <c r="AJ325" s="49">
        <f>IF(AN325=0,L325,0)</f>
        <v>0</v>
      </c>
      <c r="AK325" s="49">
        <f>IF(AN325=15,L325,0)</f>
        <v>0</v>
      </c>
      <c r="AL325" s="49">
        <f>IF(AN325=21,L325,0)</f>
        <v>0</v>
      </c>
      <c r="AN325" s="64">
        <v>15</v>
      </c>
      <c r="AO325" s="64">
        <f>I325*0.0228598848368522</f>
        <v>0</v>
      </c>
      <c r="AP325" s="64">
        <f>I325*(1-0.0228598848368522)</f>
        <v>0</v>
      </c>
      <c r="AQ325" s="65" t="s">
        <v>80</v>
      </c>
      <c r="AV325" s="64">
        <f>AW325+AX325</f>
        <v>0</v>
      </c>
      <c r="AW325" s="64">
        <f>H325*AO325</f>
        <v>0</v>
      </c>
      <c r="AX325" s="64">
        <f>H325*AP325</f>
        <v>0</v>
      </c>
      <c r="AY325" s="67" t="s">
        <v>761</v>
      </c>
      <c r="AZ325" s="67" t="s">
        <v>773</v>
      </c>
      <c r="BA325" s="63" t="s">
        <v>775</v>
      </c>
      <c r="BC325" s="64">
        <f>AW325+AX325</f>
        <v>0</v>
      </c>
      <c r="BD325" s="64">
        <f>I325/(100-BE325)*100</f>
        <v>0</v>
      </c>
      <c r="BE325" s="64">
        <v>0</v>
      </c>
      <c r="BF325" s="64">
        <f>325</f>
        <v>325</v>
      </c>
      <c r="BH325" s="49">
        <f>H325*AO325</f>
        <v>0</v>
      </c>
      <c r="BI325" s="49">
        <f>H325*AP325</f>
        <v>0</v>
      </c>
      <c r="BJ325" s="49">
        <f>H325*I325</f>
        <v>0</v>
      </c>
      <c r="BK325" s="49" t="s">
        <v>780</v>
      </c>
      <c r="BL325" s="64">
        <v>766</v>
      </c>
    </row>
    <row r="326" spans="1:64" ht="12.75">
      <c r="A326" s="120" t="s">
        <v>206</v>
      </c>
      <c r="B326" s="120" t="s">
        <v>783</v>
      </c>
      <c r="C326" s="243" t="s">
        <v>784</v>
      </c>
      <c r="D326" s="238"/>
      <c r="E326" s="238"/>
      <c r="F326" s="242"/>
      <c r="G326" s="120" t="s">
        <v>716</v>
      </c>
      <c r="H326" s="129">
        <v>108</v>
      </c>
      <c r="I326" s="129">
        <v>0</v>
      </c>
      <c r="J326" s="129">
        <f>H326*AO326</f>
        <v>0</v>
      </c>
      <c r="K326" s="129">
        <f>H326*AP326</f>
        <v>0</v>
      </c>
      <c r="L326" s="129">
        <f>H326*I326</f>
        <v>0</v>
      </c>
      <c r="M326" s="115" t="s">
        <v>732</v>
      </c>
      <c r="N326" s="72"/>
      <c r="Z326" s="64">
        <f>IF(AQ326="5",BJ326,0)</f>
        <v>0</v>
      </c>
      <c r="AB326" s="64">
        <f>IF(AQ326="1",BH326,0)</f>
        <v>0</v>
      </c>
      <c r="AC326" s="64">
        <f>IF(AQ326="1",BI326,0)</f>
        <v>0</v>
      </c>
      <c r="AD326" s="64">
        <f>IF(AQ326="7",BH326,0)</f>
        <v>0</v>
      </c>
      <c r="AE326" s="64">
        <f>IF(AQ326="7",BI326,0)</f>
        <v>0</v>
      </c>
      <c r="AF326" s="64">
        <f>IF(AQ326="2",BH326,0)</f>
        <v>0</v>
      </c>
      <c r="AG326" s="64">
        <f>IF(AQ326="2",BI326,0)</f>
        <v>0</v>
      </c>
      <c r="AH326" s="64">
        <f>IF(AQ326="0",BJ326,0)</f>
        <v>0</v>
      </c>
      <c r="AI326" s="63"/>
      <c r="AJ326" s="51">
        <f>IF(AN326=0,L326,0)</f>
        <v>0</v>
      </c>
      <c r="AK326" s="51">
        <f>IF(AN326=15,L326,0)</f>
        <v>0</v>
      </c>
      <c r="AL326" s="51">
        <f>IF(AN326=21,L326,0)</f>
        <v>0</v>
      </c>
      <c r="AN326" s="64">
        <v>15</v>
      </c>
      <c r="AO326" s="64">
        <f>I326*1</f>
        <v>0</v>
      </c>
      <c r="AP326" s="64">
        <f>I326*(1-1)</f>
        <v>0</v>
      </c>
      <c r="AQ326" s="66" t="s">
        <v>80</v>
      </c>
      <c r="AV326" s="64">
        <f>AW326+AX326</f>
        <v>0</v>
      </c>
      <c r="AW326" s="64">
        <f>H326*AO326</f>
        <v>0</v>
      </c>
      <c r="AX326" s="64">
        <f>H326*AP326</f>
        <v>0</v>
      </c>
      <c r="AY326" s="67" t="s">
        <v>761</v>
      </c>
      <c r="AZ326" s="67" t="s">
        <v>773</v>
      </c>
      <c r="BA326" s="63" t="s">
        <v>775</v>
      </c>
      <c r="BC326" s="64">
        <f>AW326+AX326</f>
        <v>0</v>
      </c>
      <c r="BD326" s="64">
        <f>I326/(100-BE326)*100</f>
        <v>0</v>
      </c>
      <c r="BE326" s="64">
        <v>0</v>
      </c>
      <c r="BF326" s="64">
        <f>326</f>
        <v>326</v>
      </c>
      <c r="BH326" s="51">
        <f>H326*AO326</f>
        <v>0</v>
      </c>
      <c r="BI326" s="51">
        <f>H326*AP326</f>
        <v>0</v>
      </c>
      <c r="BJ326" s="51">
        <f>H326*I326</f>
        <v>0</v>
      </c>
      <c r="BK326" s="51" t="s">
        <v>781</v>
      </c>
      <c r="BL326" s="64">
        <v>766</v>
      </c>
    </row>
    <row r="327" spans="1:64" ht="12.75">
      <c r="A327" s="120" t="s">
        <v>207</v>
      </c>
      <c r="B327" s="120" t="s">
        <v>356</v>
      </c>
      <c r="C327" s="243" t="s">
        <v>673</v>
      </c>
      <c r="D327" s="238"/>
      <c r="E327" s="238"/>
      <c r="F327" s="242"/>
      <c r="G327" s="120" t="s">
        <v>715</v>
      </c>
      <c r="H327" s="129">
        <v>144</v>
      </c>
      <c r="I327" s="129">
        <v>0</v>
      </c>
      <c r="J327" s="129">
        <f>H327*AO327</f>
        <v>0</v>
      </c>
      <c r="K327" s="129">
        <f>H327*AP327</f>
        <v>0</v>
      </c>
      <c r="L327" s="129">
        <f>H327*I327</f>
        <v>0</v>
      </c>
      <c r="M327" s="115" t="s">
        <v>732</v>
      </c>
      <c r="N327" s="72"/>
      <c r="Z327" s="64">
        <f>IF(AQ327="5",BJ327,0)</f>
        <v>0</v>
      </c>
      <c r="AB327" s="64">
        <f>IF(AQ327="1",BH327,0)</f>
        <v>0</v>
      </c>
      <c r="AC327" s="64">
        <f>IF(AQ327="1",BI327,0)</f>
        <v>0</v>
      </c>
      <c r="AD327" s="64">
        <f>IF(AQ327="7",BH327,0)</f>
        <v>0</v>
      </c>
      <c r="AE327" s="64">
        <f>IF(AQ327="7",BI327,0)</f>
        <v>0</v>
      </c>
      <c r="AF327" s="64">
        <f>IF(AQ327="2",BH327,0)</f>
        <v>0</v>
      </c>
      <c r="AG327" s="64">
        <f>IF(AQ327="2",BI327,0)</f>
        <v>0</v>
      </c>
      <c r="AH327" s="64">
        <f>IF(AQ327="0",BJ327,0)</f>
        <v>0</v>
      </c>
      <c r="AI327" s="63"/>
      <c r="AJ327" s="51">
        <f>IF(AN327=0,L327,0)</f>
        <v>0</v>
      </c>
      <c r="AK327" s="51">
        <f>IF(AN327=15,L327,0)</f>
        <v>0</v>
      </c>
      <c r="AL327" s="51">
        <f>IF(AN327=21,L327,0)</f>
        <v>0</v>
      </c>
      <c r="AN327" s="64">
        <v>15</v>
      </c>
      <c r="AO327" s="64">
        <f>I327*1</f>
        <v>0</v>
      </c>
      <c r="AP327" s="64">
        <f>I327*(1-1)</f>
        <v>0</v>
      </c>
      <c r="AQ327" s="66" t="s">
        <v>80</v>
      </c>
      <c r="AV327" s="64">
        <f>AW327+AX327</f>
        <v>0</v>
      </c>
      <c r="AW327" s="64">
        <f>H327*AO327</f>
        <v>0</v>
      </c>
      <c r="AX327" s="64">
        <f>H327*AP327</f>
        <v>0</v>
      </c>
      <c r="AY327" s="67" t="s">
        <v>761</v>
      </c>
      <c r="AZ327" s="67" t="s">
        <v>773</v>
      </c>
      <c r="BA327" s="63" t="s">
        <v>775</v>
      </c>
      <c r="BC327" s="64">
        <f>AW327+AX327</f>
        <v>0</v>
      </c>
      <c r="BD327" s="64">
        <f>I327/(100-BE327)*100</f>
        <v>0</v>
      </c>
      <c r="BE327" s="64">
        <v>0</v>
      </c>
      <c r="BF327" s="64">
        <f>327</f>
        <v>327</v>
      </c>
      <c r="BH327" s="51">
        <f>H327*AO327</f>
        <v>0</v>
      </c>
      <c r="BI327" s="51">
        <f>H327*AP327</f>
        <v>0</v>
      </c>
      <c r="BJ327" s="51">
        <f>H327*I327</f>
        <v>0</v>
      </c>
      <c r="BK327" s="51" t="s">
        <v>781</v>
      </c>
      <c r="BL327" s="64">
        <v>766</v>
      </c>
    </row>
    <row r="328" spans="1:64" ht="12.75">
      <c r="A328" s="75" t="s">
        <v>208</v>
      </c>
      <c r="B328" s="75" t="s">
        <v>357</v>
      </c>
      <c r="C328" s="240" t="s">
        <v>674</v>
      </c>
      <c r="D328" s="230"/>
      <c r="E328" s="230"/>
      <c r="F328" s="234"/>
      <c r="G328" s="75" t="s">
        <v>719</v>
      </c>
      <c r="H328" s="76">
        <v>3.1628</v>
      </c>
      <c r="I328" s="76">
        <v>0</v>
      </c>
      <c r="J328" s="76">
        <f>H328*AO328</f>
        <v>0</v>
      </c>
      <c r="K328" s="76">
        <f>H328*AP328</f>
        <v>0</v>
      </c>
      <c r="L328" s="76">
        <f>H328*I328</f>
        <v>0</v>
      </c>
      <c r="M328" s="79" t="s">
        <v>733</v>
      </c>
      <c r="N328" s="72"/>
      <c r="Z328" s="64">
        <f>IF(AQ328="5",BJ328,0)</f>
        <v>0</v>
      </c>
      <c r="AB328" s="64">
        <f>IF(AQ328="1",BH328,0)</f>
        <v>0</v>
      </c>
      <c r="AC328" s="64">
        <f>IF(AQ328="1",BI328,0)</f>
        <v>0</v>
      </c>
      <c r="AD328" s="64">
        <f>IF(AQ328="7",BH328,0)</f>
        <v>0</v>
      </c>
      <c r="AE328" s="64">
        <f>IF(AQ328="7",BI328,0)</f>
        <v>0</v>
      </c>
      <c r="AF328" s="64">
        <f>IF(AQ328="2",BH328,0)</f>
        <v>0</v>
      </c>
      <c r="AG328" s="64">
        <f>IF(AQ328="2",BI328,0)</f>
        <v>0</v>
      </c>
      <c r="AH328" s="64">
        <f>IF(AQ328="0",BJ328,0)</f>
        <v>0</v>
      </c>
      <c r="AI328" s="63"/>
      <c r="AJ328" s="49">
        <f>IF(AN328=0,L328,0)</f>
        <v>0</v>
      </c>
      <c r="AK328" s="49">
        <f>IF(AN328=15,L328,0)</f>
        <v>0</v>
      </c>
      <c r="AL328" s="49">
        <f>IF(AN328=21,L328,0)</f>
        <v>0</v>
      </c>
      <c r="AN328" s="64">
        <v>15</v>
      </c>
      <c r="AO328" s="64">
        <f>I328*0</f>
        <v>0</v>
      </c>
      <c r="AP328" s="64">
        <f>I328*(1-0)</f>
        <v>0</v>
      </c>
      <c r="AQ328" s="65" t="s">
        <v>78</v>
      </c>
      <c r="AV328" s="64">
        <f>AW328+AX328</f>
        <v>0</v>
      </c>
      <c r="AW328" s="64">
        <f>H328*AO328</f>
        <v>0</v>
      </c>
      <c r="AX328" s="64">
        <f>H328*AP328</f>
        <v>0</v>
      </c>
      <c r="AY328" s="67" t="s">
        <v>761</v>
      </c>
      <c r="AZ328" s="67" t="s">
        <v>773</v>
      </c>
      <c r="BA328" s="63" t="s">
        <v>775</v>
      </c>
      <c r="BC328" s="64">
        <f>AW328+AX328</f>
        <v>0</v>
      </c>
      <c r="BD328" s="64">
        <f>I328/(100-BE328)*100</f>
        <v>0</v>
      </c>
      <c r="BE328" s="64">
        <v>0</v>
      </c>
      <c r="BF328" s="64">
        <f>328</f>
        <v>328</v>
      </c>
      <c r="BH328" s="49">
        <f>H328*AO328</f>
        <v>0</v>
      </c>
      <c r="BI328" s="49">
        <f>H328*AP328</f>
        <v>0</v>
      </c>
      <c r="BJ328" s="49">
        <f>H328*I328</f>
        <v>0</v>
      </c>
      <c r="BK328" s="49" t="s">
        <v>780</v>
      </c>
      <c r="BL328" s="64">
        <v>766</v>
      </c>
    </row>
    <row r="329" spans="1:47" ht="12.75">
      <c r="A329" s="34"/>
      <c r="B329" s="41" t="s">
        <v>358</v>
      </c>
      <c r="C329" s="235" t="s">
        <v>675</v>
      </c>
      <c r="D329" s="236"/>
      <c r="E329" s="236"/>
      <c r="F329" s="236"/>
      <c r="G329" s="47" t="s">
        <v>73</v>
      </c>
      <c r="H329" s="47" t="s">
        <v>73</v>
      </c>
      <c r="I329" s="47" t="s">
        <v>73</v>
      </c>
      <c r="J329" s="70">
        <f>SUM(J330:J336)</f>
        <v>0</v>
      </c>
      <c r="K329" s="70">
        <f>SUM(K330:K336)</f>
        <v>0</v>
      </c>
      <c r="L329" s="70">
        <f>SUM(L330:L336)</f>
        <v>0</v>
      </c>
      <c r="M329" s="60"/>
      <c r="N329" s="18"/>
      <c r="AI329" s="63"/>
      <c r="AS329" s="70">
        <f>SUM(AJ330:AJ336)</f>
        <v>0</v>
      </c>
      <c r="AT329" s="70">
        <f>SUM(AK330:AK336)</f>
        <v>0</v>
      </c>
      <c r="AU329" s="70">
        <f>SUM(AL330:AL336)</f>
        <v>0</v>
      </c>
    </row>
    <row r="330" spans="1:64" ht="12.75">
      <c r="A330" s="82" t="s">
        <v>209</v>
      </c>
      <c r="B330" s="82" t="s">
        <v>359</v>
      </c>
      <c r="C330" s="229" t="s">
        <v>676</v>
      </c>
      <c r="D330" s="230"/>
      <c r="E330" s="230"/>
      <c r="F330" s="231"/>
      <c r="G330" s="82" t="s">
        <v>716</v>
      </c>
      <c r="H330" s="88">
        <v>15</v>
      </c>
      <c r="I330" s="88">
        <v>0</v>
      </c>
      <c r="J330" s="88">
        <f>H330*AO330</f>
        <v>0</v>
      </c>
      <c r="K330" s="88">
        <f>H330*AP330</f>
        <v>0</v>
      </c>
      <c r="L330" s="88">
        <f>H330*I330</f>
        <v>0</v>
      </c>
      <c r="M330" s="78" t="s">
        <v>732</v>
      </c>
      <c r="N330" s="72"/>
      <c r="Z330" s="64">
        <f>IF(AQ330="5",BJ330,0)</f>
        <v>0</v>
      </c>
      <c r="AB330" s="64">
        <f>IF(AQ330="1",BH330,0)</f>
        <v>0</v>
      </c>
      <c r="AC330" s="64">
        <f>IF(AQ330="1",BI330,0)</f>
        <v>0</v>
      </c>
      <c r="AD330" s="64">
        <f>IF(AQ330="7",BH330,0)</f>
        <v>0</v>
      </c>
      <c r="AE330" s="64">
        <f>IF(AQ330="7",BI330,0)</f>
        <v>0</v>
      </c>
      <c r="AF330" s="64">
        <f>IF(AQ330="2",BH330,0)</f>
        <v>0</v>
      </c>
      <c r="AG330" s="64">
        <f>IF(AQ330="2",BI330,0)</f>
        <v>0</v>
      </c>
      <c r="AH330" s="64">
        <f>IF(AQ330="0",BJ330,0)</f>
        <v>0</v>
      </c>
      <c r="AI330" s="63"/>
      <c r="AJ330" s="49">
        <f>IF(AN330=0,L330,0)</f>
        <v>0</v>
      </c>
      <c r="AK330" s="49">
        <f>IF(AN330=15,L330,0)</f>
        <v>0</v>
      </c>
      <c r="AL330" s="49">
        <f>IF(AN330=21,L330,0)</f>
        <v>0</v>
      </c>
      <c r="AN330" s="64">
        <v>15</v>
      </c>
      <c r="AO330" s="64">
        <f>I330*0</f>
        <v>0</v>
      </c>
      <c r="AP330" s="64">
        <f>I330*(1-0)</f>
        <v>0</v>
      </c>
      <c r="AQ330" s="65" t="s">
        <v>80</v>
      </c>
      <c r="AV330" s="64">
        <f>AW330+AX330</f>
        <v>0</v>
      </c>
      <c r="AW330" s="64">
        <f>H330*AO330</f>
        <v>0</v>
      </c>
      <c r="AX330" s="64">
        <f>H330*AP330</f>
        <v>0</v>
      </c>
      <c r="AY330" s="67" t="s">
        <v>762</v>
      </c>
      <c r="AZ330" s="67" t="s">
        <v>773</v>
      </c>
      <c r="BA330" s="63" t="s">
        <v>775</v>
      </c>
      <c r="BC330" s="64">
        <f>AW330+AX330</f>
        <v>0</v>
      </c>
      <c r="BD330" s="64">
        <f>I330/(100-BE330)*100</f>
        <v>0</v>
      </c>
      <c r="BE330" s="64">
        <v>0</v>
      </c>
      <c r="BF330" s="64">
        <f>330</f>
        <v>330</v>
      </c>
      <c r="BH330" s="49">
        <f>H330*AO330</f>
        <v>0</v>
      </c>
      <c r="BI330" s="49">
        <f>H330*AP330</f>
        <v>0</v>
      </c>
      <c r="BJ330" s="49">
        <f>H330*I330</f>
        <v>0</v>
      </c>
      <c r="BK330" s="49" t="s">
        <v>780</v>
      </c>
      <c r="BL330" s="64">
        <v>767</v>
      </c>
    </row>
    <row r="331" spans="1:14" ht="12.75">
      <c r="A331" s="90"/>
      <c r="B331" s="91"/>
      <c r="C331" s="84" t="s">
        <v>677</v>
      </c>
      <c r="F331" s="92"/>
      <c r="G331" s="91"/>
      <c r="H331" s="93">
        <v>0</v>
      </c>
      <c r="I331" s="91"/>
      <c r="J331" s="91"/>
      <c r="K331" s="91"/>
      <c r="L331" s="91"/>
      <c r="M331" s="80"/>
      <c r="N331" s="72"/>
    </row>
    <row r="332" spans="1:14" ht="12.75">
      <c r="A332" s="90"/>
      <c r="B332" s="91"/>
      <c r="C332" s="84" t="s">
        <v>678</v>
      </c>
      <c r="F332" s="92"/>
      <c r="G332" s="91"/>
      <c r="H332" s="93">
        <v>15</v>
      </c>
      <c r="I332" s="91"/>
      <c r="J332" s="91"/>
      <c r="K332" s="91"/>
      <c r="L332" s="91"/>
      <c r="M332" s="80"/>
      <c r="N332" s="72"/>
    </row>
    <row r="333" spans="1:64" ht="12.75">
      <c r="A333" s="82" t="s">
        <v>210</v>
      </c>
      <c r="B333" s="82" t="s">
        <v>360</v>
      </c>
      <c r="C333" s="229" t="s">
        <v>679</v>
      </c>
      <c r="D333" s="230"/>
      <c r="E333" s="230"/>
      <c r="F333" s="231"/>
      <c r="G333" s="82" t="s">
        <v>721</v>
      </c>
      <c r="H333" s="88">
        <v>125</v>
      </c>
      <c r="I333" s="88">
        <v>0</v>
      </c>
      <c r="J333" s="88">
        <f>H333*AO333</f>
        <v>0</v>
      </c>
      <c r="K333" s="88">
        <f>H333*AP333</f>
        <v>0</v>
      </c>
      <c r="L333" s="88">
        <f>H333*I333</f>
        <v>0</v>
      </c>
      <c r="M333" s="78" t="s">
        <v>732</v>
      </c>
      <c r="N333" s="72"/>
      <c r="Z333" s="64">
        <f>IF(AQ333="5",BJ333,0)</f>
        <v>0</v>
      </c>
      <c r="AB333" s="64">
        <f>IF(AQ333="1",BH333,0)</f>
        <v>0</v>
      </c>
      <c r="AC333" s="64">
        <f>IF(AQ333="1",BI333,0)</f>
        <v>0</v>
      </c>
      <c r="AD333" s="64">
        <f>IF(AQ333="7",BH333,0)</f>
        <v>0</v>
      </c>
      <c r="AE333" s="64">
        <f>IF(AQ333="7",BI333,0)</f>
        <v>0</v>
      </c>
      <c r="AF333" s="64">
        <f>IF(AQ333="2",BH333,0)</f>
        <v>0</v>
      </c>
      <c r="AG333" s="64">
        <f>IF(AQ333="2",BI333,0)</f>
        <v>0</v>
      </c>
      <c r="AH333" s="64">
        <f>IF(AQ333="0",BJ333,0)</f>
        <v>0</v>
      </c>
      <c r="AI333" s="63"/>
      <c r="AJ333" s="49">
        <f>IF(AN333=0,L333,0)</f>
        <v>0</v>
      </c>
      <c r="AK333" s="49">
        <f>IF(AN333=15,L333,0)</f>
        <v>0</v>
      </c>
      <c r="AL333" s="49">
        <f>IF(AN333=21,L333,0)</f>
        <v>0</v>
      </c>
      <c r="AN333" s="64">
        <v>15</v>
      </c>
      <c r="AO333" s="64">
        <f>I333*0.107070170781347</f>
        <v>0</v>
      </c>
      <c r="AP333" s="64">
        <f>I333*(1-0.107070170781347)</f>
        <v>0</v>
      </c>
      <c r="AQ333" s="65" t="s">
        <v>80</v>
      </c>
      <c r="AV333" s="64">
        <f>AW333+AX333</f>
        <v>0</v>
      </c>
      <c r="AW333" s="64">
        <f>H333*AO333</f>
        <v>0</v>
      </c>
      <c r="AX333" s="64">
        <f>H333*AP333</f>
        <v>0</v>
      </c>
      <c r="AY333" s="67" t="s">
        <v>762</v>
      </c>
      <c r="AZ333" s="67" t="s">
        <v>773</v>
      </c>
      <c r="BA333" s="63" t="s">
        <v>775</v>
      </c>
      <c r="BC333" s="64">
        <f>AW333+AX333</f>
        <v>0</v>
      </c>
      <c r="BD333" s="64">
        <f>I333/(100-BE333)*100</f>
        <v>0</v>
      </c>
      <c r="BE333" s="64">
        <v>0</v>
      </c>
      <c r="BF333" s="64">
        <f>333</f>
        <v>333</v>
      </c>
      <c r="BH333" s="49">
        <f>H333*AO333</f>
        <v>0</v>
      </c>
      <c r="BI333" s="49">
        <f>H333*AP333</f>
        <v>0</v>
      </c>
      <c r="BJ333" s="49">
        <f>H333*I333</f>
        <v>0</v>
      </c>
      <c r="BK333" s="49" t="s">
        <v>780</v>
      </c>
      <c r="BL333" s="64">
        <v>767</v>
      </c>
    </row>
    <row r="334" spans="1:64" ht="12.75">
      <c r="A334" s="165" t="s">
        <v>211</v>
      </c>
      <c r="B334" s="165" t="s">
        <v>267</v>
      </c>
      <c r="C334" s="241" t="s">
        <v>680</v>
      </c>
      <c r="D334" s="238"/>
      <c r="E334" s="238"/>
      <c r="F334" s="242"/>
      <c r="G334" s="165" t="s">
        <v>718</v>
      </c>
      <c r="H334" s="166">
        <v>8</v>
      </c>
      <c r="I334" s="166">
        <v>0</v>
      </c>
      <c r="J334" s="166">
        <f>H334*AO334</f>
        <v>0</v>
      </c>
      <c r="K334" s="166">
        <f>H334*AP334</f>
        <v>0</v>
      </c>
      <c r="L334" s="166">
        <f>H334*I334</f>
        <v>0</v>
      </c>
      <c r="M334" s="164" t="s">
        <v>267</v>
      </c>
      <c r="N334" s="72"/>
      <c r="Z334" s="64">
        <f>IF(AQ334="5",BJ334,0)</f>
        <v>0</v>
      </c>
      <c r="AB334" s="64">
        <f>IF(AQ334="1",BH334,0)</f>
        <v>0</v>
      </c>
      <c r="AC334" s="64">
        <f>IF(AQ334="1",BI334,0)</f>
        <v>0</v>
      </c>
      <c r="AD334" s="64">
        <f>IF(AQ334="7",BH334,0)</f>
        <v>0</v>
      </c>
      <c r="AE334" s="64">
        <f>IF(AQ334="7",BI334,0)</f>
        <v>0</v>
      </c>
      <c r="AF334" s="64">
        <f>IF(AQ334="2",BH334,0)</f>
        <v>0</v>
      </c>
      <c r="AG334" s="64">
        <f>IF(AQ334="2",BI334,0)</f>
        <v>0</v>
      </c>
      <c r="AH334" s="64">
        <f>IF(AQ334="0",BJ334,0)</f>
        <v>0</v>
      </c>
      <c r="AI334" s="63"/>
      <c r="AJ334" s="51">
        <f>IF(AN334=0,L334,0)</f>
        <v>0</v>
      </c>
      <c r="AK334" s="51">
        <f>IF(AN334=15,L334,0)</f>
        <v>0</v>
      </c>
      <c r="AL334" s="51">
        <f>IF(AN334=21,L334,0)</f>
        <v>0</v>
      </c>
      <c r="AN334" s="64">
        <v>15</v>
      </c>
      <c r="AO334" s="64">
        <f>I334*1</f>
        <v>0</v>
      </c>
      <c r="AP334" s="64">
        <f>I334*(1-1)</f>
        <v>0</v>
      </c>
      <c r="AQ334" s="66" t="s">
        <v>80</v>
      </c>
      <c r="AV334" s="64">
        <f>AW334+AX334</f>
        <v>0</v>
      </c>
      <c r="AW334" s="64">
        <f>H334*AO334</f>
        <v>0</v>
      </c>
      <c r="AX334" s="64">
        <f>H334*AP334</f>
        <v>0</v>
      </c>
      <c r="AY334" s="67" t="s">
        <v>762</v>
      </c>
      <c r="AZ334" s="67" t="s">
        <v>773</v>
      </c>
      <c r="BA334" s="63" t="s">
        <v>775</v>
      </c>
      <c r="BC334" s="64">
        <f>AW334+AX334</f>
        <v>0</v>
      </c>
      <c r="BD334" s="64">
        <f>I334/(100-BE334)*100</f>
        <v>0</v>
      </c>
      <c r="BE334" s="64">
        <v>0</v>
      </c>
      <c r="BF334" s="64">
        <f>334</f>
        <v>334</v>
      </c>
      <c r="BH334" s="51">
        <f>H334*AO334</f>
        <v>0</v>
      </c>
      <c r="BI334" s="51">
        <f>H334*AP334</f>
        <v>0</v>
      </c>
      <c r="BJ334" s="51">
        <f>H334*I334</f>
        <v>0</v>
      </c>
      <c r="BK334" s="51" t="s">
        <v>781</v>
      </c>
      <c r="BL334" s="64">
        <v>767</v>
      </c>
    </row>
    <row r="335" spans="1:64" ht="12.75">
      <c r="A335" s="75" t="s">
        <v>212</v>
      </c>
      <c r="B335" s="75" t="s">
        <v>361</v>
      </c>
      <c r="C335" s="240" t="s">
        <v>681</v>
      </c>
      <c r="D335" s="230"/>
      <c r="E335" s="230"/>
      <c r="F335" s="234"/>
      <c r="G335" s="75" t="s">
        <v>721</v>
      </c>
      <c r="H335" s="76">
        <v>45.1</v>
      </c>
      <c r="I335" s="76">
        <v>0</v>
      </c>
      <c r="J335" s="76">
        <f>H335*AO335</f>
        <v>0</v>
      </c>
      <c r="K335" s="76">
        <f>H335*AP335</f>
        <v>0</v>
      </c>
      <c r="L335" s="76">
        <f>H335*I335</f>
        <v>0</v>
      </c>
      <c r="M335" s="79" t="s">
        <v>732</v>
      </c>
      <c r="N335" s="72"/>
      <c r="Z335" s="64">
        <f>IF(AQ335="5",BJ335,0)</f>
        <v>0</v>
      </c>
      <c r="AB335" s="64">
        <f>IF(AQ335="1",BH335,0)</f>
        <v>0</v>
      </c>
      <c r="AC335" s="64">
        <f>IF(AQ335="1",BI335,0)</f>
        <v>0</v>
      </c>
      <c r="AD335" s="64">
        <f>IF(AQ335="7",BH335,0)</f>
        <v>0</v>
      </c>
      <c r="AE335" s="64">
        <f>IF(AQ335="7",BI335,0)</f>
        <v>0</v>
      </c>
      <c r="AF335" s="64">
        <f>IF(AQ335="2",BH335,0)</f>
        <v>0</v>
      </c>
      <c r="AG335" s="64">
        <f>IF(AQ335="2",BI335,0)</f>
        <v>0</v>
      </c>
      <c r="AH335" s="64">
        <f>IF(AQ335="0",BJ335,0)</f>
        <v>0</v>
      </c>
      <c r="AI335" s="63"/>
      <c r="AJ335" s="49">
        <f>IF(AN335=0,L335,0)</f>
        <v>0</v>
      </c>
      <c r="AK335" s="49">
        <f>IF(AN335=15,L335,0)</f>
        <v>0</v>
      </c>
      <c r="AL335" s="49">
        <f>IF(AN335=21,L335,0)</f>
        <v>0</v>
      </c>
      <c r="AN335" s="64">
        <v>15</v>
      </c>
      <c r="AO335" s="64">
        <f>I335*0.144494896147896</f>
        <v>0</v>
      </c>
      <c r="AP335" s="64">
        <f>I335*(1-0.144494896147896)</f>
        <v>0</v>
      </c>
      <c r="AQ335" s="65" t="s">
        <v>80</v>
      </c>
      <c r="AV335" s="64">
        <f>AW335+AX335</f>
        <v>0</v>
      </c>
      <c r="AW335" s="64">
        <f>H335*AO335</f>
        <v>0</v>
      </c>
      <c r="AX335" s="64">
        <f>H335*AP335</f>
        <v>0</v>
      </c>
      <c r="AY335" s="67" t="s">
        <v>762</v>
      </c>
      <c r="AZ335" s="67" t="s">
        <v>773</v>
      </c>
      <c r="BA335" s="63" t="s">
        <v>775</v>
      </c>
      <c r="BC335" s="64">
        <f>AW335+AX335</f>
        <v>0</v>
      </c>
      <c r="BD335" s="64">
        <f>I335/(100-BE335)*100</f>
        <v>0</v>
      </c>
      <c r="BE335" s="64">
        <v>0</v>
      </c>
      <c r="BF335" s="64">
        <f>335</f>
        <v>335</v>
      </c>
      <c r="BH335" s="49">
        <f>H335*AO335</f>
        <v>0</v>
      </c>
      <c r="BI335" s="49">
        <f>H335*AP335</f>
        <v>0</v>
      </c>
      <c r="BJ335" s="49">
        <f>H335*I335</f>
        <v>0</v>
      </c>
      <c r="BK335" s="49" t="s">
        <v>780</v>
      </c>
      <c r="BL335" s="64">
        <v>767</v>
      </c>
    </row>
    <row r="336" spans="1:64" ht="12.75">
      <c r="A336" s="35" t="s">
        <v>213</v>
      </c>
      <c r="B336" s="42" t="s">
        <v>362</v>
      </c>
      <c r="C336" s="239" t="s">
        <v>682</v>
      </c>
      <c r="D336" s="230"/>
      <c r="E336" s="230"/>
      <c r="F336" s="230"/>
      <c r="G336" s="42" t="s">
        <v>719</v>
      </c>
      <c r="H336" s="49">
        <v>0.4049</v>
      </c>
      <c r="I336" s="49">
        <v>0</v>
      </c>
      <c r="J336" s="49">
        <f>H336*AO336</f>
        <v>0</v>
      </c>
      <c r="K336" s="49">
        <f>H336*AP336</f>
        <v>0</v>
      </c>
      <c r="L336" s="49">
        <f>H336*I336</f>
        <v>0</v>
      </c>
      <c r="M336" s="61" t="s">
        <v>732</v>
      </c>
      <c r="N336" s="18"/>
      <c r="Z336" s="64">
        <f>IF(AQ336="5",BJ336,0)</f>
        <v>0</v>
      </c>
      <c r="AB336" s="64">
        <f>IF(AQ336="1",BH336,0)</f>
        <v>0</v>
      </c>
      <c r="AC336" s="64">
        <f>IF(AQ336="1",BI336,0)</f>
        <v>0</v>
      </c>
      <c r="AD336" s="64">
        <f>IF(AQ336="7",BH336,0)</f>
        <v>0</v>
      </c>
      <c r="AE336" s="64">
        <f>IF(AQ336="7",BI336,0)</f>
        <v>0</v>
      </c>
      <c r="AF336" s="64">
        <f>IF(AQ336="2",BH336,0)</f>
        <v>0</v>
      </c>
      <c r="AG336" s="64">
        <f>IF(AQ336="2",BI336,0)</f>
        <v>0</v>
      </c>
      <c r="AH336" s="64">
        <f>IF(AQ336="0",BJ336,0)</f>
        <v>0</v>
      </c>
      <c r="AI336" s="63"/>
      <c r="AJ336" s="49">
        <f>IF(AN336=0,L336,0)</f>
        <v>0</v>
      </c>
      <c r="AK336" s="49">
        <f>IF(AN336=15,L336,0)</f>
        <v>0</v>
      </c>
      <c r="AL336" s="49">
        <f>IF(AN336=21,L336,0)</f>
        <v>0</v>
      </c>
      <c r="AN336" s="64">
        <v>15</v>
      </c>
      <c r="AO336" s="64">
        <f>I336*0</f>
        <v>0</v>
      </c>
      <c r="AP336" s="64">
        <f>I336*(1-0)</f>
        <v>0</v>
      </c>
      <c r="AQ336" s="65" t="s">
        <v>78</v>
      </c>
      <c r="AV336" s="64">
        <f>AW336+AX336</f>
        <v>0</v>
      </c>
      <c r="AW336" s="64">
        <f>H336*AO336</f>
        <v>0</v>
      </c>
      <c r="AX336" s="64">
        <f>H336*AP336</f>
        <v>0</v>
      </c>
      <c r="AY336" s="67" t="s">
        <v>762</v>
      </c>
      <c r="AZ336" s="67" t="s">
        <v>773</v>
      </c>
      <c r="BA336" s="63" t="s">
        <v>775</v>
      </c>
      <c r="BC336" s="64">
        <f>AW336+AX336</f>
        <v>0</v>
      </c>
      <c r="BD336" s="64">
        <f>I336/(100-BE336)*100</f>
        <v>0</v>
      </c>
      <c r="BE336" s="64">
        <v>0</v>
      </c>
      <c r="BF336" s="64">
        <f>336</f>
        <v>336</v>
      </c>
      <c r="BH336" s="49">
        <f>H336*AO336</f>
        <v>0</v>
      </c>
      <c r="BI336" s="49">
        <f>H336*AP336</f>
        <v>0</v>
      </c>
      <c r="BJ336" s="49">
        <f>H336*I336</f>
        <v>0</v>
      </c>
      <c r="BK336" s="49" t="s">
        <v>780</v>
      </c>
      <c r="BL336" s="64">
        <v>767</v>
      </c>
    </row>
    <row r="337" spans="1:47" ht="12.75">
      <c r="A337" s="34"/>
      <c r="B337" s="41" t="s">
        <v>363</v>
      </c>
      <c r="C337" s="235" t="s">
        <v>683</v>
      </c>
      <c r="D337" s="236"/>
      <c r="E337" s="236"/>
      <c r="F337" s="236"/>
      <c r="G337" s="47" t="s">
        <v>73</v>
      </c>
      <c r="H337" s="47" t="s">
        <v>73</v>
      </c>
      <c r="I337" s="47" t="s">
        <v>73</v>
      </c>
      <c r="J337" s="70">
        <f>SUM(J338:J343)</f>
        <v>0</v>
      </c>
      <c r="K337" s="70">
        <f>SUM(K338:K343)</f>
        <v>0</v>
      </c>
      <c r="L337" s="70">
        <f>SUM(L338:L343)</f>
        <v>0</v>
      </c>
      <c r="M337" s="60"/>
      <c r="N337" s="18"/>
      <c r="AI337" s="63"/>
      <c r="AS337" s="70">
        <f>SUM(AJ338:AJ343)</f>
        <v>0</v>
      </c>
      <c r="AT337" s="70">
        <f>SUM(AK338:AK343)</f>
        <v>0</v>
      </c>
      <c r="AU337" s="70">
        <f>SUM(AL338:AL343)</f>
        <v>0</v>
      </c>
    </row>
    <row r="338" spans="1:64" ht="12.75">
      <c r="A338" s="82" t="s">
        <v>214</v>
      </c>
      <c r="B338" s="82" t="s">
        <v>364</v>
      </c>
      <c r="C338" s="229" t="s">
        <v>684</v>
      </c>
      <c r="D338" s="230"/>
      <c r="E338" s="230"/>
      <c r="F338" s="231"/>
      <c r="G338" s="82" t="s">
        <v>714</v>
      </c>
      <c r="H338" s="88">
        <v>501.84</v>
      </c>
      <c r="I338" s="88">
        <v>0</v>
      </c>
      <c r="J338" s="88">
        <f>H338*AO338</f>
        <v>0</v>
      </c>
      <c r="K338" s="88">
        <f>H338*AP338</f>
        <v>0</v>
      </c>
      <c r="L338" s="88">
        <f>H338*I338</f>
        <v>0</v>
      </c>
      <c r="M338" s="78" t="s">
        <v>732</v>
      </c>
      <c r="N338" s="72"/>
      <c r="Z338" s="64">
        <f>IF(AQ338="5",BJ338,0)</f>
        <v>0</v>
      </c>
      <c r="AB338" s="64">
        <f>IF(AQ338="1",BH338,0)</f>
        <v>0</v>
      </c>
      <c r="AC338" s="64">
        <f>IF(AQ338="1",BI338,0)</f>
        <v>0</v>
      </c>
      <c r="AD338" s="64">
        <f>IF(AQ338="7",BH338,0)</f>
        <v>0</v>
      </c>
      <c r="AE338" s="64">
        <f>IF(AQ338="7",BI338,0)</f>
        <v>0</v>
      </c>
      <c r="AF338" s="64">
        <f>IF(AQ338="2",BH338,0)</f>
        <v>0</v>
      </c>
      <c r="AG338" s="64">
        <f>IF(AQ338="2",BI338,0)</f>
        <v>0</v>
      </c>
      <c r="AH338" s="64">
        <f>IF(AQ338="0",BJ338,0)</f>
        <v>0</v>
      </c>
      <c r="AI338" s="63"/>
      <c r="AJ338" s="49">
        <f>IF(AN338=0,L338,0)</f>
        <v>0</v>
      </c>
      <c r="AK338" s="49">
        <f>IF(AN338=15,L338,0)</f>
        <v>0</v>
      </c>
      <c r="AL338" s="49">
        <f>IF(AN338=21,L338,0)</f>
        <v>0</v>
      </c>
      <c r="AN338" s="64">
        <v>15</v>
      </c>
      <c r="AO338" s="64">
        <f>I338*0.0709870698728485</f>
        <v>0</v>
      </c>
      <c r="AP338" s="64">
        <f>I338*(1-0.0709870698728485)</f>
        <v>0</v>
      </c>
      <c r="AQ338" s="65" t="s">
        <v>80</v>
      </c>
      <c r="AV338" s="64">
        <f>AW338+AX338</f>
        <v>0</v>
      </c>
      <c r="AW338" s="64">
        <f>H338*AO338</f>
        <v>0</v>
      </c>
      <c r="AX338" s="64">
        <f>H338*AP338</f>
        <v>0</v>
      </c>
      <c r="AY338" s="67" t="s">
        <v>763</v>
      </c>
      <c r="AZ338" s="67" t="s">
        <v>774</v>
      </c>
      <c r="BA338" s="63" t="s">
        <v>775</v>
      </c>
      <c r="BC338" s="64">
        <f>AW338+AX338</f>
        <v>0</v>
      </c>
      <c r="BD338" s="64">
        <f>I338/(100-BE338)*100</f>
        <v>0</v>
      </c>
      <c r="BE338" s="64">
        <v>0</v>
      </c>
      <c r="BF338" s="64">
        <f>338</f>
        <v>338</v>
      </c>
      <c r="BH338" s="49">
        <f>H338*AO338</f>
        <v>0</v>
      </c>
      <c r="BI338" s="49">
        <f>H338*AP338</f>
        <v>0</v>
      </c>
      <c r="BJ338" s="49">
        <f>H338*I338</f>
        <v>0</v>
      </c>
      <c r="BK338" s="49" t="s">
        <v>780</v>
      </c>
      <c r="BL338" s="64">
        <v>784</v>
      </c>
    </row>
    <row r="339" spans="1:14" ht="12.75">
      <c r="A339" s="90"/>
      <c r="B339" s="91"/>
      <c r="C339" s="84" t="s">
        <v>685</v>
      </c>
      <c r="F339" s="92"/>
      <c r="G339" s="91"/>
      <c r="H339" s="93">
        <v>0</v>
      </c>
      <c r="I339" s="91"/>
      <c r="J339" s="91"/>
      <c r="K339" s="91"/>
      <c r="L339" s="91"/>
      <c r="M339" s="80"/>
      <c r="N339" s="72"/>
    </row>
    <row r="340" spans="1:14" ht="12.75">
      <c r="A340" s="90"/>
      <c r="B340" s="91"/>
      <c r="C340" s="84" t="s">
        <v>686</v>
      </c>
      <c r="F340" s="92"/>
      <c r="G340" s="91"/>
      <c r="H340" s="93">
        <v>105.84</v>
      </c>
      <c r="I340" s="91"/>
      <c r="J340" s="91"/>
      <c r="K340" s="91"/>
      <c r="L340" s="91"/>
      <c r="M340" s="80"/>
      <c r="N340" s="72"/>
    </row>
    <row r="341" spans="1:14" ht="12.75">
      <c r="A341" s="90"/>
      <c r="B341" s="91"/>
      <c r="C341" s="84" t="s">
        <v>687</v>
      </c>
      <c r="F341" s="92"/>
      <c r="G341" s="91"/>
      <c r="H341" s="93">
        <v>396</v>
      </c>
      <c r="I341" s="91"/>
      <c r="J341" s="91"/>
      <c r="K341" s="91"/>
      <c r="L341" s="91"/>
      <c r="M341" s="80"/>
      <c r="N341" s="72"/>
    </row>
    <row r="342" spans="1:14" ht="12.75">
      <c r="A342" s="83"/>
      <c r="B342" s="86"/>
      <c r="C342" s="85" t="s">
        <v>688</v>
      </c>
      <c r="F342" s="87"/>
      <c r="G342" s="86"/>
      <c r="H342" s="89">
        <v>0</v>
      </c>
      <c r="I342" s="86"/>
      <c r="J342" s="86"/>
      <c r="K342" s="86"/>
      <c r="L342" s="86"/>
      <c r="M342" s="81"/>
      <c r="N342" s="72"/>
    </row>
    <row r="343" spans="1:64" ht="12.75">
      <c r="A343" s="35" t="s">
        <v>215</v>
      </c>
      <c r="B343" s="42" t="s">
        <v>365</v>
      </c>
      <c r="C343" s="239" t="s">
        <v>689</v>
      </c>
      <c r="D343" s="230"/>
      <c r="E343" s="230"/>
      <c r="F343" s="230"/>
      <c r="G343" s="42" t="s">
        <v>714</v>
      </c>
      <c r="H343" s="49">
        <v>501.84</v>
      </c>
      <c r="I343" s="49">
        <v>0</v>
      </c>
      <c r="J343" s="49">
        <f>H343*AO343</f>
        <v>0</v>
      </c>
      <c r="K343" s="49">
        <f>H343*AP343</f>
        <v>0</v>
      </c>
      <c r="L343" s="49">
        <f>H343*I343</f>
        <v>0</v>
      </c>
      <c r="M343" s="61" t="s">
        <v>732</v>
      </c>
      <c r="N343" s="18"/>
      <c r="Z343" s="64">
        <f>IF(AQ343="5",BJ343,0)</f>
        <v>0</v>
      </c>
      <c r="AB343" s="64">
        <f>IF(AQ343="1",BH343,0)</f>
        <v>0</v>
      </c>
      <c r="AC343" s="64">
        <f>IF(AQ343="1",BI343,0)</f>
        <v>0</v>
      </c>
      <c r="AD343" s="64">
        <f>IF(AQ343="7",BH343,0)</f>
        <v>0</v>
      </c>
      <c r="AE343" s="64">
        <f>IF(AQ343="7",BI343,0)</f>
        <v>0</v>
      </c>
      <c r="AF343" s="64">
        <f>IF(AQ343="2",BH343,0)</f>
        <v>0</v>
      </c>
      <c r="AG343" s="64">
        <f>IF(AQ343="2",BI343,0)</f>
        <v>0</v>
      </c>
      <c r="AH343" s="64">
        <f>IF(AQ343="0",BJ343,0)</f>
        <v>0</v>
      </c>
      <c r="AI343" s="63"/>
      <c r="AJ343" s="49">
        <f>IF(AN343=0,L343,0)</f>
        <v>0</v>
      </c>
      <c r="AK343" s="49">
        <f>IF(AN343=15,L343,0)</f>
        <v>0</v>
      </c>
      <c r="AL343" s="49">
        <f>IF(AN343=21,L343,0)</f>
        <v>0</v>
      </c>
      <c r="AN343" s="64">
        <v>15</v>
      </c>
      <c r="AO343" s="64">
        <f>I343*0.295982037536851</f>
        <v>0</v>
      </c>
      <c r="AP343" s="64">
        <f>I343*(1-0.295982037536851)</f>
        <v>0</v>
      </c>
      <c r="AQ343" s="65" t="s">
        <v>80</v>
      </c>
      <c r="AV343" s="64">
        <f>AW343+AX343</f>
        <v>0</v>
      </c>
      <c r="AW343" s="64">
        <f>H343*AO343</f>
        <v>0</v>
      </c>
      <c r="AX343" s="64">
        <f>H343*AP343</f>
        <v>0</v>
      </c>
      <c r="AY343" s="67" t="s">
        <v>763</v>
      </c>
      <c r="AZ343" s="67" t="s">
        <v>774</v>
      </c>
      <c r="BA343" s="63" t="s">
        <v>775</v>
      </c>
      <c r="BC343" s="64">
        <f>AW343+AX343</f>
        <v>0</v>
      </c>
      <c r="BD343" s="64">
        <f>I343/(100-BE343)*100</f>
        <v>0</v>
      </c>
      <c r="BE343" s="64">
        <v>0</v>
      </c>
      <c r="BF343" s="64">
        <f>343</f>
        <v>343</v>
      </c>
      <c r="BH343" s="49">
        <f>H343*AO343</f>
        <v>0</v>
      </c>
      <c r="BI343" s="49">
        <f>H343*AP343</f>
        <v>0</v>
      </c>
      <c r="BJ343" s="49">
        <f>H343*I343</f>
        <v>0</v>
      </c>
      <c r="BK343" s="49" t="s">
        <v>780</v>
      </c>
      <c r="BL343" s="64">
        <v>784</v>
      </c>
    </row>
    <row r="344" spans="1:47" ht="12.75">
      <c r="A344" s="34"/>
      <c r="B344" s="41" t="s">
        <v>163</v>
      </c>
      <c r="C344" s="235" t="s">
        <v>690</v>
      </c>
      <c r="D344" s="236"/>
      <c r="E344" s="236"/>
      <c r="F344" s="236"/>
      <c r="G344" s="47" t="s">
        <v>73</v>
      </c>
      <c r="H344" s="47" t="s">
        <v>73</v>
      </c>
      <c r="I344" s="47" t="s">
        <v>73</v>
      </c>
      <c r="J344" s="70">
        <f>SUM(J345:J347)</f>
        <v>0</v>
      </c>
      <c r="K344" s="70">
        <f>SUM(K345:K347)</f>
        <v>0</v>
      </c>
      <c r="L344" s="70">
        <f>SUM(L345:L347)</f>
        <v>0</v>
      </c>
      <c r="M344" s="60"/>
      <c r="N344" s="18"/>
      <c r="AI344" s="63"/>
      <c r="AS344" s="70">
        <f>SUM(AJ345:AJ347)</f>
        <v>0</v>
      </c>
      <c r="AT344" s="70">
        <f>SUM(AK345:AK347)</f>
        <v>0</v>
      </c>
      <c r="AU344" s="70">
        <f>SUM(AL345:AL347)</f>
        <v>0</v>
      </c>
    </row>
    <row r="345" spans="1:64" ht="12.75">
      <c r="A345" s="35" t="s">
        <v>216</v>
      </c>
      <c r="B345" s="42" t="s">
        <v>366</v>
      </c>
      <c r="C345" s="239" t="s">
        <v>691</v>
      </c>
      <c r="D345" s="230"/>
      <c r="E345" s="230"/>
      <c r="F345" s="230"/>
      <c r="G345" s="42" t="s">
        <v>722</v>
      </c>
      <c r="H345" s="49">
        <v>4</v>
      </c>
      <c r="I345" s="49">
        <v>0</v>
      </c>
      <c r="J345" s="49">
        <f>H345*AO345</f>
        <v>0</v>
      </c>
      <c r="K345" s="49">
        <f>H345*AP345</f>
        <v>0</v>
      </c>
      <c r="L345" s="49">
        <f>H345*I345</f>
        <v>0</v>
      </c>
      <c r="M345" s="61" t="s">
        <v>732</v>
      </c>
      <c r="N345" s="18"/>
      <c r="Z345" s="64">
        <f>IF(AQ345="5",BJ345,0)</f>
        <v>0</v>
      </c>
      <c r="AB345" s="64">
        <f>IF(AQ345="1",BH345,0)</f>
        <v>0</v>
      </c>
      <c r="AC345" s="64">
        <f>IF(AQ345="1",BI345,0)</f>
        <v>0</v>
      </c>
      <c r="AD345" s="64">
        <f>IF(AQ345="7",BH345,0)</f>
        <v>0</v>
      </c>
      <c r="AE345" s="64">
        <f>IF(AQ345="7",BI345,0)</f>
        <v>0</v>
      </c>
      <c r="AF345" s="64">
        <f>IF(AQ345="2",BH345,0)</f>
        <v>0</v>
      </c>
      <c r="AG345" s="64">
        <f>IF(AQ345="2",BI345,0)</f>
        <v>0</v>
      </c>
      <c r="AH345" s="64">
        <f>IF(AQ345="0",BJ345,0)</f>
        <v>0</v>
      </c>
      <c r="AI345" s="63"/>
      <c r="AJ345" s="49">
        <f>IF(AN345=0,L345,0)</f>
        <v>0</v>
      </c>
      <c r="AK345" s="49">
        <f>IF(AN345=15,L345,0)</f>
        <v>0</v>
      </c>
      <c r="AL345" s="49">
        <f>IF(AN345=21,L345,0)</f>
        <v>0</v>
      </c>
      <c r="AN345" s="64">
        <v>15</v>
      </c>
      <c r="AO345" s="64">
        <f>I345*0</f>
        <v>0</v>
      </c>
      <c r="AP345" s="64">
        <f>I345*(1-0)</f>
        <v>0</v>
      </c>
      <c r="AQ345" s="65" t="s">
        <v>74</v>
      </c>
      <c r="AV345" s="64">
        <f>AW345+AX345</f>
        <v>0</v>
      </c>
      <c r="AW345" s="64">
        <f>H345*AO345</f>
        <v>0</v>
      </c>
      <c r="AX345" s="64">
        <f>H345*AP345</f>
        <v>0</v>
      </c>
      <c r="AY345" s="67" t="s">
        <v>764</v>
      </c>
      <c r="AZ345" s="67" t="s">
        <v>770</v>
      </c>
      <c r="BA345" s="63" t="s">
        <v>775</v>
      </c>
      <c r="BC345" s="64">
        <f>AW345+AX345</f>
        <v>0</v>
      </c>
      <c r="BD345" s="64">
        <f>I345/(100-BE345)*100</f>
        <v>0</v>
      </c>
      <c r="BE345" s="64">
        <v>0</v>
      </c>
      <c r="BF345" s="64">
        <f>345</f>
        <v>345</v>
      </c>
      <c r="BH345" s="49">
        <f>H345*AO345</f>
        <v>0</v>
      </c>
      <c r="BI345" s="49">
        <f>H345*AP345</f>
        <v>0</v>
      </c>
      <c r="BJ345" s="49">
        <f>H345*I345</f>
        <v>0</v>
      </c>
      <c r="BK345" s="49" t="s">
        <v>780</v>
      </c>
      <c r="BL345" s="64">
        <v>90</v>
      </c>
    </row>
    <row r="346" spans="1:14" ht="12.75">
      <c r="A346" s="18"/>
      <c r="C346" s="44" t="s">
        <v>692</v>
      </c>
      <c r="F346" s="45"/>
      <c r="H346" s="50">
        <v>0</v>
      </c>
      <c r="M346" s="16"/>
      <c r="N346" s="18"/>
    </row>
    <row r="347" spans="1:64" ht="12.75">
      <c r="A347" s="82" t="s">
        <v>217</v>
      </c>
      <c r="B347" s="82" t="s">
        <v>367</v>
      </c>
      <c r="C347" s="229" t="s">
        <v>693</v>
      </c>
      <c r="D347" s="230"/>
      <c r="E347" s="230"/>
      <c r="F347" s="231"/>
      <c r="G347" s="82" t="s">
        <v>722</v>
      </c>
      <c r="H347" s="88">
        <v>8</v>
      </c>
      <c r="I347" s="88">
        <v>0</v>
      </c>
      <c r="J347" s="88">
        <f>H347*AO347</f>
        <v>0</v>
      </c>
      <c r="K347" s="88">
        <f>H347*AP347</f>
        <v>0</v>
      </c>
      <c r="L347" s="88">
        <f>H347*I347</f>
        <v>0</v>
      </c>
      <c r="M347" s="78" t="s">
        <v>732</v>
      </c>
      <c r="N347" s="72"/>
      <c r="Z347" s="64">
        <f>IF(AQ347="5",BJ347,0)</f>
        <v>0</v>
      </c>
      <c r="AB347" s="64">
        <f>IF(AQ347="1",BH347,0)</f>
        <v>0</v>
      </c>
      <c r="AC347" s="64">
        <f>IF(AQ347="1",BI347,0)</f>
        <v>0</v>
      </c>
      <c r="AD347" s="64">
        <f>IF(AQ347="7",BH347,0)</f>
        <v>0</v>
      </c>
      <c r="AE347" s="64">
        <f>IF(AQ347="7",BI347,0)</f>
        <v>0</v>
      </c>
      <c r="AF347" s="64">
        <f>IF(AQ347="2",BH347,0)</f>
        <v>0</v>
      </c>
      <c r="AG347" s="64">
        <f>IF(AQ347="2",BI347,0)</f>
        <v>0</v>
      </c>
      <c r="AH347" s="64">
        <f>IF(AQ347="0",BJ347,0)</f>
        <v>0</v>
      </c>
      <c r="AI347" s="63"/>
      <c r="AJ347" s="49">
        <f>IF(AN347=0,L347,0)</f>
        <v>0</v>
      </c>
      <c r="AK347" s="49">
        <f>IF(AN347=15,L347,0)</f>
        <v>0</v>
      </c>
      <c r="AL347" s="49">
        <f>IF(AN347=21,L347,0)</f>
        <v>0</v>
      </c>
      <c r="AN347" s="64">
        <v>15</v>
      </c>
      <c r="AO347" s="64">
        <f>I347*0</f>
        <v>0</v>
      </c>
      <c r="AP347" s="64">
        <f>I347*(1-0)</f>
        <v>0</v>
      </c>
      <c r="AQ347" s="65" t="s">
        <v>74</v>
      </c>
      <c r="AV347" s="64">
        <f>AW347+AX347</f>
        <v>0</v>
      </c>
      <c r="AW347" s="64">
        <f>H347*AO347</f>
        <v>0</v>
      </c>
      <c r="AX347" s="64">
        <f>H347*AP347</f>
        <v>0</v>
      </c>
      <c r="AY347" s="67" t="s">
        <v>764</v>
      </c>
      <c r="AZ347" s="67" t="s">
        <v>770</v>
      </c>
      <c r="BA347" s="63" t="s">
        <v>775</v>
      </c>
      <c r="BC347" s="64">
        <f>AW347+AX347</f>
        <v>0</v>
      </c>
      <c r="BD347" s="64">
        <f>I347/(100-BE347)*100</f>
        <v>0</v>
      </c>
      <c r="BE347" s="64">
        <v>0</v>
      </c>
      <c r="BF347" s="64">
        <f>347</f>
        <v>347</v>
      </c>
      <c r="BH347" s="49">
        <f>H347*AO347</f>
        <v>0</v>
      </c>
      <c r="BI347" s="49">
        <f>H347*AP347</f>
        <v>0</v>
      </c>
      <c r="BJ347" s="49">
        <f>H347*I347</f>
        <v>0</v>
      </c>
      <c r="BK347" s="49" t="s">
        <v>780</v>
      </c>
      <c r="BL347" s="64">
        <v>90</v>
      </c>
    </row>
    <row r="348" spans="1:14" ht="12.75">
      <c r="A348" s="83"/>
      <c r="B348" s="86"/>
      <c r="C348" s="85" t="s">
        <v>694</v>
      </c>
      <c r="F348" s="87"/>
      <c r="G348" s="86"/>
      <c r="H348" s="89">
        <v>0</v>
      </c>
      <c r="I348" s="86"/>
      <c r="J348" s="86"/>
      <c r="K348" s="86"/>
      <c r="L348" s="86"/>
      <c r="M348" s="81"/>
      <c r="N348" s="72"/>
    </row>
    <row r="349" spans="1:47" ht="12.75">
      <c r="A349" s="34"/>
      <c r="B349" s="41" t="s">
        <v>368</v>
      </c>
      <c r="C349" s="235" t="s">
        <v>695</v>
      </c>
      <c r="D349" s="236"/>
      <c r="E349" s="236"/>
      <c r="F349" s="236"/>
      <c r="G349" s="47" t="s">
        <v>73</v>
      </c>
      <c r="H349" s="47" t="s">
        <v>73</v>
      </c>
      <c r="I349" s="47" t="s">
        <v>73</v>
      </c>
      <c r="J349" s="70">
        <f>SUM(J350:J351)</f>
        <v>0</v>
      </c>
      <c r="K349" s="70">
        <f>SUM(K350:K351)</f>
        <v>0</v>
      </c>
      <c r="L349" s="70">
        <f>SUM(L350:L351)</f>
        <v>0</v>
      </c>
      <c r="M349" s="60"/>
      <c r="N349" s="18"/>
      <c r="AI349" s="63"/>
      <c r="AS349" s="70">
        <f>SUM(AJ350:AJ351)</f>
        <v>0</v>
      </c>
      <c r="AT349" s="70">
        <f>SUM(AK350:AK351)</f>
        <v>0</v>
      </c>
      <c r="AU349" s="70">
        <f>SUM(AL350:AL351)</f>
        <v>0</v>
      </c>
    </row>
    <row r="350" spans="1:64" ht="12.75">
      <c r="A350" s="136" t="s">
        <v>218</v>
      </c>
      <c r="B350" s="137" t="s">
        <v>267</v>
      </c>
      <c r="C350" s="237" t="s">
        <v>696</v>
      </c>
      <c r="D350" s="238"/>
      <c r="E350" s="238"/>
      <c r="F350" s="238"/>
      <c r="G350" s="137" t="s">
        <v>717</v>
      </c>
      <c r="H350" s="138">
        <v>1</v>
      </c>
      <c r="I350" s="138">
        <v>0</v>
      </c>
      <c r="J350" s="138">
        <f>H350*AO350</f>
        <v>0</v>
      </c>
      <c r="K350" s="138">
        <f>H350*AP350</f>
        <v>0</v>
      </c>
      <c r="L350" s="138">
        <f>H350*I350</f>
        <v>0</v>
      </c>
      <c r="M350" s="139" t="s">
        <v>267</v>
      </c>
      <c r="N350" s="18"/>
      <c r="Z350" s="64">
        <f>IF(AQ350="5",BJ350,0)</f>
        <v>0</v>
      </c>
      <c r="AB350" s="64">
        <f>IF(AQ350="1",BH350,0)</f>
        <v>0</v>
      </c>
      <c r="AC350" s="64">
        <f>IF(AQ350="1",BI350,0)</f>
        <v>0</v>
      </c>
      <c r="AD350" s="64">
        <f>IF(AQ350="7",BH350,0)</f>
        <v>0</v>
      </c>
      <c r="AE350" s="64">
        <f>IF(AQ350="7",BI350,0)</f>
        <v>0</v>
      </c>
      <c r="AF350" s="64">
        <f>IF(AQ350="2",BH350,0)</f>
        <v>0</v>
      </c>
      <c r="AG350" s="64">
        <f>IF(AQ350="2",BI350,0)</f>
        <v>0</v>
      </c>
      <c r="AH350" s="64">
        <f>IF(AQ350="0",BJ350,0)</f>
        <v>0</v>
      </c>
      <c r="AI350" s="63"/>
      <c r="AJ350" s="51">
        <f>IF(AN350=0,L350,0)</f>
        <v>0</v>
      </c>
      <c r="AK350" s="51">
        <f>IF(AN350=15,L350,0)</f>
        <v>0</v>
      </c>
      <c r="AL350" s="51">
        <f>IF(AN350=21,L350,0)</f>
        <v>0</v>
      </c>
      <c r="AN350" s="64">
        <v>15</v>
      </c>
      <c r="AO350" s="64">
        <f>I350*1</f>
        <v>0</v>
      </c>
      <c r="AP350" s="64">
        <f>I350*(1-1)</f>
        <v>0</v>
      </c>
      <c r="AQ350" s="66" t="s">
        <v>74</v>
      </c>
      <c r="AV350" s="64">
        <f>AW350+AX350</f>
        <v>0</v>
      </c>
      <c r="AW350" s="64">
        <f>H350*AO350</f>
        <v>0</v>
      </c>
      <c r="AX350" s="64">
        <f>H350*AP350</f>
        <v>0</v>
      </c>
      <c r="AY350" s="67" t="s">
        <v>765</v>
      </c>
      <c r="AZ350" s="67" t="s">
        <v>770</v>
      </c>
      <c r="BA350" s="63" t="s">
        <v>775</v>
      </c>
      <c r="BC350" s="64">
        <f>AW350+AX350</f>
        <v>0</v>
      </c>
      <c r="BD350" s="64">
        <f>I350/(100-BE350)*100</f>
        <v>0</v>
      </c>
      <c r="BE350" s="64">
        <v>0</v>
      </c>
      <c r="BF350" s="64">
        <f>350</f>
        <v>350</v>
      </c>
      <c r="BH350" s="51">
        <f>H350*AO350</f>
        <v>0</v>
      </c>
      <c r="BI350" s="51">
        <f>H350*AP350</f>
        <v>0</v>
      </c>
      <c r="BJ350" s="51">
        <f>H350*I350</f>
        <v>0</v>
      </c>
      <c r="BK350" s="51" t="s">
        <v>781</v>
      </c>
      <c r="BL350" s="64" t="s">
        <v>368</v>
      </c>
    </row>
    <row r="351" spans="1:64" ht="12.75">
      <c r="A351" s="136" t="s">
        <v>219</v>
      </c>
      <c r="B351" s="137" t="s">
        <v>267</v>
      </c>
      <c r="C351" s="237" t="s">
        <v>697</v>
      </c>
      <c r="D351" s="238"/>
      <c r="E351" s="238"/>
      <c r="F351" s="238"/>
      <c r="G351" s="137" t="s">
        <v>717</v>
      </c>
      <c r="H351" s="138">
        <v>1</v>
      </c>
      <c r="I351" s="138">
        <v>0</v>
      </c>
      <c r="J351" s="138">
        <f>H351*AO351</f>
        <v>0</v>
      </c>
      <c r="K351" s="138">
        <f>H351*AP351</f>
        <v>0</v>
      </c>
      <c r="L351" s="138">
        <f>H351*I351</f>
        <v>0</v>
      </c>
      <c r="M351" s="139" t="s">
        <v>267</v>
      </c>
      <c r="N351" s="18"/>
      <c r="Z351" s="64">
        <f>IF(AQ351="5",BJ351,0)</f>
        <v>0</v>
      </c>
      <c r="AB351" s="64">
        <f>IF(AQ351="1",BH351,0)</f>
        <v>0</v>
      </c>
      <c r="AC351" s="64">
        <f>IF(AQ351="1",BI351,0)</f>
        <v>0</v>
      </c>
      <c r="AD351" s="64">
        <f>IF(AQ351="7",BH351,0)</f>
        <v>0</v>
      </c>
      <c r="AE351" s="64">
        <f>IF(AQ351="7",BI351,0)</f>
        <v>0</v>
      </c>
      <c r="AF351" s="64">
        <f>IF(AQ351="2",BH351,0)</f>
        <v>0</v>
      </c>
      <c r="AG351" s="64">
        <f>IF(AQ351="2",BI351,0)</f>
        <v>0</v>
      </c>
      <c r="AH351" s="64">
        <f>IF(AQ351="0",BJ351,0)</f>
        <v>0</v>
      </c>
      <c r="AI351" s="63"/>
      <c r="AJ351" s="51">
        <f>IF(AN351=0,L351,0)</f>
        <v>0</v>
      </c>
      <c r="AK351" s="51">
        <f>IF(AN351=15,L351,0)</f>
        <v>0</v>
      </c>
      <c r="AL351" s="51">
        <f>IF(AN351=21,L351,0)</f>
        <v>0</v>
      </c>
      <c r="AN351" s="64">
        <v>15</v>
      </c>
      <c r="AO351" s="64">
        <f>I351*1</f>
        <v>0</v>
      </c>
      <c r="AP351" s="64">
        <f>I351*(1-1)</f>
        <v>0</v>
      </c>
      <c r="AQ351" s="66" t="s">
        <v>74</v>
      </c>
      <c r="AV351" s="64">
        <f>AW351+AX351</f>
        <v>0</v>
      </c>
      <c r="AW351" s="64">
        <f>H351*AO351</f>
        <v>0</v>
      </c>
      <c r="AX351" s="64">
        <f>H351*AP351</f>
        <v>0</v>
      </c>
      <c r="AY351" s="67" t="s">
        <v>765</v>
      </c>
      <c r="AZ351" s="67" t="s">
        <v>770</v>
      </c>
      <c r="BA351" s="63" t="s">
        <v>775</v>
      </c>
      <c r="BC351" s="64">
        <f>AW351+AX351</f>
        <v>0</v>
      </c>
      <c r="BD351" s="64">
        <f>I351/(100-BE351)*100</f>
        <v>0</v>
      </c>
      <c r="BE351" s="64">
        <v>0</v>
      </c>
      <c r="BF351" s="64">
        <f>351</f>
        <v>351</v>
      </c>
      <c r="BH351" s="51">
        <f>H351*AO351</f>
        <v>0</v>
      </c>
      <c r="BI351" s="51">
        <f>H351*AP351</f>
        <v>0</v>
      </c>
      <c r="BJ351" s="51">
        <f>H351*I351</f>
        <v>0</v>
      </c>
      <c r="BK351" s="51" t="s">
        <v>781</v>
      </c>
      <c r="BL351" s="64" t="s">
        <v>368</v>
      </c>
    </row>
    <row r="352" spans="1:47" ht="12.75">
      <c r="A352" s="34"/>
      <c r="B352" s="41" t="s">
        <v>369</v>
      </c>
      <c r="C352" s="235" t="s">
        <v>698</v>
      </c>
      <c r="D352" s="236"/>
      <c r="E352" s="236"/>
      <c r="F352" s="236"/>
      <c r="G352" s="47" t="s">
        <v>73</v>
      </c>
      <c r="H352" s="47" t="s">
        <v>73</v>
      </c>
      <c r="I352" s="47" t="s">
        <v>73</v>
      </c>
      <c r="J352" s="70">
        <f>SUM(J353:J360)</f>
        <v>0</v>
      </c>
      <c r="K352" s="70">
        <f>SUM(K353:K360)</f>
        <v>0</v>
      </c>
      <c r="L352" s="70">
        <f>SUM(L353:L360)</f>
        <v>0</v>
      </c>
      <c r="M352" s="60"/>
      <c r="N352" s="18"/>
      <c r="AI352" s="63"/>
      <c r="AS352" s="70">
        <f>SUM(AJ353:AJ360)</f>
        <v>0</v>
      </c>
      <c r="AT352" s="70">
        <f>SUM(AK353:AK360)</f>
        <v>0</v>
      </c>
      <c r="AU352" s="70">
        <f>SUM(AL353:AL360)</f>
        <v>0</v>
      </c>
    </row>
    <row r="353" spans="1:64" ht="12.75">
      <c r="A353" s="82" t="s">
        <v>220</v>
      </c>
      <c r="B353" s="82" t="s">
        <v>370</v>
      </c>
      <c r="C353" s="229" t="s">
        <v>699</v>
      </c>
      <c r="D353" s="230"/>
      <c r="E353" s="230"/>
      <c r="F353" s="231"/>
      <c r="G353" s="82" t="s">
        <v>719</v>
      </c>
      <c r="H353" s="88">
        <v>23.63296</v>
      </c>
      <c r="I353" s="88">
        <v>0</v>
      </c>
      <c r="J353" s="88">
        <f>H353*AO353</f>
        <v>0</v>
      </c>
      <c r="K353" s="88">
        <f>H353*AP353</f>
        <v>0</v>
      </c>
      <c r="L353" s="88">
        <f>H353*I353</f>
        <v>0</v>
      </c>
      <c r="M353" s="78" t="s">
        <v>732</v>
      </c>
      <c r="N353" s="72"/>
      <c r="Z353" s="64">
        <f>IF(AQ353="5",BJ353,0)</f>
        <v>0</v>
      </c>
      <c r="AB353" s="64">
        <f>IF(AQ353="1",BH353,0)</f>
        <v>0</v>
      </c>
      <c r="AC353" s="64">
        <f>IF(AQ353="1",BI353,0)</f>
        <v>0</v>
      </c>
      <c r="AD353" s="64">
        <f>IF(AQ353="7",BH353,0)</f>
        <v>0</v>
      </c>
      <c r="AE353" s="64">
        <f>IF(AQ353="7",BI353,0)</f>
        <v>0</v>
      </c>
      <c r="AF353" s="64">
        <f>IF(AQ353="2",BH353,0)</f>
        <v>0</v>
      </c>
      <c r="AG353" s="64">
        <f>IF(AQ353="2",BI353,0)</f>
        <v>0</v>
      </c>
      <c r="AH353" s="64">
        <f>IF(AQ353="0",BJ353,0)</f>
        <v>0</v>
      </c>
      <c r="AI353" s="63"/>
      <c r="AJ353" s="49">
        <f>IF(AN353=0,L353,0)</f>
        <v>0</v>
      </c>
      <c r="AK353" s="49">
        <f>IF(AN353=15,L353,0)</f>
        <v>0</v>
      </c>
      <c r="AL353" s="49">
        <f>IF(AN353=21,L353,0)</f>
        <v>0</v>
      </c>
      <c r="AN353" s="64">
        <v>15</v>
      </c>
      <c r="AO353" s="64">
        <f>I353*0</f>
        <v>0</v>
      </c>
      <c r="AP353" s="64">
        <f>I353*(1-0)</f>
        <v>0</v>
      </c>
      <c r="AQ353" s="65" t="s">
        <v>78</v>
      </c>
      <c r="AV353" s="64">
        <f>AW353+AX353</f>
        <v>0</v>
      </c>
      <c r="AW353" s="64">
        <f>H353*AO353</f>
        <v>0</v>
      </c>
      <c r="AX353" s="64">
        <f>H353*AP353</f>
        <v>0</v>
      </c>
      <c r="AY353" s="67" t="s">
        <v>766</v>
      </c>
      <c r="AZ353" s="67" t="s">
        <v>770</v>
      </c>
      <c r="BA353" s="63" t="s">
        <v>775</v>
      </c>
      <c r="BC353" s="64">
        <f>AW353+AX353</f>
        <v>0</v>
      </c>
      <c r="BD353" s="64">
        <f>I353/(100-BE353)*100</f>
        <v>0</v>
      </c>
      <c r="BE353" s="64">
        <v>0</v>
      </c>
      <c r="BF353" s="64">
        <f>353</f>
        <v>353</v>
      </c>
      <c r="BH353" s="49">
        <f>H353*AO353</f>
        <v>0</v>
      </c>
      <c r="BI353" s="49">
        <f>H353*AP353</f>
        <v>0</v>
      </c>
      <c r="BJ353" s="49">
        <f>H353*I353</f>
        <v>0</v>
      </c>
      <c r="BK353" s="49" t="s">
        <v>780</v>
      </c>
      <c r="BL353" s="64" t="s">
        <v>369</v>
      </c>
    </row>
    <row r="354" spans="1:64" ht="12.75">
      <c r="A354" s="82" t="s">
        <v>221</v>
      </c>
      <c r="B354" s="82" t="s">
        <v>371</v>
      </c>
      <c r="C354" s="229" t="s">
        <v>700</v>
      </c>
      <c r="D354" s="230"/>
      <c r="E354" s="230"/>
      <c r="F354" s="231"/>
      <c r="G354" s="82" t="s">
        <v>719</v>
      </c>
      <c r="H354" s="88">
        <v>23.63</v>
      </c>
      <c r="I354" s="88">
        <v>0</v>
      </c>
      <c r="J354" s="88">
        <f>H354*AO354</f>
        <v>0</v>
      </c>
      <c r="K354" s="88">
        <f>H354*AP354</f>
        <v>0</v>
      </c>
      <c r="L354" s="88">
        <f>H354*I354</f>
        <v>0</v>
      </c>
      <c r="M354" s="78" t="s">
        <v>732</v>
      </c>
      <c r="N354" s="72"/>
      <c r="Z354" s="64">
        <f>IF(AQ354="5",BJ354,0)</f>
        <v>0</v>
      </c>
      <c r="AB354" s="64">
        <f>IF(AQ354="1",BH354,0)</f>
        <v>0</v>
      </c>
      <c r="AC354" s="64">
        <f>IF(AQ354="1",BI354,0)</f>
        <v>0</v>
      </c>
      <c r="AD354" s="64">
        <f>IF(AQ354="7",BH354,0)</f>
        <v>0</v>
      </c>
      <c r="AE354" s="64">
        <f>IF(AQ354="7",BI354,0)</f>
        <v>0</v>
      </c>
      <c r="AF354" s="64">
        <f>IF(AQ354="2",BH354,0)</f>
        <v>0</v>
      </c>
      <c r="AG354" s="64">
        <f>IF(AQ354="2",BI354,0)</f>
        <v>0</v>
      </c>
      <c r="AH354" s="64">
        <f>IF(AQ354="0",BJ354,0)</f>
        <v>0</v>
      </c>
      <c r="AI354" s="63"/>
      <c r="AJ354" s="49">
        <f>IF(AN354=0,L354,0)</f>
        <v>0</v>
      </c>
      <c r="AK354" s="49">
        <f>IF(AN354=15,L354,0)</f>
        <v>0</v>
      </c>
      <c r="AL354" s="49">
        <f>IF(AN354=21,L354,0)</f>
        <v>0</v>
      </c>
      <c r="AN354" s="64">
        <v>15</v>
      </c>
      <c r="AO354" s="64">
        <f>I354*0</f>
        <v>0</v>
      </c>
      <c r="AP354" s="64">
        <f>I354*(1-0)</f>
        <v>0</v>
      </c>
      <c r="AQ354" s="65" t="s">
        <v>78</v>
      </c>
      <c r="AV354" s="64">
        <f>AW354+AX354</f>
        <v>0</v>
      </c>
      <c r="AW354" s="64">
        <f>H354*AO354</f>
        <v>0</v>
      </c>
      <c r="AX354" s="64">
        <f>H354*AP354</f>
        <v>0</v>
      </c>
      <c r="AY354" s="67" t="s">
        <v>766</v>
      </c>
      <c r="AZ354" s="67" t="s">
        <v>770</v>
      </c>
      <c r="BA354" s="63" t="s">
        <v>775</v>
      </c>
      <c r="BC354" s="64">
        <f>AW354+AX354</f>
        <v>0</v>
      </c>
      <c r="BD354" s="64">
        <f>I354/(100-BE354)*100</f>
        <v>0</v>
      </c>
      <c r="BE354" s="64">
        <v>0</v>
      </c>
      <c r="BF354" s="64">
        <f>354</f>
        <v>354</v>
      </c>
      <c r="BH354" s="49">
        <f>H354*AO354</f>
        <v>0</v>
      </c>
      <c r="BI354" s="49">
        <f>H354*AP354</f>
        <v>0</v>
      </c>
      <c r="BJ354" s="49">
        <f>H354*I354</f>
        <v>0</v>
      </c>
      <c r="BK354" s="49" t="s">
        <v>780</v>
      </c>
      <c r="BL354" s="64" t="s">
        <v>369</v>
      </c>
    </row>
    <row r="355" spans="1:64" ht="12.75">
      <c r="A355" s="82" t="s">
        <v>222</v>
      </c>
      <c r="B355" s="82" t="s">
        <v>372</v>
      </c>
      <c r="C355" s="229" t="s">
        <v>701</v>
      </c>
      <c r="D355" s="230"/>
      <c r="E355" s="230"/>
      <c r="F355" s="231"/>
      <c r="G355" s="82" t="s">
        <v>719</v>
      </c>
      <c r="H355" s="88">
        <v>23.63</v>
      </c>
      <c r="I355" s="88">
        <v>0</v>
      </c>
      <c r="J355" s="88">
        <f>H355*AO355</f>
        <v>0</v>
      </c>
      <c r="K355" s="88">
        <f>H355*AP355</f>
        <v>0</v>
      </c>
      <c r="L355" s="88">
        <f>H355*I355</f>
        <v>0</v>
      </c>
      <c r="M355" s="78" t="s">
        <v>732</v>
      </c>
      <c r="N355" s="72"/>
      <c r="Z355" s="64">
        <f>IF(AQ355="5",BJ355,0)</f>
        <v>0</v>
      </c>
      <c r="AB355" s="64">
        <f>IF(AQ355="1",BH355,0)</f>
        <v>0</v>
      </c>
      <c r="AC355" s="64">
        <f>IF(AQ355="1",BI355,0)</f>
        <v>0</v>
      </c>
      <c r="AD355" s="64">
        <f>IF(AQ355="7",BH355,0)</f>
        <v>0</v>
      </c>
      <c r="AE355" s="64">
        <f>IF(AQ355="7",BI355,0)</f>
        <v>0</v>
      </c>
      <c r="AF355" s="64">
        <f>IF(AQ355="2",BH355,0)</f>
        <v>0</v>
      </c>
      <c r="AG355" s="64">
        <f>IF(AQ355="2",BI355,0)</f>
        <v>0</v>
      </c>
      <c r="AH355" s="64">
        <f>IF(AQ355="0",BJ355,0)</f>
        <v>0</v>
      </c>
      <c r="AI355" s="63"/>
      <c r="AJ355" s="49">
        <f>IF(AN355=0,L355,0)</f>
        <v>0</v>
      </c>
      <c r="AK355" s="49">
        <f>IF(AN355=15,L355,0)</f>
        <v>0</v>
      </c>
      <c r="AL355" s="49">
        <f>IF(AN355=21,L355,0)</f>
        <v>0</v>
      </c>
      <c r="AN355" s="64">
        <v>15</v>
      </c>
      <c r="AO355" s="64">
        <f>I355*0</f>
        <v>0</v>
      </c>
      <c r="AP355" s="64">
        <f>I355*(1-0)</f>
        <v>0</v>
      </c>
      <c r="AQ355" s="65" t="s">
        <v>78</v>
      </c>
      <c r="AV355" s="64">
        <f>AW355+AX355</f>
        <v>0</v>
      </c>
      <c r="AW355" s="64">
        <f>H355*AO355</f>
        <v>0</v>
      </c>
      <c r="AX355" s="64">
        <f>H355*AP355</f>
        <v>0</v>
      </c>
      <c r="AY355" s="67" t="s">
        <v>766</v>
      </c>
      <c r="AZ355" s="67" t="s">
        <v>770</v>
      </c>
      <c r="BA355" s="63" t="s">
        <v>775</v>
      </c>
      <c r="BC355" s="64">
        <f>AW355+AX355</f>
        <v>0</v>
      </c>
      <c r="BD355" s="64">
        <f>I355/(100-BE355)*100</f>
        <v>0</v>
      </c>
      <c r="BE355" s="64">
        <v>0</v>
      </c>
      <c r="BF355" s="64">
        <f>355</f>
        <v>355</v>
      </c>
      <c r="BH355" s="49">
        <f>H355*AO355</f>
        <v>0</v>
      </c>
      <c r="BI355" s="49">
        <f>H355*AP355</f>
        <v>0</v>
      </c>
      <c r="BJ355" s="49">
        <f>H355*I355</f>
        <v>0</v>
      </c>
      <c r="BK355" s="49" t="s">
        <v>780</v>
      </c>
      <c r="BL355" s="64" t="s">
        <v>369</v>
      </c>
    </row>
    <row r="356" spans="1:64" ht="12.75">
      <c r="A356" s="82" t="s">
        <v>223</v>
      </c>
      <c r="B356" s="82" t="s">
        <v>373</v>
      </c>
      <c r="C356" s="229" t="s">
        <v>702</v>
      </c>
      <c r="D356" s="230"/>
      <c r="E356" s="230"/>
      <c r="F356" s="231"/>
      <c r="G356" s="82" t="s">
        <v>719</v>
      </c>
      <c r="H356" s="88">
        <v>354.45</v>
      </c>
      <c r="I356" s="88">
        <v>0</v>
      </c>
      <c r="J356" s="88">
        <f>H356*AO356</f>
        <v>0</v>
      </c>
      <c r="K356" s="88">
        <f>H356*AP356</f>
        <v>0</v>
      </c>
      <c r="L356" s="88">
        <f>H356*I356</f>
        <v>0</v>
      </c>
      <c r="M356" s="78" t="s">
        <v>732</v>
      </c>
      <c r="N356" s="72"/>
      <c r="Z356" s="64">
        <f>IF(AQ356="5",BJ356,0)</f>
        <v>0</v>
      </c>
      <c r="AB356" s="64">
        <f>IF(AQ356="1",BH356,0)</f>
        <v>0</v>
      </c>
      <c r="AC356" s="64">
        <f>IF(AQ356="1",BI356,0)</f>
        <v>0</v>
      </c>
      <c r="AD356" s="64">
        <f>IF(AQ356="7",BH356,0)</f>
        <v>0</v>
      </c>
      <c r="AE356" s="64">
        <f>IF(AQ356="7",BI356,0)</f>
        <v>0</v>
      </c>
      <c r="AF356" s="64">
        <f>IF(AQ356="2",BH356,0)</f>
        <v>0</v>
      </c>
      <c r="AG356" s="64">
        <f>IF(AQ356="2",BI356,0)</f>
        <v>0</v>
      </c>
      <c r="AH356" s="64">
        <f>IF(AQ356="0",BJ356,0)</f>
        <v>0</v>
      </c>
      <c r="AI356" s="63"/>
      <c r="AJ356" s="49">
        <f>IF(AN356=0,L356,0)</f>
        <v>0</v>
      </c>
      <c r="AK356" s="49">
        <f>IF(AN356=15,L356,0)</f>
        <v>0</v>
      </c>
      <c r="AL356" s="49">
        <f>IF(AN356=21,L356,0)</f>
        <v>0</v>
      </c>
      <c r="AN356" s="64">
        <v>15</v>
      </c>
      <c r="AO356" s="64">
        <f>I356*0</f>
        <v>0</v>
      </c>
      <c r="AP356" s="64">
        <f>I356*(1-0)</f>
        <v>0</v>
      </c>
      <c r="AQ356" s="65" t="s">
        <v>78</v>
      </c>
      <c r="AV356" s="64">
        <f>AW356+AX356</f>
        <v>0</v>
      </c>
      <c r="AW356" s="64">
        <f>H356*AO356</f>
        <v>0</v>
      </c>
      <c r="AX356" s="64">
        <f>H356*AP356</f>
        <v>0</v>
      </c>
      <c r="AY356" s="67" t="s">
        <v>766</v>
      </c>
      <c r="AZ356" s="67" t="s">
        <v>770</v>
      </c>
      <c r="BA356" s="63" t="s">
        <v>775</v>
      </c>
      <c r="BC356" s="64">
        <f>AW356+AX356</f>
        <v>0</v>
      </c>
      <c r="BD356" s="64">
        <f>I356/(100-BE356)*100</f>
        <v>0</v>
      </c>
      <c r="BE356" s="64">
        <v>0</v>
      </c>
      <c r="BF356" s="64">
        <f>356</f>
        <v>356</v>
      </c>
      <c r="BH356" s="49">
        <f>H356*AO356</f>
        <v>0</v>
      </c>
      <c r="BI356" s="49">
        <f>H356*AP356</f>
        <v>0</v>
      </c>
      <c r="BJ356" s="49">
        <f>H356*I356</f>
        <v>0</v>
      </c>
      <c r="BK356" s="49" t="s">
        <v>780</v>
      </c>
      <c r="BL356" s="64" t="s">
        <v>369</v>
      </c>
    </row>
    <row r="357" spans="1:14" ht="12.75">
      <c r="A357" s="90"/>
      <c r="B357" s="91"/>
      <c r="C357" s="84" t="s">
        <v>703</v>
      </c>
      <c r="F357" s="92"/>
      <c r="G357" s="91"/>
      <c r="H357" s="93">
        <v>354.45</v>
      </c>
      <c r="I357" s="91"/>
      <c r="J357" s="91"/>
      <c r="K357" s="91"/>
      <c r="L357" s="91"/>
      <c r="M357" s="80"/>
      <c r="N357" s="72"/>
    </row>
    <row r="358" spans="1:64" ht="12.75">
      <c r="A358" s="82" t="s">
        <v>224</v>
      </c>
      <c r="B358" s="82" t="s">
        <v>374</v>
      </c>
      <c r="C358" s="229" t="s">
        <v>704</v>
      </c>
      <c r="D358" s="230"/>
      <c r="E358" s="230"/>
      <c r="F358" s="231"/>
      <c r="G358" s="82" t="s">
        <v>719</v>
      </c>
      <c r="H358" s="88">
        <v>23.63</v>
      </c>
      <c r="I358" s="88">
        <v>0</v>
      </c>
      <c r="J358" s="88">
        <f>H358*AO358</f>
        <v>0</v>
      </c>
      <c r="K358" s="88">
        <f>H358*AP358</f>
        <v>0</v>
      </c>
      <c r="L358" s="88">
        <f>H358*I358</f>
        <v>0</v>
      </c>
      <c r="M358" s="78" t="s">
        <v>732</v>
      </c>
      <c r="N358" s="72"/>
      <c r="Z358" s="64">
        <f>IF(AQ358="5",BJ358,0)</f>
        <v>0</v>
      </c>
      <c r="AB358" s="64">
        <f>IF(AQ358="1",BH358,0)</f>
        <v>0</v>
      </c>
      <c r="AC358" s="64">
        <f>IF(AQ358="1",BI358,0)</f>
        <v>0</v>
      </c>
      <c r="AD358" s="64">
        <f>IF(AQ358="7",BH358,0)</f>
        <v>0</v>
      </c>
      <c r="AE358" s="64">
        <f>IF(AQ358="7",BI358,0)</f>
        <v>0</v>
      </c>
      <c r="AF358" s="64">
        <f>IF(AQ358="2",BH358,0)</f>
        <v>0</v>
      </c>
      <c r="AG358" s="64">
        <f>IF(AQ358="2",BI358,0)</f>
        <v>0</v>
      </c>
      <c r="AH358" s="64">
        <f>IF(AQ358="0",BJ358,0)</f>
        <v>0</v>
      </c>
      <c r="AI358" s="63"/>
      <c r="AJ358" s="49">
        <f>IF(AN358=0,L358,0)</f>
        <v>0</v>
      </c>
      <c r="AK358" s="49">
        <f>IF(AN358=15,L358,0)</f>
        <v>0</v>
      </c>
      <c r="AL358" s="49">
        <f>IF(AN358=21,L358,0)</f>
        <v>0</v>
      </c>
      <c r="AN358" s="64">
        <v>15</v>
      </c>
      <c r="AO358" s="64">
        <f>I358*0</f>
        <v>0</v>
      </c>
      <c r="AP358" s="64">
        <f>I358*(1-0)</f>
        <v>0</v>
      </c>
      <c r="AQ358" s="65" t="s">
        <v>78</v>
      </c>
      <c r="AV358" s="64">
        <f>AW358+AX358</f>
        <v>0</v>
      </c>
      <c r="AW358" s="64">
        <f>H358*AO358</f>
        <v>0</v>
      </c>
      <c r="AX358" s="64">
        <f>H358*AP358</f>
        <v>0</v>
      </c>
      <c r="AY358" s="67" t="s">
        <v>766</v>
      </c>
      <c r="AZ358" s="67" t="s">
        <v>770</v>
      </c>
      <c r="BA358" s="63" t="s">
        <v>775</v>
      </c>
      <c r="BC358" s="64">
        <f>AW358+AX358</f>
        <v>0</v>
      </c>
      <c r="BD358" s="64">
        <f>I358/(100-BE358)*100</f>
        <v>0</v>
      </c>
      <c r="BE358" s="64">
        <v>0</v>
      </c>
      <c r="BF358" s="64">
        <f>358</f>
        <v>358</v>
      </c>
      <c r="BH358" s="49">
        <f>H358*AO358</f>
        <v>0</v>
      </c>
      <c r="BI358" s="49">
        <f>H358*AP358</f>
        <v>0</v>
      </c>
      <c r="BJ358" s="49">
        <f>H358*I358</f>
        <v>0</v>
      </c>
      <c r="BK358" s="49" t="s">
        <v>780</v>
      </c>
      <c r="BL358" s="64" t="s">
        <v>369</v>
      </c>
    </row>
    <row r="359" spans="1:64" ht="12.75">
      <c r="A359" s="82" t="s">
        <v>225</v>
      </c>
      <c r="B359" s="82" t="s">
        <v>375</v>
      </c>
      <c r="C359" s="229" t="s">
        <v>705</v>
      </c>
      <c r="D359" s="230"/>
      <c r="E359" s="230"/>
      <c r="F359" s="231"/>
      <c r="G359" s="82" t="s">
        <v>719</v>
      </c>
      <c r="H359" s="88">
        <v>23.63</v>
      </c>
      <c r="I359" s="88">
        <v>0</v>
      </c>
      <c r="J359" s="88">
        <f>H359*AO359</f>
        <v>0</v>
      </c>
      <c r="K359" s="88">
        <f>H359*AP359</f>
        <v>0</v>
      </c>
      <c r="L359" s="88">
        <f>H359*I359</f>
        <v>0</v>
      </c>
      <c r="M359" s="78" t="s">
        <v>732</v>
      </c>
      <c r="N359" s="72"/>
      <c r="Z359" s="64">
        <f>IF(AQ359="5",BJ359,0)</f>
        <v>0</v>
      </c>
      <c r="AB359" s="64">
        <f>IF(AQ359="1",BH359,0)</f>
        <v>0</v>
      </c>
      <c r="AC359" s="64">
        <f>IF(AQ359="1",BI359,0)</f>
        <v>0</v>
      </c>
      <c r="AD359" s="64">
        <f>IF(AQ359="7",BH359,0)</f>
        <v>0</v>
      </c>
      <c r="AE359" s="64">
        <f>IF(AQ359="7",BI359,0)</f>
        <v>0</v>
      </c>
      <c r="AF359" s="64">
        <f>IF(AQ359="2",BH359,0)</f>
        <v>0</v>
      </c>
      <c r="AG359" s="64">
        <f>IF(AQ359="2",BI359,0)</f>
        <v>0</v>
      </c>
      <c r="AH359" s="64">
        <f>IF(AQ359="0",BJ359,0)</f>
        <v>0</v>
      </c>
      <c r="AI359" s="63"/>
      <c r="AJ359" s="49">
        <f>IF(AN359=0,L359,0)</f>
        <v>0</v>
      </c>
      <c r="AK359" s="49">
        <f>IF(AN359=15,L359,0)</f>
        <v>0</v>
      </c>
      <c r="AL359" s="49">
        <f>IF(AN359=21,L359,0)</f>
        <v>0</v>
      </c>
      <c r="AN359" s="64">
        <v>15</v>
      </c>
      <c r="AO359" s="64">
        <f>I359*0</f>
        <v>0</v>
      </c>
      <c r="AP359" s="64">
        <f>I359*(1-0)</f>
        <v>0</v>
      </c>
      <c r="AQ359" s="65" t="s">
        <v>78</v>
      </c>
      <c r="AV359" s="64">
        <f>AW359+AX359</f>
        <v>0</v>
      </c>
      <c r="AW359" s="64">
        <f>H359*AO359</f>
        <v>0</v>
      </c>
      <c r="AX359" s="64">
        <f>H359*AP359</f>
        <v>0</v>
      </c>
      <c r="AY359" s="67" t="s">
        <v>766</v>
      </c>
      <c r="AZ359" s="67" t="s">
        <v>770</v>
      </c>
      <c r="BA359" s="63" t="s">
        <v>775</v>
      </c>
      <c r="BC359" s="64">
        <f>AW359+AX359</f>
        <v>0</v>
      </c>
      <c r="BD359" s="64">
        <f>I359/(100-BE359)*100</f>
        <v>0</v>
      </c>
      <c r="BE359" s="64">
        <v>0</v>
      </c>
      <c r="BF359" s="64">
        <f>359</f>
        <v>359</v>
      </c>
      <c r="BH359" s="49">
        <f>H359*AO359</f>
        <v>0</v>
      </c>
      <c r="BI359" s="49">
        <f>H359*AP359</f>
        <v>0</v>
      </c>
      <c r="BJ359" s="49">
        <f>H359*I359</f>
        <v>0</v>
      </c>
      <c r="BK359" s="49" t="s">
        <v>780</v>
      </c>
      <c r="BL359" s="64" t="s">
        <v>369</v>
      </c>
    </row>
    <row r="360" spans="1:64" ht="12.75">
      <c r="A360" s="145" t="s">
        <v>58</v>
      </c>
      <c r="B360" s="145" t="s">
        <v>376</v>
      </c>
      <c r="C360" s="232" t="s">
        <v>706</v>
      </c>
      <c r="D360" s="233"/>
      <c r="E360" s="233"/>
      <c r="F360" s="234"/>
      <c r="G360" s="145" t="s">
        <v>719</v>
      </c>
      <c r="H360" s="146">
        <v>6.1043</v>
      </c>
      <c r="I360" s="146">
        <v>0</v>
      </c>
      <c r="J360" s="146">
        <f>H360*AO360</f>
        <v>0</v>
      </c>
      <c r="K360" s="146">
        <f>H360*AP360</f>
        <v>0</v>
      </c>
      <c r="L360" s="146">
        <f>H360*I360</f>
        <v>0</v>
      </c>
      <c r="M360" s="148" t="s">
        <v>734</v>
      </c>
      <c r="N360" s="72"/>
      <c r="Z360" s="64">
        <f>IF(AQ360="5",BJ360,0)</f>
        <v>0</v>
      </c>
      <c r="AB360" s="64">
        <f>IF(AQ360="1",BH360,0)</f>
        <v>0</v>
      </c>
      <c r="AC360" s="64">
        <f>IF(AQ360="1",BI360,0)</f>
        <v>0</v>
      </c>
      <c r="AD360" s="64">
        <f>IF(AQ360="7",BH360,0)</f>
        <v>0</v>
      </c>
      <c r="AE360" s="64">
        <f>IF(AQ360="7",BI360,0)</f>
        <v>0</v>
      </c>
      <c r="AF360" s="64">
        <f>IF(AQ360="2",BH360,0)</f>
        <v>0</v>
      </c>
      <c r="AG360" s="64">
        <f>IF(AQ360="2",BI360,0)</f>
        <v>0</v>
      </c>
      <c r="AH360" s="64">
        <f>IF(AQ360="0",BJ360,0)</f>
        <v>0</v>
      </c>
      <c r="AI360" s="63"/>
      <c r="AJ360" s="49">
        <f>IF(AN360=0,L360,0)</f>
        <v>0</v>
      </c>
      <c r="AK360" s="49">
        <f>IF(AN360=15,L360,0)</f>
        <v>0</v>
      </c>
      <c r="AL360" s="49">
        <f>IF(AN360=21,L360,0)</f>
        <v>0</v>
      </c>
      <c r="AN360" s="64">
        <v>15</v>
      </c>
      <c r="AO360" s="64">
        <f>I360*0</f>
        <v>0</v>
      </c>
      <c r="AP360" s="64">
        <f>I360*(1-0)</f>
        <v>0</v>
      </c>
      <c r="AQ360" s="65" t="s">
        <v>78</v>
      </c>
      <c r="AV360" s="64">
        <f>AW360+AX360</f>
        <v>0</v>
      </c>
      <c r="AW360" s="64">
        <f>H360*AO360</f>
        <v>0</v>
      </c>
      <c r="AX360" s="64">
        <f>H360*AP360</f>
        <v>0</v>
      </c>
      <c r="AY360" s="67" t="s">
        <v>766</v>
      </c>
      <c r="AZ360" s="67" t="s">
        <v>770</v>
      </c>
      <c r="BA360" s="63" t="s">
        <v>775</v>
      </c>
      <c r="BC360" s="64">
        <f>AW360+AX360</f>
        <v>0</v>
      </c>
      <c r="BD360" s="64">
        <f>I360/(100-BE360)*100</f>
        <v>0</v>
      </c>
      <c r="BE360" s="64">
        <v>0</v>
      </c>
      <c r="BF360" s="64">
        <f>360</f>
        <v>360</v>
      </c>
      <c r="BH360" s="49">
        <f>H360*AO360</f>
        <v>0</v>
      </c>
      <c r="BI360" s="49">
        <f>H360*AP360</f>
        <v>0</v>
      </c>
      <c r="BJ360" s="49">
        <f>H360*I360</f>
        <v>0</v>
      </c>
      <c r="BK360" s="49" t="s">
        <v>780</v>
      </c>
      <c r="BL360" s="64" t="s">
        <v>369</v>
      </c>
    </row>
    <row r="361" spans="1:13" ht="12.75">
      <c r="A361" s="72"/>
      <c r="B361" s="72"/>
      <c r="C361" s="72"/>
      <c r="D361" s="5"/>
      <c r="E361" s="5"/>
      <c r="F361" s="72"/>
      <c r="G361" s="72"/>
      <c r="H361" s="72"/>
      <c r="I361" s="72"/>
      <c r="J361" s="228" t="s">
        <v>728</v>
      </c>
      <c r="K361" s="205"/>
      <c r="L361" s="167">
        <f>L13+L20+L25+L29+L45+L161+L177+L186+L195+L209+L211+L238+L245+L249+L266+L270+L289+L298+L329+L337+L344+L349+L352</f>
        <v>0</v>
      </c>
      <c r="M361" s="72"/>
    </row>
    <row r="362" ht="11.25" customHeight="1">
      <c r="A362" s="37" t="s">
        <v>18</v>
      </c>
    </row>
    <row r="363" spans="1:13" ht="12.75">
      <c r="A363" s="169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</row>
  </sheetData>
  <sheetProtection/>
  <mergeCells count="207">
    <mergeCell ref="A1:M1"/>
    <mergeCell ref="A2:B3"/>
    <mergeCell ref="C2:C3"/>
    <mergeCell ref="D2:D3"/>
    <mergeCell ref="E2:E3"/>
    <mergeCell ref="F2:F3"/>
    <mergeCell ref="G2:M3"/>
    <mergeCell ref="A4:B5"/>
    <mergeCell ref="C4:C5"/>
    <mergeCell ref="D4:D5"/>
    <mergeCell ref="E4:E5"/>
    <mergeCell ref="F4:F5"/>
    <mergeCell ref="G4:M5"/>
    <mergeCell ref="A6:B7"/>
    <mergeCell ref="C6:C7"/>
    <mergeCell ref="D6:D7"/>
    <mergeCell ref="E6:E7"/>
    <mergeCell ref="F6:F7"/>
    <mergeCell ref="G6:M7"/>
    <mergeCell ref="A8:B9"/>
    <mergeCell ref="C8:C9"/>
    <mergeCell ref="D8:D9"/>
    <mergeCell ref="E8:E9"/>
    <mergeCell ref="F8:F9"/>
    <mergeCell ref="G8:M9"/>
    <mergeCell ref="C10:F10"/>
    <mergeCell ref="J10:L10"/>
    <mergeCell ref="C11:F11"/>
    <mergeCell ref="C12:F12"/>
    <mergeCell ref="C13:F13"/>
    <mergeCell ref="C14:F14"/>
    <mergeCell ref="C16:F16"/>
    <mergeCell ref="C19:F19"/>
    <mergeCell ref="C20:F20"/>
    <mergeCell ref="C21:F21"/>
    <mergeCell ref="C22:F22"/>
    <mergeCell ref="C23:F23"/>
    <mergeCell ref="C25:F25"/>
    <mergeCell ref="C26:F26"/>
    <mergeCell ref="C29:F29"/>
    <mergeCell ref="C30:F30"/>
    <mergeCell ref="C36:F36"/>
    <mergeCell ref="C37:F37"/>
    <mergeCell ref="C40:F40"/>
    <mergeCell ref="C43:F43"/>
    <mergeCell ref="C45:F45"/>
    <mergeCell ref="C46:F46"/>
    <mergeCell ref="C50:F50"/>
    <mergeCell ref="C57:F57"/>
    <mergeCell ref="C60:F60"/>
    <mergeCell ref="C61:F61"/>
    <mergeCell ref="C66:F66"/>
    <mergeCell ref="C68:F68"/>
    <mergeCell ref="C70:F70"/>
    <mergeCell ref="C74:F74"/>
    <mergeCell ref="C81:F81"/>
    <mergeCell ref="C83:F83"/>
    <mergeCell ref="C85:F85"/>
    <mergeCell ref="C87:F87"/>
    <mergeCell ref="C92:F92"/>
    <mergeCell ref="C94:F94"/>
    <mergeCell ref="C96:F96"/>
    <mergeCell ref="C107:F107"/>
    <mergeCell ref="C109:F109"/>
    <mergeCell ref="C110:F110"/>
    <mergeCell ref="C113:F113"/>
    <mergeCell ref="C116:F116"/>
    <mergeCell ref="C120:F120"/>
    <mergeCell ref="C122:F122"/>
    <mergeCell ref="C130:F130"/>
    <mergeCell ref="C132:F132"/>
    <mergeCell ref="C133:F133"/>
    <mergeCell ref="C135:F135"/>
    <mergeCell ref="C137:F137"/>
    <mergeCell ref="C140:F140"/>
    <mergeCell ref="C142:F142"/>
    <mergeCell ref="C143:F143"/>
    <mergeCell ref="C144:F144"/>
    <mergeCell ref="C147:F147"/>
    <mergeCell ref="C150:F150"/>
    <mergeCell ref="C153:F153"/>
    <mergeCell ref="C155:F155"/>
    <mergeCell ref="C158:F158"/>
    <mergeCell ref="C160:F160"/>
    <mergeCell ref="C161:F161"/>
    <mergeCell ref="C162:F162"/>
    <mergeCell ref="C165:F165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80:F180"/>
    <mergeCell ref="C182:F182"/>
    <mergeCell ref="C184:F184"/>
    <mergeCell ref="C186:F186"/>
    <mergeCell ref="C187:F187"/>
    <mergeCell ref="C189:F189"/>
    <mergeCell ref="C191:F191"/>
    <mergeCell ref="C192:F192"/>
    <mergeCell ref="C195:F195"/>
    <mergeCell ref="C196:F196"/>
    <mergeCell ref="C199:F199"/>
    <mergeCell ref="C202:F202"/>
    <mergeCell ref="C204:F204"/>
    <mergeCell ref="C208:F208"/>
    <mergeCell ref="C209:F209"/>
    <mergeCell ref="C210:F210"/>
    <mergeCell ref="C211:F211"/>
    <mergeCell ref="C212:F212"/>
    <mergeCell ref="C214:F214"/>
    <mergeCell ref="C216:F216"/>
    <mergeCell ref="C219:F219"/>
    <mergeCell ref="C221:F221"/>
    <mergeCell ref="C226:F226"/>
    <mergeCell ref="C228:F228"/>
    <mergeCell ref="C230:F230"/>
    <mergeCell ref="C234:F234"/>
    <mergeCell ref="C236:F236"/>
    <mergeCell ref="C237:F237"/>
    <mergeCell ref="C238:F238"/>
    <mergeCell ref="C239:F239"/>
    <mergeCell ref="C240:F240"/>
    <mergeCell ref="C241:F241"/>
    <mergeCell ref="C244:F244"/>
    <mergeCell ref="C245:F245"/>
    <mergeCell ref="C246:F246"/>
    <mergeCell ref="C249:F249"/>
    <mergeCell ref="C250:F250"/>
    <mergeCell ref="C253:F253"/>
    <mergeCell ref="C255:F255"/>
    <mergeCell ref="C257:F257"/>
    <mergeCell ref="C259:F259"/>
    <mergeCell ref="C262:F262"/>
    <mergeCell ref="C265:F265"/>
    <mergeCell ref="C266:F266"/>
    <mergeCell ref="C267:F267"/>
    <mergeCell ref="C270:F270"/>
    <mergeCell ref="C271:F271"/>
    <mergeCell ref="C273:F273"/>
    <mergeCell ref="C274:F274"/>
    <mergeCell ref="C275:F275"/>
    <mergeCell ref="C276:F276"/>
    <mergeCell ref="C277:F277"/>
    <mergeCell ref="C279:F279"/>
    <mergeCell ref="C281:F281"/>
    <mergeCell ref="C282:F282"/>
    <mergeCell ref="C283:F283"/>
    <mergeCell ref="C284:F284"/>
    <mergeCell ref="C285:F285"/>
    <mergeCell ref="C286:F286"/>
    <mergeCell ref="C287:F287"/>
    <mergeCell ref="C288:F288"/>
    <mergeCell ref="C289:F289"/>
    <mergeCell ref="C290:F290"/>
    <mergeCell ref="C295:F295"/>
    <mergeCell ref="C296:F296"/>
    <mergeCell ref="C297:F297"/>
    <mergeCell ref="C298:F298"/>
    <mergeCell ref="C299:F299"/>
    <mergeCell ref="C301:F301"/>
    <mergeCell ref="C304:F304"/>
    <mergeCell ref="C306:F306"/>
    <mergeCell ref="C309:F309"/>
    <mergeCell ref="C311:F311"/>
    <mergeCell ref="C312:F312"/>
    <mergeCell ref="C313:F313"/>
    <mergeCell ref="C314:F314"/>
    <mergeCell ref="C315:F315"/>
    <mergeCell ref="C316:F316"/>
    <mergeCell ref="C319:F319"/>
    <mergeCell ref="C320:F320"/>
    <mergeCell ref="C322:F322"/>
    <mergeCell ref="C325:F325"/>
    <mergeCell ref="C326:F326"/>
    <mergeCell ref="C327:F327"/>
    <mergeCell ref="C328:F328"/>
    <mergeCell ref="C329:F329"/>
    <mergeCell ref="C330:F330"/>
    <mergeCell ref="C333:F333"/>
    <mergeCell ref="C334:F334"/>
    <mergeCell ref="C335:F335"/>
    <mergeCell ref="C336:F336"/>
    <mergeCell ref="C337:F337"/>
    <mergeCell ref="C338:F338"/>
    <mergeCell ref="C343:F343"/>
    <mergeCell ref="C344:F344"/>
    <mergeCell ref="C345:F345"/>
    <mergeCell ref="C347:F347"/>
    <mergeCell ref="C349:F349"/>
    <mergeCell ref="C350:F350"/>
    <mergeCell ref="C351:F351"/>
    <mergeCell ref="C352:F352"/>
    <mergeCell ref="C353:F353"/>
    <mergeCell ref="J361:K361"/>
    <mergeCell ref="A363:M363"/>
    <mergeCell ref="C354:F354"/>
    <mergeCell ref="C355:F355"/>
    <mergeCell ref="C356:F356"/>
    <mergeCell ref="C358:F358"/>
    <mergeCell ref="C359:F359"/>
    <mergeCell ref="C360:F36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Standard</cp:lastModifiedBy>
  <dcterms:modified xsi:type="dcterms:W3CDTF">2022-05-04T18:37:30Z</dcterms:modified>
  <cp:category/>
  <cp:version/>
  <cp:contentType/>
  <cp:contentStatus/>
</cp:coreProperties>
</file>