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2"/>
  </bookViews>
  <sheets>
    <sheet name="Krycí list rozpočtu" sheetId="1" r:id="rId1"/>
    <sheet name="VORN" sheetId="2" r:id="rId2"/>
    <sheet name="Stavební rozpočet" sheetId="3" r:id="rId3"/>
  </sheet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<sst xmlns="http://schemas.openxmlformats.org/spreadsheetml/2006/main" count="1304" uniqueCount="526">
  <si>
    <t>Název stavby:</t>
  </si>
  <si>
    <t>Druh stavby:</t>
  </si>
  <si>
    <t>Lokalita:</t>
  </si>
  <si>
    <t>Začátek výstavby:</t>
  </si>
  <si>
    <t>JKSO: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</si>
  <si>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</si>
  <si>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</si>
  <si>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</si>
  <si>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</si>
  <si>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</si>
  <si>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</si>
  <si>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</si>
  <si>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</si>
  <si>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</si>
  <si>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</si>
  <si>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</si>
  <si>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</si>
  <si>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</si>
  <si>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Poznámka:</t>
  </si>
  <si>
    <t>Základní rozpočtové náklady</t>
  </si>
  <si>
    <t>Dodávky</t>
  </si>
  <si>
    <t>Montáž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</si>
  <si>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</si>
  <si>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</si>
  <si>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</si>
  <si>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</si>
  <si>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</si>
  <si>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</si>
  <si>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</si>
  <si>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</si>
  <si>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</si>
  <si>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</si>
  <si>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Objednatel:</t>
  </si>
  <si>
    <t>Projektant:</t>
  </si>
  <si>
    <t>Zhotovitel:</t>
  </si>
  <si>
    <t>Konec výstavby:</t>
  </si>
  <si>
    <t>Zpracoval: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</si>
  <si>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</si>
  <si>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</si>
  <si>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</si>
  <si>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</si>
  <si>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</si>
  <si>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</si>
  <si>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</si>
  <si>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</si>
  <si>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</si>
  <si>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</si>
  <si>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</si>
  <si>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</si>
  <si>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</si>
  <si>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</si>
  <si>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</si>
  <si>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</si>
  <si>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</si>
  <si>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</si>
  <si>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</si>
  <si>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295841/CZ00295841</t>
  </si>
  <si>
    <t>45646597/</t>
  </si>
  <si>
    <t>91</t>
  </si>
  <si>
    <t>0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</si>
  <si>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</si>
  <si>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</si>
  <si>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</si>
  <si>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</si>
  <si>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</si>
  <si>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</si>
  <si>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</si>
  <si>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</si>
  <si>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</si>
  <si>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</si>
  <si>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</si>
  <si>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</si>
  <si>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>Slepý stavební rozpočet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</si>
  <si>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</si>
  <si>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</si>
  <si>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</si>
  <si>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</si>
  <si>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</si>
  <si>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</si>
  <si>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</si>
  <si>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</si>
  <si>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</si>
  <si>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</si>
  <si>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</si>
  <si>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</si>
  <si>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</si>
  <si>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</si>
  <si>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</si>
  <si>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</si>
  <si>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</si>
  <si>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</si>
  <si>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</si>
  <si>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</si>
  <si>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</si>
  <si>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</si>
  <si>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</si>
  <si>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</si>
  <si>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</si>
  <si>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</si>
  <si>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</si>
  <si>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</si>
  <si>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</si>
  <si>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</si>
  <si>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</si>
  <si>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</si>
  <si>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</si>
  <si>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</si>
  <si>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</si>
  <si>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</si>
  <si>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</si>
  <si>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</si>
  <si>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</si>
  <si>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</si>
  <si>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</si>
  <si>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</si>
  <si>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</si>
  <si>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</si>
  <si>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</si>
  <si>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</si>
  <si>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</si>
  <si>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</si>
  <si>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</si>
  <si>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</si>
  <si>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</si>
  <si>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</si>
  <si>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</si>
  <si>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</si>
  <si>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</si>
  <si>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</si>
  <si>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</si>
  <si>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</si>
  <si>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</si>
  <si>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</si>
  <si>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</si>
  <si>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</si>
  <si>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</si>
  <si>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</si>
  <si>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</si>
  <si>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</si>
  <si>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</si>
  <si>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</si>
  <si>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</si>
  <si>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</si>
  <si>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</si>
  <si>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</si>
  <si>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</si>
  <si>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</si>
  <si>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</si>
  <si>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</si>
  <si>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</si>
  <si>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</si>
  <si>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</si>
  <si>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</si>
  <si>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</si>
  <si>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</si>
  <si>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</si>
  <si>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</si>
  <si>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</si>
  <si>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</si>
  <si>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</si>
  <si>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</si>
  <si>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</si>
  <si>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</si>
  <si>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</si>
  <si>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</si>
  <si>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Kód</t>
  </si>
  <si>
    <t>VLASTNÍ</t>
  </si>
  <si>
    <t>113106231R00</t>
  </si>
  <si>
    <t>139600012RBD</t>
  </si>
  <si>
    <t>132201119R00</t>
  </si>
  <si>
    <t>162701105R00</t>
  </si>
  <si>
    <t>167101101R00</t>
  </si>
  <si>
    <t>171201201R00</t>
  </si>
  <si>
    <t>275171111R00</t>
  </si>
  <si>
    <t>274313311R00</t>
  </si>
  <si>
    <t>311321412R00</t>
  </si>
  <si>
    <t>311351805R00</t>
  </si>
  <si>
    <t>311351806R00</t>
  </si>
  <si>
    <t>311361921RT4</t>
  </si>
  <si>
    <t>317121251RT2</t>
  </si>
  <si>
    <t>413231211R00</t>
  </si>
  <si>
    <t>435121011R00</t>
  </si>
  <si>
    <t>113107525R00</t>
  </si>
  <si>
    <t>564851111RT3</t>
  </si>
  <si>
    <t>918101111R00</t>
  </si>
  <si>
    <t>916561111RT4</t>
  </si>
  <si>
    <t>596215021R00</t>
  </si>
  <si>
    <t>596291111R00</t>
  </si>
  <si>
    <t>592452630</t>
  </si>
  <si>
    <t>612401191R00</t>
  </si>
  <si>
    <t>622421121R00</t>
  </si>
  <si>
    <t>622461411R00</t>
  </si>
  <si>
    <t>631361921RT4</t>
  </si>
  <si>
    <t>631416212R00</t>
  </si>
  <si>
    <t>632921413R00</t>
  </si>
  <si>
    <t>711</t>
  </si>
  <si>
    <t>711212000RU1</t>
  </si>
  <si>
    <t>711212012RT3</t>
  </si>
  <si>
    <t>711212601RT2</t>
  </si>
  <si>
    <t>28355125.A</t>
  </si>
  <si>
    <t>998711101R00</t>
  </si>
  <si>
    <t>764</t>
  </si>
  <si>
    <t>764430810R00</t>
  </si>
  <si>
    <t>764331830R00</t>
  </si>
  <si>
    <t>764454801R00</t>
  </si>
  <si>
    <t>764453842R00</t>
  </si>
  <si>
    <t>764352800R00</t>
  </si>
  <si>
    <t>764919104R00</t>
  </si>
  <si>
    <t>764903102R00</t>
  </si>
  <si>
    <t>764902203RT3</t>
  </si>
  <si>
    <t>764908108RT2</t>
  </si>
  <si>
    <t>764908101RT2</t>
  </si>
  <si>
    <t>764908104RT2</t>
  </si>
  <si>
    <t>764255492R00</t>
  </si>
  <si>
    <t>5534424042</t>
  </si>
  <si>
    <t>998764101R00</t>
  </si>
  <si>
    <t>767</t>
  </si>
  <si>
    <t>767996801R00</t>
  </si>
  <si>
    <t>767134802R00</t>
  </si>
  <si>
    <t>767392802R00</t>
  </si>
  <si>
    <t>14587775</t>
  </si>
  <si>
    <t>14125348</t>
  </si>
  <si>
    <t>998767101R00</t>
  </si>
  <si>
    <t>771</t>
  </si>
  <si>
    <t>771579795R00</t>
  </si>
  <si>
    <t>771101210R00</t>
  </si>
  <si>
    <t>771475014RV4</t>
  </si>
  <si>
    <t>59764431</t>
  </si>
  <si>
    <t>998771101R00</t>
  </si>
  <si>
    <t>900      R03</t>
  </si>
  <si>
    <t>94</t>
  </si>
  <si>
    <t>941955002R00</t>
  </si>
  <si>
    <t>941941052R00</t>
  </si>
  <si>
    <t>941941392R00</t>
  </si>
  <si>
    <t>941941852R00</t>
  </si>
  <si>
    <t>95</t>
  </si>
  <si>
    <t>952901111R00</t>
  </si>
  <si>
    <t>953981104R00</t>
  </si>
  <si>
    <t>953981102R00</t>
  </si>
  <si>
    <t>96</t>
  </si>
  <si>
    <t>965043331R00</t>
  </si>
  <si>
    <t>965081922R00</t>
  </si>
  <si>
    <t>965081702R00</t>
  </si>
  <si>
    <t>965082941R00</t>
  </si>
  <si>
    <t>963053935R00</t>
  </si>
  <si>
    <t>962042321R00</t>
  </si>
  <si>
    <t>460030102R00</t>
  </si>
  <si>
    <t>962032231R00</t>
  </si>
  <si>
    <t>97</t>
  </si>
  <si>
    <t>971033231R00</t>
  </si>
  <si>
    <t>971033241R00</t>
  </si>
  <si>
    <t>H99</t>
  </si>
  <si>
    <t>999281105R00</t>
  </si>
  <si>
    <t>M46</t>
  </si>
  <si>
    <t>460030081RT2</t>
  </si>
  <si>
    <t>S0</t>
  </si>
  <si>
    <t>979081111R00</t>
  </si>
  <si>
    <t>979081121R00</t>
  </si>
  <si>
    <t>979082111R00</t>
  </si>
  <si>
    <t>979088212R00</t>
  </si>
  <si>
    <t>979087311R00</t>
  </si>
  <si>
    <t>979990107R00</t>
  </si>
  <si>
    <t>6MŠ Vančurova-oprava zásobovací rampy vč. zastřešení</t>
  </si>
  <si>
    <t>oprava zásobovací rampy vč. zastřešení</t>
  </si>
  <si>
    <t>Vančurova 1131/14, Žďár nad Sázavou</t>
  </si>
  <si>
    <t>Zkrácený popis</t>
  </si>
  <si>
    <t>Rozměry</t>
  </si>
  <si>
    <t>Nezařazeno</t>
  </si>
  <si>
    <t>Všeobecné konstrukce a práce</t>
  </si>
  <si>
    <t>Geodetické práce-vytyčení sítí</t>
  </si>
  <si>
    <t>Přípravné a přidružené práce</t>
  </si>
  <si>
    <t>Rozebrání dlažeb ze zámkové dlažby v kamenivu</t>
  </si>
  <si>
    <t>stávající chodník</t>
  </si>
  <si>
    <t>Hloubené vykopávky</t>
  </si>
  <si>
    <t>Ruční výkop v hornině 3</t>
  </si>
  <si>
    <t>(7,65+1,2)*0,3*1+0,5*(7,65+1,2)*1</t>
  </si>
  <si>
    <t>(1,35*0,5*0,9)*2+0,5*0,5*1,3</t>
  </si>
  <si>
    <t>Přípl.za lepivost,hloubení rýh 60 cm,hor.3</t>
  </si>
  <si>
    <t>Přemístění výkopku</t>
  </si>
  <si>
    <t>Vodorovné přemístění výkopku z hor.1-4 do 10000 m</t>
  </si>
  <si>
    <t>Nakládání výkopku z hor.1-4 v množství do 100 m3</t>
  </si>
  <si>
    <t>Uložení sypaniny na skl.-sypanina na výšku přes 2m</t>
  </si>
  <si>
    <t>Základy</t>
  </si>
  <si>
    <t>Zavrtání ocelové kotvy - bez dodávky kotvy</t>
  </si>
  <si>
    <t>Beton základových pasů prostý C 8/10</t>
  </si>
  <si>
    <t>(1,34*0,4*1)*2</t>
  </si>
  <si>
    <t>0,15*3*1+0,15*1,3*2,7</t>
  </si>
  <si>
    <t>0,5*0,5*1,3</t>
  </si>
  <si>
    <t>Zdi podpěrné a volné</t>
  </si>
  <si>
    <t>Železobeton nadzákladových zdí C 30/37</t>
  </si>
  <si>
    <t>zdivo rampy</t>
  </si>
  <si>
    <t>6,3*1,3*0,25</t>
  </si>
  <si>
    <t>zdivo plotu</t>
  </si>
  <si>
    <t>1,2*0,2*0,6</t>
  </si>
  <si>
    <t>Bednění nadzákl.zdí,pohled.hl.,oboustranné-zřízení</t>
  </si>
  <si>
    <t>6,3*1,3*2</t>
  </si>
  <si>
    <t>1,2*0,6*2</t>
  </si>
  <si>
    <t>Bednění nadzákl.zdí,pohled.hl.,oboustr.-odstranění</t>
  </si>
  <si>
    <t>Výztuž nadzákladových zdí ze svařovaných sítí průměr drátu 6,0, oka 100/100 mm KH30</t>
  </si>
  <si>
    <t>hmotnost 4,44 kg/m2</t>
  </si>
  <si>
    <t>((3,3*2+0,5*1,8*2+0,5*1,2*1,7)*4,44)/1000</t>
  </si>
  <si>
    <t>Montáž ŽB překladů do 180 cm dodatečně do rýh včetně dodávky RZP 2/10 149 x 14 x 14 cm</t>
  </si>
  <si>
    <t>Stropy a stropní konstrukce (pro pozemní stavby)</t>
  </si>
  <si>
    <t>Zazdívka zhlaví stropních trámů průřezu do 200 cm2</t>
  </si>
  <si>
    <t>ŽB překlady-osazení schodišť. ramen</t>
  </si>
  <si>
    <t>ocelové profily krovu</t>
  </si>
  <si>
    <t>Schodiště</t>
  </si>
  <si>
    <t>Montáž schodišťových ramen bez podest do 1,5 t</t>
  </si>
  <si>
    <t>Schodišťové rameno-7 stupňů</t>
  </si>
  <si>
    <t>Schodišťové rameno-5 stupňů</t>
  </si>
  <si>
    <t>Podkladní a vedlejší konstrukce (inženýr. stavby kromě vozovek a železnič. svršku)</t>
  </si>
  <si>
    <t>Odstranění podkladu pl. 50 m2,kam.drcené tl.25 cm</t>
  </si>
  <si>
    <t>Podkladní vrstvy komunikací, letišť a ploch</t>
  </si>
  <si>
    <t>Podklad ze štěrkodrti po zhutnění tloušťky 15 cm</t>
  </si>
  <si>
    <t>2,5*1,35</t>
  </si>
  <si>
    <t>Lože pod obrubníky nebo obruby dlažeb z B 12,5</t>
  </si>
  <si>
    <t>2,5*(0,3*0,15)</t>
  </si>
  <si>
    <t>Osazení záhon.obrubníků do lože z C 12/15 s opěrou včetně obrubníku ABO 4 - 5    50/5/25</t>
  </si>
  <si>
    <t>2,5+0,5</t>
  </si>
  <si>
    <t>Kryty pozemních komunikací, letišť a ploch dlážděných (předlažby)</t>
  </si>
  <si>
    <t>Kladení zámkové dlažby tl. 6 cm do drtě tl. 4 cm</t>
  </si>
  <si>
    <t>Řezání zámkové dlažby tl. 60 mm</t>
  </si>
  <si>
    <t>2,5*2</t>
  </si>
  <si>
    <t>Dlažba BEST KARO přírodní 20x20x6</t>
  </si>
  <si>
    <t>Úprava povrchů vnitřní</t>
  </si>
  <si>
    <t>Omítka malých ploch vnitřních stěn do 0,09 m2</t>
  </si>
  <si>
    <t>Úprava povrchů vnější</t>
  </si>
  <si>
    <t>Omítka vnější stěn, MVC, hrubá zatřená</t>
  </si>
  <si>
    <t>po osekaných soklících</t>
  </si>
  <si>
    <t>po vybouraném zdivu rampy</t>
  </si>
  <si>
    <t>Oprava vnějších omítek umělých škrábaných do 40 %</t>
  </si>
  <si>
    <t>Podlahy a podlahové konstrukce</t>
  </si>
  <si>
    <t>Výztuž mazanin svařovanou sítí průměr drátu  6,0, oka 100/100 mm KH30</t>
  </si>
  <si>
    <t>((3,3*1,35)*4,44)/1000</t>
  </si>
  <si>
    <t>Mazanina betonová PROFI, tloušťka 8 - 12 cm</t>
  </si>
  <si>
    <t>3,3*1,35*0,1</t>
  </si>
  <si>
    <t>Dlažba z dlaždic betonových do MC 10, tl. 60 mm</t>
  </si>
  <si>
    <t>3,3*1,35</t>
  </si>
  <si>
    <t>Izolace proti vodě</t>
  </si>
  <si>
    <t>Penetrace podkladu pod hydroizolační nátěr,vč.dod.Primer G (fa Mapei)</t>
  </si>
  <si>
    <t>Hydroizolační povlak vyztužený tkaninou Mapelastic (fa Mapei), pružná hydroizolace</t>
  </si>
  <si>
    <t>3,3*1+0,5*1,8*1,3+0,5*1,2*0,9</t>
  </si>
  <si>
    <t>Těsnicí pás do spoje podlaha - stěna</t>
  </si>
  <si>
    <t>1,9+3,3+1,5</t>
  </si>
  <si>
    <t>Mapeband modrý pás těsnicí š. 120 mm Mapei</t>
  </si>
  <si>
    <t>Přesun hmot pro izolace proti vodě, výšky do 6 m</t>
  </si>
  <si>
    <t>Konstrukce klempířské</t>
  </si>
  <si>
    <t>Demontáž oplechování zdí, rš do 250 mm</t>
  </si>
  <si>
    <t>7,5+1,2</t>
  </si>
  <si>
    <t>Demontáž lemování zdí, rš 250 a 330 mm, do 30°</t>
  </si>
  <si>
    <t>Demontáž odpadních trub kruhových,D 75 a 100 mm</t>
  </si>
  <si>
    <t>Demontáž kolen horních dvojitých,75 a 100 mm</t>
  </si>
  <si>
    <t>Demontáž žlabů půlkruh. rovných, rš 250 mm, do 30°</t>
  </si>
  <si>
    <t>M.krytiny z tašk.tabulí z lak.plech.na ocel do 30°</t>
  </si>
  <si>
    <t>8,5*1,8</t>
  </si>
  <si>
    <t>Lindab, tašková tabule IDEAL 35,na ocel, do 30°</t>
  </si>
  <si>
    <t>Lindab Mega, štítové lemování vrchní RŠ 250mm</t>
  </si>
  <si>
    <t>Lindab odpadní trouby kruhové SROR, D 87 mm</t>
  </si>
  <si>
    <t>Lindab,kotlík žlabový kónický SOK,vel.žlabu 125 mm</t>
  </si>
  <si>
    <t>Lindab žlab podokapní půlkruhový R,velikost 125 mm</t>
  </si>
  <si>
    <t>Montáž háků z Ti Zn</t>
  </si>
  <si>
    <t>Hák nástřešního žlabu, opláštěný mat. Ti Zn</t>
  </si>
  <si>
    <t>Přesun hmot pro klempířské konstr., výšky do 6 m</t>
  </si>
  <si>
    <t>Konstrukce doplňkové stavební (zámečnické)</t>
  </si>
  <si>
    <t>Demontáž atypických ocelových konstr. do 50 kg</t>
  </si>
  <si>
    <t>zábradlí schodů</t>
  </si>
  <si>
    <t>ocelová konstrukce  skladu a střechy</t>
  </si>
  <si>
    <t>184</t>
  </si>
  <si>
    <t>Demontáž oplechování stěn plechy šroubovanými</t>
  </si>
  <si>
    <t>5,1*2,1+1,2*2,1+(0,5*1,2*1,5)*3</t>
  </si>
  <si>
    <t>Demontáž krytin střech z plechů, šroubovaných</t>
  </si>
  <si>
    <t>7,5*1,7</t>
  </si>
  <si>
    <t>Profil obdélník. uzavř.svařovaný S235   80x40x2 mm</t>
  </si>
  <si>
    <t>((1,8*10+1,5*5+1,8+1,9+2,3*2+2,5)*3,61)/1000</t>
  </si>
  <si>
    <t>Trubky bezešvé hladké jakost 11353.1 D 82,5x4,0 mm</t>
  </si>
  <si>
    <t>2,4*2+3,2*2+3,8</t>
  </si>
  <si>
    <t>Zámečnické výrobky</t>
  </si>
  <si>
    <t>montáž ocelových profilů+ pozikování+kotvení</t>
  </si>
  <si>
    <t>Zámečnické výrobky-zábradlí schodů-pozinkované 1/Z</t>
  </si>
  <si>
    <t>dl. 1542+368mm</t>
  </si>
  <si>
    <t>3200</t>
  </si>
  <si>
    <t>dl. 1310+766mm</t>
  </si>
  <si>
    <t>3540</t>
  </si>
  <si>
    <t>Zámečnické výrobky-zábradlí splotu-pozinkované 2/Z</t>
  </si>
  <si>
    <t>Přesun hmot pro zámečnické konstr., výšky do 6 m</t>
  </si>
  <si>
    <t>Podlahy z dlaždic</t>
  </si>
  <si>
    <t>Vyrovnání podkladu samonivelační stěrkou tl. 4mm</t>
  </si>
  <si>
    <t>Penetrace podkladu pod dlažby</t>
  </si>
  <si>
    <t>Obklad soklíků keram.rovných, tmel,výška 10 cm</t>
  </si>
  <si>
    <t>3,3+0,3*10+0,16*11</t>
  </si>
  <si>
    <t>Sokl Taurus  30x8x0,9 cm S</t>
  </si>
  <si>
    <t>8,06/0,3</t>
  </si>
  <si>
    <t>Přesun hmot pro podlahy z dlaždic, výšky do 6 m</t>
  </si>
  <si>
    <t>Hodinové zúčtovací sazby (HZS)</t>
  </si>
  <si>
    <t>HZS</t>
  </si>
  <si>
    <t>Lešení a stavební výtahy</t>
  </si>
  <si>
    <t>Lešení lehké pomocné, výška podlahy do 1,9 m</t>
  </si>
  <si>
    <t>8,3*1,35</t>
  </si>
  <si>
    <t>Montáž lešení leh.řad.s podlahami,š.1,5 m, H 24 m</t>
  </si>
  <si>
    <t>(1,35*2+1,2+3,3+1,8+2,6)*3,5</t>
  </si>
  <si>
    <t>Příplatek za každý měsíc použití lešení k pol.1052</t>
  </si>
  <si>
    <t>Demontáž lešení leh.řad.s podlahami,š.1,5 m,H 24 m</t>
  </si>
  <si>
    <t>Různé dokončovací konstrukce a práce pozemních staveb</t>
  </si>
  <si>
    <t>Vyčištění budov o výšce podlaží do 4 m</t>
  </si>
  <si>
    <t>(2,5+1,8+3,3+1,2+2)*1,5</t>
  </si>
  <si>
    <t>Chemické kotvy do betonu, hl. 125 mm, M 16, ampule</t>
  </si>
  <si>
    <t>kotvení ocel. sloupů do betonu- 2ks na sloup</t>
  </si>
  <si>
    <t>Chemické kotvy do betonu, hl. 90 mm, M 10, ampule</t>
  </si>
  <si>
    <t>kotvní ocel. stojek krovu</t>
  </si>
  <si>
    <t>Bourání konstrukcí</t>
  </si>
  <si>
    <t>Bourání podkladů bet., potěr tl. 10 cm, pl. 4 m2</t>
  </si>
  <si>
    <t>(7,65*1,2)*0,15</t>
  </si>
  <si>
    <t>Bourání dlažeb beton.,čedič.,tl.do 40 mm, pl. 1 m2</t>
  </si>
  <si>
    <t>schody</t>
  </si>
  <si>
    <t>1,2*0,3*-4+0,16*1,2*5</t>
  </si>
  <si>
    <t>podlaha</t>
  </si>
  <si>
    <t>7,65*1,2</t>
  </si>
  <si>
    <t>Bourání soklíků z dlažeb keramických</t>
  </si>
  <si>
    <t>7,65+1,2+4*0,16</t>
  </si>
  <si>
    <t>Odstranění násypu tl. nad 20 cm jakékoliv plochy</t>
  </si>
  <si>
    <t>((7,65-0,3)*(1,2-0,3))*0,85</t>
  </si>
  <si>
    <t>Bourání ŽB schod.ramen monolit. zazděných oboustr.</t>
  </si>
  <si>
    <t>5*1,2</t>
  </si>
  <si>
    <t>Bourání zdiva nadzákladového z betonu prostého</t>
  </si>
  <si>
    <t>stávající základ -ubourání pod terén</t>
  </si>
  <si>
    <t>0,5*4,3*0,3</t>
  </si>
  <si>
    <t>Vytrhání obrubníků, lože MC, stojatých</t>
  </si>
  <si>
    <t>Bourání zdiva z cihel pálených na MVC</t>
  </si>
  <si>
    <t>(1,2+7,65)*0,3*1,3</t>
  </si>
  <si>
    <t>Prorážení otvorů a ostatní bourací práce</t>
  </si>
  <si>
    <t>Vybourání otv. zeď cihel. 0,0225 m2, tl. 15cm, MVC</t>
  </si>
  <si>
    <t>zasekání krovů  a vodorovných profilů 80/40mm</t>
  </si>
  <si>
    <t>10+5</t>
  </si>
  <si>
    <t>Vybourání otv. zeď cihel. 0,0225 m2, tl. 30cm, MVC</t>
  </si>
  <si>
    <t>Ostatní přesuny hmot</t>
  </si>
  <si>
    <t>Přesun hmot pro opravy a údržbu do výšky 6 m</t>
  </si>
  <si>
    <t>Zemní práce při montážích</t>
  </si>
  <si>
    <t>Řezání spáry v asfaltu nebo betonu</t>
  </si>
  <si>
    <t>7,65+1,2</t>
  </si>
  <si>
    <t>Přesuny sutí</t>
  </si>
  <si>
    <t>Odvoz suti a vybour. hmot na skládku do 1 km</t>
  </si>
  <si>
    <t>Příplatek k odvozu za každý další 1 km, 5x</t>
  </si>
  <si>
    <t>14,623</t>
  </si>
  <si>
    <t>Vnitrostaveništní doprava suti do 10 m</t>
  </si>
  <si>
    <t>Nakládání suti na dopr.prostředky-zvlášt.zakl.obj.</t>
  </si>
  <si>
    <t>Vodorovné přemístění suti nošením do 10 m</t>
  </si>
  <si>
    <t>Poplatek za skládku suti</t>
  </si>
  <si>
    <t>Doba výstavby:</t>
  </si>
  <si>
    <t>Zpracováno dne:</t>
  </si>
  <si>
    <t>MJ</t>
  </si>
  <si>
    <t>kompl.</t>
  </si>
  <si>
    <t>m2</t>
  </si>
  <si>
    <t>m3</t>
  </si>
  <si>
    <t>kus</t>
  </si>
  <si>
    <t>t</t>
  </si>
  <si>
    <t>m</t>
  </si>
  <si>
    <t>kg</t>
  </si>
  <si>
    <t>ks</t>
  </si>
  <si>
    <t>h</t>
  </si>
  <si>
    <t>Množství</t>
  </si>
  <si>
    <t>Cena/MJ</t>
  </si>
  <si>
    <t>(Kč)</t>
  </si>
  <si>
    <t>Město Žďár nad Sázavou</t>
  </si>
  <si>
    <t>ing. Zbyněk Semerád</t>
  </si>
  <si>
    <t> </t>
  </si>
  <si>
    <t>Náklady (Kč)</t>
  </si>
  <si>
    <t>Dodávka</t>
  </si>
  <si>
    <t>Celkem:</t>
  </si>
  <si>
    <t>Celkem</t>
  </si>
  <si>
    <t>Cenová</t>
  </si>
  <si>
    <t>soustava</t>
  </si>
  <si>
    <t>RTS II / 2021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</si>
  <si>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</si>
  <si>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</si>
  <si>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</si>
  <si>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</si>
  <si>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</si>
  <si>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</si>
  <si>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</si>
  <si>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</si>
  <si>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</si>
  <si>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</si>
  <si>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11_</t>
  </si>
  <si>
    <t>13_</t>
  </si>
  <si>
    <t>16_</t>
  </si>
  <si>
    <t>27_</t>
  </si>
  <si>
    <t>31_</t>
  </si>
  <si>
    <t>41_</t>
  </si>
  <si>
    <t>43_</t>
  </si>
  <si>
    <t>45_</t>
  </si>
  <si>
    <t>56_</t>
  </si>
  <si>
    <t>59_</t>
  </si>
  <si>
    <t>61_</t>
  </si>
  <si>
    <t>62_</t>
  </si>
  <si>
    <t>63_</t>
  </si>
  <si>
    <t>711_</t>
  </si>
  <si>
    <t>764_</t>
  </si>
  <si>
    <t>767_</t>
  </si>
  <si>
    <t>771_</t>
  </si>
  <si>
    <t>90_</t>
  </si>
  <si>
    <t>94_</t>
  </si>
  <si>
    <t>95_</t>
  </si>
  <si>
    <t>96_</t>
  </si>
  <si>
    <t>97_</t>
  </si>
  <si>
    <t>H99_</t>
  </si>
  <si>
    <t>M46_</t>
  </si>
  <si>
    <t>S0_</t>
  </si>
  <si>
    <t>_0_</t>
  </si>
  <si>
    <t>_1_</t>
  </si>
  <si>
    <t>_2_</t>
  </si>
  <si>
    <t>_3_</t>
  </si>
  <si>
    <t>_4_</t>
  </si>
  <si>
    <t>_5_</t>
  </si>
  <si>
    <t>_6_</t>
  </si>
  <si>
    <t>_71_</t>
  </si>
  <si>
    <t>_76_</t>
  </si>
  <si>
    <t>_77_</t>
  </si>
  <si>
    <t>_9_</t>
  </si>
  <si>
    <t>_</t>
  </si>
  <si>
    <t>MAT</t>
  </si>
  <si>
    <t>WORK</t>
  </si>
  <si>
    <t>CELK</t>
  </si>
  <si>
    <t>ISWORK</t>
  </si>
  <si>
    <t>P</t>
  </si>
  <si>
    <t>M</t>
  </si>
  <si>
    <t>GROUPCODE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</si>
</sst>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0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1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i/>
      <sz val="10"/>
      <color indexed="50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6" fillId="20" borderId="0" applyNumberFormat="0" applyBorder="0" applyAlignment="0" applyProtection="0"/>
    <xf numFmtId="0" fontId="37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9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4" fillId="33" borderId="24" xfId="0" applyNumberFormat="1" applyFont="1" applyFill="1" applyBorder="1" applyAlignment="1" applyProtection="1">
      <alignment horizontal="righ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9" fontId="9" fillId="0" borderId="27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9" fontId="9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right" vertical="center"/>
      <protection/>
    </xf>
    <xf numFmtId="4" fontId="9" fillId="0" borderId="28" xfId="0" applyNumberFormat="1" applyFont="1" applyFill="1" applyBorder="1" applyAlignment="1" applyProtection="1">
      <alignment horizontal="right" vertical="center"/>
      <protection/>
    </xf>
    <xf numFmtId="49" fontId="9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10" fillId="34" borderId="31" xfId="0" applyNumberFormat="1" applyFont="1" applyFill="1" applyBorder="1" applyAlignment="1" applyProtection="1">
      <alignment horizontal="left" vertical="center"/>
      <protection/>
    </xf>
    <xf numFmtId="49" fontId="11" fillId="35" borderId="22" xfId="0" applyNumberFormat="1" applyFont="1" applyFill="1" applyBorder="1" applyAlignment="1" applyProtection="1">
      <alignment horizontal="left" vertical="center"/>
      <protection/>
    </xf>
    <xf numFmtId="49" fontId="12" fillId="0" borderId="22" xfId="0" applyNumberFormat="1" applyFont="1" applyFill="1" applyBorder="1" applyAlignment="1" applyProtection="1">
      <alignment horizontal="left" vertical="center"/>
      <protection/>
    </xf>
    <xf numFmtId="49" fontId="13" fillId="0" borderId="22" xfId="0" applyNumberFormat="1" applyFont="1" applyFill="1" applyBorder="1" applyAlignment="1" applyProtection="1">
      <alignment horizontal="left" vertical="center"/>
      <protection/>
    </xf>
    <xf numFmtId="49" fontId="12" fillId="0" borderId="18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4" fillId="34" borderId="16" xfId="0" applyNumberFormat="1" applyFont="1" applyFill="1" applyBorder="1" applyAlignment="1" applyProtection="1">
      <alignment horizontal="left" vertical="center"/>
      <protection/>
    </xf>
    <xf numFmtId="49" fontId="15" fillId="35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1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 vertical="center"/>
      <protection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49" fontId="10" fillId="34" borderId="16" xfId="0" applyNumberFormat="1" applyFont="1" applyFill="1" applyBorder="1" applyAlignment="1" applyProtection="1">
      <alignment horizontal="left" vertical="center"/>
      <protection/>
    </xf>
    <xf numFmtId="49" fontId="11" fillId="35" borderId="0" xfId="0" applyNumberFormat="1" applyFont="1" applyFill="1" applyBorder="1" applyAlignment="1" applyProtection="1">
      <alignment horizontal="left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4" fontId="16" fillId="0" borderId="0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Fill="1" applyBorder="1" applyAlignment="1" applyProtection="1">
      <alignment horizontal="right" vertical="center"/>
      <protection/>
    </xf>
    <xf numFmtId="4" fontId="12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14" fillId="34" borderId="20" xfId="0" applyNumberFormat="1" applyFont="1" applyFill="1" applyBorder="1" applyAlignment="1" applyProtection="1">
      <alignment horizontal="right" vertical="center"/>
      <protection/>
    </xf>
    <xf numFmtId="49" fontId="15" fillId="35" borderId="21" xfId="0" applyNumberFormat="1" applyFont="1" applyFill="1" applyBorder="1" applyAlignment="1" applyProtection="1">
      <alignment horizontal="right" vertical="center"/>
      <protection/>
    </xf>
    <xf numFmtId="49" fontId="12" fillId="0" borderId="21" xfId="0" applyNumberFormat="1" applyFont="1" applyFill="1" applyBorder="1" applyAlignment="1" applyProtection="1">
      <alignment horizontal="right" vertical="center"/>
      <protection/>
    </xf>
    <xf numFmtId="49" fontId="13" fillId="0" borderId="21" xfId="0" applyNumberFormat="1" applyFont="1" applyFill="1" applyBorder="1" applyAlignment="1" applyProtection="1">
      <alignment horizontal="right" vertical="center"/>
      <protection/>
    </xf>
    <xf numFmtId="49" fontId="12" fillId="0" borderId="40" xfId="0" applyNumberFormat="1" applyFont="1" applyFill="1" applyBorder="1" applyAlignment="1" applyProtection="1">
      <alignment horizontal="right" vertical="center"/>
      <protection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4" fontId="14" fillId="34" borderId="16" xfId="0" applyNumberFormat="1" applyFont="1" applyFill="1" applyBorder="1" applyAlignment="1" applyProtection="1">
      <alignment horizontal="right" vertical="center"/>
      <protection/>
    </xf>
    <xf numFmtId="4" fontId="15" fillId="35" borderId="0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9" fontId="12" fillId="36" borderId="41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36" borderId="41" xfId="0" applyNumberFormat="1" applyFont="1" applyFill="1" applyBorder="1" applyAlignment="1" applyProtection="1">
      <alignment vertical="center"/>
      <protection/>
    </xf>
    <xf numFmtId="0" fontId="1" fillId="36" borderId="42" xfId="0" applyNumberFormat="1" applyFont="1" applyFill="1" applyBorder="1" applyAlignment="1" applyProtection="1">
      <alignment vertical="center"/>
      <protection/>
    </xf>
    <xf numFmtId="49" fontId="12" fillId="36" borderId="43" xfId="0" applyNumberFormat="1" applyFont="1" applyFill="1" applyBorder="1" applyAlignment="1" applyProtection="1">
      <alignment horizontal="left" vertical="center"/>
      <protection/>
    </xf>
    <xf numFmtId="0" fontId="1" fillId="36" borderId="44" xfId="0" applyNumberFormat="1" applyFont="1" applyFill="1" applyBorder="1" applyAlignment="1" applyProtection="1">
      <alignment vertical="center"/>
      <protection/>
    </xf>
    <xf numFmtId="49" fontId="16" fillId="36" borderId="41" xfId="0" applyNumberFormat="1" applyFont="1" applyFill="1" applyBorder="1" applyAlignment="1" applyProtection="1">
      <alignment horizontal="left" vertical="center"/>
      <protection/>
    </xf>
    <xf numFmtId="49" fontId="16" fillId="36" borderId="42" xfId="0" applyNumberFormat="1" applyFont="1" applyFill="1" applyBorder="1" applyAlignment="1" applyProtection="1">
      <alignment horizontal="left" vertical="center"/>
      <protection/>
    </xf>
    <xf numFmtId="0" fontId="0" fillId="36" borderId="44" xfId="1" applyNumberFormat="1" applyFill="1" applyBorder="1" applyAlignment="1" applyProtection="1">
      <alignment/>
      <protection/>
    </xf>
    <xf numFmtId="49" fontId="17" fillId="36" borderId="44" xfId="0" applyNumberFormat="1" applyFont="1" applyFill="1" applyBorder="1" applyAlignment="1" applyProtection="1">
      <alignment horizontal="left" vertical="center"/>
      <protection/>
    </xf>
    <xf numFmtId="4" fontId="12" fillId="36" borderId="43" xfId="0" applyNumberFormat="1" applyFont="1" applyFill="1" applyBorder="1" applyAlignment="1" applyProtection="1">
      <alignment horizontal="right" vertical="center"/>
      <protection/>
    </xf>
    <xf numFmtId="4" fontId="16" fillId="36" borderId="44" xfId="0" applyNumberFormat="1" applyFont="1" applyFill="1" applyBorder="1" applyAlignment="1" applyProtection="1">
      <alignment horizontal="right" vertical="center"/>
      <protection/>
    </xf>
    <xf numFmtId="0" fontId="1" fillId="36" borderId="43" xfId="0" applyNumberFormat="1" applyFont="1" applyFill="1" applyBorder="1" applyAlignment="1" applyProtection="1">
      <alignment vertical="center"/>
      <protection/>
    </xf>
    <xf numFmtId="0" fontId="0" fillId="36" borderId="43" xfId="1" applyNumberFormat="1" applyFill="1" applyBorder="1" applyAlignment="1" applyProtection="1">
      <alignment/>
      <protection/>
    </xf>
    <xf numFmtId="49" fontId="17" fillId="36" borderId="43" xfId="0" applyNumberFormat="1" applyFont="1" applyFill="1" applyBorder="1" applyAlignment="1" applyProtection="1">
      <alignment horizontal="left" vertical="center"/>
      <protection/>
    </xf>
    <xf numFmtId="4" fontId="16" fillId="36" borderId="43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49" fontId="2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46" xfId="0" applyNumberFormat="1" applyFont="1" applyFill="1" applyBorder="1" applyAlignment="1" applyProtection="1">
      <alignment horizontal="center" vertical="center"/>
      <protection/>
    </xf>
    <xf numFmtId="49" fontId="7" fillId="0" borderId="47" xfId="0" applyNumberFormat="1" applyFont="1" applyFill="1" applyBorder="1" applyAlignment="1" applyProtection="1">
      <alignment horizontal="left" vertical="center"/>
      <protection/>
    </xf>
    <xf numFmtId="0" fontId="7" fillId="0" borderId="24" xfId="0" applyNumberFormat="1" applyFont="1" applyFill="1" applyBorder="1" applyAlignment="1" applyProtection="1">
      <alignment horizontal="left" vertical="center"/>
      <protection/>
    </xf>
    <xf numFmtId="49" fontId="5" fillId="0" borderId="47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49" fontId="4" fillId="0" borderId="47" xfId="0" applyNumberFormat="1" applyFont="1" applyFill="1" applyBorder="1" applyAlignment="1" applyProtection="1">
      <alignment horizontal="left" vertical="center"/>
      <protection/>
    </xf>
    <xf numFmtId="0" fontId="4" fillId="0" borderId="24" xfId="0" applyNumberFormat="1" applyFont="1" applyFill="1" applyBorder="1" applyAlignment="1" applyProtection="1">
      <alignment horizontal="left" vertical="center"/>
      <protection/>
    </xf>
    <xf numFmtId="49" fontId="4" fillId="33" borderId="47" xfId="0" applyNumberFormat="1" applyFont="1" applyFill="1" applyBorder="1" applyAlignment="1" applyProtection="1">
      <alignment horizontal="left" vertical="center"/>
      <protection/>
    </xf>
    <xf numFmtId="0" fontId="4" fillId="33" borderId="46" xfId="0" applyNumberFormat="1" applyFont="1" applyFill="1" applyBorder="1" applyAlignment="1" applyProtection="1">
      <alignment horizontal="left" vertical="center"/>
      <protection/>
    </xf>
    <xf numFmtId="49" fontId="5" fillId="0" borderId="48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49" xfId="0" applyNumberFormat="1" applyFont="1" applyFill="1" applyBorder="1" applyAlignment="1" applyProtection="1">
      <alignment horizontal="left" vertical="center"/>
      <protection/>
    </xf>
    <xf numFmtId="49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50" xfId="0" applyNumberFormat="1" applyFont="1" applyFill="1" applyBorder="1" applyAlignment="1" applyProtection="1">
      <alignment horizontal="left" vertical="center"/>
      <protection/>
    </xf>
    <xf numFmtId="49" fontId="5" fillId="0" borderId="51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5" fillId="0" borderId="52" xfId="0" applyNumberFormat="1" applyFont="1" applyFill="1" applyBorder="1" applyAlignment="1" applyProtection="1">
      <alignment horizontal="left" vertical="center"/>
      <protection/>
    </xf>
    <xf numFmtId="49" fontId="4" fillId="0" borderId="26" xfId="0" applyNumberFormat="1" applyFont="1" applyFill="1" applyBorder="1" applyAlignment="1" applyProtection="1">
      <alignment horizontal="left" vertical="center"/>
      <protection/>
    </xf>
    <xf numFmtId="0" fontId="4" fillId="0" borderId="26" xfId="0" applyNumberFormat="1" applyFont="1" applyFill="1" applyBorder="1" applyAlignment="1" applyProtection="1">
      <alignment horizontal="left" vertical="center"/>
      <protection/>
    </xf>
    <xf numFmtId="49" fontId="9" fillId="0" borderId="53" xfId="0" applyNumberFormat="1" applyFont="1" applyFill="1" applyBorder="1" applyAlignment="1" applyProtection="1">
      <alignment horizontal="left" vertical="center"/>
      <protection/>
    </xf>
    <xf numFmtId="0" fontId="9" fillId="0" borderId="54" xfId="0" applyNumberFormat="1" applyFont="1" applyFill="1" applyBorder="1" applyAlignment="1" applyProtection="1">
      <alignment horizontal="left" vertical="center"/>
      <protection/>
    </xf>
    <xf numFmtId="0" fontId="9" fillId="0" borderId="55" xfId="0" applyNumberFormat="1" applyFont="1" applyFill="1" applyBorder="1" applyAlignment="1" applyProtection="1">
      <alignment horizontal="left" vertical="center"/>
      <protection/>
    </xf>
    <xf numFmtId="49" fontId="1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56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57" xfId="0" applyNumberFormat="1" applyFont="1" applyFill="1" applyBorder="1" applyAlignment="1" applyProtection="1">
      <alignment horizontal="left" vertical="center"/>
      <protection/>
    </xf>
    <xf numFmtId="49" fontId="9" fillId="0" borderId="58" xfId="0" applyNumberFormat="1" applyFont="1" applyFill="1" applyBorder="1" applyAlignment="1" applyProtection="1">
      <alignment horizontal="left" vertical="center"/>
      <protection/>
    </xf>
    <xf numFmtId="0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59" xfId="0" applyNumberFormat="1" applyFont="1" applyFill="1" applyBorder="1" applyAlignment="1" applyProtection="1">
      <alignment horizontal="left" vertical="center"/>
      <protection/>
    </xf>
    <xf numFmtId="49" fontId="4" fillId="0" borderId="58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0" fontId="4" fillId="0" borderId="59" xfId="0" applyNumberFormat="1" applyFont="1" applyFill="1" applyBorder="1" applyAlignment="1" applyProtection="1">
      <alignment horizontal="left" vertical="center"/>
      <protection/>
    </xf>
    <xf numFmtId="4" fontId="4" fillId="0" borderId="58" xfId="0" applyNumberFormat="1" applyFont="1" applyFill="1" applyBorder="1" applyAlignment="1" applyProtection="1">
      <alignment horizontal="right" vertical="center"/>
      <protection/>
    </xf>
    <xf numFmtId="0" fontId="4" fillId="0" borderId="25" xfId="0" applyNumberFormat="1" applyFont="1" applyFill="1" applyBorder="1" applyAlignment="1" applyProtection="1">
      <alignment horizontal="right" vertical="center"/>
      <protection/>
    </xf>
    <xf numFmtId="0" fontId="4" fillId="0" borderId="59" xfId="0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60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61" xfId="0" applyNumberFormat="1" applyFont="1" applyFill="1" applyBorder="1" applyAlignment="1" applyProtection="1">
      <alignment horizontal="left" vertical="center"/>
      <protection/>
    </xf>
    <xf numFmtId="49" fontId="9" fillId="0" borderId="31" xfId="0" applyNumberFormat="1" applyFont="1" applyFill="1" applyBorder="1" applyAlignment="1" applyProtection="1">
      <alignment horizontal="left" vertical="center"/>
      <protection/>
    </xf>
    <xf numFmtId="0" fontId="9" fillId="0" borderId="16" xfId="0" applyNumberFormat="1" applyFont="1" applyFill="1" applyBorder="1" applyAlignment="1" applyProtection="1">
      <alignment horizontal="left" vertical="center"/>
      <protection/>
    </xf>
    <xf numFmtId="0" fontId="9" fillId="0" borderId="20" xfId="0" applyNumberFormat="1" applyFont="1" applyFill="1" applyBorder="1" applyAlignment="1" applyProtection="1">
      <alignment horizontal="left" vertical="center"/>
      <protection/>
    </xf>
    <xf numFmtId="49" fontId="9" fillId="0" borderId="53" xfId="0" applyNumberFormat="1" applyFont="1" applyFill="1" applyBorder="1" applyAlignment="1" applyProtection="1">
      <alignment horizontal="center" vertical="center"/>
      <protection/>
    </xf>
    <xf numFmtId="0" fontId="9" fillId="0" borderId="54" xfId="0" applyNumberFormat="1" applyFont="1" applyFill="1" applyBorder="1" applyAlignment="1" applyProtection="1">
      <alignment horizontal="center" vertical="center"/>
      <protection/>
    </xf>
    <xf numFmtId="0" fontId="9" fillId="0" borderId="55" xfId="0" applyNumberFormat="1" applyFont="1" applyFill="1" applyBorder="1" applyAlignment="1" applyProtection="1">
      <alignment horizontal="center" vertical="center"/>
      <protection/>
    </xf>
    <xf numFmtId="49" fontId="9" fillId="0" borderId="60" xfId="0" applyNumberFormat="1" applyFont="1" applyFill="1" applyBorder="1" applyAlignment="1" applyProtection="1">
      <alignment horizontal="left" vertical="center"/>
      <protection/>
    </xf>
    <xf numFmtId="0" fontId="9" fillId="0" borderId="26" xfId="0" applyNumberFormat="1" applyFont="1" applyFill="1" applyBorder="1" applyAlignment="1" applyProtection="1">
      <alignment horizontal="left" vertical="center"/>
      <protection/>
    </xf>
    <xf numFmtId="0" fontId="9" fillId="0" borderId="61" xfId="0" applyNumberFormat="1" applyFont="1" applyFill="1" applyBorder="1" applyAlignment="1" applyProtection="1">
      <alignment horizontal="left" vertical="center"/>
      <protection/>
    </xf>
    <xf numFmtId="49" fontId="14" fillId="34" borderId="16" xfId="0" applyNumberFormat="1" applyFont="1" applyFill="1" applyBorder="1" applyAlignment="1" applyProtection="1">
      <alignment horizontal="left" vertical="center"/>
      <protection/>
    </xf>
    <xf numFmtId="0" fontId="14" fillId="34" borderId="16" xfId="0" applyNumberFormat="1" applyFont="1" applyFill="1" applyBorder="1" applyAlignment="1" applyProtection="1">
      <alignment horizontal="left" vertical="center"/>
      <protection/>
    </xf>
    <xf numFmtId="49" fontId="15" fillId="35" borderId="0" xfId="0" applyNumberFormat="1" applyFont="1" applyFill="1" applyBorder="1" applyAlignment="1" applyProtection="1">
      <alignment horizontal="left" vertical="center"/>
      <protection/>
    </xf>
    <xf numFmtId="0" fontId="15" fillId="35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49" fontId="12" fillId="36" borderId="41" xfId="0" applyNumberFormat="1" applyFont="1" applyFill="1" applyBorder="1" applyAlignment="1" applyProtection="1">
      <alignment horizontal="left" vertical="center"/>
      <protection/>
    </xf>
    <xf numFmtId="0" fontId="12" fillId="0" borderId="43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10" xfId="0" applyNumberFormat="1" applyFont="1" applyFill="1" applyBorder="1" applyAlignment="1" applyProtection="1">
      <alignment horizontal="left" vertical="center"/>
      <protection/>
    </xf>
    <xf numFmtId="0" fontId="12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22.5">
      <c r="A1" s="91"/>
      <c r="B1" s="1"/>
      <c r="C1" s="92" t="s">
        <v>22</v>
      </c>
      <c r="D1" s="93"/>
      <c r="E1" s="93"/>
      <c r="F1" s="93"/>
      <c r="G1" s="93"/>
      <c r="H1" s="93"/>
      <c r="I1" s="93"/>
    </row>
    <row r="2" spans="1:10" ht="12.75">
      <c r="A2" s="94" t="s">
        <v>0</v>
      </c>
      <c r="B2" s="95"/>
      <c r="C2" s="98" t="str">
        <f>'Stavební rozpočet'!C2</f>
        <v>6MŠ Vančurova-oprava zásobovací rampy vč. zastřešení</v>
      </c>
      <c r="D2" s="99"/>
      <c r="E2" s="101" t="s">
        <v>32</v>
      </c>
      <c r="F2" s="101" t="str">
        <f>'Stavební rozpočet'!J2</f>
        <v>Město Žďár nad Sázavou</v>
      </c>
      <c r="G2" s="95"/>
      <c r="H2" s="101" t="s">
        <v>52</v>
      </c>
      <c r="I2" s="102" t="s">
        <v>56</v>
      </c>
      <c r="J2" s="17"/>
    </row>
    <row r="3" spans="1:10" ht="12.75">
      <c r="A3" s="96"/>
      <c r="B3" s="97"/>
      <c r="C3" s="100"/>
      <c r="D3" s="100"/>
      <c r="E3" s="97"/>
      <c r="F3" s="97"/>
      <c r="G3" s="97"/>
      <c r="H3" s="97"/>
      <c r="I3" s="103"/>
      <c r="J3" s="17"/>
    </row>
    <row r="4" spans="1:10" ht="12.75">
      <c r="A4" s="104" t="s">
        <v>1</v>
      </c>
      <c r="B4" s="97"/>
      <c r="C4" s="105" t="str">
        <f>'Stavební rozpočet'!C4</f>
        <v>oprava zásobovací rampy vč. zastřešení</v>
      </c>
      <c r="D4" s="97"/>
      <c r="E4" s="105" t="s">
        <v>33</v>
      </c>
      <c r="F4" s="105" t="str">
        <f>'Stavební rozpočet'!J4</f>
        <v>ing. Zbyněk Semerád</v>
      </c>
      <c r="G4" s="97"/>
      <c r="H4" s="105" t="s">
        <v>52</v>
      </c>
      <c r="I4" s="106" t="s">
        <v>57</v>
      </c>
      <c r="J4" s="17"/>
    </row>
    <row r="5" spans="1:10" ht="12.75">
      <c r="A5" s="96"/>
      <c r="B5" s="97"/>
      <c r="C5" s="97"/>
      <c r="D5" s="97"/>
      <c r="E5" s="97"/>
      <c r="F5" s="97"/>
      <c r="G5" s="97"/>
      <c r="H5" s="97"/>
      <c r="I5" s="103"/>
      <c r="J5" s="17"/>
    </row>
    <row r="6" spans="1:10" ht="12.75">
      <c r="A6" s="104" t="s">
        <v>2</v>
      </c>
      <c r="B6" s="97"/>
      <c r="C6" s="105" t="str">
        <f>'Stavební rozpočet'!C6</f>
        <v>Vančurova 1131/14, Žďár nad Sázavou</v>
      </c>
      <c r="D6" s="97"/>
      <c r="E6" s="105" t="s">
        <v>34</v>
      </c>
      <c r="F6" s="105" t="str">
        <f>'Stavební rozpočet'!J6</f>
        <v> </v>
      </c>
      <c r="G6" s="97"/>
      <c r="H6" s="105" t="s">
        <v>52</v>
      </c>
      <c r="I6" s="106"/>
      <c r="J6" s="17"/>
    </row>
    <row r="7" spans="1:10" ht="12.75">
      <c r="A7" s="96"/>
      <c r="B7" s="97"/>
      <c r="C7" s="97"/>
      <c r="D7" s="97"/>
      <c r="E7" s="97"/>
      <c r="F7" s="97"/>
      <c r="G7" s="97"/>
      <c r="H7" s="97"/>
      <c r="I7" s="103"/>
      <c r="J7" s="17"/>
    </row>
    <row r="8" spans="1:10" ht="12.75">
      <c r="A8" s="104" t="s">
        <v>3</v>
      </c>
      <c r="B8" s="97"/>
      <c r="C8" s="105" t="str">
        <f>'Stavební rozpočet'!G4</f>
        <v> </v>
      </c>
      <c r="D8" s="97"/>
      <c r="E8" s="105" t="s">
        <v>35</v>
      </c>
      <c r="F8" s="105" t="str">
        <f>'Stavební rozpočet'!G6</f>
        <v> </v>
      </c>
      <c r="G8" s="97"/>
      <c r="H8" s="107" t="s">
        <v>53</v>
      </c>
      <c r="I8" s="106" t="s">
        <v>58</v>
      </c>
      <c r="J8" s="17"/>
    </row>
    <row r="9" spans="1:10" ht="12.75">
      <c r="A9" s="96"/>
      <c r="B9" s="97"/>
      <c r="C9" s="97"/>
      <c r="D9" s="97"/>
      <c r="E9" s="97"/>
      <c r="F9" s="97"/>
      <c r="G9" s="97"/>
      <c r="H9" s="97"/>
      <c r="I9" s="103"/>
      <c r="J9" s="17"/>
    </row>
    <row r="10" spans="1:10" ht="12.75">
      <c r="A10" s="104" t="s">
        <v>4</v>
      </c>
      <c r="B10" s="97"/>
      <c r="C10" s="105" t="str">
        <f>'Stavební rozpočet'!C8</f>
        <v> </v>
      </c>
      <c r="D10" s="97"/>
      <c r="E10" s="105" t="s">
        <v>36</v>
      </c>
      <c r="F10" s="105" t="str">
        <f>'Stavební rozpočet'!J8</f>
        <v> </v>
      </c>
      <c r="G10" s="97"/>
      <c r="H10" s="107" t="s">
        <v>54</v>
      </c>
      <c r="I10" s="110">
        <f>'Stavební rozpočet'!G8</f>
        <v>0</v>
      </c>
      <c r="J10" s="17"/>
    </row>
    <row r="11" spans="1:10" ht="12.75">
      <c r="A11" s="108"/>
      <c r="B11" s="109"/>
      <c r="C11" s="109"/>
      <c r="D11" s="109"/>
      <c r="E11" s="109"/>
      <c r="F11" s="109"/>
      <c r="G11" s="109"/>
      <c r="H11" s="109"/>
      <c r="I11" s="111"/>
      <c r="J11" s="17"/>
    </row>
    <row r="12" spans="1:9" ht="23.25" customHeight="1">
      <c r="A12" s="112" t="s">
        <v>5</v>
      </c>
      <c r="B12" s="113"/>
      <c r="C12" s="113"/>
      <c r="D12" s="113"/>
      <c r="E12" s="113"/>
      <c r="F12" s="113"/>
      <c r="G12" s="113"/>
      <c r="H12" s="113"/>
      <c r="I12" s="113"/>
    </row>
    <row r="13" spans="1:10" ht="26.25" customHeight="1">
      <c r="A13" s="2" t="s">
        <v>6</v>
      </c>
      <c r="B13" s="114" t="s">
        <v>19</v>
      </c>
      <c r="C13" s="115"/>
      <c r="D13" s="2" t="s">
        <v>23</v>
      </c>
      <c r="E13" s="114" t="s">
        <v>37</v>
      </c>
      <c r="F13" s="115"/>
      <c r="G13" s="2" t="s">
        <v>38</v>
      </c>
      <c r="H13" s="114" t="s">
        <v>55</v>
      </c>
      <c r="I13" s="115"/>
      <c r="J13" s="17"/>
    </row>
    <row r="14" spans="1:10" ht="15" customHeight="1">
      <c r="A14" s="3" t="s">
        <v>7</v>
      </c>
      <c r="B14" s="8" t="s">
        <v>20</v>
      </c>
      <c r="C14" s="12">
        <f>SUM('Stavební rozpočet'!AB12:AB207)</f>
        <v>0</v>
      </c>
      <c r="D14" s="116" t="s">
        <v>24</v>
      </c>
      <c r="E14" s="117"/>
      <c r="F14" s="12">
        <f>VORN!I15</f>
        <v>0</v>
      </c>
      <c r="G14" s="116" t="s">
        <v>39</v>
      </c>
      <c r="H14" s="117"/>
      <c r="I14" s="12">
        <f>VORN!I21</f>
        <v>0</v>
      </c>
      <c r="J14" s="17"/>
    </row>
    <row r="15" spans="1:10" ht="15" customHeight="1">
      <c r="A15" s="4"/>
      <c r="B15" s="8" t="s">
        <v>21</v>
      </c>
      <c r="C15" s="12">
        <f>SUM('Stavební rozpočet'!AC12:AC207)</f>
        <v>0</v>
      </c>
      <c r="D15" s="116" t="s">
        <v>25</v>
      </c>
      <c r="E15" s="117"/>
      <c r="F15" s="12">
        <f>VORN!I16</f>
        <v>0</v>
      </c>
      <c r="G15" s="116" t="s">
        <v>40</v>
      </c>
      <c r="H15" s="117"/>
      <c r="I15" s="12">
        <f>VORN!I22</f>
        <v>0</v>
      </c>
      <c r="J15" s="17"/>
    </row>
    <row r="16" spans="1:10" ht="15" customHeight="1">
      <c r="A16" s="3" t="s">
        <v>8</v>
      </c>
      <c r="B16" s="8" t="s">
        <v>20</v>
      </c>
      <c r="C16" s="12">
        <f>SUM('Stavební rozpočet'!AD12:AD207)</f>
        <v>0</v>
      </c>
      <c r="D16" s="116" t="s">
        <v>26</v>
      </c>
      <c r="E16" s="117"/>
      <c r="F16" s="12">
        <f>VORN!I17</f>
        <v>0</v>
      </c>
      <c r="G16" s="116" t="s">
        <v>41</v>
      </c>
      <c r="H16" s="117"/>
      <c r="I16" s="12">
        <f>VORN!I23</f>
        <v>0</v>
      </c>
      <c r="J16" s="17"/>
    </row>
    <row r="17" spans="1:10" ht="15" customHeight="1">
      <c r="A17" s="4"/>
      <c r="B17" s="8" t="s">
        <v>21</v>
      </c>
      <c r="C17" s="12">
        <f>SUM('Stavební rozpočet'!AE12:AE207)</f>
        <v>0</v>
      </c>
      <c r="D17" s="116"/>
      <c r="E17" s="117"/>
      <c r="F17" s="13"/>
      <c r="G17" s="116" t="s">
        <v>42</v>
      </c>
      <c r="H17" s="117"/>
      <c r="I17" s="12">
        <f>VORN!I24</f>
        <v>0</v>
      </c>
      <c r="J17" s="17"/>
    </row>
    <row r="18" spans="1:10" ht="15" customHeight="1">
      <c r="A18" s="3" t="s">
        <v>9</v>
      </c>
      <c r="B18" s="8" t="s">
        <v>20</v>
      </c>
      <c r="C18" s="12">
        <f>SUM('Stavební rozpočet'!AF12:AF207)</f>
        <v>0</v>
      </c>
      <c r="D18" s="116"/>
      <c r="E18" s="117"/>
      <c r="F18" s="13"/>
      <c r="G18" s="116" t="s">
        <v>43</v>
      </c>
      <c r="H18" s="117"/>
      <c r="I18" s="12">
        <f>VORN!I25</f>
        <v>0</v>
      </c>
      <c r="J18" s="17"/>
    </row>
    <row r="19" spans="1:10" ht="15" customHeight="1">
      <c r="A19" s="4"/>
      <c r="B19" s="8" t="s">
        <v>21</v>
      </c>
      <c r="C19" s="12">
        <f>SUM('Stavební rozpočet'!AG12:AG207)</f>
        <v>0</v>
      </c>
      <c r="D19" s="116"/>
      <c r="E19" s="117"/>
      <c r="F19" s="13"/>
      <c r="G19" s="116" t="s">
        <v>44</v>
      </c>
      <c r="H19" s="117"/>
      <c r="I19" s="12">
        <f>VORN!I26</f>
        <v>0</v>
      </c>
      <c r="J19" s="17"/>
    </row>
    <row r="20" spans="1:10" ht="15" customHeight="1">
      <c r="A20" s="118" t="s">
        <v>10</v>
      </c>
      <c r="B20" s="119"/>
      <c r="C20" s="12">
        <f>SUM('Stavební rozpočet'!AH12:AH207)</f>
        <v>0</v>
      </c>
      <c r="D20" s="116"/>
      <c r="E20" s="117"/>
      <c r="F20" s="13"/>
      <c r="G20" s="116"/>
      <c r="H20" s="117"/>
      <c r="I20" s="13"/>
      <c r="J20" s="17"/>
    </row>
    <row r="21" spans="1:10" ht="15" customHeight="1">
      <c r="A21" s="118" t="s">
        <v>11</v>
      </c>
      <c r="B21" s="119"/>
      <c r="C21" s="12">
        <f>SUM('Stavební rozpočet'!Z12:Z207)</f>
        <v>0</v>
      </c>
      <c r="D21" s="116"/>
      <c r="E21" s="117"/>
      <c r="F21" s="13"/>
      <c r="G21" s="116"/>
      <c r="H21" s="117"/>
      <c r="I21" s="13"/>
      <c r="J21" s="17"/>
    </row>
    <row r="22" spans="1:10" ht="16.5" customHeight="1">
      <c r="A22" s="118" t="s">
        <v>12</v>
      </c>
      <c r="B22" s="119"/>
      <c r="C22" s="12">
        <f>SUM(C14:C21)</f>
        <v>0</v>
      </c>
      <c r="D22" s="118" t="s">
        <v>27</v>
      </c>
      <c r="E22" s="119"/>
      <c r="F22" s="12">
        <f>SUM(F14:F21)</f>
        <v>0</v>
      </c>
      <c r="G22" s="118" t="s">
        <v>45</v>
      </c>
      <c r="H22" s="119"/>
      <c r="I22" s="12">
        <f>SUM(I14:I21)</f>
        <v>0</v>
      </c>
      <c r="J22" s="17"/>
    </row>
    <row r="23" spans="1:10" ht="15" customHeight="1">
      <c r="A23" s="5"/>
      <c r="B23" s="5"/>
      <c r="C23" s="10"/>
      <c r="D23" s="118" t="s">
        <v>28</v>
      </c>
      <c r="E23" s="119"/>
      <c r="F23" s="14">
        <v>0</v>
      </c>
      <c r="G23" s="118" t="s">
        <v>46</v>
      </c>
      <c r="H23" s="119"/>
      <c r="I23" s="12">
        <v>0</v>
      </c>
      <c r="J23" s="17"/>
    </row>
    <row r="24" spans="4:10" ht="15" customHeight="1">
      <c r="D24" s="5"/>
      <c r="E24" s="5"/>
      <c r="F24" s="15"/>
      <c r="G24" s="118" t="s">
        <v>47</v>
      </c>
      <c r="H24" s="119"/>
      <c r="I24" s="12">
        <f>vorn_sum</f>
        <v>0</v>
      </c>
      <c r="J24" s="17"/>
    </row>
    <row r="25" spans="6:10" ht="15" customHeight="1">
      <c r="F25" s="16"/>
      <c r="G25" s="118" t="s">
        <v>48</v>
      </c>
      <c r="H25" s="119"/>
      <c r="I25" s="12">
        <v>0</v>
      </c>
      <c r="J25" s="17"/>
    </row>
    <row r="26" spans="1:9" ht="12.75">
      <c r="A26" s="1"/>
      <c r="B26" s="1"/>
      <c r="C26" s="1"/>
      <c r="G26" s="5"/>
      <c r="H26" s="5"/>
      <c r="I26" s="5"/>
    </row>
    <row r="27" spans="1:9" ht="15" customHeight="1">
      <c r="A27" s="120" t="s">
        <v>13</v>
      </c>
      <c r="B27" s="121"/>
      <c r="C27" s="19">
        <f>SUM('Stavební rozpočet'!AJ12:AJ207)</f>
        <v>0</v>
      </c>
      <c r="D27" s="11"/>
      <c r="E27" s="1"/>
      <c r="F27" s="1"/>
      <c r="G27" s="1"/>
      <c r="H27" s="1"/>
      <c r="I27" s="1"/>
    </row>
    <row r="28" spans="1:10" ht="15" customHeight="1">
      <c r="A28" s="120" t="s">
        <v>14</v>
      </c>
      <c r="B28" s="121"/>
      <c r="C28" s="19">
        <f>SUM('Stavební rozpočet'!AK12:AK207)</f>
        <v>0</v>
      </c>
      <c r="D28" s="120" t="s">
        <v>29</v>
      </c>
      <c r="E28" s="121"/>
      <c r="F28" s="19">
        <f>ROUND(C28*(15/100),2)</f>
        <v>0</v>
      </c>
      <c r="G28" s="120" t="s">
        <v>49</v>
      </c>
      <c r="H28" s="121"/>
      <c r="I28" s="19">
        <f>SUM(C27:C29)</f>
        <v>0</v>
      </c>
      <c r="J28" s="17"/>
    </row>
    <row r="29" spans="1:10" ht="15" customHeight="1">
      <c r="A29" s="120" t="s">
        <v>15</v>
      </c>
      <c r="B29" s="121"/>
      <c r="C29" s="19">
        <f>SUM('Stavební rozpočet'!AL12:AL207)+(F22+I22+F23+I23+I24+I25)</f>
        <v>0</v>
      </c>
      <c r="D29" s="120" t="s">
        <v>30</v>
      </c>
      <c r="E29" s="121"/>
      <c r="F29" s="19">
        <f>ROUND(C29*(21/100),2)</f>
        <v>0</v>
      </c>
      <c r="G29" s="120" t="s">
        <v>50</v>
      </c>
      <c r="H29" s="121"/>
      <c r="I29" s="19">
        <f>SUM(F28:F29)+I28</f>
        <v>0</v>
      </c>
      <c r="J29" s="17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10" ht="14.25" customHeight="1">
      <c r="A31" s="122" t="s">
        <v>16</v>
      </c>
      <c r="B31" s="123"/>
      <c r="C31" s="124"/>
      <c r="D31" s="122" t="s">
        <v>31</v>
      </c>
      <c r="E31" s="123"/>
      <c r="F31" s="124"/>
      <c r="G31" s="122" t="s">
        <v>51</v>
      </c>
      <c r="H31" s="123"/>
      <c r="I31" s="124"/>
      <c r="J31" s="18"/>
    </row>
    <row r="32" spans="1:10" ht="14.25" customHeight="1">
      <c r="A32" s="125"/>
      <c r="B32" s="126"/>
      <c r="C32" s="127"/>
      <c r="D32" s="125"/>
      <c r="E32" s="126"/>
      <c r="F32" s="127"/>
      <c r="G32" s="125"/>
      <c r="H32" s="126"/>
      <c r="I32" s="127"/>
      <c r="J32" s="18"/>
    </row>
    <row r="33" spans="1:10" ht="14.25" customHeight="1">
      <c r="A33" s="125"/>
      <c r="B33" s="126"/>
      <c r="C33" s="127"/>
      <c r="D33" s="125"/>
      <c r="E33" s="126"/>
      <c r="F33" s="127"/>
      <c r="G33" s="125"/>
      <c r="H33" s="126"/>
      <c r="I33" s="127"/>
      <c r="J33" s="18"/>
    </row>
    <row r="34" spans="1:10" ht="14.25" customHeight="1">
      <c r="A34" s="125"/>
      <c r="B34" s="126"/>
      <c r="C34" s="127"/>
      <c r="D34" s="125"/>
      <c r="E34" s="126"/>
      <c r="F34" s="127"/>
      <c r="G34" s="125"/>
      <c r="H34" s="126"/>
      <c r="I34" s="127"/>
      <c r="J34" s="18"/>
    </row>
    <row r="35" spans="1:10" ht="14.25" customHeight="1">
      <c r="A35" s="128" t="s">
        <v>17</v>
      </c>
      <c r="B35" s="129"/>
      <c r="C35" s="130"/>
      <c r="D35" s="128" t="s">
        <v>17</v>
      </c>
      <c r="E35" s="129"/>
      <c r="F35" s="130"/>
      <c r="G35" s="128" t="s">
        <v>17</v>
      </c>
      <c r="H35" s="129"/>
      <c r="I35" s="130"/>
      <c r="J35" s="18"/>
    </row>
    <row r="36" spans="1:9" ht="11.25" customHeight="1">
      <c r="A36" s="7" t="s">
        <v>18</v>
      </c>
      <c r="B36" s="9"/>
      <c r="C36" s="9"/>
      <c r="D36" s="9"/>
      <c r="E36" s="9"/>
      <c r="F36" s="9"/>
      <c r="G36" s="9"/>
      <c r="H36" s="9"/>
      <c r="I36" s="9"/>
    </row>
    <row r="37" spans="1:9" ht="12.75">
      <c r="A37" s="105"/>
      <c r="B37" s="97"/>
      <c r="C37" s="97"/>
      <c r="D37" s="97"/>
      <c r="E37" s="97"/>
      <c r="F37" s="97"/>
      <c r="G37" s="97"/>
      <c r="H37" s="97"/>
      <c r="I37" s="97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22.5">
      <c r="A1" s="91"/>
      <c r="B1" s="1"/>
      <c r="C1" s="92" t="s">
        <v>68</v>
      </c>
      <c r="D1" s="93"/>
      <c r="E1" s="93"/>
      <c r="F1" s="93"/>
      <c r="G1" s="93"/>
      <c r="H1" s="93"/>
      <c r="I1" s="93"/>
    </row>
    <row r="2" spans="1:10" ht="12.75">
      <c r="A2" s="94" t="s">
        <v>0</v>
      </c>
      <c r="B2" s="95"/>
      <c r="C2" s="98" t="str">
        <f>'Stavební rozpočet'!C2</f>
        <v>6MŠ Vančurova-oprava zásobovací rampy vč. zastřešení</v>
      </c>
      <c r="D2" s="99"/>
      <c r="E2" s="101" t="s">
        <v>32</v>
      </c>
      <c r="F2" s="101" t="str">
        <f>'Stavební rozpočet'!J2</f>
        <v>Město Žďár nad Sázavou</v>
      </c>
      <c r="G2" s="95"/>
      <c r="H2" s="101" t="s">
        <v>52</v>
      </c>
      <c r="I2" s="102" t="s">
        <v>56</v>
      </c>
      <c r="J2" s="17"/>
    </row>
    <row r="3" spans="1:10" ht="12.75">
      <c r="A3" s="96"/>
      <c r="B3" s="97"/>
      <c r="C3" s="100"/>
      <c r="D3" s="100"/>
      <c r="E3" s="97"/>
      <c r="F3" s="97"/>
      <c r="G3" s="97"/>
      <c r="H3" s="97"/>
      <c r="I3" s="103"/>
      <c r="J3" s="17"/>
    </row>
    <row r="4" spans="1:10" ht="12.75">
      <c r="A4" s="104" t="s">
        <v>1</v>
      </c>
      <c r="B4" s="97"/>
      <c r="C4" s="105" t="str">
        <f>'Stavební rozpočet'!C4</f>
        <v>oprava zásobovací rampy vč. zastřešení</v>
      </c>
      <c r="D4" s="97"/>
      <c r="E4" s="105" t="s">
        <v>33</v>
      </c>
      <c r="F4" s="105" t="str">
        <f>'Stavební rozpočet'!J4</f>
        <v>ing. Zbyněk Semerád</v>
      </c>
      <c r="G4" s="97"/>
      <c r="H4" s="105" t="s">
        <v>52</v>
      </c>
      <c r="I4" s="106" t="s">
        <v>57</v>
      </c>
      <c r="J4" s="17"/>
    </row>
    <row r="5" spans="1:10" ht="12.75">
      <c r="A5" s="96"/>
      <c r="B5" s="97"/>
      <c r="C5" s="97"/>
      <c r="D5" s="97"/>
      <c r="E5" s="97"/>
      <c r="F5" s="97"/>
      <c r="G5" s="97"/>
      <c r="H5" s="97"/>
      <c r="I5" s="103"/>
      <c r="J5" s="17"/>
    </row>
    <row r="6" spans="1:10" ht="12.75">
      <c r="A6" s="104" t="s">
        <v>2</v>
      </c>
      <c r="B6" s="97"/>
      <c r="C6" s="105" t="str">
        <f>'Stavební rozpočet'!C6</f>
        <v>Vančurova 1131/14, Žďár nad Sázavou</v>
      </c>
      <c r="D6" s="97"/>
      <c r="E6" s="105" t="s">
        <v>34</v>
      </c>
      <c r="F6" s="105" t="str">
        <f>'Stavební rozpočet'!J6</f>
        <v> </v>
      </c>
      <c r="G6" s="97"/>
      <c r="H6" s="105" t="s">
        <v>52</v>
      </c>
      <c r="I6" s="106"/>
      <c r="J6" s="17"/>
    </row>
    <row r="7" spans="1:10" ht="12.75">
      <c r="A7" s="96"/>
      <c r="B7" s="97"/>
      <c r="C7" s="97"/>
      <c r="D7" s="97"/>
      <c r="E7" s="97"/>
      <c r="F7" s="97"/>
      <c r="G7" s="97"/>
      <c r="H7" s="97"/>
      <c r="I7" s="103"/>
      <c r="J7" s="17"/>
    </row>
    <row r="8" spans="1:10" ht="12.75">
      <c r="A8" s="104" t="s">
        <v>3</v>
      </c>
      <c r="B8" s="97"/>
      <c r="C8" s="105" t="str">
        <f>'Stavební rozpočet'!G4</f>
        <v> </v>
      </c>
      <c r="D8" s="97"/>
      <c r="E8" s="105" t="s">
        <v>35</v>
      </c>
      <c r="F8" s="105" t="str">
        <f>'Stavební rozpočet'!G6</f>
        <v> </v>
      </c>
      <c r="G8" s="97"/>
      <c r="H8" s="107" t="s">
        <v>53</v>
      </c>
      <c r="I8" s="106" t="s">
        <v>58</v>
      </c>
      <c r="J8" s="17"/>
    </row>
    <row r="9" spans="1:10" ht="12.75">
      <c r="A9" s="96"/>
      <c r="B9" s="97"/>
      <c r="C9" s="97"/>
      <c r="D9" s="97"/>
      <c r="E9" s="97"/>
      <c r="F9" s="97"/>
      <c r="G9" s="97"/>
      <c r="H9" s="97"/>
      <c r="I9" s="103"/>
      <c r="J9" s="17"/>
    </row>
    <row r="10" spans="1:10" ht="12.75">
      <c r="A10" s="104" t="s">
        <v>4</v>
      </c>
      <c r="B10" s="97"/>
      <c r="C10" s="105" t="str">
        <f>'Stavební rozpočet'!C8</f>
        <v> </v>
      </c>
      <c r="D10" s="97"/>
      <c r="E10" s="105" t="s">
        <v>36</v>
      </c>
      <c r="F10" s="105" t="str">
        <f>'Stavební rozpočet'!J8</f>
        <v> </v>
      </c>
      <c r="G10" s="97"/>
      <c r="H10" s="107" t="s">
        <v>54</v>
      </c>
      <c r="I10" s="110">
        <f>'Stavební rozpočet'!G8</f>
        <v>0</v>
      </c>
      <c r="J10" s="17"/>
    </row>
    <row r="11" spans="1:10" ht="12.75">
      <c r="A11" s="108"/>
      <c r="B11" s="109"/>
      <c r="C11" s="109"/>
      <c r="D11" s="109"/>
      <c r="E11" s="109"/>
      <c r="F11" s="109"/>
      <c r="G11" s="109"/>
      <c r="H11" s="109"/>
      <c r="I11" s="111"/>
      <c r="J11" s="17"/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  <row r="13" spans="1:9" ht="15" customHeight="1">
      <c r="A13" s="131" t="s">
        <v>60</v>
      </c>
      <c r="B13" s="132"/>
      <c r="C13" s="132"/>
      <c r="D13" s="132"/>
      <c r="E13" s="132"/>
      <c r="F13" s="21"/>
      <c r="G13" s="21"/>
      <c r="H13" s="21"/>
      <c r="I13" s="21"/>
    </row>
    <row r="14" spans="1:10" ht="12.75">
      <c r="A14" s="133" t="s">
        <v>61</v>
      </c>
      <c r="B14" s="134"/>
      <c r="C14" s="134"/>
      <c r="D14" s="134"/>
      <c r="E14" s="135"/>
      <c r="F14" s="22" t="s">
        <v>69</v>
      </c>
      <c r="G14" s="22" t="s">
        <v>70</v>
      </c>
      <c r="H14" s="22" t="s">
        <v>71</v>
      </c>
      <c r="I14" s="22" t="s">
        <v>69</v>
      </c>
      <c r="J14" s="18"/>
    </row>
    <row r="15" spans="1:10" ht="12.75">
      <c r="A15" s="136" t="s">
        <v>24</v>
      </c>
      <c r="B15" s="137"/>
      <c r="C15" s="137"/>
      <c r="D15" s="137"/>
      <c r="E15" s="138"/>
      <c r="F15" s="23">
        <v>0</v>
      </c>
      <c r="G15" s="26"/>
      <c r="H15" s="26"/>
      <c r="I15" s="23">
        <f>F15</f>
        <v>0</v>
      </c>
      <c r="J15" s="17"/>
    </row>
    <row r="16" spans="1:10" ht="12.75">
      <c r="A16" s="136" t="s">
        <v>25</v>
      </c>
      <c r="B16" s="137"/>
      <c r="C16" s="137"/>
      <c r="D16" s="137"/>
      <c r="E16" s="138"/>
      <c r="F16" s="23">
        <v>0</v>
      </c>
      <c r="G16" s="26"/>
      <c r="H16" s="26"/>
      <c r="I16" s="23">
        <f>F16</f>
        <v>0</v>
      </c>
      <c r="J16" s="17"/>
    </row>
    <row r="17" spans="1:10" ht="12.75">
      <c r="A17" s="139" t="s">
        <v>26</v>
      </c>
      <c r="B17" s="140"/>
      <c r="C17" s="140"/>
      <c r="D17" s="140"/>
      <c r="E17" s="141"/>
      <c r="F17" s="24">
        <v>0</v>
      </c>
      <c r="G17" s="27"/>
      <c r="H17" s="27"/>
      <c r="I17" s="24">
        <f>F17</f>
        <v>0</v>
      </c>
      <c r="J17" s="17"/>
    </row>
    <row r="18" spans="1:10" ht="12.75">
      <c r="A18" s="142" t="s">
        <v>62</v>
      </c>
      <c r="B18" s="143"/>
      <c r="C18" s="143"/>
      <c r="D18" s="143"/>
      <c r="E18" s="144"/>
      <c r="F18" s="25"/>
      <c r="G18" s="28"/>
      <c r="H18" s="28"/>
      <c r="I18" s="29">
        <f>SUM(I15:I17)</f>
        <v>0</v>
      </c>
      <c r="J18" s="18"/>
    </row>
    <row r="19" spans="1:9" ht="12.75">
      <c r="A19" s="20"/>
      <c r="B19" s="20"/>
      <c r="C19" s="20"/>
      <c r="D19" s="20"/>
      <c r="E19" s="20"/>
      <c r="F19" s="20"/>
      <c r="G19" s="20"/>
      <c r="H19" s="20"/>
      <c r="I19" s="20"/>
    </row>
    <row r="20" spans="1:10" ht="12.75">
      <c r="A20" s="133" t="s">
        <v>55</v>
      </c>
      <c r="B20" s="134"/>
      <c r="C20" s="134"/>
      <c r="D20" s="134"/>
      <c r="E20" s="135"/>
      <c r="F20" s="22" t="s">
        <v>69</v>
      </c>
      <c r="G20" s="22" t="s">
        <v>70</v>
      </c>
      <c r="H20" s="22" t="s">
        <v>71</v>
      </c>
      <c r="I20" s="22" t="s">
        <v>69</v>
      </c>
      <c r="J20" s="18"/>
    </row>
    <row r="21" spans="1:10" ht="12.75">
      <c r="A21" s="136" t="s">
        <v>39</v>
      </c>
      <c r="B21" s="137"/>
      <c r="C21" s="137"/>
      <c r="D21" s="137"/>
      <c r="E21" s="138"/>
      <c r="F21" s="26"/>
      <c r="G21" s="23">
        <v>2.6</v>
      </c>
      <c r="H21" s="23">
        <f>'Krycí list rozpočtu'!C22</f>
        <v>0</v>
      </c>
      <c r="I21" s="23">
        <f>ROUND((G21/100)*H21,2)</f>
        <v>0</v>
      </c>
      <c r="J21" s="17"/>
    </row>
    <row r="22" spans="1:10" ht="12.75">
      <c r="A22" s="136" t="s">
        <v>40</v>
      </c>
      <c r="B22" s="137"/>
      <c r="C22" s="137"/>
      <c r="D22" s="137"/>
      <c r="E22" s="138"/>
      <c r="F22" s="23">
        <v>0</v>
      </c>
      <c r="G22" s="26"/>
      <c r="H22" s="26"/>
      <c r="I22" s="23">
        <f>F22</f>
        <v>0</v>
      </c>
      <c r="J22" s="17"/>
    </row>
    <row r="23" spans="1:10" ht="12.75">
      <c r="A23" s="136" t="s">
        <v>41</v>
      </c>
      <c r="B23" s="137"/>
      <c r="C23" s="137"/>
      <c r="D23" s="137"/>
      <c r="E23" s="138"/>
      <c r="F23" s="23">
        <v>0</v>
      </c>
      <c r="G23" s="26"/>
      <c r="H23" s="26"/>
      <c r="I23" s="23">
        <f>F23</f>
        <v>0</v>
      </c>
      <c r="J23" s="17"/>
    </row>
    <row r="24" spans="1:10" ht="12.75">
      <c r="A24" s="136" t="s">
        <v>42</v>
      </c>
      <c r="B24" s="137"/>
      <c r="C24" s="137"/>
      <c r="D24" s="137"/>
      <c r="E24" s="138"/>
      <c r="F24" s="23">
        <v>0</v>
      </c>
      <c r="G24" s="26"/>
      <c r="H24" s="26"/>
      <c r="I24" s="23">
        <f>F24</f>
        <v>0</v>
      </c>
      <c r="J24" s="17"/>
    </row>
    <row r="25" spans="1:10" ht="12.75">
      <c r="A25" s="136" t="s">
        <v>43</v>
      </c>
      <c r="B25" s="137"/>
      <c r="C25" s="137"/>
      <c r="D25" s="137"/>
      <c r="E25" s="138"/>
      <c r="F25" s="23">
        <v>0</v>
      </c>
      <c r="G25" s="26"/>
      <c r="H25" s="26"/>
      <c r="I25" s="23">
        <f>F25</f>
        <v>0</v>
      </c>
      <c r="J25" s="17"/>
    </row>
    <row r="26" spans="1:10" ht="12.75">
      <c r="A26" s="139" t="s">
        <v>44</v>
      </c>
      <c r="B26" s="140"/>
      <c r="C26" s="140"/>
      <c r="D26" s="140"/>
      <c r="E26" s="141"/>
      <c r="F26" s="24">
        <v>0</v>
      </c>
      <c r="G26" s="27"/>
      <c r="H26" s="27"/>
      <c r="I26" s="24">
        <f>F26</f>
        <v>0</v>
      </c>
      <c r="J26" s="17"/>
    </row>
    <row r="27" spans="1:10" ht="12.75">
      <c r="A27" s="142" t="s">
        <v>63</v>
      </c>
      <c r="B27" s="143"/>
      <c r="C27" s="143"/>
      <c r="D27" s="143"/>
      <c r="E27" s="144"/>
      <c r="F27" s="25"/>
      <c r="G27" s="28"/>
      <c r="H27" s="28"/>
      <c r="I27" s="29">
        <f>SUM(I21:I26)</f>
        <v>0</v>
      </c>
      <c r="J27" s="18"/>
    </row>
    <row r="28" spans="1:9" ht="12.75">
      <c r="A28" s="20"/>
      <c r="B28" s="20"/>
      <c r="C28" s="20"/>
      <c r="D28" s="20"/>
      <c r="E28" s="20"/>
      <c r="F28" s="20"/>
      <c r="G28" s="20"/>
      <c r="H28" s="20"/>
      <c r="I28" s="20"/>
    </row>
    <row r="29" spans="1:10" ht="15" customHeight="1">
      <c r="A29" s="145" t="s">
        <v>64</v>
      </c>
      <c r="B29" s="146"/>
      <c r="C29" s="146"/>
      <c r="D29" s="146"/>
      <c r="E29" s="147"/>
      <c r="F29" s="148">
        <f>I18+I27</f>
        <v>0</v>
      </c>
      <c r="G29" s="149"/>
      <c r="H29" s="149"/>
      <c r="I29" s="150"/>
      <c r="J29" s="18"/>
    </row>
    <row r="30" spans="1:9" ht="12.75">
      <c r="A30" s="9"/>
      <c r="B30" s="9"/>
      <c r="C30" s="9"/>
      <c r="D30" s="9"/>
      <c r="E30" s="9"/>
      <c r="F30" s="9"/>
      <c r="G30" s="9"/>
      <c r="H30" s="9"/>
      <c r="I30" s="9"/>
    </row>
    <row r="33" spans="1:9" ht="15" customHeight="1">
      <c r="A33" s="131" t="s">
        <v>65</v>
      </c>
      <c r="B33" s="132"/>
      <c r="C33" s="132"/>
      <c r="D33" s="132"/>
      <c r="E33" s="132"/>
      <c r="F33" s="21"/>
      <c r="G33" s="21"/>
      <c r="H33" s="21"/>
      <c r="I33" s="21"/>
    </row>
    <row r="34" spans="1:10" ht="12.75">
      <c r="A34" s="133" t="s">
        <v>66</v>
      </c>
      <c r="B34" s="134"/>
      <c r="C34" s="134"/>
      <c r="D34" s="134"/>
      <c r="E34" s="135"/>
      <c r="F34" s="22" t="s">
        <v>69</v>
      </c>
      <c r="G34" s="22" t="s">
        <v>70</v>
      </c>
      <c r="H34" s="22" t="s">
        <v>71</v>
      </c>
      <c r="I34" s="22" t="s">
        <v>69</v>
      </c>
      <c r="J34" s="18"/>
    </row>
    <row r="35" spans="1:10" ht="12.75">
      <c r="A35" s="139"/>
      <c r="B35" s="140"/>
      <c r="C35" s="140"/>
      <c r="D35" s="140"/>
      <c r="E35" s="141"/>
      <c r="F35" s="24">
        <v>0</v>
      </c>
      <c r="G35" s="27"/>
      <c r="H35" s="27"/>
      <c r="I35" s="24">
        <f>F35</f>
        <v>0</v>
      </c>
      <c r="J35" s="17"/>
    </row>
    <row r="36" spans="1:10" ht="12.75">
      <c r="A36" s="142" t="s">
        <v>67</v>
      </c>
      <c r="B36" s="143"/>
      <c r="C36" s="143"/>
      <c r="D36" s="143"/>
      <c r="E36" s="144"/>
      <c r="F36" s="25"/>
      <c r="G36" s="28"/>
      <c r="H36" s="28"/>
      <c r="I36" s="29">
        <f>SUM(I35:I35)</f>
        <v>0</v>
      </c>
      <c r="J36" s="18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</sheetData>
  <sheetProtection/>
  <mergeCells count="51">
    <mergeCell ref="A35:E35"/>
    <mergeCell ref="A36:E36"/>
    <mergeCell ref="A26:E26"/>
    <mergeCell ref="A27:E27"/>
    <mergeCell ref="A29:E29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10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M148" sqref="M148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40.28125" style="0" customWidth="1"/>
    <col min="4" max="4" width="37.8515625" style="0" customWidth="1"/>
    <col min="5" max="6" width="11.57421875" style="0" customWidth="1"/>
    <col min="7" max="7" width="6.421875" style="0" customWidth="1"/>
    <col min="8" max="8" width="12.8515625" style="0" customWidth="1"/>
    <col min="9" max="9" width="12.00390625" style="0" customWidth="1"/>
    <col min="10" max="12" width="14.28125" style="0" customWidth="1"/>
    <col min="13" max="13" width="11.7109375" style="0" customWidth="1"/>
    <col min="14" max="24" width="11.57421875" style="0" customWidth="1"/>
    <col min="25" max="64" width="12.140625" style="0" hidden="1" customWidth="1"/>
  </cols>
  <sheetData>
    <row r="1" spans="1:13" ht="22.5">
      <c r="A1" s="151" t="s">
        <v>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4" ht="12.75">
      <c r="A2" s="94" t="s">
        <v>0</v>
      </c>
      <c r="B2" s="95"/>
      <c r="C2" s="98" t="s">
        <v>262</v>
      </c>
      <c r="D2" s="99"/>
      <c r="E2" s="152" t="s">
        <v>447</v>
      </c>
      <c r="F2" s="95"/>
      <c r="G2" s="152" t="s">
        <v>74</v>
      </c>
      <c r="H2" s="95"/>
      <c r="I2" s="101" t="s">
        <v>32</v>
      </c>
      <c r="J2" s="101" t="s">
        <v>462</v>
      </c>
      <c r="K2" s="95"/>
      <c r="L2" s="95"/>
      <c r="M2" s="153"/>
      <c r="N2" s="17"/>
    </row>
    <row r="3" spans="1:14" ht="12.75">
      <c r="A3" s="96"/>
      <c r="B3" s="97"/>
      <c r="C3" s="100"/>
      <c r="D3" s="100"/>
      <c r="E3" s="97"/>
      <c r="F3" s="97"/>
      <c r="G3" s="97"/>
      <c r="H3" s="97"/>
      <c r="I3" s="97"/>
      <c r="J3" s="97"/>
      <c r="K3" s="97"/>
      <c r="L3" s="97"/>
      <c r="M3" s="103"/>
      <c r="N3" s="17"/>
    </row>
    <row r="4" spans="1:14" ht="12.75">
      <c r="A4" s="104" t="s">
        <v>1</v>
      </c>
      <c r="B4" s="97"/>
      <c r="C4" s="105" t="s">
        <v>263</v>
      </c>
      <c r="D4" s="97"/>
      <c r="E4" s="107" t="s">
        <v>3</v>
      </c>
      <c r="F4" s="97"/>
      <c r="G4" s="107" t="s">
        <v>74</v>
      </c>
      <c r="H4" s="97"/>
      <c r="I4" s="105" t="s">
        <v>33</v>
      </c>
      <c r="J4" s="105" t="s">
        <v>463</v>
      </c>
      <c r="K4" s="97"/>
      <c r="L4" s="97"/>
      <c r="M4" s="103"/>
      <c r="N4" s="17"/>
    </row>
    <row r="5" spans="1:14" ht="12.75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103"/>
      <c r="N5" s="17"/>
    </row>
    <row r="6" spans="1:14" ht="12.75">
      <c r="A6" s="104" t="s">
        <v>2</v>
      </c>
      <c r="B6" s="97"/>
      <c r="C6" s="105" t="s">
        <v>264</v>
      </c>
      <c r="D6" s="97"/>
      <c r="E6" s="107" t="s">
        <v>35</v>
      </c>
      <c r="F6" s="97"/>
      <c r="G6" s="107" t="s">
        <v>74</v>
      </c>
      <c r="H6" s="97"/>
      <c r="I6" s="105" t="s">
        <v>34</v>
      </c>
      <c r="J6" s="107" t="s">
        <v>464</v>
      </c>
      <c r="K6" s="97"/>
      <c r="L6" s="97"/>
      <c r="M6" s="103"/>
      <c r="N6" s="17"/>
    </row>
    <row r="7" spans="1:14" ht="12.75">
      <c r="A7" s="96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103"/>
      <c r="N7" s="17"/>
    </row>
    <row r="8" spans="1:14" ht="12.75">
      <c r="A8" s="104" t="s">
        <v>4</v>
      </c>
      <c r="B8" s="97"/>
      <c r="C8" s="105" t="s">
        <v>74</v>
      </c>
      <c r="D8" s="97"/>
      <c r="E8" s="107" t="s">
        <v>448</v>
      </c>
      <c r="F8" s="97"/>
      <c r="G8" s="107"/>
      <c r="H8" s="97"/>
      <c r="I8" s="105" t="s">
        <v>36</v>
      </c>
      <c r="J8" s="107" t="s">
        <v>464</v>
      </c>
      <c r="K8" s="97"/>
      <c r="L8" s="97"/>
      <c r="M8" s="103"/>
      <c r="N8" s="17"/>
    </row>
    <row r="9" spans="1:14" ht="12.75">
      <c r="A9" s="154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6"/>
      <c r="N9" s="17"/>
    </row>
    <row r="10" spans="1:64" ht="12.75">
      <c r="A10" s="30" t="s">
        <v>73</v>
      </c>
      <c r="B10" s="38" t="s">
        <v>165</v>
      </c>
      <c r="C10" s="157" t="s">
        <v>265</v>
      </c>
      <c r="D10" s="158"/>
      <c r="E10" s="158"/>
      <c r="F10" s="159"/>
      <c r="G10" s="38" t="s">
        <v>449</v>
      </c>
      <c r="H10" s="49" t="s">
        <v>459</v>
      </c>
      <c r="I10" s="54" t="s">
        <v>460</v>
      </c>
      <c r="J10" s="160" t="s">
        <v>465</v>
      </c>
      <c r="K10" s="161"/>
      <c r="L10" s="162"/>
      <c r="M10" s="59" t="s">
        <v>469</v>
      </c>
      <c r="N10" s="18"/>
      <c r="BK10" s="66" t="s">
        <v>522</v>
      </c>
      <c r="BL10" s="71" t="s">
        <v>525</v>
      </c>
    </row>
    <row r="11" spans="1:62" ht="12.75">
      <c r="A11" s="31" t="s">
        <v>74</v>
      </c>
      <c r="B11" s="39" t="s">
        <v>74</v>
      </c>
      <c r="C11" s="163" t="s">
        <v>266</v>
      </c>
      <c r="D11" s="164"/>
      <c r="E11" s="164"/>
      <c r="F11" s="165"/>
      <c r="G11" s="39" t="s">
        <v>74</v>
      </c>
      <c r="H11" s="39" t="s">
        <v>74</v>
      </c>
      <c r="I11" s="55" t="s">
        <v>461</v>
      </c>
      <c r="J11" s="56" t="s">
        <v>466</v>
      </c>
      <c r="K11" s="57" t="s">
        <v>21</v>
      </c>
      <c r="L11" s="58" t="s">
        <v>468</v>
      </c>
      <c r="M11" s="60" t="s">
        <v>470</v>
      </c>
      <c r="N11" s="18"/>
      <c r="Z11" s="66" t="s">
        <v>472</v>
      </c>
      <c r="AA11" s="66" t="s">
        <v>473</v>
      </c>
      <c r="AB11" s="66" t="s">
        <v>474</v>
      </c>
      <c r="AC11" s="66" t="s">
        <v>475</v>
      </c>
      <c r="AD11" s="66" t="s">
        <v>476</v>
      </c>
      <c r="AE11" s="66" t="s">
        <v>477</v>
      </c>
      <c r="AF11" s="66" t="s">
        <v>478</v>
      </c>
      <c r="AG11" s="66" t="s">
        <v>479</v>
      </c>
      <c r="AH11" s="66" t="s">
        <v>480</v>
      </c>
      <c r="BH11" s="66" t="s">
        <v>519</v>
      </c>
      <c r="BI11" s="66" t="s">
        <v>520</v>
      </c>
      <c r="BJ11" s="66" t="s">
        <v>521</v>
      </c>
    </row>
    <row r="12" spans="1:14" ht="12.75">
      <c r="A12" s="32"/>
      <c r="B12" s="40"/>
      <c r="C12" s="166" t="s">
        <v>267</v>
      </c>
      <c r="D12" s="167"/>
      <c r="E12" s="167"/>
      <c r="F12" s="167"/>
      <c r="G12" s="47" t="s">
        <v>74</v>
      </c>
      <c r="H12" s="47" t="s">
        <v>74</v>
      </c>
      <c r="I12" s="47" t="s">
        <v>74</v>
      </c>
      <c r="J12" s="72">
        <f>J13+J15+J19+J24+J29+J35+J49+J55+J59+J61+J68+J76+J78+J84+J92+J101+J119+J142+J151+J153+J160+J169+J189+J194+J196+J199</f>
        <v>0</v>
      </c>
      <c r="K12" s="72">
        <f>K13+K15+K19+K24+K29+K35+K49+K55+K59+K61+K68+K76+K78+K84+K92+K101+K119+K142+K151+K153+K160+K169+K189+K194+K196+K199</f>
        <v>0</v>
      </c>
      <c r="L12" s="72">
        <f>L13+L15+L19+L24+L29+L35+L49+L55+L59+L61+L68+L76+L78+L84+L92+L101+L119+L142+L151+L153+L160+L169+L189+L194+L196+L199</f>
        <v>0</v>
      </c>
      <c r="M12" s="61"/>
      <c r="N12" s="17"/>
    </row>
    <row r="13" spans="1:47" ht="12.75">
      <c r="A13" s="33"/>
      <c r="B13" s="41" t="s">
        <v>59</v>
      </c>
      <c r="C13" s="168" t="s">
        <v>268</v>
      </c>
      <c r="D13" s="169"/>
      <c r="E13" s="169"/>
      <c r="F13" s="169"/>
      <c r="G13" s="48" t="s">
        <v>74</v>
      </c>
      <c r="H13" s="48" t="s">
        <v>74</v>
      </c>
      <c r="I13" s="48" t="s">
        <v>74</v>
      </c>
      <c r="J13" s="73">
        <f>SUM(J14:J14)</f>
        <v>0</v>
      </c>
      <c r="K13" s="73">
        <f>SUM(K14:K14)</f>
        <v>0</v>
      </c>
      <c r="L13" s="73">
        <f>SUM(L14:L14)</f>
        <v>0</v>
      </c>
      <c r="M13" s="62"/>
      <c r="N13" s="17"/>
      <c r="AI13" s="66"/>
      <c r="AS13" s="73">
        <f>SUM(AJ14:AJ14)</f>
        <v>0</v>
      </c>
      <c r="AT13" s="73">
        <f>SUM(AK14:AK14)</f>
        <v>0</v>
      </c>
      <c r="AU13" s="73">
        <f>SUM(AL14:AL14)</f>
        <v>0</v>
      </c>
    </row>
    <row r="14" spans="1:64" ht="12.75">
      <c r="A14" s="34" t="s">
        <v>75</v>
      </c>
      <c r="B14" s="42" t="s">
        <v>166</v>
      </c>
      <c r="C14" s="170" t="s">
        <v>269</v>
      </c>
      <c r="D14" s="171"/>
      <c r="E14" s="171"/>
      <c r="F14" s="171"/>
      <c r="G14" s="42" t="s">
        <v>450</v>
      </c>
      <c r="H14" s="50">
        <v>1</v>
      </c>
      <c r="I14" s="50">
        <v>0</v>
      </c>
      <c r="J14" s="50">
        <f>H14*AO14</f>
        <v>0</v>
      </c>
      <c r="K14" s="50">
        <f>H14*AP14</f>
        <v>0</v>
      </c>
      <c r="L14" s="50">
        <f>H14*I14</f>
        <v>0</v>
      </c>
      <c r="M14" s="63" t="s">
        <v>166</v>
      </c>
      <c r="N14" s="17"/>
      <c r="Z14" s="67">
        <f>IF(AQ14="5",BJ14,0)</f>
        <v>0</v>
      </c>
      <c r="AB14" s="67">
        <f>IF(AQ14="1",BH14,0)</f>
        <v>0</v>
      </c>
      <c r="AC14" s="67">
        <f>IF(AQ14="1",BI14,0)</f>
        <v>0</v>
      </c>
      <c r="AD14" s="67">
        <f>IF(AQ14="7",BH14,0)</f>
        <v>0</v>
      </c>
      <c r="AE14" s="67">
        <f>IF(AQ14="7",BI14,0)</f>
        <v>0</v>
      </c>
      <c r="AF14" s="67">
        <f>IF(AQ14="2",BH14,0)</f>
        <v>0</v>
      </c>
      <c r="AG14" s="67">
        <f>IF(AQ14="2",BI14,0)</f>
        <v>0</v>
      </c>
      <c r="AH14" s="67">
        <f>IF(AQ14="0",BJ14,0)</f>
        <v>0</v>
      </c>
      <c r="AI14" s="66"/>
      <c r="AJ14" s="50">
        <f>IF(AN14=0,L14,0)</f>
        <v>0</v>
      </c>
      <c r="AK14" s="50">
        <f>IF(AN14=15,L14,0)</f>
        <v>0</v>
      </c>
      <c r="AL14" s="50">
        <f>IF(AN14=21,L14,0)</f>
        <v>0</v>
      </c>
      <c r="AN14" s="67">
        <v>21</v>
      </c>
      <c r="AO14" s="67">
        <f>I14*0</f>
        <v>0</v>
      </c>
      <c r="AP14" s="67">
        <f>I14*(1-0)</f>
        <v>0</v>
      </c>
      <c r="AQ14" s="68" t="s">
        <v>75</v>
      </c>
      <c r="AV14" s="67">
        <f>AW14+AX14</f>
        <v>0</v>
      </c>
      <c r="AW14" s="67">
        <f>H14*AO14</f>
        <v>0</v>
      </c>
      <c r="AX14" s="67">
        <f>H14*AP14</f>
        <v>0</v>
      </c>
      <c r="AY14" s="70" t="s">
        <v>481</v>
      </c>
      <c r="AZ14" s="70" t="s">
        <v>507</v>
      </c>
      <c r="BA14" s="66" t="s">
        <v>518</v>
      </c>
      <c r="BC14" s="67">
        <f>AW14+AX14</f>
        <v>0</v>
      </c>
      <c r="BD14" s="67">
        <f>I14/(100-BE14)*100</f>
        <v>0</v>
      </c>
      <c r="BE14" s="67">
        <v>0</v>
      </c>
      <c r="BF14" s="67">
        <f>14</f>
        <v>14</v>
      </c>
      <c r="BH14" s="50">
        <f>H14*AO14</f>
        <v>0</v>
      </c>
      <c r="BI14" s="50">
        <f>H14*AP14</f>
        <v>0</v>
      </c>
      <c r="BJ14" s="50">
        <f>H14*I14</f>
        <v>0</v>
      </c>
      <c r="BK14" s="50" t="s">
        <v>523</v>
      </c>
      <c r="BL14" s="67">
        <v>0</v>
      </c>
    </row>
    <row r="15" spans="1:47" ht="12.75">
      <c r="A15" s="33"/>
      <c r="B15" s="41" t="s">
        <v>85</v>
      </c>
      <c r="C15" s="168" t="s">
        <v>270</v>
      </c>
      <c r="D15" s="169"/>
      <c r="E15" s="169"/>
      <c r="F15" s="169"/>
      <c r="G15" s="48" t="s">
        <v>74</v>
      </c>
      <c r="H15" s="48" t="s">
        <v>74</v>
      </c>
      <c r="I15" s="48" t="s">
        <v>74</v>
      </c>
      <c r="J15" s="73">
        <f>SUM(J16:J16)</f>
        <v>0</v>
      </c>
      <c r="K15" s="73">
        <f>SUM(K16:K16)</f>
        <v>0</v>
      </c>
      <c r="L15" s="73">
        <f>SUM(L16:L16)</f>
        <v>0</v>
      </c>
      <c r="M15" s="62"/>
      <c r="N15" s="17"/>
      <c r="AI15" s="66"/>
      <c r="AS15" s="73">
        <f>SUM(AJ16:AJ16)</f>
        <v>0</v>
      </c>
      <c r="AT15" s="73">
        <f>SUM(AK16:AK16)</f>
        <v>0</v>
      </c>
      <c r="AU15" s="73">
        <f>SUM(AL16:AL16)</f>
        <v>0</v>
      </c>
    </row>
    <row r="16" spans="1:64" ht="12.75">
      <c r="A16" s="34" t="s">
        <v>76</v>
      </c>
      <c r="B16" s="42" t="s">
        <v>167</v>
      </c>
      <c r="C16" s="170" t="s">
        <v>271</v>
      </c>
      <c r="D16" s="171"/>
      <c r="E16" s="171"/>
      <c r="F16" s="171"/>
      <c r="G16" s="42" t="s">
        <v>451</v>
      </c>
      <c r="H16" s="50">
        <v>2</v>
      </c>
      <c r="I16" s="50">
        <v>0</v>
      </c>
      <c r="J16" s="50">
        <f>H16*AO16</f>
        <v>0</v>
      </c>
      <c r="K16" s="50">
        <f>H16*AP16</f>
        <v>0</v>
      </c>
      <c r="L16" s="50">
        <f>H16*I16</f>
        <v>0</v>
      </c>
      <c r="M16" s="63" t="s">
        <v>471</v>
      </c>
      <c r="N16" s="17"/>
      <c r="Z16" s="67">
        <f>IF(AQ16="5",BJ16,0)</f>
        <v>0</v>
      </c>
      <c r="AB16" s="67">
        <f>IF(AQ16="1",BH16,0)</f>
        <v>0</v>
      </c>
      <c r="AC16" s="67">
        <f>IF(AQ16="1",BI16,0)</f>
        <v>0</v>
      </c>
      <c r="AD16" s="67">
        <f>IF(AQ16="7",BH16,0)</f>
        <v>0</v>
      </c>
      <c r="AE16" s="67">
        <f>IF(AQ16="7",BI16,0)</f>
        <v>0</v>
      </c>
      <c r="AF16" s="67">
        <f>IF(AQ16="2",BH16,0)</f>
        <v>0</v>
      </c>
      <c r="AG16" s="67">
        <f>IF(AQ16="2",BI16,0)</f>
        <v>0</v>
      </c>
      <c r="AH16" s="67">
        <f>IF(AQ16="0",BJ16,0)</f>
        <v>0</v>
      </c>
      <c r="AI16" s="66"/>
      <c r="AJ16" s="50">
        <f>IF(AN16=0,L16,0)</f>
        <v>0</v>
      </c>
      <c r="AK16" s="50">
        <f>IF(AN16=15,L16,0)</f>
        <v>0</v>
      </c>
      <c r="AL16" s="50">
        <f>IF(AN16=21,L16,0)</f>
        <v>0</v>
      </c>
      <c r="AN16" s="67">
        <v>21</v>
      </c>
      <c r="AO16" s="67">
        <f>I16*0</f>
        <v>0</v>
      </c>
      <c r="AP16" s="67">
        <f>I16*(1-0)</f>
        <v>0</v>
      </c>
      <c r="AQ16" s="68" t="s">
        <v>75</v>
      </c>
      <c r="AV16" s="67">
        <f>AW16+AX16</f>
        <v>0</v>
      </c>
      <c r="AW16" s="67">
        <f>H16*AO16</f>
        <v>0</v>
      </c>
      <c r="AX16" s="67">
        <f>H16*AP16</f>
        <v>0</v>
      </c>
      <c r="AY16" s="70" t="s">
        <v>482</v>
      </c>
      <c r="AZ16" s="70" t="s">
        <v>508</v>
      </c>
      <c r="BA16" s="66" t="s">
        <v>518</v>
      </c>
      <c r="BC16" s="67">
        <f>AW16+AX16</f>
        <v>0</v>
      </c>
      <c r="BD16" s="67">
        <f>I16/(100-BE16)*100</f>
        <v>0</v>
      </c>
      <c r="BE16" s="67">
        <v>0</v>
      </c>
      <c r="BF16" s="67">
        <f>16</f>
        <v>16</v>
      </c>
      <c r="BH16" s="50">
        <f>H16*AO16</f>
        <v>0</v>
      </c>
      <c r="BI16" s="50">
        <f>H16*AP16</f>
        <v>0</v>
      </c>
      <c r="BJ16" s="50">
        <f>H16*I16</f>
        <v>0</v>
      </c>
      <c r="BK16" s="50" t="s">
        <v>523</v>
      </c>
      <c r="BL16" s="67">
        <v>11</v>
      </c>
    </row>
    <row r="17" spans="1:14" ht="12.75">
      <c r="A17" s="17"/>
      <c r="C17" s="45" t="s">
        <v>272</v>
      </c>
      <c r="F17" s="46"/>
      <c r="H17" s="51">
        <v>0</v>
      </c>
      <c r="M17" s="16"/>
      <c r="N17" s="17"/>
    </row>
    <row r="18" spans="1:14" ht="12.75">
      <c r="A18" s="17"/>
      <c r="C18" s="45" t="s">
        <v>76</v>
      </c>
      <c r="F18" s="46"/>
      <c r="H18" s="51">
        <v>2</v>
      </c>
      <c r="M18" s="16"/>
      <c r="N18" s="17"/>
    </row>
    <row r="19" spans="1:47" ht="12.75">
      <c r="A19" s="33"/>
      <c r="B19" s="41" t="s">
        <v>87</v>
      </c>
      <c r="C19" s="168" t="s">
        <v>273</v>
      </c>
      <c r="D19" s="169"/>
      <c r="E19" s="169"/>
      <c r="F19" s="169"/>
      <c r="G19" s="48" t="s">
        <v>74</v>
      </c>
      <c r="H19" s="48" t="s">
        <v>74</v>
      </c>
      <c r="I19" s="48" t="s">
        <v>74</v>
      </c>
      <c r="J19" s="73">
        <f>SUM(J20:J23)</f>
        <v>0</v>
      </c>
      <c r="K19" s="73">
        <f>SUM(K20:K23)</f>
        <v>0</v>
      </c>
      <c r="L19" s="73">
        <f>SUM(L20:L23)</f>
        <v>0</v>
      </c>
      <c r="M19" s="62"/>
      <c r="N19" s="17"/>
      <c r="AI19" s="66"/>
      <c r="AS19" s="73">
        <f>SUM(AJ20:AJ23)</f>
        <v>0</v>
      </c>
      <c r="AT19" s="73">
        <f>SUM(AK20:AK23)</f>
        <v>0</v>
      </c>
      <c r="AU19" s="73">
        <f>SUM(AL20:AL23)</f>
        <v>0</v>
      </c>
    </row>
    <row r="20" spans="1:64" ht="12.75">
      <c r="A20" s="34" t="s">
        <v>77</v>
      </c>
      <c r="B20" s="42" t="s">
        <v>168</v>
      </c>
      <c r="C20" s="170" t="s">
        <v>274</v>
      </c>
      <c r="D20" s="171"/>
      <c r="E20" s="171"/>
      <c r="F20" s="171"/>
      <c r="G20" s="42" t="s">
        <v>452</v>
      </c>
      <c r="H20" s="50">
        <v>8.62</v>
      </c>
      <c r="I20" s="50">
        <v>0</v>
      </c>
      <c r="J20" s="50">
        <f>H20*AO20</f>
        <v>0</v>
      </c>
      <c r="K20" s="50">
        <f>H20*AP20</f>
        <v>0</v>
      </c>
      <c r="L20" s="50">
        <f>H20*I20</f>
        <v>0</v>
      </c>
      <c r="M20" s="63" t="s">
        <v>471</v>
      </c>
      <c r="N20" s="17"/>
      <c r="Z20" s="67">
        <f>IF(AQ20="5",BJ20,0)</f>
        <v>0</v>
      </c>
      <c r="AB20" s="67">
        <f>IF(AQ20="1",BH20,0)</f>
        <v>0</v>
      </c>
      <c r="AC20" s="67">
        <f>IF(AQ20="1",BI20,0)</f>
        <v>0</v>
      </c>
      <c r="AD20" s="67">
        <f>IF(AQ20="7",BH20,0)</f>
        <v>0</v>
      </c>
      <c r="AE20" s="67">
        <f>IF(AQ20="7",BI20,0)</f>
        <v>0</v>
      </c>
      <c r="AF20" s="67">
        <f>IF(AQ20="2",BH20,0)</f>
        <v>0</v>
      </c>
      <c r="AG20" s="67">
        <f>IF(AQ20="2",BI20,0)</f>
        <v>0</v>
      </c>
      <c r="AH20" s="67">
        <f>IF(AQ20="0",BJ20,0)</f>
        <v>0</v>
      </c>
      <c r="AI20" s="66"/>
      <c r="AJ20" s="50">
        <f>IF(AN20=0,L20,0)</f>
        <v>0</v>
      </c>
      <c r="AK20" s="50">
        <f>IF(AN20=15,L20,0)</f>
        <v>0</v>
      </c>
      <c r="AL20" s="50">
        <f>IF(AN20=21,L20,0)</f>
        <v>0</v>
      </c>
      <c r="AN20" s="67">
        <v>21</v>
      </c>
      <c r="AO20" s="67">
        <f>I20*0</f>
        <v>0</v>
      </c>
      <c r="AP20" s="67">
        <f>I20*(1-0)</f>
        <v>0</v>
      </c>
      <c r="AQ20" s="68" t="s">
        <v>75</v>
      </c>
      <c r="AV20" s="67">
        <f>AW20+AX20</f>
        <v>0</v>
      </c>
      <c r="AW20" s="67">
        <f>H20*AO20</f>
        <v>0</v>
      </c>
      <c r="AX20" s="67">
        <f>H20*AP20</f>
        <v>0</v>
      </c>
      <c r="AY20" s="70" t="s">
        <v>483</v>
      </c>
      <c r="AZ20" s="70" t="s">
        <v>508</v>
      </c>
      <c r="BA20" s="66" t="s">
        <v>518</v>
      </c>
      <c r="BC20" s="67">
        <f>AW20+AX20</f>
        <v>0</v>
      </c>
      <c r="BD20" s="67">
        <f>I20/(100-BE20)*100</f>
        <v>0</v>
      </c>
      <c r="BE20" s="67">
        <v>0</v>
      </c>
      <c r="BF20" s="67">
        <f>20</f>
        <v>20</v>
      </c>
      <c r="BH20" s="50">
        <f>H20*AO20</f>
        <v>0</v>
      </c>
      <c r="BI20" s="50">
        <f>H20*AP20</f>
        <v>0</v>
      </c>
      <c r="BJ20" s="50">
        <f>H20*I20</f>
        <v>0</v>
      </c>
      <c r="BK20" s="50" t="s">
        <v>523</v>
      </c>
      <c r="BL20" s="67">
        <v>13</v>
      </c>
    </row>
    <row r="21" spans="1:14" ht="12.75">
      <c r="A21" s="17"/>
      <c r="C21" s="45" t="s">
        <v>275</v>
      </c>
      <c r="F21" s="46"/>
      <c r="H21" s="51">
        <v>7.08</v>
      </c>
      <c r="M21" s="16"/>
      <c r="N21" s="17"/>
    </row>
    <row r="22" spans="1:14" ht="12.75">
      <c r="A22" s="17"/>
      <c r="C22" s="45" t="s">
        <v>276</v>
      </c>
      <c r="F22" s="46"/>
      <c r="H22" s="51">
        <v>1.54</v>
      </c>
      <c r="M22" s="16"/>
      <c r="N22" s="17"/>
    </row>
    <row r="23" spans="1:64" ht="12.75">
      <c r="A23" s="34" t="s">
        <v>78</v>
      </c>
      <c r="B23" s="42" t="s">
        <v>169</v>
      </c>
      <c r="C23" s="170" t="s">
        <v>277</v>
      </c>
      <c r="D23" s="171"/>
      <c r="E23" s="171"/>
      <c r="F23" s="171"/>
      <c r="G23" s="42" t="s">
        <v>452</v>
      </c>
      <c r="H23" s="50">
        <v>8.62</v>
      </c>
      <c r="I23" s="50">
        <v>0</v>
      </c>
      <c r="J23" s="50">
        <f>H23*AO23</f>
        <v>0</v>
      </c>
      <c r="K23" s="50">
        <f>H23*AP23</f>
        <v>0</v>
      </c>
      <c r="L23" s="50">
        <f>H23*I23</f>
        <v>0</v>
      </c>
      <c r="M23" s="63" t="s">
        <v>471</v>
      </c>
      <c r="N23" s="17"/>
      <c r="Z23" s="67">
        <f>IF(AQ23="5",BJ23,0)</f>
        <v>0</v>
      </c>
      <c r="AB23" s="67">
        <f>IF(AQ23="1",BH23,0)</f>
        <v>0</v>
      </c>
      <c r="AC23" s="67">
        <f>IF(AQ23="1",BI23,0)</f>
        <v>0</v>
      </c>
      <c r="AD23" s="67">
        <f>IF(AQ23="7",BH23,0)</f>
        <v>0</v>
      </c>
      <c r="AE23" s="67">
        <f>IF(AQ23="7",BI23,0)</f>
        <v>0</v>
      </c>
      <c r="AF23" s="67">
        <f>IF(AQ23="2",BH23,0)</f>
        <v>0</v>
      </c>
      <c r="AG23" s="67">
        <f>IF(AQ23="2",BI23,0)</f>
        <v>0</v>
      </c>
      <c r="AH23" s="67">
        <f>IF(AQ23="0",BJ23,0)</f>
        <v>0</v>
      </c>
      <c r="AI23" s="66"/>
      <c r="AJ23" s="50">
        <f>IF(AN23=0,L23,0)</f>
        <v>0</v>
      </c>
      <c r="AK23" s="50">
        <f>IF(AN23=15,L23,0)</f>
        <v>0</v>
      </c>
      <c r="AL23" s="50">
        <f>IF(AN23=21,L23,0)</f>
        <v>0</v>
      </c>
      <c r="AN23" s="67">
        <v>21</v>
      </c>
      <c r="AO23" s="67">
        <f>I23*0</f>
        <v>0</v>
      </c>
      <c r="AP23" s="67">
        <f>I23*(1-0)</f>
        <v>0</v>
      </c>
      <c r="AQ23" s="68" t="s">
        <v>75</v>
      </c>
      <c r="AV23" s="67">
        <f>AW23+AX23</f>
        <v>0</v>
      </c>
      <c r="AW23" s="67">
        <f>H23*AO23</f>
        <v>0</v>
      </c>
      <c r="AX23" s="67">
        <f>H23*AP23</f>
        <v>0</v>
      </c>
      <c r="AY23" s="70" t="s">
        <v>483</v>
      </c>
      <c r="AZ23" s="70" t="s">
        <v>508</v>
      </c>
      <c r="BA23" s="66" t="s">
        <v>518</v>
      </c>
      <c r="BC23" s="67">
        <f>AW23+AX23</f>
        <v>0</v>
      </c>
      <c r="BD23" s="67">
        <f>I23/(100-BE23)*100</f>
        <v>0</v>
      </c>
      <c r="BE23" s="67">
        <v>0</v>
      </c>
      <c r="BF23" s="67">
        <f>23</f>
        <v>23</v>
      </c>
      <c r="BH23" s="50">
        <f>H23*AO23</f>
        <v>0</v>
      </c>
      <c r="BI23" s="50">
        <f>H23*AP23</f>
        <v>0</v>
      </c>
      <c r="BJ23" s="50">
        <f>H23*I23</f>
        <v>0</v>
      </c>
      <c r="BK23" s="50" t="s">
        <v>523</v>
      </c>
      <c r="BL23" s="67">
        <v>13</v>
      </c>
    </row>
    <row r="24" spans="1:47" ht="12.75">
      <c r="A24" s="33"/>
      <c r="B24" s="41" t="s">
        <v>90</v>
      </c>
      <c r="C24" s="168" t="s">
        <v>278</v>
      </c>
      <c r="D24" s="169"/>
      <c r="E24" s="169"/>
      <c r="F24" s="169"/>
      <c r="G24" s="48" t="s">
        <v>74</v>
      </c>
      <c r="H24" s="48" t="s">
        <v>74</v>
      </c>
      <c r="I24" s="48" t="s">
        <v>74</v>
      </c>
      <c r="J24" s="73">
        <f>SUM(J25:J28)</f>
        <v>0</v>
      </c>
      <c r="K24" s="73">
        <f>SUM(K25:K28)</f>
        <v>0</v>
      </c>
      <c r="L24" s="73">
        <f>SUM(L25:L28)</f>
        <v>0</v>
      </c>
      <c r="M24" s="62"/>
      <c r="N24" s="17"/>
      <c r="AI24" s="66"/>
      <c r="AS24" s="73">
        <f>SUM(AJ25:AJ28)</f>
        <v>0</v>
      </c>
      <c r="AT24" s="73">
        <f>SUM(AK25:AK28)</f>
        <v>0</v>
      </c>
      <c r="AU24" s="73">
        <f>SUM(AL25:AL28)</f>
        <v>0</v>
      </c>
    </row>
    <row r="25" spans="1:64" ht="12.75">
      <c r="A25" s="34" t="s">
        <v>79</v>
      </c>
      <c r="B25" s="42" t="s">
        <v>170</v>
      </c>
      <c r="C25" s="170" t="s">
        <v>279</v>
      </c>
      <c r="D25" s="171"/>
      <c r="E25" s="171"/>
      <c r="F25" s="171"/>
      <c r="G25" s="42" t="s">
        <v>452</v>
      </c>
      <c r="H25" s="50">
        <v>8.62</v>
      </c>
      <c r="I25" s="50">
        <v>0</v>
      </c>
      <c r="J25" s="50">
        <f>H25*AO25</f>
        <v>0</v>
      </c>
      <c r="K25" s="50">
        <f>H25*AP25</f>
        <v>0</v>
      </c>
      <c r="L25" s="50">
        <f>H25*I25</f>
        <v>0</v>
      </c>
      <c r="M25" s="63" t="s">
        <v>471</v>
      </c>
      <c r="N25" s="17"/>
      <c r="Z25" s="67">
        <f>IF(AQ25="5",BJ25,0)</f>
        <v>0</v>
      </c>
      <c r="AB25" s="67">
        <f>IF(AQ25="1",BH25,0)</f>
        <v>0</v>
      </c>
      <c r="AC25" s="67">
        <f>IF(AQ25="1",BI25,0)</f>
        <v>0</v>
      </c>
      <c r="AD25" s="67">
        <f>IF(AQ25="7",BH25,0)</f>
        <v>0</v>
      </c>
      <c r="AE25" s="67">
        <f>IF(AQ25="7",BI25,0)</f>
        <v>0</v>
      </c>
      <c r="AF25" s="67">
        <f>IF(AQ25="2",BH25,0)</f>
        <v>0</v>
      </c>
      <c r="AG25" s="67">
        <f>IF(AQ25="2",BI25,0)</f>
        <v>0</v>
      </c>
      <c r="AH25" s="67">
        <f>IF(AQ25="0",BJ25,0)</f>
        <v>0</v>
      </c>
      <c r="AI25" s="66"/>
      <c r="AJ25" s="50">
        <f>IF(AN25=0,L25,0)</f>
        <v>0</v>
      </c>
      <c r="AK25" s="50">
        <f>IF(AN25=15,L25,0)</f>
        <v>0</v>
      </c>
      <c r="AL25" s="50">
        <f>IF(AN25=21,L25,0)</f>
        <v>0</v>
      </c>
      <c r="AN25" s="67">
        <v>21</v>
      </c>
      <c r="AO25" s="67">
        <f>I25*0</f>
        <v>0</v>
      </c>
      <c r="AP25" s="67">
        <f>I25*(1-0)</f>
        <v>0</v>
      </c>
      <c r="AQ25" s="68" t="s">
        <v>75</v>
      </c>
      <c r="AV25" s="67">
        <f>AW25+AX25</f>
        <v>0</v>
      </c>
      <c r="AW25" s="67">
        <f>H25*AO25</f>
        <v>0</v>
      </c>
      <c r="AX25" s="67">
        <f>H25*AP25</f>
        <v>0</v>
      </c>
      <c r="AY25" s="70" t="s">
        <v>484</v>
      </c>
      <c r="AZ25" s="70" t="s">
        <v>508</v>
      </c>
      <c r="BA25" s="66" t="s">
        <v>518</v>
      </c>
      <c r="BC25" s="67">
        <f>AW25+AX25</f>
        <v>0</v>
      </c>
      <c r="BD25" s="67">
        <f>I25/(100-BE25)*100</f>
        <v>0</v>
      </c>
      <c r="BE25" s="67">
        <v>0</v>
      </c>
      <c r="BF25" s="67">
        <f>25</f>
        <v>25</v>
      </c>
      <c r="BH25" s="50">
        <f>H25*AO25</f>
        <v>0</v>
      </c>
      <c r="BI25" s="50">
        <f>H25*AP25</f>
        <v>0</v>
      </c>
      <c r="BJ25" s="50">
        <f>H25*I25</f>
        <v>0</v>
      </c>
      <c r="BK25" s="50" t="s">
        <v>523</v>
      </c>
      <c r="BL25" s="67">
        <v>16</v>
      </c>
    </row>
    <row r="26" spans="1:64" ht="12.75">
      <c r="A26" s="34" t="s">
        <v>80</v>
      </c>
      <c r="B26" s="42" t="s">
        <v>171</v>
      </c>
      <c r="C26" s="170" t="s">
        <v>280</v>
      </c>
      <c r="D26" s="171"/>
      <c r="E26" s="171"/>
      <c r="F26" s="171"/>
      <c r="G26" s="42" t="s">
        <v>452</v>
      </c>
      <c r="H26" s="50">
        <v>8.62</v>
      </c>
      <c r="I26" s="50">
        <v>0</v>
      </c>
      <c r="J26" s="50">
        <f>H26*AO26</f>
        <v>0</v>
      </c>
      <c r="K26" s="50">
        <f>H26*AP26</f>
        <v>0</v>
      </c>
      <c r="L26" s="50">
        <f>H26*I26</f>
        <v>0</v>
      </c>
      <c r="M26" s="63" t="s">
        <v>471</v>
      </c>
      <c r="N26" s="17"/>
      <c r="Z26" s="67">
        <f>IF(AQ26="5",BJ26,0)</f>
        <v>0</v>
      </c>
      <c r="AB26" s="67">
        <f>IF(AQ26="1",BH26,0)</f>
        <v>0</v>
      </c>
      <c r="AC26" s="67">
        <f>IF(AQ26="1",BI26,0)</f>
        <v>0</v>
      </c>
      <c r="AD26" s="67">
        <f>IF(AQ26="7",BH26,0)</f>
        <v>0</v>
      </c>
      <c r="AE26" s="67">
        <f>IF(AQ26="7",BI26,0)</f>
        <v>0</v>
      </c>
      <c r="AF26" s="67">
        <f>IF(AQ26="2",BH26,0)</f>
        <v>0</v>
      </c>
      <c r="AG26" s="67">
        <f>IF(AQ26="2",BI26,0)</f>
        <v>0</v>
      </c>
      <c r="AH26" s="67">
        <f>IF(AQ26="0",BJ26,0)</f>
        <v>0</v>
      </c>
      <c r="AI26" s="66"/>
      <c r="AJ26" s="50">
        <f>IF(AN26=0,L26,0)</f>
        <v>0</v>
      </c>
      <c r="AK26" s="50">
        <f>IF(AN26=15,L26,0)</f>
        <v>0</v>
      </c>
      <c r="AL26" s="50">
        <f>IF(AN26=21,L26,0)</f>
        <v>0</v>
      </c>
      <c r="AN26" s="67">
        <v>21</v>
      </c>
      <c r="AO26" s="67">
        <f>I26*0</f>
        <v>0</v>
      </c>
      <c r="AP26" s="67">
        <f>I26*(1-0)</f>
        <v>0</v>
      </c>
      <c r="AQ26" s="68" t="s">
        <v>75</v>
      </c>
      <c r="AV26" s="67">
        <f>AW26+AX26</f>
        <v>0</v>
      </c>
      <c r="AW26" s="67">
        <f>H26*AO26</f>
        <v>0</v>
      </c>
      <c r="AX26" s="67">
        <f>H26*AP26</f>
        <v>0</v>
      </c>
      <c r="AY26" s="70" t="s">
        <v>484</v>
      </c>
      <c r="AZ26" s="70" t="s">
        <v>508</v>
      </c>
      <c r="BA26" s="66" t="s">
        <v>518</v>
      </c>
      <c r="BC26" s="67">
        <f>AW26+AX26</f>
        <v>0</v>
      </c>
      <c r="BD26" s="67">
        <f>I26/(100-BE26)*100</f>
        <v>0</v>
      </c>
      <c r="BE26" s="67">
        <v>0</v>
      </c>
      <c r="BF26" s="67">
        <f>26</f>
        <v>26</v>
      </c>
      <c r="BH26" s="50">
        <f>H26*AO26</f>
        <v>0</v>
      </c>
      <c r="BI26" s="50">
        <f>H26*AP26</f>
        <v>0</v>
      </c>
      <c r="BJ26" s="50">
        <f>H26*I26</f>
        <v>0</v>
      </c>
      <c r="BK26" s="50" t="s">
        <v>523</v>
      </c>
      <c r="BL26" s="67">
        <v>16</v>
      </c>
    </row>
    <row r="27" spans="1:64" ht="12.75">
      <c r="A27" s="34" t="s">
        <v>81</v>
      </c>
      <c r="B27" s="42" t="s">
        <v>172</v>
      </c>
      <c r="C27" s="170" t="s">
        <v>281</v>
      </c>
      <c r="D27" s="171"/>
      <c r="E27" s="171"/>
      <c r="F27" s="171"/>
      <c r="G27" s="42" t="s">
        <v>452</v>
      </c>
      <c r="H27" s="50">
        <v>8.62</v>
      </c>
      <c r="I27" s="50">
        <v>0</v>
      </c>
      <c r="J27" s="50">
        <f>H27*AO27</f>
        <v>0</v>
      </c>
      <c r="K27" s="50">
        <f>H27*AP27</f>
        <v>0</v>
      </c>
      <c r="L27" s="50">
        <f>H27*I27</f>
        <v>0</v>
      </c>
      <c r="M27" s="63" t="s">
        <v>471</v>
      </c>
      <c r="N27" s="17"/>
      <c r="Z27" s="67">
        <f>IF(AQ27="5",BJ27,0)</f>
        <v>0</v>
      </c>
      <c r="AB27" s="67">
        <f>IF(AQ27="1",BH27,0)</f>
        <v>0</v>
      </c>
      <c r="AC27" s="67">
        <f>IF(AQ27="1",BI27,0)</f>
        <v>0</v>
      </c>
      <c r="AD27" s="67">
        <f>IF(AQ27="7",BH27,0)</f>
        <v>0</v>
      </c>
      <c r="AE27" s="67">
        <f>IF(AQ27="7",BI27,0)</f>
        <v>0</v>
      </c>
      <c r="AF27" s="67">
        <f>IF(AQ27="2",BH27,0)</f>
        <v>0</v>
      </c>
      <c r="AG27" s="67">
        <f>IF(AQ27="2",BI27,0)</f>
        <v>0</v>
      </c>
      <c r="AH27" s="67">
        <f>IF(AQ27="0",BJ27,0)</f>
        <v>0</v>
      </c>
      <c r="AI27" s="66"/>
      <c r="AJ27" s="50">
        <f>IF(AN27=0,L27,0)</f>
        <v>0</v>
      </c>
      <c r="AK27" s="50">
        <f>IF(AN27=15,L27,0)</f>
        <v>0</v>
      </c>
      <c r="AL27" s="50">
        <f>IF(AN27=21,L27,0)</f>
        <v>0</v>
      </c>
      <c r="AN27" s="67">
        <v>21</v>
      </c>
      <c r="AO27" s="67">
        <f>I27*0</f>
        <v>0</v>
      </c>
      <c r="AP27" s="67">
        <f>I27*(1-0)</f>
        <v>0</v>
      </c>
      <c r="AQ27" s="68" t="s">
        <v>75</v>
      </c>
      <c r="AV27" s="67">
        <f>AW27+AX27</f>
        <v>0</v>
      </c>
      <c r="AW27" s="67">
        <f>H27*AO27</f>
        <v>0</v>
      </c>
      <c r="AX27" s="67">
        <f>H27*AP27</f>
        <v>0</v>
      </c>
      <c r="AY27" s="70" t="s">
        <v>484</v>
      </c>
      <c r="AZ27" s="70" t="s">
        <v>508</v>
      </c>
      <c r="BA27" s="66" t="s">
        <v>518</v>
      </c>
      <c r="BC27" s="67">
        <f>AW27+AX27</f>
        <v>0</v>
      </c>
      <c r="BD27" s="67">
        <f>I27/(100-BE27)*100</f>
        <v>0</v>
      </c>
      <c r="BE27" s="67">
        <v>0</v>
      </c>
      <c r="BF27" s="67">
        <f>27</f>
        <v>27</v>
      </c>
      <c r="BH27" s="50">
        <f>H27*AO27</f>
        <v>0</v>
      </c>
      <c r="BI27" s="50">
        <f>H27*AP27</f>
        <v>0</v>
      </c>
      <c r="BJ27" s="50">
        <f>H27*I27</f>
        <v>0</v>
      </c>
      <c r="BK27" s="50" t="s">
        <v>523</v>
      </c>
      <c r="BL27" s="67">
        <v>16</v>
      </c>
    </row>
    <row r="28" spans="1:64" ht="12.75">
      <c r="A28" s="34" t="s">
        <v>82</v>
      </c>
      <c r="B28" s="42" t="s">
        <v>170</v>
      </c>
      <c r="C28" s="170" t="s">
        <v>279</v>
      </c>
      <c r="D28" s="171"/>
      <c r="E28" s="171"/>
      <c r="F28" s="171"/>
      <c r="G28" s="42" t="s">
        <v>452</v>
      </c>
      <c r="H28" s="50">
        <v>8.62</v>
      </c>
      <c r="I28" s="50">
        <v>0</v>
      </c>
      <c r="J28" s="50">
        <f>H28*AO28</f>
        <v>0</v>
      </c>
      <c r="K28" s="50">
        <f>H28*AP28</f>
        <v>0</v>
      </c>
      <c r="L28" s="50">
        <f>H28*I28</f>
        <v>0</v>
      </c>
      <c r="M28" s="63" t="s">
        <v>471</v>
      </c>
      <c r="N28" s="17"/>
      <c r="Z28" s="67">
        <f>IF(AQ28="5",BJ28,0)</f>
        <v>0</v>
      </c>
      <c r="AB28" s="67">
        <f>IF(AQ28="1",BH28,0)</f>
        <v>0</v>
      </c>
      <c r="AC28" s="67">
        <f>IF(AQ28="1",BI28,0)</f>
        <v>0</v>
      </c>
      <c r="AD28" s="67">
        <f>IF(AQ28="7",BH28,0)</f>
        <v>0</v>
      </c>
      <c r="AE28" s="67">
        <f>IF(AQ28="7",BI28,0)</f>
        <v>0</v>
      </c>
      <c r="AF28" s="67">
        <f>IF(AQ28="2",BH28,0)</f>
        <v>0</v>
      </c>
      <c r="AG28" s="67">
        <f>IF(AQ28="2",BI28,0)</f>
        <v>0</v>
      </c>
      <c r="AH28" s="67">
        <f>IF(AQ28="0",BJ28,0)</f>
        <v>0</v>
      </c>
      <c r="AI28" s="66"/>
      <c r="AJ28" s="50">
        <f>IF(AN28=0,L28,0)</f>
        <v>0</v>
      </c>
      <c r="AK28" s="50">
        <f>IF(AN28=15,L28,0)</f>
        <v>0</v>
      </c>
      <c r="AL28" s="50">
        <f>IF(AN28=21,L28,0)</f>
        <v>0</v>
      </c>
      <c r="AN28" s="67">
        <v>21</v>
      </c>
      <c r="AO28" s="67">
        <f>I28*0</f>
        <v>0</v>
      </c>
      <c r="AP28" s="67">
        <f>I28*(1-0)</f>
        <v>0</v>
      </c>
      <c r="AQ28" s="68" t="s">
        <v>75</v>
      </c>
      <c r="AV28" s="67">
        <f>AW28+AX28</f>
        <v>0</v>
      </c>
      <c r="AW28" s="67">
        <f>H28*AO28</f>
        <v>0</v>
      </c>
      <c r="AX28" s="67">
        <f>H28*AP28</f>
        <v>0</v>
      </c>
      <c r="AY28" s="70" t="s">
        <v>484</v>
      </c>
      <c r="AZ28" s="70" t="s">
        <v>508</v>
      </c>
      <c r="BA28" s="66" t="s">
        <v>518</v>
      </c>
      <c r="BC28" s="67">
        <f>AW28+AX28</f>
        <v>0</v>
      </c>
      <c r="BD28" s="67">
        <f>I28/(100-BE28)*100</f>
        <v>0</v>
      </c>
      <c r="BE28" s="67">
        <v>0</v>
      </c>
      <c r="BF28" s="67">
        <f>28</f>
        <v>28</v>
      </c>
      <c r="BH28" s="50">
        <f>H28*AO28</f>
        <v>0</v>
      </c>
      <c r="BI28" s="50">
        <f>H28*AP28</f>
        <v>0</v>
      </c>
      <c r="BJ28" s="50">
        <f>H28*I28</f>
        <v>0</v>
      </c>
      <c r="BK28" s="50" t="s">
        <v>523</v>
      </c>
      <c r="BL28" s="67">
        <v>16</v>
      </c>
    </row>
    <row r="29" spans="1:47" ht="12.75">
      <c r="A29" s="33"/>
      <c r="B29" s="41" t="s">
        <v>101</v>
      </c>
      <c r="C29" s="168" t="s">
        <v>282</v>
      </c>
      <c r="D29" s="169"/>
      <c r="E29" s="169"/>
      <c r="F29" s="169"/>
      <c r="G29" s="48" t="s">
        <v>74</v>
      </c>
      <c r="H29" s="48" t="s">
        <v>74</v>
      </c>
      <c r="I29" s="48" t="s">
        <v>74</v>
      </c>
      <c r="J29" s="73">
        <f>SUM(J30:J31)</f>
        <v>0</v>
      </c>
      <c r="K29" s="73">
        <f>SUM(K30:K31)</f>
        <v>0</v>
      </c>
      <c r="L29" s="73">
        <f>SUM(L30:L31)</f>
        <v>0</v>
      </c>
      <c r="M29" s="62"/>
      <c r="N29" s="17"/>
      <c r="AI29" s="66"/>
      <c r="AS29" s="73">
        <f>SUM(AJ30:AJ31)</f>
        <v>0</v>
      </c>
      <c r="AT29" s="73">
        <f>SUM(AK30:AK31)</f>
        <v>0</v>
      </c>
      <c r="AU29" s="73">
        <f>SUM(AL30:AL31)</f>
        <v>0</v>
      </c>
    </row>
    <row r="30" spans="1:64" ht="12.75">
      <c r="A30" s="34" t="s">
        <v>83</v>
      </c>
      <c r="B30" s="42" t="s">
        <v>173</v>
      </c>
      <c r="C30" s="170" t="s">
        <v>283</v>
      </c>
      <c r="D30" s="171"/>
      <c r="E30" s="171"/>
      <c r="F30" s="171"/>
      <c r="G30" s="42" t="s">
        <v>453</v>
      </c>
      <c r="H30" s="50">
        <v>15</v>
      </c>
      <c r="I30" s="50">
        <v>0</v>
      </c>
      <c r="J30" s="50">
        <f>H30*AO30</f>
        <v>0</v>
      </c>
      <c r="K30" s="50">
        <f>H30*AP30</f>
        <v>0</v>
      </c>
      <c r="L30" s="50">
        <f>H30*I30</f>
        <v>0</v>
      </c>
      <c r="M30" s="63" t="s">
        <v>471</v>
      </c>
      <c r="N30" s="17"/>
      <c r="Z30" s="67">
        <f>IF(AQ30="5",BJ30,0)</f>
        <v>0</v>
      </c>
      <c r="AB30" s="67">
        <f>IF(AQ30="1",BH30,0)</f>
        <v>0</v>
      </c>
      <c r="AC30" s="67">
        <f>IF(AQ30="1",BI30,0)</f>
        <v>0</v>
      </c>
      <c r="AD30" s="67">
        <f>IF(AQ30="7",BH30,0)</f>
        <v>0</v>
      </c>
      <c r="AE30" s="67">
        <f>IF(AQ30="7",BI30,0)</f>
        <v>0</v>
      </c>
      <c r="AF30" s="67">
        <f>IF(AQ30="2",BH30,0)</f>
        <v>0</v>
      </c>
      <c r="AG30" s="67">
        <f>IF(AQ30="2",BI30,0)</f>
        <v>0</v>
      </c>
      <c r="AH30" s="67">
        <f>IF(AQ30="0",BJ30,0)</f>
        <v>0</v>
      </c>
      <c r="AI30" s="66"/>
      <c r="AJ30" s="50">
        <f>IF(AN30=0,L30,0)</f>
        <v>0</v>
      </c>
      <c r="AK30" s="50">
        <f>IF(AN30=15,L30,0)</f>
        <v>0</v>
      </c>
      <c r="AL30" s="50">
        <f>IF(AN30=21,L30,0)</f>
        <v>0</v>
      </c>
      <c r="AN30" s="67">
        <v>21</v>
      </c>
      <c r="AO30" s="67">
        <f>I30*0</f>
        <v>0</v>
      </c>
      <c r="AP30" s="67">
        <f>I30*(1-0)</f>
        <v>0</v>
      </c>
      <c r="AQ30" s="68" t="s">
        <v>75</v>
      </c>
      <c r="AV30" s="67">
        <f>AW30+AX30</f>
        <v>0</v>
      </c>
      <c r="AW30" s="67">
        <f>H30*AO30</f>
        <v>0</v>
      </c>
      <c r="AX30" s="67">
        <f>H30*AP30</f>
        <v>0</v>
      </c>
      <c r="AY30" s="70" t="s">
        <v>485</v>
      </c>
      <c r="AZ30" s="70" t="s">
        <v>509</v>
      </c>
      <c r="BA30" s="66" t="s">
        <v>518</v>
      </c>
      <c r="BC30" s="67">
        <f>AW30+AX30</f>
        <v>0</v>
      </c>
      <c r="BD30" s="67">
        <f>I30/(100-BE30)*100</f>
        <v>0</v>
      </c>
      <c r="BE30" s="67">
        <v>0</v>
      </c>
      <c r="BF30" s="67">
        <f>30</f>
        <v>30</v>
      </c>
      <c r="BH30" s="50">
        <f>H30*AO30</f>
        <v>0</v>
      </c>
      <c r="BI30" s="50">
        <f>H30*AP30</f>
        <v>0</v>
      </c>
      <c r="BJ30" s="50">
        <f>H30*I30</f>
        <v>0</v>
      </c>
      <c r="BK30" s="50" t="s">
        <v>523</v>
      </c>
      <c r="BL30" s="67">
        <v>27</v>
      </c>
    </row>
    <row r="31" spans="1:64" ht="12.75">
      <c r="A31" s="34" t="s">
        <v>84</v>
      </c>
      <c r="B31" s="42" t="s">
        <v>174</v>
      </c>
      <c r="C31" s="170" t="s">
        <v>284</v>
      </c>
      <c r="D31" s="171"/>
      <c r="E31" s="171"/>
      <c r="F31" s="171"/>
      <c r="G31" s="42" t="s">
        <v>452</v>
      </c>
      <c r="H31" s="50">
        <v>2.3735</v>
      </c>
      <c r="I31" s="50">
        <v>0</v>
      </c>
      <c r="J31" s="50">
        <f>H31*AO31</f>
        <v>0</v>
      </c>
      <c r="K31" s="50">
        <f>H31*AP31</f>
        <v>0</v>
      </c>
      <c r="L31" s="50">
        <f>H31*I31</f>
        <v>0</v>
      </c>
      <c r="M31" s="63" t="s">
        <v>471</v>
      </c>
      <c r="N31" s="17"/>
      <c r="Z31" s="67">
        <f>IF(AQ31="5",BJ31,0)</f>
        <v>0</v>
      </c>
      <c r="AB31" s="67">
        <f>IF(AQ31="1",BH31,0)</f>
        <v>0</v>
      </c>
      <c r="AC31" s="67">
        <f>IF(AQ31="1",BI31,0)</f>
        <v>0</v>
      </c>
      <c r="AD31" s="67">
        <f>IF(AQ31="7",BH31,0)</f>
        <v>0</v>
      </c>
      <c r="AE31" s="67">
        <f>IF(AQ31="7",BI31,0)</f>
        <v>0</v>
      </c>
      <c r="AF31" s="67">
        <f>IF(AQ31="2",BH31,0)</f>
        <v>0</v>
      </c>
      <c r="AG31" s="67">
        <f>IF(AQ31="2",BI31,0)</f>
        <v>0</v>
      </c>
      <c r="AH31" s="67">
        <f>IF(AQ31="0",BJ31,0)</f>
        <v>0</v>
      </c>
      <c r="AI31" s="66"/>
      <c r="AJ31" s="50">
        <f>IF(AN31=0,L31,0)</f>
        <v>0</v>
      </c>
      <c r="AK31" s="50">
        <f>IF(AN31=15,L31,0)</f>
        <v>0</v>
      </c>
      <c r="AL31" s="50">
        <f>IF(AN31=21,L31,0)</f>
        <v>0</v>
      </c>
      <c r="AN31" s="67">
        <v>21</v>
      </c>
      <c r="AO31" s="67">
        <f>I31*0.886841158808718</f>
        <v>0</v>
      </c>
      <c r="AP31" s="67">
        <f>I31*(1-0.886841158808718)</f>
        <v>0</v>
      </c>
      <c r="AQ31" s="68" t="s">
        <v>75</v>
      </c>
      <c r="AV31" s="67">
        <f>AW31+AX31</f>
        <v>0</v>
      </c>
      <c r="AW31" s="67">
        <f>H31*AO31</f>
        <v>0</v>
      </c>
      <c r="AX31" s="67">
        <f>H31*AP31</f>
        <v>0</v>
      </c>
      <c r="AY31" s="70" t="s">
        <v>485</v>
      </c>
      <c r="AZ31" s="70" t="s">
        <v>509</v>
      </c>
      <c r="BA31" s="66" t="s">
        <v>518</v>
      </c>
      <c r="BC31" s="67">
        <f>AW31+AX31</f>
        <v>0</v>
      </c>
      <c r="BD31" s="67">
        <f>I31/(100-BE31)*100</f>
        <v>0</v>
      </c>
      <c r="BE31" s="67">
        <v>0</v>
      </c>
      <c r="BF31" s="67">
        <f>31</f>
        <v>31</v>
      </c>
      <c r="BH31" s="50">
        <f>H31*AO31</f>
        <v>0</v>
      </c>
      <c r="BI31" s="50">
        <f>H31*AP31</f>
        <v>0</v>
      </c>
      <c r="BJ31" s="50">
        <f>H31*I31</f>
        <v>0</v>
      </c>
      <c r="BK31" s="50" t="s">
        <v>523</v>
      </c>
      <c r="BL31" s="67">
        <v>27</v>
      </c>
    </row>
    <row r="32" spans="1:14" ht="12.75">
      <c r="A32" s="17"/>
      <c r="C32" s="45" t="s">
        <v>285</v>
      </c>
      <c r="F32" s="46"/>
      <c r="H32" s="51">
        <v>1.072</v>
      </c>
      <c r="M32" s="16"/>
      <c r="N32" s="17"/>
    </row>
    <row r="33" spans="1:14" ht="12.75">
      <c r="A33" s="17"/>
      <c r="C33" s="45" t="s">
        <v>286</v>
      </c>
      <c r="F33" s="46"/>
      <c r="H33" s="51">
        <v>0.9765</v>
      </c>
      <c r="M33" s="16"/>
      <c r="N33" s="17"/>
    </row>
    <row r="34" spans="1:14" ht="12.75">
      <c r="A34" s="17"/>
      <c r="C34" s="45" t="s">
        <v>287</v>
      </c>
      <c r="F34" s="46"/>
      <c r="H34" s="51">
        <v>0.325</v>
      </c>
      <c r="M34" s="16"/>
      <c r="N34" s="17"/>
    </row>
    <row r="35" spans="1:47" ht="12.75">
      <c r="A35" s="33"/>
      <c r="B35" s="41" t="s">
        <v>105</v>
      </c>
      <c r="C35" s="168" t="s">
        <v>288</v>
      </c>
      <c r="D35" s="169"/>
      <c r="E35" s="169"/>
      <c r="F35" s="169"/>
      <c r="G35" s="48" t="s">
        <v>74</v>
      </c>
      <c r="H35" s="48" t="s">
        <v>74</v>
      </c>
      <c r="I35" s="48" t="s">
        <v>74</v>
      </c>
      <c r="J35" s="73">
        <f>SUM(J36:J48)</f>
        <v>0</v>
      </c>
      <c r="K35" s="73">
        <f>SUM(K36:K48)</f>
        <v>0</v>
      </c>
      <c r="L35" s="73">
        <f>SUM(L36:L48)</f>
        <v>0</v>
      </c>
      <c r="M35" s="62"/>
      <c r="N35" s="17"/>
      <c r="AI35" s="66"/>
      <c r="AS35" s="73">
        <f>SUM(AJ36:AJ48)</f>
        <v>0</v>
      </c>
      <c r="AT35" s="73">
        <f>SUM(AK36:AK48)</f>
        <v>0</v>
      </c>
      <c r="AU35" s="73">
        <f>SUM(AL36:AL48)</f>
        <v>0</v>
      </c>
    </row>
    <row r="36" spans="1:64" ht="12.75">
      <c r="A36" s="34" t="s">
        <v>85</v>
      </c>
      <c r="B36" s="42" t="s">
        <v>175</v>
      </c>
      <c r="C36" s="170" t="s">
        <v>289</v>
      </c>
      <c r="D36" s="171"/>
      <c r="E36" s="171"/>
      <c r="F36" s="171"/>
      <c r="G36" s="42" t="s">
        <v>452</v>
      </c>
      <c r="H36" s="50">
        <v>2.1915</v>
      </c>
      <c r="I36" s="50">
        <v>0</v>
      </c>
      <c r="J36" s="50">
        <f>H36*AO36</f>
        <v>0</v>
      </c>
      <c r="K36" s="50">
        <f>H36*AP36</f>
        <v>0</v>
      </c>
      <c r="L36" s="50">
        <f>H36*I36</f>
        <v>0</v>
      </c>
      <c r="M36" s="63" t="s">
        <v>471</v>
      </c>
      <c r="N36" s="17"/>
      <c r="Z36" s="67">
        <f>IF(AQ36="5",BJ36,0)</f>
        <v>0</v>
      </c>
      <c r="AB36" s="67">
        <f>IF(AQ36="1",BH36,0)</f>
        <v>0</v>
      </c>
      <c r="AC36" s="67">
        <f>IF(AQ36="1",BI36,0)</f>
        <v>0</v>
      </c>
      <c r="AD36" s="67">
        <f>IF(AQ36="7",BH36,0)</f>
        <v>0</v>
      </c>
      <c r="AE36" s="67">
        <f>IF(AQ36="7",BI36,0)</f>
        <v>0</v>
      </c>
      <c r="AF36" s="67">
        <f>IF(AQ36="2",BH36,0)</f>
        <v>0</v>
      </c>
      <c r="AG36" s="67">
        <f>IF(AQ36="2",BI36,0)</f>
        <v>0</v>
      </c>
      <c r="AH36" s="67">
        <f>IF(AQ36="0",BJ36,0)</f>
        <v>0</v>
      </c>
      <c r="AI36" s="66"/>
      <c r="AJ36" s="50">
        <f>IF(AN36=0,L36,0)</f>
        <v>0</v>
      </c>
      <c r="AK36" s="50">
        <f>IF(AN36=15,L36,0)</f>
        <v>0</v>
      </c>
      <c r="AL36" s="50">
        <f>IF(AN36=21,L36,0)</f>
        <v>0</v>
      </c>
      <c r="AN36" s="67">
        <v>21</v>
      </c>
      <c r="AO36" s="67">
        <f>I36*0.847089391642971</f>
        <v>0</v>
      </c>
      <c r="AP36" s="67">
        <f>I36*(1-0.847089391642971)</f>
        <v>0</v>
      </c>
      <c r="AQ36" s="68" t="s">
        <v>75</v>
      </c>
      <c r="AV36" s="67">
        <f>AW36+AX36</f>
        <v>0</v>
      </c>
      <c r="AW36" s="67">
        <f>H36*AO36</f>
        <v>0</v>
      </c>
      <c r="AX36" s="67">
        <f>H36*AP36</f>
        <v>0</v>
      </c>
      <c r="AY36" s="70" t="s">
        <v>486</v>
      </c>
      <c r="AZ36" s="70" t="s">
        <v>510</v>
      </c>
      <c r="BA36" s="66" t="s">
        <v>518</v>
      </c>
      <c r="BC36" s="67">
        <f>AW36+AX36</f>
        <v>0</v>
      </c>
      <c r="BD36" s="67">
        <f>I36/(100-BE36)*100</f>
        <v>0</v>
      </c>
      <c r="BE36" s="67">
        <v>0</v>
      </c>
      <c r="BF36" s="67">
        <f>36</f>
        <v>36</v>
      </c>
      <c r="BH36" s="50">
        <f>H36*AO36</f>
        <v>0</v>
      </c>
      <c r="BI36" s="50">
        <f>H36*AP36</f>
        <v>0</v>
      </c>
      <c r="BJ36" s="50">
        <f>H36*I36</f>
        <v>0</v>
      </c>
      <c r="BK36" s="50" t="s">
        <v>523</v>
      </c>
      <c r="BL36" s="67">
        <v>31</v>
      </c>
    </row>
    <row r="37" spans="1:14" ht="12.75">
      <c r="A37" s="17"/>
      <c r="C37" s="45" t="s">
        <v>290</v>
      </c>
      <c r="F37" s="46"/>
      <c r="H37" s="51">
        <v>0</v>
      </c>
      <c r="M37" s="16"/>
      <c r="N37" s="17"/>
    </row>
    <row r="38" spans="1:14" ht="12.75">
      <c r="A38" s="17"/>
      <c r="C38" s="45" t="s">
        <v>291</v>
      </c>
      <c r="F38" s="46"/>
      <c r="H38" s="51">
        <v>2.0475</v>
      </c>
      <c r="M38" s="16"/>
      <c r="N38" s="17"/>
    </row>
    <row r="39" spans="1:14" ht="12.75">
      <c r="A39" s="17"/>
      <c r="C39" s="45" t="s">
        <v>292</v>
      </c>
      <c r="F39" s="46"/>
      <c r="H39" s="51">
        <v>0</v>
      </c>
      <c r="M39" s="16"/>
      <c r="N39" s="17"/>
    </row>
    <row r="40" spans="1:14" ht="12.75">
      <c r="A40" s="17"/>
      <c r="C40" s="45" t="s">
        <v>293</v>
      </c>
      <c r="F40" s="46"/>
      <c r="H40" s="51">
        <v>0.144</v>
      </c>
      <c r="M40" s="16"/>
      <c r="N40" s="17"/>
    </row>
    <row r="41" spans="1:64" ht="12.75">
      <c r="A41" s="34" t="s">
        <v>86</v>
      </c>
      <c r="B41" s="42" t="s">
        <v>176</v>
      </c>
      <c r="C41" s="170" t="s">
        <v>294</v>
      </c>
      <c r="D41" s="171"/>
      <c r="E41" s="171"/>
      <c r="F41" s="171"/>
      <c r="G41" s="42" t="s">
        <v>451</v>
      </c>
      <c r="H41" s="50">
        <v>17.82</v>
      </c>
      <c r="I41" s="50">
        <v>0</v>
      </c>
      <c r="J41" s="50">
        <f>H41*AO41</f>
        <v>0</v>
      </c>
      <c r="K41" s="50">
        <f>H41*AP41</f>
        <v>0</v>
      </c>
      <c r="L41" s="50">
        <f>H41*I41</f>
        <v>0</v>
      </c>
      <c r="M41" s="63" t="s">
        <v>471</v>
      </c>
      <c r="N41" s="17"/>
      <c r="Z41" s="67">
        <f>IF(AQ41="5",BJ41,0)</f>
        <v>0</v>
      </c>
      <c r="AB41" s="67">
        <f>IF(AQ41="1",BH41,0)</f>
        <v>0</v>
      </c>
      <c r="AC41" s="67">
        <f>IF(AQ41="1",BI41,0)</f>
        <v>0</v>
      </c>
      <c r="AD41" s="67">
        <f>IF(AQ41="7",BH41,0)</f>
        <v>0</v>
      </c>
      <c r="AE41" s="67">
        <f>IF(AQ41="7",BI41,0)</f>
        <v>0</v>
      </c>
      <c r="AF41" s="67">
        <f>IF(AQ41="2",BH41,0)</f>
        <v>0</v>
      </c>
      <c r="AG41" s="67">
        <f>IF(AQ41="2",BI41,0)</f>
        <v>0</v>
      </c>
      <c r="AH41" s="67">
        <f>IF(AQ41="0",BJ41,0)</f>
        <v>0</v>
      </c>
      <c r="AI41" s="66"/>
      <c r="AJ41" s="50">
        <f>IF(AN41=0,L41,0)</f>
        <v>0</v>
      </c>
      <c r="AK41" s="50">
        <f>IF(AN41=15,L41,0)</f>
        <v>0</v>
      </c>
      <c r="AL41" s="50">
        <f>IF(AN41=21,L41,0)</f>
        <v>0</v>
      </c>
      <c r="AN41" s="67">
        <v>21</v>
      </c>
      <c r="AO41" s="67">
        <f>I41*0.388028720626632</f>
        <v>0</v>
      </c>
      <c r="AP41" s="67">
        <f>I41*(1-0.388028720626632)</f>
        <v>0</v>
      </c>
      <c r="AQ41" s="68" t="s">
        <v>75</v>
      </c>
      <c r="AV41" s="67">
        <f>AW41+AX41</f>
        <v>0</v>
      </c>
      <c r="AW41" s="67">
        <f>H41*AO41</f>
        <v>0</v>
      </c>
      <c r="AX41" s="67">
        <f>H41*AP41</f>
        <v>0</v>
      </c>
      <c r="AY41" s="70" t="s">
        <v>486</v>
      </c>
      <c r="AZ41" s="70" t="s">
        <v>510</v>
      </c>
      <c r="BA41" s="66" t="s">
        <v>518</v>
      </c>
      <c r="BC41" s="67">
        <f>AW41+AX41</f>
        <v>0</v>
      </c>
      <c r="BD41" s="67">
        <f>I41/(100-BE41)*100</f>
        <v>0</v>
      </c>
      <c r="BE41" s="67">
        <v>0</v>
      </c>
      <c r="BF41" s="67">
        <f>41</f>
        <v>41</v>
      </c>
      <c r="BH41" s="50">
        <f>H41*AO41</f>
        <v>0</v>
      </c>
      <c r="BI41" s="50">
        <f>H41*AP41</f>
        <v>0</v>
      </c>
      <c r="BJ41" s="50">
        <f>H41*I41</f>
        <v>0</v>
      </c>
      <c r="BK41" s="50" t="s">
        <v>523</v>
      </c>
      <c r="BL41" s="67">
        <v>31</v>
      </c>
    </row>
    <row r="42" spans="1:14" ht="12.75">
      <c r="A42" s="17"/>
      <c r="C42" s="45" t="s">
        <v>295</v>
      </c>
      <c r="F42" s="46"/>
      <c r="H42" s="51">
        <v>16.38</v>
      </c>
      <c r="M42" s="16"/>
      <c r="N42" s="17"/>
    </row>
    <row r="43" spans="1:14" ht="12.75">
      <c r="A43" s="17"/>
      <c r="C43" s="45" t="s">
        <v>296</v>
      </c>
      <c r="F43" s="46"/>
      <c r="H43" s="51">
        <v>1.44</v>
      </c>
      <c r="M43" s="16"/>
      <c r="N43" s="17"/>
    </row>
    <row r="44" spans="1:64" ht="12.75">
      <c r="A44" s="34" t="s">
        <v>87</v>
      </c>
      <c r="B44" s="42" t="s">
        <v>177</v>
      </c>
      <c r="C44" s="170" t="s">
        <v>297</v>
      </c>
      <c r="D44" s="171"/>
      <c r="E44" s="171"/>
      <c r="F44" s="171"/>
      <c r="G44" s="42" t="s">
        <v>451</v>
      </c>
      <c r="H44" s="50">
        <v>17.82</v>
      </c>
      <c r="I44" s="50">
        <v>0</v>
      </c>
      <c r="J44" s="50">
        <f>H44*AO44</f>
        <v>0</v>
      </c>
      <c r="K44" s="50">
        <f>H44*AP44</f>
        <v>0</v>
      </c>
      <c r="L44" s="50">
        <f>H44*I44</f>
        <v>0</v>
      </c>
      <c r="M44" s="63" t="s">
        <v>471</v>
      </c>
      <c r="N44" s="17"/>
      <c r="Z44" s="67">
        <f>IF(AQ44="5",BJ44,0)</f>
        <v>0</v>
      </c>
      <c r="AB44" s="67">
        <f>IF(AQ44="1",BH44,0)</f>
        <v>0</v>
      </c>
      <c r="AC44" s="67">
        <f>IF(AQ44="1",BI44,0)</f>
        <v>0</v>
      </c>
      <c r="AD44" s="67">
        <f>IF(AQ44="7",BH44,0)</f>
        <v>0</v>
      </c>
      <c r="AE44" s="67">
        <f>IF(AQ44="7",BI44,0)</f>
        <v>0</v>
      </c>
      <c r="AF44" s="67">
        <f>IF(AQ44="2",BH44,0)</f>
        <v>0</v>
      </c>
      <c r="AG44" s="67">
        <f>IF(AQ44="2",BI44,0)</f>
        <v>0</v>
      </c>
      <c r="AH44" s="67">
        <f>IF(AQ44="0",BJ44,0)</f>
        <v>0</v>
      </c>
      <c r="AI44" s="66"/>
      <c r="AJ44" s="50">
        <f>IF(AN44=0,L44,0)</f>
        <v>0</v>
      </c>
      <c r="AK44" s="50">
        <f>IF(AN44=15,L44,0)</f>
        <v>0</v>
      </c>
      <c r="AL44" s="50">
        <f>IF(AN44=21,L44,0)</f>
        <v>0</v>
      </c>
      <c r="AN44" s="67">
        <v>21</v>
      </c>
      <c r="AO44" s="67">
        <f>I44*0</f>
        <v>0</v>
      </c>
      <c r="AP44" s="67">
        <f>I44*(1-0)</f>
        <v>0</v>
      </c>
      <c r="AQ44" s="68" t="s">
        <v>75</v>
      </c>
      <c r="AV44" s="67">
        <f>AW44+AX44</f>
        <v>0</v>
      </c>
      <c r="AW44" s="67">
        <f>H44*AO44</f>
        <v>0</v>
      </c>
      <c r="AX44" s="67">
        <f>H44*AP44</f>
        <v>0</v>
      </c>
      <c r="AY44" s="70" t="s">
        <v>486</v>
      </c>
      <c r="AZ44" s="70" t="s">
        <v>510</v>
      </c>
      <c r="BA44" s="66" t="s">
        <v>518</v>
      </c>
      <c r="BC44" s="67">
        <f>AW44+AX44</f>
        <v>0</v>
      </c>
      <c r="BD44" s="67">
        <f>I44/(100-BE44)*100</f>
        <v>0</v>
      </c>
      <c r="BE44" s="67">
        <v>0</v>
      </c>
      <c r="BF44" s="67">
        <f>44</f>
        <v>44</v>
      </c>
      <c r="BH44" s="50">
        <f>H44*AO44</f>
        <v>0</v>
      </c>
      <c r="BI44" s="50">
        <f>H44*AP44</f>
        <v>0</v>
      </c>
      <c r="BJ44" s="50">
        <f>H44*I44</f>
        <v>0</v>
      </c>
      <c r="BK44" s="50" t="s">
        <v>523</v>
      </c>
      <c r="BL44" s="67">
        <v>31</v>
      </c>
    </row>
    <row r="45" spans="1:64" ht="12.75">
      <c r="A45" s="79" t="s">
        <v>88</v>
      </c>
      <c r="B45" s="79" t="s">
        <v>178</v>
      </c>
      <c r="C45" s="172" t="s">
        <v>298</v>
      </c>
      <c r="D45" s="171"/>
      <c r="E45" s="171"/>
      <c r="F45" s="173"/>
      <c r="G45" s="79" t="s">
        <v>454</v>
      </c>
      <c r="H45" s="85">
        <v>0.04182</v>
      </c>
      <c r="I45" s="85">
        <v>0</v>
      </c>
      <c r="J45" s="85">
        <f>H45*AO45</f>
        <v>0</v>
      </c>
      <c r="K45" s="85">
        <f>H45*AP45</f>
        <v>0</v>
      </c>
      <c r="L45" s="85">
        <f>H45*I45</f>
        <v>0</v>
      </c>
      <c r="M45" s="75" t="s">
        <v>471</v>
      </c>
      <c r="N45" s="76"/>
      <c r="Z45" s="67">
        <f>IF(AQ45="5",BJ45,0)</f>
        <v>0</v>
      </c>
      <c r="AB45" s="67">
        <f>IF(AQ45="1",BH45,0)</f>
        <v>0</v>
      </c>
      <c r="AC45" s="67">
        <f>IF(AQ45="1",BI45,0)</f>
        <v>0</v>
      </c>
      <c r="AD45" s="67">
        <f>IF(AQ45="7",BH45,0)</f>
        <v>0</v>
      </c>
      <c r="AE45" s="67">
        <f>IF(AQ45="7",BI45,0)</f>
        <v>0</v>
      </c>
      <c r="AF45" s="67">
        <f>IF(AQ45="2",BH45,0)</f>
        <v>0</v>
      </c>
      <c r="AG45" s="67">
        <f>IF(AQ45="2",BI45,0)</f>
        <v>0</v>
      </c>
      <c r="AH45" s="67">
        <f>IF(AQ45="0",BJ45,0)</f>
        <v>0</v>
      </c>
      <c r="AI45" s="66"/>
      <c r="AJ45" s="50">
        <f>IF(AN45=0,L45,0)</f>
        <v>0</v>
      </c>
      <c r="AK45" s="50">
        <f>IF(AN45=15,L45,0)</f>
        <v>0</v>
      </c>
      <c r="AL45" s="50">
        <f>IF(AN45=21,L45,0)</f>
        <v>0</v>
      </c>
      <c r="AN45" s="67">
        <v>21</v>
      </c>
      <c r="AO45" s="67">
        <f>I45*0.877539339082635</f>
        <v>0</v>
      </c>
      <c r="AP45" s="67">
        <f>I45*(1-0.877539339082635)</f>
        <v>0</v>
      </c>
      <c r="AQ45" s="68" t="s">
        <v>75</v>
      </c>
      <c r="AV45" s="67">
        <f>AW45+AX45</f>
        <v>0</v>
      </c>
      <c r="AW45" s="67">
        <f>H45*AO45</f>
        <v>0</v>
      </c>
      <c r="AX45" s="67">
        <f>H45*AP45</f>
        <v>0</v>
      </c>
      <c r="AY45" s="70" t="s">
        <v>486</v>
      </c>
      <c r="AZ45" s="70" t="s">
        <v>510</v>
      </c>
      <c r="BA45" s="66" t="s">
        <v>518</v>
      </c>
      <c r="BC45" s="67">
        <f>AW45+AX45</f>
        <v>0</v>
      </c>
      <c r="BD45" s="67">
        <f>I45/(100-BE45)*100</f>
        <v>0</v>
      </c>
      <c r="BE45" s="67">
        <v>0</v>
      </c>
      <c r="BF45" s="67">
        <f>45</f>
        <v>45</v>
      </c>
      <c r="BH45" s="50">
        <f>H45*AO45</f>
        <v>0</v>
      </c>
      <c r="BI45" s="50">
        <f>H45*AP45</f>
        <v>0</v>
      </c>
      <c r="BJ45" s="50">
        <f>H45*I45</f>
        <v>0</v>
      </c>
      <c r="BK45" s="50" t="s">
        <v>523</v>
      </c>
      <c r="BL45" s="67">
        <v>31</v>
      </c>
    </row>
    <row r="46" spans="1:14" ht="12.75">
      <c r="A46" s="87"/>
      <c r="B46" s="88"/>
      <c r="C46" s="81" t="s">
        <v>299</v>
      </c>
      <c r="F46" s="89"/>
      <c r="G46" s="88"/>
      <c r="H46" s="90">
        <v>0</v>
      </c>
      <c r="I46" s="88"/>
      <c r="J46" s="88"/>
      <c r="K46" s="88"/>
      <c r="L46" s="88"/>
      <c r="M46" s="77"/>
      <c r="N46" s="76"/>
    </row>
    <row r="47" spans="1:14" ht="12.75">
      <c r="A47" s="80"/>
      <c r="B47" s="83"/>
      <c r="C47" s="82" t="s">
        <v>300</v>
      </c>
      <c r="F47" s="84"/>
      <c r="G47" s="83"/>
      <c r="H47" s="86">
        <v>0.04182</v>
      </c>
      <c r="I47" s="83"/>
      <c r="J47" s="83"/>
      <c r="K47" s="83"/>
      <c r="L47" s="83"/>
      <c r="M47" s="78"/>
      <c r="N47" s="76"/>
    </row>
    <row r="48" spans="1:64" ht="12.75">
      <c r="A48" s="34" t="s">
        <v>89</v>
      </c>
      <c r="B48" s="42" t="s">
        <v>179</v>
      </c>
      <c r="C48" s="170" t="s">
        <v>301</v>
      </c>
      <c r="D48" s="171"/>
      <c r="E48" s="171"/>
      <c r="F48" s="171"/>
      <c r="G48" s="42" t="s">
        <v>453</v>
      </c>
      <c r="H48" s="50">
        <v>2</v>
      </c>
      <c r="I48" s="50">
        <v>0</v>
      </c>
      <c r="J48" s="50">
        <f>H48*AO48</f>
        <v>0</v>
      </c>
      <c r="K48" s="50">
        <f>H48*AP48</f>
        <v>0</v>
      </c>
      <c r="L48" s="50">
        <f>H48*I48</f>
        <v>0</v>
      </c>
      <c r="M48" s="63" t="s">
        <v>471</v>
      </c>
      <c r="N48" s="17"/>
      <c r="Z48" s="67">
        <f>IF(AQ48="5",BJ48,0)</f>
        <v>0</v>
      </c>
      <c r="AB48" s="67">
        <f>IF(AQ48="1",BH48,0)</f>
        <v>0</v>
      </c>
      <c r="AC48" s="67">
        <f>IF(AQ48="1",BI48,0)</f>
        <v>0</v>
      </c>
      <c r="AD48" s="67">
        <f>IF(AQ48="7",BH48,0)</f>
        <v>0</v>
      </c>
      <c r="AE48" s="67">
        <f>IF(AQ48="7",BI48,0)</f>
        <v>0</v>
      </c>
      <c r="AF48" s="67">
        <f>IF(AQ48="2",BH48,0)</f>
        <v>0</v>
      </c>
      <c r="AG48" s="67">
        <f>IF(AQ48="2",BI48,0)</f>
        <v>0</v>
      </c>
      <c r="AH48" s="67">
        <f>IF(AQ48="0",BJ48,0)</f>
        <v>0</v>
      </c>
      <c r="AI48" s="66"/>
      <c r="AJ48" s="50">
        <f>IF(AN48=0,L48,0)</f>
        <v>0</v>
      </c>
      <c r="AK48" s="50">
        <f>IF(AN48=15,L48,0)</f>
        <v>0</v>
      </c>
      <c r="AL48" s="50">
        <f>IF(AN48=21,L48,0)</f>
        <v>0</v>
      </c>
      <c r="AN48" s="67">
        <v>21</v>
      </c>
      <c r="AO48" s="67">
        <f>I48*0.566107904849795</f>
        <v>0</v>
      </c>
      <c r="AP48" s="67">
        <f>I48*(1-0.566107904849795)</f>
        <v>0</v>
      </c>
      <c r="AQ48" s="68" t="s">
        <v>75</v>
      </c>
      <c r="AV48" s="67">
        <f>AW48+AX48</f>
        <v>0</v>
      </c>
      <c r="AW48" s="67">
        <f>H48*AO48</f>
        <v>0</v>
      </c>
      <c r="AX48" s="67">
        <f>H48*AP48</f>
        <v>0</v>
      </c>
      <c r="AY48" s="70" t="s">
        <v>486</v>
      </c>
      <c r="AZ48" s="70" t="s">
        <v>510</v>
      </c>
      <c r="BA48" s="66" t="s">
        <v>518</v>
      </c>
      <c r="BC48" s="67">
        <f>AW48+AX48</f>
        <v>0</v>
      </c>
      <c r="BD48" s="67">
        <f>I48/(100-BE48)*100</f>
        <v>0</v>
      </c>
      <c r="BE48" s="67">
        <v>0</v>
      </c>
      <c r="BF48" s="67">
        <f>48</f>
        <v>48</v>
      </c>
      <c r="BH48" s="50">
        <f>H48*AO48</f>
        <v>0</v>
      </c>
      <c r="BI48" s="50">
        <f>H48*AP48</f>
        <v>0</v>
      </c>
      <c r="BJ48" s="50">
        <f>H48*I48</f>
        <v>0</v>
      </c>
      <c r="BK48" s="50" t="s">
        <v>523</v>
      </c>
      <c r="BL48" s="67">
        <v>31</v>
      </c>
    </row>
    <row r="49" spans="1:47" ht="12.75">
      <c r="A49" s="33"/>
      <c r="B49" s="41" t="s">
        <v>115</v>
      </c>
      <c r="C49" s="168" t="s">
        <v>302</v>
      </c>
      <c r="D49" s="169"/>
      <c r="E49" s="169"/>
      <c r="F49" s="169"/>
      <c r="G49" s="48" t="s">
        <v>74</v>
      </c>
      <c r="H49" s="48" t="s">
        <v>74</v>
      </c>
      <c r="I49" s="48" t="s">
        <v>74</v>
      </c>
      <c r="J49" s="73">
        <f>SUM(J50:J50)</f>
        <v>0</v>
      </c>
      <c r="K49" s="73">
        <f>SUM(K50:K50)</f>
        <v>0</v>
      </c>
      <c r="L49" s="73">
        <f>SUM(L50:L50)</f>
        <v>0</v>
      </c>
      <c r="M49" s="62"/>
      <c r="N49" s="17"/>
      <c r="AI49" s="66"/>
      <c r="AS49" s="73">
        <f>SUM(AJ50:AJ50)</f>
        <v>0</v>
      </c>
      <c r="AT49" s="73">
        <f>SUM(AK50:AK50)</f>
        <v>0</v>
      </c>
      <c r="AU49" s="73">
        <f>SUM(AL50:AL50)</f>
        <v>0</v>
      </c>
    </row>
    <row r="50" spans="1:64" ht="12.75">
      <c r="A50" s="34" t="s">
        <v>90</v>
      </c>
      <c r="B50" s="42" t="s">
        <v>180</v>
      </c>
      <c r="C50" s="170" t="s">
        <v>303</v>
      </c>
      <c r="D50" s="171"/>
      <c r="E50" s="171"/>
      <c r="F50" s="171"/>
      <c r="G50" s="42" t="s">
        <v>453</v>
      </c>
      <c r="H50" s="50">
        <v>17</v>
      </c>
      <c r="I50" s="50">
        <v>0</v>
      </c>
      <c r="J50" s="50">
        <f>H50*AO50</f>
        <v>0</v>
      </c>
      <c r="K50" s="50">
        <f>H50*AP50</f>
        <v>0</v>
      </c>
      <c r="L50" s="50">
        <f>H50*I50</f>
        <v>0</v>
      </c>
      <c r="M50" s="63" t="s">
        <v>471</v>
      </c>
      <c r="N50" s="17"/>
      <c r="Z50" s="67">
        <f>IF(AQ50="5",BJ50,0)</f>
        <v>0</v>
      </c>
      <c r="AB50" s="67">
        <f>IF(AQ50="1",BH50,0)</f>
        <v>0</v>
      </c>
      <c r="AC50" s="67">
        <f>IF(AQ50="1",BI50,0)</f>
        <v>0</v>
      </c>
      <c r="AD50" s="67">
        <f>IF(AQ50="7",BH50,0)</f>
        <v>0</v>
      </c>
      <c r="AE50" s="67">
        <f>IF(AQ50="7",BI50,0)</f>
        <v>0</v>
      </c>
      <c r="AF50" s="67">
        <f>IF(AQ50="2",BH50,0)</f>
        <v>0</v>
      </c>
      <c r="AG50" s="67">
        <f>IF(AQ50="2",BI50,0)</f>
        <v>0</v>
      </c>
      <c r="AH50" s="67">
        <f>IF(AQ50="0",BJ50,0)</f>
        <v>0</v>
      </c>
      <c r="AI50" s="66"/>
      <c r="AJ50" s="50">
        <f>IF(AN50=0,L50,0)</f>
        <v>0</v>
      </c>
      <c r="AK50" s="50">
        <f>IF(AN50=15,L50,0)</f>
        <v>0</v>
      </c>
      <c r="AL50" s="50">
        <f>IF(AN50=21,L50,0)</f>
        <v>0</v>
      </c>
      <c r="AN50" s="67">
        <v>21</v>
      </c>
      <c r="AO50" s="67">
        <f>I50*0.44404295383989</f>
        <v>0</v>
      </c>
      <c r="AP50" s="67">
        <f>I50*(1-0.44404295383989)</f>
        <v>0</v>
      </c>
      <c r="AQ50" s="68" t="s">
        <v>75</v>
      </c>
      <c r="AV50" s="67">
        <f>AW50+AX50</f>
        <v>0</v>
      </c>
      <c r="AW50" s="67">
        <f>H50*AO50</f>
        <v>0</v>
      </c>
      <c r="AX50" s="67">
        <f>H50*AP50</f>
        <v>0</v>
      </c>
      <c r="AY50" s="70" t="s">
        <v>487</v>
      </c>
      <c r="AZ50" s="70" t="s">
        <v>511</v>
      </c>
      <c r="BA50" s="66" t="s">
        <v>518</v>
      </c>
      <c r="BC50" s="67">
        <f>AW50+AX50</f>
        <v>0</v>
      </c>
      <c r="BD50" s="67">
        <f>I50/(100-BE50)*100</f>
        <v>0</v>
      </c>
      <c r="BE50" s="67">
        <v>0</v>
      </c>
      <c r="BF50" s="67">
        <f>50</f>
        <v>50</v>
      </c>
      <c r="BH50" s="50">
        <f>H50*AO50</f>
        <v>0</v>
      </c>
      <c r="BI50" s="50">
        <f>H50*AP50</f>
        <v>0</v>
      </c>
      <c r="BJ50" s="50">
        <f>H50*I50</f>
        <v>0</v>
      </c>
      <c r="BK50" s="50" t="s">
        <v>523</v>
      </c>
      <c r="BL50" s="67">
        <v>41</v>
      </c>
    </row>
    <row r="51" spans="1:14" ht="12.75">
      <c r="A51" s="17"/>
      <c r="C51" s="45" t="s">
        <v>304</v>
      </c>
      <c r="F51" s="46"/>
      <c r="H51" s="51">
        <v>0</v>
      </c>
      <c r="M51" s="16"/>
      <c r="N51" s="17"/>
    </row>
    <row r="52" spans="1:14" ht="12.75">
      <c r="A52" s="17"/>
      <c r="C52" s="45" t="s">
        <v>76</v>
      </c>
      <c r="F52" s="46"/>
      <c r="H52" s="51">
        <v>2</v>
      </c>
      <c r="M52" s="16"/>
      <c r="N52" s="17"/>
    </row>
    <row r="53" spans="1:14" ht="12.75">
      <c r="A53" s="17"/>
      <c r="C53" s="45" t="s">
        <v>305</v>
      </c>
      <c r="F53" s="46"/>
      <c r="H53" s="51">
        <v>0</v>
      </c>
      <c r="M53" s="16"/>
      <c r="N53" s="17"/>
    </row>
    <row r="54" spans="1:14" ht="12.75">
      <c r="A54" s="17"/>
      <c r="C54" s="45" t="s">
        <v>89</v>
      </c>
      <c r="F54" s="46"/>
      <c r="H54" s="51">
        <v>15</v>
      </c>
      <c r="M54" s="16"/>
      <c r="N54" s="17"/>
    </row>
    <row r="55" spans="1:47" ht="12.75">
      <c r="A55" s="33"/>
      <c r="B55" s="41" t="s">
        <v>117</v>
      </c>
      <c r="C55" s="168" t="s">
        <v>306</v>
      </c>
      <c r="D55" s="169"/>
      <c r="E55" s="169"/>
      <c r="F55" s="169"/>
      <c r="G55" s="48" t="s">
        <v>74</v>
      </c>
      <c r="H55" s="48" t="s">
        <v>74</v>
      </c>
      <c r="I55" s="48" t="s">
        <v>74</v>
      </c>
      <c r="J55" s="73">
        <f>SUM(J56:J58)</f>
        <v>0</v>
      </c>
      <c r="K55" s="73">
        <f>SUM(K56:K58)</f>
        <v>0</v>
      </c>
      <c r="L55" s="73">
        <f>SUM(L56:L58)</f>
        <v>0</v>
      </c>
      <c r="M55" s="62"/>
      <c r="N55" s="17"/>
      <c r="AI55" s="66"/>
      <c r="AS55" s="73">
        <f>SUM(AJ56:AJ58)</f>
        <v>0</v>
      </c>
      <c r="AT55" s="73">
        <f>SUM(AK56:AK58)</f>
        <v>0</v>
      </c>
      <c r="AU55" s="73">
        <f>SUM(AL56:AL58)</f>
        <v>0</v>
      </c>
    </row>
    <row r="56" spans="1:64" ht="12.75">
      <c r="A56" s="34" t="s">
        <v>91</v>
      </c>
      <c r="B56" s="42" t="s">
        <v>181</v>
      </c>
      <c r="C56" s="170" t="s">
        <v>307</v>
      </c>
      <c r="D56" s="171"/>
      <c r="E56" s="171"/>
      <c r="F56" s="171"/>
      <c r="G56" s="42" t="s">
        <v>453</v>
      </c>
      <c r="H56" s="50">
        <v>2</v>
      </c>
      <c r="I56" s="50">
        <v>0</v>
      </c>
      <c r="J56" s="50">
        <f>H56*AO56</f>
        <v>0</v>
      </c>
      <c r="K56" s="50">
        <f>H56*AP56</f>
        <v>0</v>
      </c>
      <c r="L56" s="50">
        <f>H56*I56</f>
        <v>0</v>
      </c>
      <c r="M56" s="63" t="s">
        <v>471</v>
      </c>
      <c r="N56" s="17"/>
      <c r="Z56" s="67">
        <f>IF(AQ56="5",BJ56,0)</f>
        <v>0</v>
      </c>
      <c r="AB56" s="67">
        <f>IF(AQ56="1",BH56,0)</f>
        <v>0</v>
      </c>
      <c r="AC56" s="67">
        <f>IF(AQ56="1",BI56,0)</f>
        <v>0</v>
      </c>
      <c r="AD56" s="67">
        <f>IF(AQ56="7",BH56,0)</f>
        <v>0</v>
      </c>
      <c r="AE56" s="67">
        <f>IF(AQ56="7",BI56,0)</f>
        <v>0</v>
      </c>
      <c r="AF56" s="67">
        <f>IF(AQ56="2",BH56,0)</f>
        <v>0</v>
      </c>
      <c r="AG56" s="67">
        <f>IF(AQ56="2",BI56,0)</f>
        <v>0</v>
      </c>
      <c r="AH56" s="67">
        <f>IF(AQ56="0",BJ56,0)</f>
        <v>0</v>
      </c>
      <c r="AI56" s="66"/>
      <c r="AJ56" s="50">
        <f>IF(AN56=0,L56,0)</f>
        <v>0</v>
      </c>
      <c r="AK56" s="50">
        <f>IF(AN56=15,L56,0)</f>
        <v>0</v>
      </c>
      <c r="AL56" s="50">
        <f>IF(AN56=21,L56,0)</f>
        <v>0</v>
      </c>
      <c r="AN56" s="67">
        <v>21</v>
      </c>
      <c r="AO56" s="67">
        <f>I56*0.0490680902019214</f>
        <v>0</v>
      </c>
      <c r="AP56" s="67">
        <f>I56*(1-0.0490680902019214)</f>
        <v>0</v>
      </c>
      <c r="AQ56" s="68" t="s">
        <v>75</v>
      </c>
      <c r="AV56" s="67">
        <f>AW56+AX56</f>
        <v>0</v>
      </c>
      <c r="AW56" s="67">
        <f>H56*AO56</f>
        <v>0</v>
      </c>
      <c r="AX56" s="67">
        <f>H56*AP56</f>
        <v>0</v>
      </c>
      <c r="AY56" s="70" t="s">
        <v>488</v>
      </c>
      <c r="AZ56" s="70" t="s">
        <v>511</v>
      </c>
      <c r="BA56" s="66" t="s">
        <v>518</v>
      </c>
      <c r="BC56" s="67">
        <f>AW56+AX56</f>
        <v>0</v>
      </c>
      <c r="BD56" s="67">
        <f>I56/(100-BE56)*100</f>
        <v>0</v>
      </c>
      <c r="BE56" s="67">
        <v>0</v>
      </c>
      <c r="BF56" s="67">
        <f>56</f>
        <v>56</v>
      </c>
      <c r="BH56" s="50">
        <f>H56*AO56</f>
        <v>0</v>
      </c>
      <c r="BI56" s="50">
        <f>H56*AP56</f>
        <v>0</v>
      </c>
      <c r="BJ56" s="50">
        <f>H56*I56</f>
        <v>0</v>
      </c>
      <c r="BK56" s="50" t="s">
        <v>523</v>
      </c>
      <c r="BL56" s="67">
        <v>43</v>
      </c>
    </row>
    <row r="57" spans="1:64" ht="12.75">
      <c r="A57" s="35" t="s">
        <v>92</v>
      </c>
      <c r="B57" s="43" t="s">
        <v>166</v>
      </c>
      <c r="C57" s="174" t="s">
        <v>308</v>
      </c>
      <c r="D57" s="175"/>
      <c r="E57" s="175"/>
      <c r="F57" s="175"/>
      <c r="G57" s="43" t="s">
        <v>453</v>
      </c>
      <c r="H57" s="52">
        <v>1</v>
      </c>
      <c r="I57" s="52">
        <v>0</v>
      </c>
      <c r="J57" s="52">
        <f>H57*AO57</f>
        <v>0</v>
      </c>
      <c r="K57" s="52">
        <f>H57*AP57</f>
        <v>0</v>
      </c>
      <c r="L57" s="52">
        <f>H57*I57</f>
        <v>0</v>
      </c>
      <c r="M57" s="64" t="s">
        <v>166</v>
      </c>
      <c r="N57" s="17"/>
      <c r="Z57" s="67">
        <f>IF(AQ57="5",BJ57,0)</f>
        <v>0</v>
      </c>
      <c r="AB57" s="67">
        <f>IF(AQ57="1",BH57,0)</f>
        <v>0</v>
      </c>
      <c r="AC57" s="67">
        <f>IF(AQ57="1",BI57,0)</f>
        <v>0</v>
      </c>
      <c r="AD57" s="67">
        <f>IF(AQ57="7",BH57,0)</f>
        <v>0</v>
      </c>
      <c r="AE57" s="67">
        <f>IF(AQ57="7",BI57,0)</f>
        <v>0</v>
      </c>
      <c r="AF57" s="67">
        <f>IF(AQ57="2",BH57,0)</f>
        <v>0</v>
      </c>
      <c r="AG57" s="67">
        <f>IF(AQ57="2",BI57,0)</f>
        <v>0</v>
      </c>
      <c r="AH57" s="67">
        <f>IF(AQ57="0",BJ57,0)</f>
        <v>0</v>
      </c>
      <c r="AI57" s="66"/>
      <c r="AJ57" s="52">
        <f>IF(AN57=0,L57,0)</f>
        <v>0</v>
      </c>
      <c r="AK57" s="52">
        <f>IF(AN57=15,L57,0)</f>
        <v>0</v>
      </c>
      <c r="AL57" s="52">
        <f>IF(AN57=21,L57,0)</f>
        <v>0</v>
      </c>
      <c r="AN57" s="67">
        <v>21</v>
      </c>
      <c r="AO57" s="67">
        <f>I57*1</f>
        <v>0</v>
      </c>
      <c r="AP57" s="67">
        <f>I57*(1-1)</f>
        <v>0</v>
      </c>
      <c r="AQ57" s="69" t="s">
        <v>75</v>
      </c>
      <c r="AV57" s="67">
        <f>AW57+AX57</f>
        <v>0</v>
      </c>
      <c r="AW57" s="67">
        <f>H57*AO57</f>
        <v>0</v>
      </c>
      <c r="AX57" s="67">
        <f>H57*AP57</f>
        <v>0</v>
      </c>
      <c r="AY57" s="70" t="s">
        <v>488</v>
      </c>
      <c r="AZ57" s="70" t="s">
        <v>511</v>
      </c>
      <c r="BA57" s="66" t="s">
        <v>518</v>
      </c>
      <c r="BC57" s="67">
        <f>AW57+AX57</f>
        <v>0</v>
      </c>
      <c r="BD57" s="67">
        <f>I57/(100-BE57)*100</f>
        <v>0</v>
      </c>
      <c r="BE57" s="67">
        <v>0</v>
      </c>
      <c r="BF57" s="67">
        <f>57</f>
        <v>57</v>
      </c>
      <c r="BH57" s="52">
        <f>H57*AO57</f>
        <v>0</v>
      </c>
      <c r="BI57" s="52">
        <f>H57*AP57</f>
        <v>0</v>
      </c>
      <c r="BJ57" s="52">
        <f>H57*I57</f>
        <v>0</v>
      </c>
      <c r="BK57" s="52" t="s">
        <v>524</v>
      </c>
      <c r="BL57" s="67">
        <v>43</v>
      </c>
    </row>
    <row r="58" spans="1:64" ht="12.75">
      <c r="A58" s="35" t="s">
        <v>93</v>
      </c>
      <c r="B58" s="43" t="s">
        <v>166</v>
      </c>
      <c r="C58" s="174" t="s">
        <v>309</v>
      </c>
      <c r="D58" s="175"/>
      <c r="E58" s="175"/>
      <c r="F58" s="175"/>
      <c r="G58" s="43" t="s">
        <v>453</v>
      </c>
      <c r="H58" s="52">
        <v>1</v>
      </c>
      <c r="I58" s="52">
        <v>0</v>
      </c>
      <c r="J58" s="52">
        <f>H58*AO58</f>
        <v>0</v>
      </c>
      <c r="K58" s="52">
        <f>H58*AP58</f>
        <v>0</v>
      </c>
      <c r="L58" s="52">
        <f>H58*I58</f>
        <v>0</v>
      </c>
      <c r="M58" s="64" t="s">
        <v>166</v>
      </c>
      <c r="N58" s="17"/>
      <c r="Z58" s="67">
        <f>IF(AQ58="5",BJ58,0)</f>
        <v>0</v>
      </c>
      <c r="AB58" s="67">
        <f>IF(AQ58="1",BH58,0)</f>
        <v>0</v>
      </c>
      <c r="AC58" s="67">
        <f>IF(AQ58="1",BI58,0)</f>
        <v>0</v>
      </c>
      <c r="AD58" s="67">
        <f>IF(AQ58="7",BH58,0)</f>
        <v>0</v>
      </c>
      <c r="AE58" s="67">
        <f>IF(AQ58="7",BI58,0)</f>
        <v>0</v>
      </c>
      <c r="AF58" s="67">
        <f>IF(AQ58="2",BH58,0)</f>
        <v>0</v>
      </c>
      <c r="AG58" s="67">
        <f>IF(AQ58="2",BI58,0)</f>
        <v>0</v>
      </c>
      <c r="AH58" s="67">
        <f>IF(AQ58="0",BJ58,0)</f>
        <v>0</v>
      </c>
      <c r="AI58" s="66"/>
      <c r="AJ58" s="52">
        <f>IF(AN58=0,L58,0)</f>
        <v>0</v>
      </c>
      <c r="AK58" s="52">
        <f>IF(AN58=15,L58,0)</f>
        <v>0</v>
      </c>
      <c r="AL58" s="52">
        <f>IF(AN58=21,L58,0)</f>
        <v>0</v>
      </c>
      <c r="AN58" s="67">
        <v>21</v>
      </c>
      <c r="AO58" s="67">
        <f>I58*1</f>
        <v>0</v>
      </c>
      <c r="AP58" s="67">
        <f>I58*(1-1)</f>
        <v>0</v>
      </c>
      <c r="AQ58" s="69" t="s">
        <v>75</v>
      </c>
      <c r="AV58" s="67">
        <f>AW58+AX58</f>
        <v>0</v>
      </c>
      <c r="AW58" s="67">
        <f>H58*AO58</f>
        <v>0</v>
      </c>
      <c r="AX58" s="67">
        <f>H58*AP58</f>
        <v>0</v>
      </c>
      <c r="AY58" s="70" t="s">
        <v>488</v>
      </c>
      <c r="AZ58" s="70" t="s">
        <v>511</v>
      </c>
      <c r="BA58" s="66" t="s">
        <v>518</v>
      </c>
      <c r="BC58" s="67">
        <f>AW58+AX58</f>
        <v>0</v>
      </c>
      <c r="BD58" s="67">
        <f>I58/(100-BE58)*100</f>
        <v>0</v>
      </c>
      <c r="BE58" s="67">
        <v>0</v>
      </c>
      <c r="BF58" s="67">
        <f>58</f>
        <v>58</v>
      </c>
      <c r="BH58" s="52">
        <f>H58*AO58</f>
        <v>0</v>
      </c>
      <c r="BI58" s="52">
        <f>H58*AP58</f>
        <v>0</v>
      </c>
      <c r="BJ58" s="52">
        <f>H58*I58</f>
        <v>0</v>
      </c>
      <c r="BK58" s="52" t="s">
        <v>524</v>
      </c>
      <c r="BL58" s="67">
        <v>43</v>
      </c>
    </row>
    <row r="59" spans="1:47" ht="12.75">
      <c r="A59" s="33"/>
      <c r="B59" s="41" t="s">
        <v>119</v>
      </c>
      <c r="C59" s="168" t="s">
        <v>310</v>
      </c>
      <c r="D59" s="169"/>
      <c r="E59" s="169"/>
      <c r="F59" s="169"/>
      <c r="G59" s="48" t="s">
        <v>74</v>
      </c>
      <c r="H59" s="48" t="s">
        <v>74</v>
      </c>
      <c r="I59" s="48" t="s">
        <v>74</v>
      </c>
      <c r="J59" s="73">
        <f>SUM(J60:J60)</f>
        <v>0</v>
      </c>
      <c r="K59" s="73">
        <f>SUM(K60:K60)</f>
        <v>0</v>
      </c>
      <c r="L59" s="73">
        <f>SUM(L60:L60)</f>
        <v>0</v>
      </c>
      <c r="M59" s="62"/>
      <c r="N59" s="17"/>
      <c r="AI59" s="66"/>
      <c r="AS59" s="73">
        <f>SUM(AJ60:AJ60)</f>
        <v>0</v>
      </c>
      <c r="AT59" s="73">
        <f>SUM(AK60:AK60)</f>
        <v>0</v>
      </c>
      <c r="AU59" s="73">
        <f>SUM(AL60:AL60)</f>
        <v>0</v>
      </c>
    </row>
    <row r="60" spans="1:64" ht="12.75">
      <c r="A60" s="34" t="s">
        <v>94</v>
      </c>
      <c r="B60" s="42" t="s">
        <v>182</v>
      </c>
      <c r="C60" s="170" t="s">
        <v>311</v>
      </c>
      <c r="D60" s="171"/>
      <c r="E60" s="171"/>
      <c r="F60" s="171"/>
      <c r="G60" s="42" t="s">
        <v>451</v>
      </c>
      <c r="H60" s="50">
        <v>1</v>
      </c>
      <c r="I60" s="50">
        <v>0</v>
      </c>
      <c r="J60" s="50">
        <f>H60*AO60</f>
        <v>0</v>
      </c>
      <c r="K60" s="50">
        <f>H60*AP60</f>
        <v>0</v>
      </c>
      <c r="L60" s="50">
        <f>H60*I60</f>
        <v>0</v>
      </c>
      <c r="M60" s="63" t="s">
        <v>471</v>
      </c>
      <c r="N60" s="17"/>
      <c r="Z60" s="67">
        <f>IF(AQ60="5",BJ60,0)</f>
        <v>0</v>
      </c>
      <c r="AB60" s="67">
        <f>IF(AQ60="1",BH60,0)</f>
        <v>0</v>
      </c>
      <c r="AC60" s="67">
        <f>IF(AQ60="1",BI60,0)</f>
        <v>0</v>
      </c>
      <c r="AD60" s="67">
        <f>IF(AQ60="7",BH60,0)</f>
        <v>0</v>
      </c>
      <c r="AE60" s="67">
        <f>IF(AQ60="7",BI60,0)</f>
        <v>0</v>
      </c>
      <c r="AF60" s="67">
        <f>IF(AQ60="2",BH60,0)</f>
        <v>0</v>
      </c>
      <c r="AG60" s="67">
        <f>IF(AQ60="2",BI60,0)</f>
        <v>0</v>
      </c>
      <c r="AH60" s="67">
        <f>IF(AQ60="0",BJ60,0)</f>
        <v>0</v>
      </c>
      <c r="AI60" s="66"/>
      <c r="AJ60" s="50">
        <f>IF(AN60=0,L60,0)</f>
        <v>0</v>
      </c>
      <c r="AK60" s="50">
        <f>IF(AN60=15,L60,0)</f>
        <v>0</v>
      </c>
      <c r="AL60" s="50">
        <f>IF(AN60=21,L60,0)</f>
        <v>0</v>
      </c>
      <c r="AN60" s="67">
        <v>21</v>
      </c>
      <c r="AO60" s="67">
        <f>I60*0</f>
        <v>0</v>
      </c>
      <c r="AP60" s="67">
        <f>I60*(1-0)</f>
        <v>0</v>
      </c>
      <c r="AQ60" s="68" t="s">
        <v>75</v>
      </c>
      <c r="AV60" s="67">
        <f>AW60+AX60</f>
        <v>0</v>
      </c>
      <c r="AW60" s="67">
        <f>H60*AO60</f>
        <v>0</v>
      </c>
      <c r="AX60" s="67">
        <f>H60*AP60</f>
        <v>0</v>
      </c>
      <c r="AY60" s="70" t="s">
        <v>489</v>
      </c>
      <c r="AZ60" s="70" t="s">
        <v>511</v>
      </c>
      <c r="BA60" s="66" t="s">
        <v>518</v>
      </c>
      <c r="BC60" s="67">
        <f>AW60+AX60</f>
        <v>0</v>
      </c>
      <c r="BD60" s="67">
        <f>I60/(100-BE60)*100</f>
        <v>0</v>
      </c>
      <c r="BE60" s="67">
        <v>0</v>
      </c>
      <c r="BF60" s="67">
        <f>60</f>
        <v>60</v>
      </c>
      <c r="BH60" s="50">
        <f>H60*AO60</f>
        <v>0</v>
      </c>
      <c r="BI60" s="50">
        <f>H60*AP60</f>
        <v>0</v>
      </c>
      <c r="BJ60" s="50">
        <f>H60*I60</f>
        <v>0</v>
      </c>
      <c r="BK60" s="50" t="s">
        <v>523</v>
      </c>
      <c r="BL60" s="67">
        <v>45</v>
      </c>
    </row>
    <row r="61" spans="1:47" ht="12.75">
      <c r="A61" s="33"/>
      <c r="B61" s="41" t="s">
        <v>130</v>
      </c>
      <c r="C61" s="168" t="s">
        <v>312</v>
      </c>
      <c r="D61" s="169"/>
      <c r="E61" s="169"/>
      <c r="F61" s="169"/>
      <c r="G61" s="48" t="s">
        <v>74</v>
      </c>
      <c r="H61" s="48" t="s">
        <v>74</v>
      </c>
      <c r="I61" s="48" t="s">
        <v>74</v>
      </c>
      <c r="J61" s="73">
        <f>SUM(J62:J66)</f>
        <v>0</v>
      </c>
      <c r="K61" s="73">
        <f>SUM(K62:K66)</f>
        <v>0</v>
      </c>
      <c r="L61" s="73">
        <f>SUM(L62:L66)</f>
        <v>0</v>
      </c>
      <c r="M61" s="62"/>
      <c r="N61" s="17"/>
      <c r="AI61" s="66"/>
      <c r="AS61" s="73">
        <f>SUM(AJ62:AJ66)</f>
        <v>0</v>
      </c>
      <c r="AT61" s="73">
        <f>SUM(AK62:AK66)</f>
        <v>0</v>
      </c>
      <c r="AU61" s="73">
        <f>SUM(AL62:AL66)</f>
        <v>0</v>
      </c>
    </row>
    <row r="62" spans="1:64" ht="12.75">
      <c r="A62" s="34" t="s">
        <v>95</v>
      </c>
      <c r="B62" s="42" t="s">
        <v>183</v>
      </c>
      <c r="C62" s="170" t="s">
        <v>313</v>
      </c>
      <c r="D62" s="171"/>
      <c r="E62" s="171"/>
      <c r="F62" s="171"/>
      <c r="G62" s="42" t="s">
        <v>451</v>
      </c>
      <c r="H62" s="50">
        <v>3.375</v>
      </c>
      <c r="I62" s="50">
        <v>0</v>
      </c>
      <c r="J62" s="50">
        <f>H62*AO62</f>
        <v>0</v>
      </c>
      <c r="K62" s="50">
        <f>H62*AP62</f>
        <v>0</v>
      </c>
      <c r="L62" s="50">
        <f>H62*I62</f>
        <v>0</v>
      </c>
      <c r="M62" s="63" t="s">
        <v>471</v>
      </c>
      <c r="N62" s="17"/>
      <c r="Z62" s="67">
        <f>IF(AQ62="5",BJ62,0)</f>
        <v>0</v>
      </c>
      <c r="AB62" s="67">
        <f>IF(AQ62="1",BH62,0)</f>
        <v>0</v>
      </c>
      <c r="AC62" s="67">
        <f>IF(AQ62="1",BI62,0)</f>
        <v>0</v>
      </c>
      <c r="AD62" s="67">
        <f>IF(AQ62="7",BH62,0)</f>
        <v>0</v>
      </c>
      <c r="AE62" s="67">
        <f>IF(AQ62="7",BI62,0)</f>
        <v>0</v>
      </c>
      <c r="AF62" s="67">
        <f>IF(AQ62="2",BH62,0)</f>
        <v>0</v>
      </c>
      <c r="AG62" s="67">
        <f>IF(AQ62="2",BI62,0)</f>
        <v>0</v>
      </c>
      <c r="AH62" s="67">
        <f>IF(AQ62="0",BJ62,0)</f>
        <v>0</v>
      </c>
      <c r="AI62" s="66"/>
      <c r="AJ62" s="50">
        <f>IF(AN62=0,L62,0)</f>
        <v>0</v>
      </c>
      <c r="AK62" s="50">
        <f>IF(AN62=15,L62,0)</f>
        <v>0</v>
      </c>
      <c r="AL62" s="50">
        <f>IF(AN62=21,L62,0)</f>
        <v>0</v>
      </c>
      <c r="AN62" s="67">
        <v>21</v>
      </c>
      <c r="AO62" s="67">
        <f>I62*0.862411344760009</f>
        <v>0</v>
      </c>
      <c r="AP62" s="67">
        <f>I62*(1-0.862411344760009)</f>
        <v>0</v>
      </c>
      <c r="AQ62" s="68" t="s">
        <v>75</v>
      </c>
      <c r="AV62" s="67">
        <f>AW62+AX62</f>
        <v>0</v>
      </c>
      <c r="AW62" s="67">
        <f>H62*AO62</f>
        <v>0</v>
      </c>
      <c r="AX62" s="67">
        <f>H62*AP62</f>
        <v>0</v>
      </c>
      <c r="AY62" s="70" t="s">
        <v>490</v>
      </c>
      <c r="AZ62" s="70" t="s">
        <v>512</v>
      </c>
      <c r="BA62" s="66" t="s">
        <v>518</v>
      </c>
      <c r="BC62" s="67">
        <f>AW62+AX62</f>
        <v>0</v>
      </c>
      <c r="BD62" s="67">
        <f>I62/(100-BE62)*100</f>
        <v>0</v>
      </c>
      <c r="BE62" s="67">
        <v>0</v>
      </c>
      <c r="BF62" s="67">
        <f>62</f>
        <v>62</v>
      </c>
      <c r="BH62" s="50">
        <f>H62*AO62</f>
        <v>0</v>
      </c>
      <c r="BI62" s="50">
        <f>H62*AP62</f>
        <v>0</v>
      </c>
      <c r="BJ62" s="50">
        <f>H62*I62</f>
        <v>0</v>
      </c>
      <c r="BK62" s="50" t="s">
        <v>523</v>
      </c>
      <c r="BL62" s="67">
        <v>56</v>
      </c>
    </row>
    <row r="63" spans="1:14" ht="12.75">
      <c r="A63" s="17"/>
      <c r="C63" s="45" t="s">
        <v>314</v>
      </c>
      <c r="F63" s="46"/>
      <c r="H63" s="51">
        <v>3.375</v>
      </c>
      <c r="M63" s="16"/>
      <c r="N63" s="17"/>
    </row>
    <row r="64" spans="1:64" ht="12.75">
      <c r="A64" s="34" t="s">
        <v>96</v>
      </c>
      <c r="B64" s="42" t="s">
        <v>184</v>
      </c>
      <c r="C64" s="170" t="s">
        <v>315</v>
      </c>
      <c r="D64" s="171"/>
      <c r="E64" s="171"/>
      <c r="F64" s="171"/>
      <c r="G64" s="42" t="s">
        <v>452</v>
      </c>
      <c r="H64" s="50">
        <v>0.1125</v>
      </c>
      <c r="I64" s="50">
        <v>0</v>
      </c>
      <c r="J64" s="50">
        <f>H64*AO64</f>
        <v>0</v>
      </c>
      <c r="K64" s="50">
        <f>H64*AP64</f>
        <v>0</v>
      </c>
      <c r="L64" s="50">
        <f>H64*I64</f>
        <v>0</v>
      </c>
      <c r="M64" s="63" t="s">
        <v>471</v>
      </c>
      <c r="N64" s="17"/>
      <c r="Z64" s="67">
        <f>IF(AQ64="5",BJ64,0)</f>
        <v>0</v>
      </c>
      <c r="AB64" s="67">
        <f>IF(AQ64="1",BH64,0)</f>
        <v>0</v>
      </c>
      <c r="AC64" s="67">
        <f>IF(AQ64="1",BI64,0)</f>
        <v>0</v>
      </c>
      <c r="AD64" s="67">
        <f>IF(AQ64="7",BH64,0)</f>
        <v>0</v>
      </c>
      <c r="AE64" s="67">
        <f>IF(AQ64="7",BI64,0)</f>
        <v>0</v>
      </c>
      <c r="AF64" s="67">
        <f>IF(AQ64="2",BH64,0)</f>
        <v>0</v>
      </c>
      <c r="AG64" s="67">
        <f>IF(AQ64="2",BI64,0)</f>
        <v>0</v>
      </c>
      <c r="AH64" s="67">
        <f>IF(AQ64="0",BJ64,0)</f>
        <v>0</v>
      </c>
      <c r="AI64" s="66"/>
      <c r="AJ64" s="50">
        <f>IF(AN64=0,L64,0)</f>
        <v>0</v>
      </c>
      <c r="AK64" s="50">
        <f>IF(AN64=15,L64,0)</f>
        <v>0</v>
      </c>
      <c r="AL64" s="50">
        <f>IF(AN64=21,L64,0)</f>
        <v>0</v>
      </c>
      <c r="AN64" s="67">
        <v>21</v>
      </c>
      <c r="AO64" s="67">
        <f>I64*0.783540915836337</f>
        <v>0</v>
      </c>
      <c r="AP64" s="67">
        <f>I64*(1-0.783540915836337)</f>
        <v>0</v>
      </c>
      <c r="AQ64" s="68" t="s">
        <v>75</v>
      </c>
      <c r="AV64" s="67">
        <f>AW64+AX64</f>
        <v>0</v>
      </c>
      <c r="AW64" s="67">
        <f>H64*AO64</f>
        <v>0</v>
      </c>
      <c r="AX64" s="67">
        <f>H64*AP64</f>
        <v>0</v>
      </c>
      <c r="AY64" s="70" t="s">
        <v>490</v>
      </c>
      <c r="AZ64" s="70" t="s">
        <v>512</v>
      </c>
      <c r="BA64" s="66" t="s">
        <v>518</v>
      </c>
      <c r="BC64" s="67">
        <f>AW64+AX64</f>
        <v>0</v>
      </c>
      <c r="BD64" s="67">
        <f>I64/(100-BE64)*100</f>
        <v>0</v>
      </c>
      <c r="BE64" s="67">
        <v>0</v>
      </c>
      <c r="BF64" s="67">
        <f>64</f>
        <v>64</v>
      </c>
      <c r="BH64" s="50">
        <f>H64*AO64</f>
        <v>0</v>
      </c>
      <c r="BI64" s="50">
        <f>H64*AP64</f>
        <v>0</v>
      </c>
      <c r="BJ64" s="50">
        <f>H64*I64</f>
        <v>0</v>
      </c>
      <c r="BK64" s="50" t="s">
        <v>523</v>
      </c>
      <c r="BL64" s="67">
        <v>56</v>
      </c>
    </row>
    <row r="65" spans="1:14" ht="12.75">
      <c r="A65" s="17"/>
      <c r="C65" s="45" t="s">
        <v>316</v>
      </c>
      <c r="F65" s="46"/>
      <c r="H65" s="51">
        <v>0.1125</v>
      </c>
      <c r="M65" s="16"/>
      <c r="N65" s="17"/>
    </row>
    <row r="66" spans="1:64" ht="12.75">
      <c r="A66" s="34" t="s">
        <v>97</v>
      </c>
      <c r="B66" s="42" t="s">
        <v>185</v>
      </c>
      <c r="C66" s="170" t="s">
        <v>317</v>
      </c>
      <c r="D66" s="171"/>
      <c r="E66" s="171"/>
      <c r="F66" s="171"/>
      <c r="G66" s="42" t="s">
        <v>455</v>
      </c>
      <c r="H66" s="50">
        <v>3</v>
      </c>
      <c r="I66" s="50">
        <v>0</v>
      </c>
      <c r="J66" s="50">
        <f>H66*AO66</f>
        <v>0</v>
      </c>
      <c r="K66" s="50">
        <f>H66*AP66</f>
        <v>0</v>
      </c>
      <c r="L66" s="50">
        <f>H66*I66</f>
        <v>0</v>
      </c>
      <c r="M66" s="63" t="s">
        <v>471</v>
      </c>
      <c r="N66" s="17"/>
      <c r="Z66" s="67">
        <f>IF(AQ66="5",BJ66,0)</f>
        <v>0</v>
      </c>
      <c r="AB66" s="67">
        <f>IF(AQ66="1",BH66,0)</f>
        <v>0</v>
      </c>
      <c r="AC66" s="67">
        <f>IF(AQ66="1",BI66,0)</f>
        <v>0</v>
      </c>
      <c r="AD66" s="67">
        <f>IF(AQ66="7",BH66,0)</f>
        <v>0</v>
      </c>
      <c r="AE66" s="67">
        <f>IF(AQ66="7",BI66,0)</f>
        <v>0</v>
      </c>
      <c r="AF66" s="67">
        <f>IF(AQ66="2",BH66,0)</f>
        <v>0</v>
      </c>
      <c r="AG66" s="67">
        <f>IF(AQ66="2",BI66,0)</f>
        <v>0</v>
      </c>
      <c r="AH66" s="67">
        <f>IF(AQ66="0",BJ66,0)</f>
        <v>0</v>
      </c>
      <c r="AI66" s="66"/>
      <c r="AJ66" s="50">
        <f>IF(AN66=0,L66,0)</f>
        <v>0</v>
      </c>
      <c r="AK66" s="50">
        <f>IF(AN66=15,L66,0)</f>
        <v>0</v>
      </c>
      <c r="AL66" s="50">
        <f>IF(AN66=21,L66,0)</f>
        <v>0</v>
      </c>
      <c r="AN66" s="67">
        <v>21</v>
      </c>
      <c r="AO66" s="67">
        <f>I66*0.762328042328042</f>
        <v>0</v>
      </c>
      <c r="AP66" s="67">
        <f>I66*(1-0.762328042328042)</f>
        <v>0</v>
      </c>
      <c r="AQ66" s="68" t="s">
        <v>75</v>
      </c>
      <c r="AV66" s="67">
        <f>AW66+AX66</f>
        <v>0</v>
      </c>
      <c r="AW66" s="67">
        <f>H66*AO66</f>
        <v>0</v>
      </c>
      <c r="AX66" s="67">
        <f>H66*AP66</f>
        <v>0</v>
      </c>
      <c r="AY66" s="70" t="s">
        <v>490</v>
      </c>
      <c r="AZ66" s="70" t="s">
        <v>512</v>
      </c>
      <c r="BA66" s="66" t="s">
        <v>518</v>
      </c>
      <c r="BC66" s="67">
        <f>AW66+AX66</f>
        <v>0</v>
      </c>
      <c r="BD66" s="67">
        <f>I66/(100-BE66)*100</f>
        <v>0</v>
      </c>
      <c r="BE66" s="67">
        <v>0</v>
      </c>
      <c r="BF66" s="67">
        <f>66</f>
        <v>66</v>
      </c>
      <c r="BH66" s="50">
        <f>H66*AO66</f>
        <v>0</v>
      </c>
      <c r="BI66" s="50">
        <f>H66*AP66</f>
        <v>0</v>
      </c>
      <c r="BJ66" s="50">
        <f>H66*I66</f>
        <v>0</v>
      </c>
      <c r="BK66" s="50" t="s">
        <v>523</v>
      </c>
      <c r="BL66" s="67">
        <v>56</v>
      </c>
    </row>
    <row r="67" spans="1:14" ht="12.75">
      <c r="A67" s="17"/>
      <c r="C67" s="45" t="s">
        <v>318</v>
      </c>
      <c r="F67" s="46"/>
      <c r="H67" s="51">
        <v>3</v>
      </c>
      <c r="M67" s="16"/>
      <c r="N67" s="17"/>
    </row>
    <row r="68" spans="1:47" ht="12.75">
      <c r="A68" s="33"/>
      <c r="B68" s="41" t="s">
        <v>133</v>
      </c>
      <c r="C68" s="168" t="s">
        <v>319</v>
      </c>
      <c r="D68" s="169"/>
      <c r="E68" s="169"/>
      <c r="F68" s="169"/>
      <c r="G68" s="48" t="s">
        <v>74</v>
      </c>
      <c r="H68" s="48" t="s">
        <v>74</v>
      </c>
      <c r="I68" s="48" t="s">
        <v>74</v>
      </c>
      <c r="J68" s="73">
        <f>SUM(J69:J74)</f>
        <v>0</v>
      </c>
      <c r="K68" s="73">
        <f>SUM(K69:K74)</f>
        <v>0</v>
      </c>
      <c r="L68" s="73">
        <f>SUM(L69:L74)</f>
        <v>0</v>
      </c>
      <c r="M68" s="62"/>
      <c r="N68" s="17"/>
      <c r="AI68" s="66"/>
      <c r="AS68" s="73">
        <f>SUM(AJ69:AJ74)</f>
        <v>0</v>
      </c>
      <c r="AT68" s="73">
        <f>SUM(AK69:AK74)</f>
        <v>0</v>
      </c>
      <c r="AU68" s="73">
        <f>SUM(AL69:AL74)</f>
        <v>0</v>
      </c>
    </row>
    <row r="69" spans="1:64" ht="12.75">
      <c r="A69" s="34" t="s">
        <v>98</v>
      </c>
      <c r="B69" s="42" t="s">
        <v>186</v>
      </c>
      <c r="C69" s="170" t="s">
        <v>320</v>
      </c>
      <c r="D69" s="171"/>
      <c r="E69" s="171"/>
      <c r="F69" s="171"/>
      <c r="G69" s="42" t="s">
        <v>451</v>
      </c>
      <c r="H69" s="50">
        <v>5.375</v>
      </c>
      <c r="I69" s="50">
        <v>0</v>
      </c>
      <c r="J69" s="50">
        <f>H69*AO69</f>
        <v>0</v>
      </c>
      <c r="K69" s="50">
        <f>H69*AP69</f>
        <v>0</v>
      </c>
      <c r="L69" s="50">
        <f>H69*I69</f>
        <v>0</v>
      </c>
      <c r="M69" s="63" t="s">
        <v>471</v>
      </c>
      <c r="N69" s="17"/>
      <c r="Z69" s="67">
        <f>IF(AQ69="5",BJ69,0)</f>
        <v>0</v>
      </c>
      <c r="AB69" s="67">
        <f>IF(AQ69="1",BH69,0)</f>
        <v>0</v>
      </c>
      <c r="AC69" s="67">
        <f>IF(AQ69="1",BI69,0)</f>
        <v>0</v>
      </c>
      <c r="AD69" s="67">
        <f>IF(AQ69="7",BH69,0)</f>
        <v>0</v>
      </c>
      <c r="AE69" s="67">
        <f>IF(AQ69="7",BI69,0)</f>
        <v>0</v>
      </c>
      <c r="AF69" s="67">
        <f>IF(AQ69="2",BH69,0)</f>
        <v>0</v>
      </c>
      <c r="AG69" s="67">
        <f>IF(AQ69="2",BI69,0)</f>
        <v>0</v>
      </c>
      <c r="AH69" s="67">
        <f>IF(AQ69="0",BJ69,0)</f>
        <v>0</v>
      </c>
      <c r="AI69" s="66"/>
      <c r="AJ69" s="50">
        <f>IF(AN69=0,L69,0)</f>
        <v>0</v>
      </c>
      <c r="AK69" s="50">
        <f>IF(AN69=15,L69,0)</f>
        <v>0</v>
      </c>
      <c r="AL69" s="50">
        <f>IF(AN69=21,L69,0)</f>
        <v>0</v>
      </c>
      <c r="AN69" s="67">
        <v>21</v>
      </c>
      <c r="AO69" s="67">
        <f>I69*0.156200106895441</f>
        <v>0</v>
      </c>
      <c r="AP69" s="67">
        <f>I69*(1-0.156200106895441)</f>
        <v>0</v>
      </c>
      <c r="AQ69" s="68" t="s">
        <v>75</v>
      </c>
      <c r="AV69" s="67">
        <f>AW69+AX69</f>
        <v>0</v>
      </c>
      <c r="AW69" s="67">
        <f>H69*AO69</f>
        <v>0</v>
      </c>
      <c r="AX69" s="67">
        <f>H69*AP69</f>
        <v>0</v>
      </c>
      <c r="AY69" s="70" t="s">
        <v>491</v>
      </c>
      <c r="AZ69" s="70" t="s">
        <v>512</v>
      </c>
      <c r="BA69" s="66" t="s">
        <v>518</v>
      </c>
      <c r="BC69" s="67">
        <f>AW69+AX69</f>
        <v>0</v>
      </c>
      <c r="BD69" s="67">
        <f>I69/(100-BE69)*100</f>
        <v>0</v>
      </c>
      <c r="BE69" s="67">
        <v>0</v>
      </c>
      <c r="BF69" s="67">
        <f>69</f>
        <v>69</v>
      </c>
      <c r="BH69" s="50">
        <f>H69*AO69</f>
        <v>0</v>
      </c>
      <c r="BI69" s="50">
        <f>H69*AP69</f>
        <v>0</v>
      </c>
      <c r="BJ69" s="50">
        <f>H69*I69</f>
        <v>0</v>
      </c>
      <c r="BK69" s="50" t="s">
        <v>523</v>
      </c>
      <c r="BL69" s="67">
        <v>59</v>
      </c>
    </row>
    <row r="70" spans="1:14" ht="12.75">
      <c r="A70" s="17"/>
      <c r="C70" s="45" t="s">
        <v>314</v>
      </c>
      <c r="F70" s="46"/>
      <c r="H70" s="51">
        <v>3.375</v>
      </c>
      <c r="M70" s="16"/>
      <c r="N70" s="17"/>
    </row>
    <row r="71" spans="1:14" ht="12.75">
      <c r="A71" s="17"/>
      <c r="C71" s="45" t="s">
        <v>76</v>
      </c>
      <c r="F71" s="46"/>
      <c r="H71" s="51">
        <v>2</v>
      </c>
      <c r="M71" s="16"/>
      <c r="N71" s="17"/>
    </row>
    <row r="72" spans="1:64" ht="12.75">
      <c r="A72" s="34" t="s">
        <v>99</v>
      </c>
      <c r="B72" s="42" t="s">
        <v>187</v>
      </c>
      <c r="C72" s="170" t="s">
        <v>321</v>
      </c>
      <c r="D72" s="171"/>
      <c r="E72" s="171"/>
      <c r="F72" s="171"/>
      <c r="G72" s="42" t="s">
        <v>455</v>
      </c>
      <c r="H72" s="50">
        <v>5</v>
      </c>
      <c r="I72" s="50">
        <v>0</v>
      </c>
      <c r="J72" s="50">
        <f>H72*AO72</f>
        <v>0</v>
      </c>
      <c r="K72" s="50">
        <f>H72*AP72</f>
        <v>0</v>
      </c>
      <c r="L72" s="50">
        <f>H72*I72</f>
        <v>0</v>
      </c>
      <c r="M72" s="63" t="s">
        <v>471</v>
      </c>
      <c r="N72" s="17"/>
      <c r="Z72" s="67">
        <f>IF(AQ72="5",BJ72,0)</f>
        <v>0</v>
      </c>
      <c r="AB72" s="67">
        <f>IF(AQ72="1",BH72,0)</f>
        <v>0</v>
      </c>
      <c r="AC72" s="67">
        <f>IF(AQ72="1",BI72,0)</f>
        <v>0</v>
      </c>
      <c r="AD72" s="67">
        <f>IF(AQ72="7",BH72,0)</f>
        <v>0</v>
      </c>
      <c r="AE72" s="67">
        <f>IF(AQ72="7",BI72,0)</f>
        <v>0</v>
      </c>
      <c r="AF72" s="67">
        <f>IF(AQ72="2",BH72,0)</f>
        <v>0</v>
      </c>
      <c r="AG72" s="67">
        <f>IF(AQ72="2",BI72,0)</f>
        <v>0</v>
      </c>
      <c r="AH72" s="67">
        <f>IF(AQ72="0",BJ72,0)</f>
        <v>0</v>
      </c>
      <c r="AI72" s="66"/>
      <c r="AJ72" s="50">
        <f>IF(AN72=0,L72,0)</f>
        <v>0</v>
      </c>
      <c r="AK72" s="50">
        <f>IF(AN72=15,L72,0)</f>
        <v>0</v>
      </c>
      <c r="AL72" s="50">
        <f>IF(AN72=21,L72,0)</f>
        <v>0</v>
      </c>
      <c r="AN72" s="67">
        <v>21</v>
      </c>
      <c r="AO72" s="67">
        <f>I72*0.0611642411642412</f>
        <v>0</v>
      </c>
      <c r="AP72" s="67">
        <f>I72*(1-0.0611642411642412)</f>
        <v>0</v>
      </c>
      <c r="AQ72" s="68" t="s">
        <v>75</v>
      </c>
      <c r="AV72" s="67">
        <f>AW72+AX72</f>
        <v>0</v>
      </c>
      <c r="AW72" s="67">
        <f>H72*AO72</f>
        <v>0</v>
      </c>
      <c r="AX72" s="67">
        <f>H72*AP72</f>
        <v>0</v>
      </c>
      <c r="AY72" s="70" t="s">
        <v>491</v>
      </c>
      <c r="AZ72" s="70" t="s">
        <v>512</v>
      </c>
      <c r="BA72" s="66" t="s">
        <v>518</v>
      </c>
      <c r="BC72" s="67">
        <f>AW72+AX72</f>
        <v>0</v>
      </c>
      <c r="BD72" s="67">
        <f>I72/(100-BE72)*100</f>
        <v>0</v>
      </c>
      <c r="BE72" s="67">
        <v>0</v>
      </c>
      <c r="BF72" s="67">
        <f>72</f>
        <v>72</v>
      </c>
      <c r="BH72" s="50">
        <f>H72*AO72</f>
        <v>0</v>
      </c>
      <c r="BI72" s="50">
        <f>H72*AP72</f>
        <v>0</v>
      </c>
      <c r="BJ72" s="50">
        <f>H72*I72</f>
        <v>0</v>
      </c>
      <c r="BK72" s="50" t="s">
        <v>523</v>
      </c>
      <c r="BL72" s="67">
        <v>59</v>
      </c>
    </row>
    <row r="73" spans="1:14" ht="12.75">
      <c r="A73" s="17"/>
      <c r="C73" s="45" t="s">
        <v>322</v>
      </c>
      <c r="F73" s="46"/>
      <c r="H73" s="51">
        <v>5</v>
      </c>
      <c r="M73" s="16"/>
      <c r="N73" s="17"/>
    </row>
    <row r="74" spans="1:64" ht="12.75">
      <c r="A74" s="35" t="s">
        <v>100</v>
      </c>
      <c r="B74" s="43" t="s">
        <v>188</v>
      </c>
      <c r="C74" s="174" t="s">
        <v>323</v>
      </c>
      <c r="D74" s="175"/>
      <c r="E74" s="175"/>
      <c r="F74" s="175"/>
      <c r="G74" s="43" t="s">
        <v>451</v>
      </c>
      <c r="H74" s="52">
        <v>3.375</v>
      </c>
      <c r="I74" s="52">
        <v>0</v>
      </c>
      <c r="J74" s="52">
        <f>H74*AO74</f>
        <v>0</v>
      </c>
      <c r="K74" s="52">
        <f>H74*AP74</f>
        <v>0</v>
      </c>
      <c r="L74" s="52">
        <f>H74*I74</f>
        <v>0</v>
      </c>
      <c r="M74" s="64" t="s">
        <v>471</v>
      </c>
      <c r="N74" s="17"/>
      <c r="Z74" s="67">
        <f>IF(AQ74="5",BJ74,0)</f>
        <v>0</v>
      </c>
      <c r="AB74" s="67">
        <f>IF(AQ74="1",BH74,0)</f>
        <v>0</v>
      </c>
      <c r="AC74" s="67">
        <f>IF(AQ74="1",BI74,0)</f>
        <v>0</v>
      </c>
      <c r="AD74" s="67">
        <f>IF(AQ74="7",BH74,0)</f>
        <v>0</v>
      </c>
      <c r="AE74" s="67">
        <f>IF(AQ74="7",BI74,0)</f>
        <v>0</v>
      </c>
      <c r="AF74" s="67">
        <f>IF(AQ74="2",BH74,0)</f>
        <v>0</v>
      </c>
      <c r="AG74" s="67">
        <f>IF(AQ74="2",BI74,0)</f>
        <v>0</v>
      </c>
      <c r="AH74" s="67">
        <f>IF(AQ74="0",BJ74,0)</f>
        <v>0</v>
      </c>
      <c r="AI74" s="66"/>
      <c r="AJ74" s="52">
        <f>IF(AN74=0,L74,0)</f>
        <v>0</v>
      </c>
      <c r="AK74" s="52">
        <f>IF(AN74=15,L74,0)</f>
        <v>0</v>
      </c>
      <c r="AL74" s="52">
        <f>IF(AN74=21,L74,0)</f>
        <v>0</v>
      </c>
      <c r="AN74" s="67">
        <v>21</v>
      </c>
      <c r="AO74" s="67">
        <f>I74*1</f>
        <v>0</v>
      </c>
      <c r="AP74" s="67">
        <f>I74*(1-1)</f>
        <v>0</v>
      </c>
      <c r="AQ74" s="69" t="s">
        <v>75</v>
      </c>
      <c r="AV74" s="67">
        <f>AW74+AX74</f>
        <v>0</v>
      </c>
      <c r="AW74" s="67">
        <f>H74*AO74</f>
        <v>0</v>
      </c>
      <c r="AX74" s="67">
        <f>H74*AP74</f>
        <v>0</v>
      </c>
      <c r="AY74" s="70" t="s">
        <v>491</v>
      </c>
      <c r="AZ74" s="70" t="s">
        <v>512</v>
      </c>
      <c r="BA74" s="66" t="s">
        <v>518</v>
      </c>
      <c r="BC74" s="67">
        <f>AW74+AX74</f>
        <v>0</v>
      </c>
      <c r="BD74" s="67">
        <f>I74/(100-BE74)*100</f>
        <v>0</v>
      </c>
      <c r="BE74" s="67">
        <v>0</v>
      </c>
      <c r="BF74" s="67">
        <f>74</f>
        <v>74</v>
      </c>
      <c r="BH74" s="52">
        <f>H74*AO74</f>
        <v>0</v>
      </c>
      <c r="BI74" s="52">
        <f>H74*AP74</f>
        <v>0</v>
      </c>
      <c r="BJ74" s="52">
        <f>H74*I74</f>
        <v>0</v>
      </c>
      <c r="BK74" s="52" t="s">
        <v>524</v>
      </c>
      <c r="BL74" s="67">
        <v>59</v>
      </c>
    </row>
    <row r="75" spans="1:14" ht="12.75">
      <c r="A75" s="17"/>
      <c r="C75" s="45" t="s">
        <v>314</v>
      </c>
      <c r="F75" s="46"/>
      <c r="H75" s="51">
        <v>3.375</v>
      </c>
      <c r="M75" s="16"/>
      <c r="N75" s="17"/>
    </row>
    <row r="76" spans="1:47" ht="12.75">
      <c r="A76" s="33"/>
      <c r="B76" s="41" t="s">
        <v>135</v>
      </c>
      <c r="C76" s="168" t="s">
        <v>324</v>
      </c>
      <c r="D76" s="169"/>
      <c r="E76" s="169"/>
      <c r="F76" s="169"/>
      <c r="G76" s="48" t="s">
        <v>74</v>
      </c>
      <c r="H76" s="48" t="s">
        <v>74</v>
      </c>
      <c r="I76" s="48" t="s">
        <v>74</v>
      </c>
      <c r="J76" s="73">
        <f>SUM(J77:J77)</f>
        <v>0</v>
      </c>
      <c r="K76" s="73">
        <f>SUM(K77:K77)</f>
        <v>0</v>
      </c>
      <c r="L76" s="73">
        <f>SUM(L77:L77)</f>
        <v>0</v>
      </c>
      <c r="M76" s="62"/>
      <c r="N76" s="17"/>
      <c r="AI76" s="66"/>
      <c r="AS76" s="73">
        <f>SUM(AJ77:AJ77)</f>
        <v>0</v>
      </c>
      <c r="AT76" s="73">
        <f>SUM(AK77:AK77)</f>
        <v>0</v>
      </c>
      <c r="AU76" s="73">
        <f>SUM(AL77:AL77)</f>
        <v>0</v>
      </c>
    </row>
    <row r="77" spans="1:64" ht="12.75">
      <c r="A77" s="34" t="s">
        <v>101</v>
      </c>
      <c r="B77" s="42" t="s">
        <v>189</v>
      </c>
      <c r="C77" s="170" t="s">
        <v>325</v>
      </c>
      <c r="D77" s="171"/>
      <c r="E77" s="171"/>
      <c r="F77" s="171"/>
      <c r="G77" s="42" t="s">
        <v>453</v>
      </c>
      <c r="H77" s="50">
        <v>15</v>
      </c>
      <c r="I77" s="50">
        <v>0</v>
      </c>
      <c r="J77" s="50">
        <f>H77*AO77</f>
        <v>0</v>
      </c>
      <c r="K77" s="50">
        <f>H77*AP77</f>
        <v>0</v>
      </c>
      <c r="L77" s="50">
        <f>H77*I77</f>
        <v>0</v>
      </c>
      <c r="M77" s="63" t="s">
        <v>471</v>
      </c>
      <c r="N77" s="17"/>
      <c r="Z77" s="67">
        <f>IF(AQ77="5",BJ77,0)</f>
        <v>0</v>
      </c>
      <c r="AB77" s="67">
        <f>IF(AQ77="1",BH77,0)</f>
        <v>0</v>
      </c>
      <c r="AC77" s="67">
        <f>IF(AQ77="1",BI77,0)</f>
        <v>0</v>
      </c>
      <c r="AD77" s="67">
        <f>IF(AQ77="7",BH77,0)</f>
        <v>0</v>
      </c>
      <c r="AE77" s="67">
        <f>IF(AQ77="7",BI77,0)</f>
        <v>0</v>
      </c>
      <c r="AF77" s="67">
        <f>IF(AQ77="2",BH77,0)</f>
        <v>0</v>
      </c>
      <c r="AG77" s="67">
        <f>IF(AQ77="2",BI77,0)</f>
        <v>0</v>
      </c>
      <c r="AH77" s="67">
        <f>IF(AQ77="0",BJ77,0)</f>
        <v>0</v>
      </c>
      <c r="AI77" s="66"/>
      <c r="AJ77" s="50">
        <f>IF(AN77=0,L77,0)</f>
        <v>0</v>
      </c>
      <c r="AK77" s="50">
        <f>IF(AN77=15,L77,0)</f>
        <v>0</v>
      </c>
      <c r="AL77" s="50">
        <f>IF(AN77=21,L77,0)</f>
        <v>0</v>
      </c>
      <c r="AN77" s="67">
        <v>21</v>
      </c>
      <c r="AO77" s="67">
        <f>I77*0.132752314994942</f>
        <v>0</v>
      </c>
      <c r="AP77" s="67">
        <f>I77*(1-0.132752314994942)</f>
        <v>0</v>
      </c>
      <c r="AQ77" s="68" t="s">
        <v>75</v>
      </c>
      <c r="AV77" s="67">
        <f>AW77+AX77</f>
        <v>0</v>
      </c>
      <c r="AW77" s="67">
        <f>H77*AO77</f>
        <v>0</v>
      </c>
      <c r="AX77" s="67">
        <f>H77*AP77</f>
        <v>0</v>
      </c>
      <c r="AY77" s="70" t="s">
        <v>492</v>
      </c>
      <c r="AZ77" s="70" t="s">
        <v>513</v>
      </c>
      <c r="BA77" s="66" t="s">
        <v>518</v>
      </c>
      <c r="BC77" s="67">
        <f>AW77+AX77</f>
        <v>0</v>
      </c>
      <c r="BD77" s="67">
        <f>I77/(100-BE77)*100</f>
        <v>0</v>
      </c>
      <c r="BE77" s="67">
        <v>0</v>
      </c>
      <c r="BF77" s="67">
        <f>77</f>
        <v>77</v>
      </c>
      <c r="BH77" s="50">
        <f>H77*AO77</f>
        <v>0</v>
      </c>
      <c r="BI77" s="50">
        <f>H77*AP77</f>
        <v>0</v>
      </c>
      <c r="BJ77" s="50">
        <f>H77*I77</f>
        <v>0</v>
      </c>
      <c r="BK77" s="50" t="s">
        <v>523</v>
      </c>
      <c r="BL77" s="67">
        <v>61</v>
      </c>
    </row>
    <row r="78" spans="1:47" ht="12.75">
      <c r="A78" s="33"/>
      <c r="B78" s="41" t="s">
        <v>136</v>
      </c>
      <c r="C78" s="168" t="s">
        <v>326</v>
      </c>
      <c r="D78" s="169"/>
      <c r="E78" s="169"/>
      <c r="F78" s="169"/>
      <c r="G78" s="48" t="s">
        <v>74</v>
      </c>
      <c r="H78" s="48" t="s">
        <v>74</v>
      </c>
      <c r="I78" s="48" t="s">
        <v>74</v>
      </c>
      <c r="J78" s="73">
        <f>SUM(J79:J83)</f>
        <v>0</v>
      </c>
      <c r="K78" s="73">
        <f>SUM(K79:K83)</f>
        <v>0</v>
      </c>
      <c r="L78" s="73">
        <f>SUM(L79:L83)</f>
        <v>0</v>
      </c>
      <c r="M78" s="62"/>
      <c r="N78" s="17"/>
      <c r="AI78" s="66"/>
      <c r="AS78" s="73">
        <f>SUM(AJ79:AJ83)</f>
        <v>0</v>
      </c>
      <c r="AT78" s="73">
        <f>SUM(AK79:AK83)</f>
        <v>0</v>
      </c>
      <c r="AU78" s="73">
        <f>SUM(AL79:AL83)</f>
        <v>0</v>
      </c>
    </row>
    <row r="79" spans="1:64" ht="12.75">
      <c r="A79" s="34" t="s">
        <v>102</v>
      </c>
      <c r="B79" s="42" t="s">
        <v>190</v>
      </c>
      <c r="C79" s="170" t="s">
        <v>327</v>
      </c>
      <c r="D79" s="171"/>
      <c r="E79" s="171"/>
      <c r="F79" s="171"/>
      <c r="G79" s="42" t="s">
        <v>451</v>
      </c>
      <c r="H79" s="50">
        <v>12</v>
      </c>
      <c r="I79" s="50">
        <v>0</v>
      </c>
      <c r="J79" s="50">
        <f>H79*AO79</f>
        <v>0</v>
      </c>
      <c r="K79" s="50">
        <f>H79*AP79</f>
        <v>0</v>
      </c>
      <c r="L79" s="50">
        <f>H79*I79</f>
        <v>0</v>
      </c>
      <c r="M79" s="63" t="s">
        <v>471</v>
      </c>
      <c r="N79" s="17"/>
      <c r="Z79" s="67">
        <f>IF(AQ79="5",BJ79,0)</f>
        <v>0</v>
      </c>
      <c r="AB79" s="67">
        <f>IF(AQ79="1",BH79,0)</f>
        <v>0</v>
      </c>
      <c r="AC79" s="67">
        <f>IF(AQ79="1",BI79,0)</f>
        <v>0</v>
      </c>
      <c r="AD79" s="67">
        <f>IF(AQ79="7",BH79,0)</f>
        <v>0</v>
      </c>
      <c r="AE79" s="67">
        <f>IF(AQ79="7",BI79,0)</f>
        <v>0</v>
      </c>
      <c r="AF79" s="67">
        <f>IF(AQ79="2",BH79,0)</f>
        <v>0</v>
      </c>
      <c r="AG79" s="67">
        <f>IF(AQ79="2",BI79,0)</f>
        <v>0</v>
      </c>
      <c r="AH79" s="67">
        <f>IF(AQ79="0",BJ79,0)</f>
        <v>0</v>
      </c>
      <c r="AI79" s="66"/>
      <c r="AJ79" s="50">
        <f>IF(AN79=0,L79,0)</f>
        <v>0</v>
      </c>
      <c r="AK79" s="50">
        <f>IF(AN79=15,L79,0)</f>
        <v>0</v>
      </c>
      <c r="AL79" s="50">
        <f>IF(AN79=21,L79,0)</f>
        <v>0</v>
      </c>
      <c r="AN79" s="67">
        <v>21</v>
      </c>
      <c r="AO79" s="67">
        <f>I79*0.16584570941817</f>
        <v>0</v>
      </c>
      <c r="AP79" s="67">
        <f>I79*(1-0.16584570941817)</f>
        <v>0</v>
      </c>
      <c r="AQ79" s="68" t="s">
        <v>75</v>
      </c>
      <c r="AV79" s="67">
        <f>AW79+AX79</f>
        <v>0</v>
      </c>
      <c r="AW79" s="67">
        <f>H79*AO79</f>
        <v>0</v>
      </c>
      <c r="AX79" s="67">
        <f>H79*AP79</f>
        <v>0</v>
      </c>
      <c r="AY79" s="70" t="s">
        <v>493</v>
      </c>
      <c r="AZ79" s="70" t="s">
        <v>513</v>
      </c>
      <c r="BA79" s="66" t="s">
        <v>518</v>
      </c>
      <c r="BC79" s="67">
        <f>AW79+AX79</f>
        <v>0</v>
      </c>
      <c r="BD79" s="67">
        <f>I79/(100-BE79)*100</f>
        <v>0</v>
      </c>
      <c r="BE79" s="67">
        <v>0</v>
      </c>
      <c r="BF79" s="67">
        <f>79</f>
        <v>79</v>
      </c>
      <c r="BH79" s="50">
        <f>H79*AO79</f>
        <v>0</v>
      </c>
      <c r="BI79" s="50">
        <f>H79*AP79</f>
        <v>0</v>
      </c>
      <c r="BJ79" s="50">
        <f>H79*I79</f>
        <v>0</v>
      </c>
      <c r="BK79" s="50" t="s">
        <v>523</v>
      </c>
      <c r="BL79" s="67">
        <v>62</v>
      </c>
    </row>
    <row r="80" spans="1:14" ht="12.75">
      <c r="A80" s="17"/>
      <c r="C80" s="45" t="s">
        <v>328</v>
      </c>
      <c r="F80" s="46"/>
      <c r="H80" s="51">
        <v>0</v>
      </c>
      <c r="M80" s="16"/>
      <c r="N80" s="17"/>
    </row>
    <row r="81" spans="1:14" ht="12.75">
      <c r="A81" s="17"/>
      <c r="C81" s="45" t="s">
        <v>329</v>
      </c>
      <c r="F81" s="46"/>
      <c r="H81" s="51">
        <v>0</v>
      </c>
      <c r="M81" s="16"/>
      <c r="N81" s="17"/>
    </row>
    <row r="82" spans="1:14" ht="12.75">
      <c r="A82" s="17"/>
      <c r="C82" s="45" t="s">
        <v>86</v>
      </c>
      <c r="F82" s="46"/>
      <c r="H82" s="51">
        <v>12</v>
      </c>
      <c r="M82" s="16"/>
      <c r="N82" s="17"/>
    </row>
    <row r="83" spans="1:64" ht="12.75">
      <c r="A83" s="34" t="s">
        <v>103</v>
      </c>
      <c r="B83" s="42" t="s">
        <v>191</v>
      </c>
      <c r="C83" s="170" t="s">
        <v>330</v>
      </c>
      <c r="D83" s="171"/>
      <c r="E83" s="171"/>
      <c r="F83" s="171"/>
      <c r="G83" s="42" t="s">
        <v>451</v>
      </c>
      <c r="H83" s="50">
        <v>14</v>
      </c>
      <c r="I83" s="50">
        <v>0</v>
      </c>
      <c r="J83" s="50">
        <f>H83*AO83</f>
        <v>0</v>
      </c>
      <c r="K83" s="50">
        <f>H83*AP83</f>
        <v>0</v>
      </c>
      <c r="L83" s="50">
        <f>H83*I83</f>
        <v>0</v>
      </c>
      <c r="M83" s="63" t="s">
        <v>471</v>
      </c>
      <c r="N83" s="17"/>
      <c r="Z83" s="67">
        <f>IF(AQ83="5",BJ83,0)</f>
        <v>0</v>
      </c>
      <c r="AB83" s="67">
        <f>IF(AQ83="1",BH83,0)</f>
        <v>0</v>
      </c>
      <c r="AC83" s="67">
        <f>IF(AQ83="1",BI83,0)</f>
        <v>0</v>
      </c>
      <c r="AD83" s="67">
        <f>IF(AQ83="7",BH83,0)</f>
        <v>0</v>
      </c>
      <c r="AE83" s="67">
        <f>IF(AQ83="7",BI83,0)</f>
        <v>0</v>
      </c>
      <c r="AF83" s="67">
        <f>IF(AQ83="2",BH83,0)</f>
        <v>0</v>
      </c>
      <c r="AG83" s="67">
        <f>IF(AQ83="2",BI83,0)</f>
        <v>0</v>
      </c>
      <c r="AH83" s="67">
        <f>IF(AQ83="0",BJ83,0)</f>
        <v>0</v>
      </c>
      <c r="AI83" s="66"/>
      <c r="AJ83" s="50">
        <f>IF(AN83=0,L83,0)</f>
        <v>0</v>
      </c>
      <c r="AK83" s="50">
        <f>IF(AN83=15,L83,0)</f>
        <v>0</v>
      </c>
      <c r="AL83" s="50">
        <f>IF(AN83=21,L83,0)</f>
        <v>0</v>
      </c>
      <c r="AN83" s="67">
        <v>21</v>
      </c>
      <c r="AO83" s="67">
        <f>I83*0.182216242103583</f>
        <v>0</v>
      </c>
      <c r="AP83" s="67">
        <f>I83*(1-0.182216242103583)</f>
        <v>0</v>
      </c>
      <c r="AQ83" s="68" t="s">
        <v>75</v>
      </c>
      <c r="AV83" s="67">
        <f>AW83+AX83</f>
        <v>0</v>
      </c>
      <c r="AW83" s="67">
        <f>H83*AO83</f>
        <v>0</v>
      </c>
      <c r="AX83" s="67">
        <f>H83*AP83</f>
        <v>0</v>
      </c>
      <c r="AY83" s="70" t="s">
        <v>493</v>
      </c>
      <c r="AZ83" s="70" t="s">
        <v>513</v>
      </c>
      <c r="BA83" s="66" t="s">
        <v>518</v>
      </c>
      <c r="BC83" s="67">
        <f>AW83+AX83</f>
        <v>0</v>
      </c>
      <c r="BD83" s="67">
        <f>I83/(100-BE83)*100</f>
        <v>0</v>
      </c>
      <c r="BE83" s="67">
        <v>0</v>
      </c>
      <c r="BF83" s="67">
        <f>83</f>
        <v>83</v>
      </c>
      <c r="BH83" s="50">
        <f>H83*AO83</f>
        <v>0</v>
      </c>
      <c r="BI83" s="50">
        <f>H83*AP83</f>
        <v>0</v>
      </c>
      <c r="BJ83" s="50">
        <f>H83*I83</f>
        <v>0</v>
      </c>
      <c r="BK83" s="50" t="s">
        <v>523</v>
      </c>
      <c r="BL83" s="67">
        <v>62</v>
      </c>
    </row>
    <row r="84" spans="1:47" ht="12.75">
      <c r="A84" s="33"/>
      <c r="B84" s="41" t="s">
        <v>137</v>
      </c>
      <c r="C84" s="168" t="s">
        <v>331</v>
      </c>
      <c r="D84" s="169"/>
      <c r="E84" s="169"/>
      <c r="F84" s="169"/>
      <c r="G84" s="48" t="s">
        <v>74</v>
      </c>
      <c r="H84" s="48" t="s">
        <v>74</v>
      </c>
      <c r="I84" s="48" t="s">
        <v>74</v>
      </c>
      <c r="J84" s="73">
        <f>SUM(J85:J90)</f>
        <v>0</v>
      </c>
      <c r="K84" s="73">
        <f>SUM(K85:K90)</f>
        <v>0</v>
      </c>
      <c r="L84" s="73">
        <f>SUM(L85:L90)</f>
        <v>0</v>
      </c>
      <c r="M84" s="62"/>
      <c r="N84" s="17"/>
      <c r="AI84" s="66"/>
      <c r="AS84" s="73">
        <f>SUM(AJ85:AJ90)</f>
        <v>0</v>
      </c>
      <c r="AT84" s="73">
        <f>SUM(AK85:AK90)</f>
        <v>0</v>
      </c>
      <c r="AU84" s="73">
        <f>SUM(AL85:AL90)</f>
        <v>0</v>
      </c>
    </row>
    <row r="85" spans="1:64" ht="12.75">
      <c r="A85" s="34" t="s">
        <v>104</v>
      </c>
      <c r="B85" s="42" t="s">
        <v>192</v>
      </c>
      <c r="C85" s="170" t="s">
        <v>332</v>
      </c>
      <c r="D85" s="171"/>
      <c r="E85" s="171"/>
      <c r="F85" s="171"/>
      <c r="G85" s="42" t="s">
        <v>454</v>
      </c>
      <c r="H85" s="50">
        <v>0.01978</v>
      </c>
      <c r="I85" s="50">
        <v>0</v>
      </c>
      <c r="J85" s="50">
        <f>H85*AO85</f>
        <v>0</v>
      </c>
      <c r="K85" s="50">
        <f>H85*AP85</f>
        <v>0</v>
      </c>
      <c r="L85" s="50">
        <f>H85*I85</f>
        <v>0</v>
      </c>
      <c r="M85" s="63" t="s">
        <v>471</v>
      </c>
      <c r="N85" s="17"/>
      <c r="Z85" s="67">
        <f>IF(AQ85="5",BJ85,0)</f>
        <v>0</v>
      </c>
      <c r="AB85" s="67">
        <f>IF(AQ85="1",BH85,0)</f>
        <v>0</v>
      </c>
      <c r="AC85" s="67">
        <f>IF(AQ85="1",BI85,0)</f>
        <v>0</v>
      </c>
      <c r="AD85" s="67">
        <f>IF(AQ85="7",BH85,0)</f>
        <v>0</v>
      </c>
      <c r="AE85" s="67">
        <f>IF(AQ85="7",BI85,0)</f>
        <v>0</v>
      </c>
      <c r="AF85" s="67">
        <f>IF(AQ85="2",BH85,0)</f>
        <v>0</v>
      </c>
      <c r="AG85" s="67">
        <f>IF(AQ85="2",BI85,0)</f>
        <v>0</v>
      </c>
      <c r="AH85" s="67">
        <f>IF(AQ85="0",BJ85,0)</f>
        <v>0</v>
      </c>
      <c r="AI85" s="66"/>
      <c r="AJ85" s="50">
        <f>IF(AN85=0,L85,0)</f>
        <v>0</v>
      </c>
      <c r="AK85" s="50">
        <f>IF(AN85=15,L85,0)</f>
        <v>0</v>
      </c>
      <c r="AL85" s="50">
        <f>IF(AN85=21,L85,0)</f>
        <v>0</v>
      </c>
      <c r="AN85" s="67">
        <v>21</v>
      </c>
      <c r="AO85" s="67">
        <f>I85*0.879857982219872</f>
        <v>0</v>
      </c>
      <c r="AP85" s="67">
        <f>I85*(1-0.879857982219872)</f>
        <v>0</v>
      </c>
      <c r="AQ85" s="68" t="s">
        <v>75</v>
      </c>
      <c r="AV85" s="67">
        <f>AW85+AX85</f>
        <v>0</v>
      </c>
      <c r="AW85" s="67">
        <f>H85*AO85</f>
        <v>0</v>
      </c>
      <c r="AX85" s="67">
        <f>H85*AP85</f>
        <v>0</v>
      </c>
      <c r="AY85" s="70" t="s">
        <v>494</v>
      </c>
      <c r="AZ85" s="70" t="s">
        <v>513</v>
      </c>
      <c r="BA85" s="66" t="s">
        <v>518</v>
      </c>
      <c r="BC85" s="67">
        <f>AW85+AX85</f>
        <v>0</v>
      </c>
      <c r="BD85" s="67">
        <f>I85/(100-BE85)*100</f>
        <v>0</v>
      </c>
      <c r="BE85" s="67">
        <v>0</v>
      </c>
      <c r="BF85" s="67">
        <f>85</f>
        <v>85</v>
      </c>
      <c r="BH85" s="50">
        <f>H85*AO85</f>
        <v>0</v>
      </c>
      <c r="BI85" s="50">
        <f>H85*AP85</f>
        <v>0</v>
      </c>
      <c r="BJ85" s="50">
        <f>H85*I85</f>
        <v>0</v>
      </c>
      <c r="BK85" s="50" t="s">
        <v>523</v>
      </c>
      <c r="BL85" s="67">
        <v>63</v>
      </c>
    </row>
    <row r="86" spans="1:14" ht="12.75">
      <c r="A86" s="17"/>
      <c r="C86" s="45" t="s">
        <v>299</v>
      </c>
      <c r="F86" s="46"/>
      <c r="H86" s="51">
        <v>0</v>
      </c>
      <c r="M86" s="16"/>
      <c r="N86" s="17"/>
    </row>
    <row r="87" spans="1:14" ht="12.75">
      <c r="A87" s="17"/>
      <c r="C87" s="45" t="s">
        <v>333</v>
      </c>
      <c r="F87" s="46"/>
      <c r="H87" s="51">
        <v>0.01978</v>
      </c>
      <c r="M87" s="16"/>
      <c r="N87" s="17"/>
    </row>
    <row r="88" spans="1:64" ht="12.75">
      <c r="A88" s="34" t="s">
        <v>105</v>
      </c>
      <c r="B88" s="42" t="s">
        <v>193</v>
      </c>
      <c r="C88" s="170" t="s">
        <v>334</v>
      </c>
      <c r="D88" s="171"/>
      <c r="E88" s="171"/>
      <c r="F88" s="171"/>
      <c r="G88" s="42" t="s">
        <v>452</v>
      </c>
      <c r="H88" s="50">
        <v>0.4455</v>
      </c>
      <c r="I88" s="50">
        <v>0</v>
      </c>
      <c r="J88" s="50">
        <f>H88*AO88</f>
        <v>0</v>
      </c>
      <c r="K88" s="50">
        <f>H88*AP88</f>
        <v>0</v>
      </c>
      <c r="L88" s="50">
        <f>H88*I88</f>
        <v>0</v>
      </c>
      <c r="M88" s="63" t="s">
        <v>471</v>
      </c>
      <c r="N88" s="17"/>
      <c r="Z88" s="67">
        <f>IF(AQ88="5",BJ88,0)</f>
        <v>0</v>
      </c>
      <c r="AB88" s="67">
        <f>IF(AQ88="1",BH88,0)</f>
        <v>0</v>
      </c>
      <c r="AC88" s="67">
        <f>IF(AQ88="1",BI88,0)</f>
        <v>0</v>
      </c>
      <c r="AD88" s="67">
        <f>IF(AQ88="7",BH88,0)</f>
        <v>0</v>
      </c>
      <c r="AE88" s="67">
        <f>IF(AQ88="7",BI88,0)</f>
        <v>0</v>
      </c>
      <c r="AF88" s="67">
        <f>IF(AQ88="2",BH88,0)</f>
        <v>0</v>
      </c>
      <c r="AG88" s="67">
        <f>IF(AQ88="2",BI88,0)</f>
        <v>0</v>
      </c>
      <c r="AH88" s="67">
        <f>IF(AQ88="0",BJ88,0)</f>
        <v>0</v>
      </c>
      <c r="AI88" s="66"/>
      <c r="AJ88" s="50">
        <f>IF(AN88=0,L88,0)</f>
        <v>0</v>
      </c>
      <c r="AK88" s="50">
        <f>IF(AN88=15,L88,0)</f>
        <v>0</v>
      </c>
      <c r="AL88" s="50">
        <f>IF(AN88=21,L88,0)</f>
        <v>0</v>
      </c>
      <c r="AN88" s="67">
        <v>21</v>
      </c>
      <c r="AO88" s="67">
        <f>I88*0.856801472511517</f>
        <v>0</v>
      </c>
      <c r="AP88" s="67">
        <f>I88*(1-0.856801472511517)</f>
        <v>0</v>
      </c>
      <c r="AQ88" s="68" t="s">
        <v>75</v>
      </c>
      <c r="AV88" s="67">
        <f>AW88+AX88</f>
        <v>0</v>
      </c>
      <c r="AW88" s="67">
        <f>H88*AO88</f>
        <v>0</v>
      </c>
      <c r="AX88" s="67">
        <f>H88*AP88</f>
        <v>0</v>
      </c>
      <c r="AY88" s="70" t="s">
        <v>494</v>
      </c>
      <c r="AZ88" s="70" t="s">
        <v>513</v>
      </c>
      <c r="BA88" s="66" t="s">
        <v>518</v>
      </c>
      <c r="BC88" s="67">
        <f>AW88+AX88</f>
        <v>0</v>
      </c>
      <c r="BD88" s="67">
        <f>I88/(100-BE88)*100</f>
        <v>0</v>
      </c>
      <c r="BE88" s="67">
        <v>0</v>
      </c>
      <c r="BF88" s="67">
        <f>88</f>
        <v>88</v>
      </c>
      <c r="BH88" s="50">
        <f>H88*AO88</f>
        <v>0</v>
      </c>
      <c r="BI88" s="50">
        <f>H88*AP88</f>
        <v>0</v>
      </c>
      <c r="BJ88" s="50">
        <f>H88*I88</f>
        <v>0</v>
      </c>
      <c r="BK88" s="50" t="s">
        <v>523</v>
      </c>
      <c r="BL88" s="67">
        <v>63</v>
      </c>
    </row>
    <row r="89" spans="1:14" ht="12.75">
      <c r="A89" s="17"/>
      <c r="C89" s="45" t="s">
        <v>335</v>
      </c>
      <c r="F89" s="46"/>
      <c r="H89" s="51">
        <v>0.4455</v>
      </c>
      <c r="M89" s="16"/>
      <c r="N89" s="17"/>
    </row>
    <row r="90" spans="1:64" ht="12.75">
      <c r="A90" s="34" t="s">
        <v>106</v>
      </c>
      <c r="B90" s="42" t="s">
        <v>194</v>
      </c>
      <c r="C90" s="170" t="s">
        <v>336</v>
      </c>
      <c r="D90" s="171"/>
      <c r="E90" s="171"/>
      <c r="F90" s="171"/>
      <c r="G90" s="42" t="s">
        <v>451</v>
      </c>
      <c r="H90" s="50">
        <v>4.455</v>
      </c>
      <c r="I90" s="50">
        <v>0</v>
      </c>
      <c r="J90" s="50">
        <f>H90*AO90</f>
        <v>0</v>
      </c>
      <c r="K90" s="50">
        <f>H90*AP90</f>
        <v>0</v>
      </c>
      <c r="L90" s="50">
        <f>H90*I90</f>
        <v>0</v>
      </c>
      <c r="M90" s="63" t="s">
        <v>471</v>
      </c>
      <c r="N90" s="17"/>
      <c r="Z90" s="67">
        <f>IF(AQ90="5",BJ90,0)</f>
        <v>0</v>
      </c>
      <c r="AB90" s="67">
        <f>IF(AQ90="1",BH90,0)</f>
        <v>0</v>
      </c>
      <c r="AC90" s="67">
        <f>IF(AQ90="1",BI90,0)</f>
        <v>0</v>
      </c>
      <c r="AD90" s="67">
        <f>IF(AQ90="7",BH90,0)</f>
        <v>0</v>
      </c>
      <c r="AE90" s="67">
        <f>IF(AQ90="7",BI90,0)</f>
        <v>0</v>
      </c>
      <c r="AF90" s="67">
        <f>IF(AQ90="2",BH90,0)</f>
        <v>0</v>
      </c>
      <c r="AG90" s="67">
        <f>IF(AQ90="2",BI90,0)</f>
        <v>0</v>
      </c>
      <c r="AH90" s="67">
        <f>IF(AQ90="0",BJ90,0)</f>
        <v>0</v>
      </c>
      <c r="AI90" s="66"/>
      <c r="AJ90" s="50">
        <f>IF(AN90=0,L90,0)</f>
        <v>0</v>
      </c>
      <c r="AK90" s="50">
        <f>IF(AN90=15,L90,0)</f>
        <v>0</v>
      </c>
      <c r="AL90" s="50">
        <f>IF(AN90=21,L90,0)</f>
        <v>0</v>
      </c>
      <c r="AN90" s="67">
        <v>21</v>
      </c>
      <c r="AO90" s="67">
        <f>I90*0.745718618019858</f>
        <v>0</v>
      </c>
      <c r="AP90" s="67">
        <f>I90*(1-0.745718618019858)</f>
        <v>0</v>
      </c>
      <c r="AQ90" s="68" t="s">
        <v>75</v>
      </c>
      <c r="AV90" s="67">
        <f>AW90+AX90</f>
        <v>0</v>
      </c>
      <c r="AW90" s="67">
        <f>H90*AO90</f>
        <v>0</v>
      </c>
      <c r="AX90" s="67">
        <f>H90*AP90</f>
        <v>0</v>
      </c>
      <c r="AY90" s="70" t="s">
        <v>494</v>
      </c>
      <c r="AZ90" s="70" t="s">
        <v>513</v>
      </c>
      <c r="BA90" s="66" t="s">
        <v>518</v>
      </c>
      <c r="BC90" s="67">
        <f>AW90+AX90</f>
        <v>0</v>
      </c>
      <c r="BD90" s="67">
        <f>I90/(100-BE90)*100</f>
        <v>0</v>
      </c>
      <c r="BE90" s="67">
        <v>0</v>
      </c>
      <c r="BF90" s="67">
        <f>90</f>
        <v>90</v>
      </c>
      <c r="BH90" s="50">
        <f>H90*AO90</f>
        <v>0</v>
      </c>
      <c r="BI90" s="50">
        <f>H90*AP90</f>
        <v>0</v>
      </c>
      <c r="BJ90" s="50">
        <f>H90*I90</f>
        <v>0</v>
      </c>
      <c r="BK90" s="50" t="s">
        <v>523</v>
      </c>
      <c r="BL90" s="67">
        <v>63</v>
      </c>
    </row>
    <row r="91" spans="1:14" ht="12.75">
      <c r="A91" s="17"/>
      <c r="C91" s="45" t="s">
        <v>337</v>
      </c>
      <c r="F91" s="46"/>
      <c r="H91" s="51">
        <v>4.455</v>
      </c>
      <c r="M91" s="16"/>
      <c r="N91" s="17"/>
    </row>
    <row r="92" spans="1:47" ht="12.75">
      <c r="A92" s="33"/>
      <c r="B92" s="41" t="s">
        <v>195</v>
      </c>
      <c r="C92" s="168" t="s">
        <v>338</v>
      </c>
      <c r="D92" s="169"/>
      <c r="E92" s="169"/>
      <c r="F92" s="169"/>
      <c r="G92" s="48" t="s">
        <v>74</v>
      </c>
      <c r="H92" s="48" t="s">
        <v>74</v>
      </c>
      <c r="I92" s="48" t="s">
        <v>74</v>
      </c>
      <c r="J92" s="73">
        <f>SUM(J93:J100)</f>
        <v>0</v>
      </c>
      <c r="K92" s="73">
        <f>SUM(K93:K100)</f>
        <v>0</v>
      </c>
      <c r="L92" s="73">
        <f>SUM(L93:L100)</f>
        <v>0</v>
      </c>
      <c r="M92" s="62"/>
      <c r="N92" s="17"/>
      <c r="AI92" s="66"/>
      <c r="AS92" s="73">
        <f>SUM(AJ93:AJ100)</f>
        <v>0</v>
      </c>
      <c r="AT92" s="73">
        <f>SUM(AK93:AK100)</f>
        <v>0</v>
      </c>
      <c r="AU92" s="73">
        <f>SUM(AL93:AL100)</f>
        <v>0</v>
      </c>
    </row>
    <row r="93" spans="1:64" ht="12.75">
      <c r="A93" s="34" t="s">
        <v>107</v>
      </c>
      <c r="B93" s="42" t="s">
        <v>196</v>
      </c>
      <c r="C93" s="170" t="s">
        <v>339</v>
      </c>
      <c r="D93" s="171"/>
      <c r="E93" s="171"/>
      <c r="F93" s="171"/>
      <c r="G93" s="42" t="s">
        <v>451</v>
      </c>
      <c r="H93" s="50">
        <v>9.465</v>
      </c>
      <c r="I93" s="50">
        <v>0</v>
      </c>
      <c r="J93" s="50">
        <f>H93*AO93</f>
        <v>0</v>
      </c>
      <c r="K93" s="50">
        <f>H93*AP93</f>
        <v>0</v>
      </c>
      <c r="L93" s="50">
        <f>H93*I93</f>
        <v>0</v>
      </c>
      <c r="M93" s="63" t="s">
        <v>471</v>
      </c>
      <c r="N93" s="17"/>
      <c r="Z93" s="67">
        <f>IF(AQ93="5",BJ93,0)</f>
        <v>0</v>
      </c>
      <c r="AB93" s="67">
        <f>IF(AQ93="1",BH93,0)</f>
        <v>0</v>
      </c>
      <c r="AC93" s="67">
        <f>IF(AQ93="1",BI93,0)</f>
        <v>0</v>
      </c>
      <c r="AD93" s="67">
        <f>IF(AQ93="7",BH93,0)</f>
        <v>0</v>
      </c>
      <c r="AE93" s="67">
        <f>IF(AQ93="7",BI93,0)</f>
        <v>0</v>
      </c>
      <c r="AF93" s="67">
        <f>IF(AQ93="2",BH93,0)</f>
        <v>0</v>
      </c>
      <c r="AG93" s="67">
        <f>IF(AQ93="2",BI93,0)</f>
        <v>0</v>
      </c>
      <c r="AH93" s="67">
        <f>IF(AQ93="0",BJ93,0)</f>
        <v>0</v>
      </c>
      <c r="AI93" s="66"/>
      <c r="AJ93" s="50">
        <f>IF(AN93=0,L93,0)</f>
        <v>0</v>
      </c>
      <c r="AK93" s="50">
        <f>IF(AN93=15,L93,0)</f>
        <v>0</v>
      </c>
      <c r="AL93" s="50">
        <f>IF(AN93=21,L93,0)</f>
        <v>0</v>
      </c>
      <c r="AN93" s="67">
        <v>21</v>
      </c>
      <c r="AO93" s="67">
        <f>I93*0.362483149533431</f>
        <v>0</v>
      </c>
      <c r="AP93" s="67">
        <f>I93*(1-0.362483149533431)</f>
        <v>0</v>
      </c>
      <c r="AQ93" s="68" t="s">
        <v>81</v>
      </c>
      <c r="AV93" s="67">
        <f>AW93+AX93</f>
        <v>0</v>
      </c>
      <c r="AW93" s="67">
        <f>H93*AO93</f>
        <v>0</v>
      </c>
      <c r="AX93" s="67">
        <f>H93*AP93</f>
        <v>0</v>
      </c>
      <c r="AY93" s="70" t="s">
        <v>495</v>
      </c>
      <c r="AZ93" s="70" t="s">
        <v>514</v>
      </c>
      <c r="BA93" s="66" t="s">
        <v>518</v>
      </c>
      <c r="BC93" s="67">
        <f>AW93+AX93</f>
        <v>0</v>
      </c>
      <c r="BD93" s="67">
        <f>I93/(100-BE93)*100</f>
        <v>0</v>
      </c>
      <c r="BE93" s="67">
        <v>0</v>
      </c>
      <c r="BF93" s="67">
        <f>93</f>
        <v>93</v>
      </c>
      <c r="BH93" s="50">
        <f>H93*AO93</f>
        <v>0</v>
      </c>
      <c r="BI93" s="50">
        <f>H93*AP93</f>
        <v>0</v>
      </c>
      <c r="BJ93" s="50">
        <f>H93*I93</f>
        <v>0</v>
      </c>
      <c r="BK93" s="50" t="s">
        <v>523</v>
      </c>
      <c r="BL93" s="67">
        <v>711</v>
      </c>
    </row>
    <row r="94" spans="1:64" ht="12.75">
      <c r="A94" s="34" t="s">
        <v>108</v>
      </c>
      <c r="B94" s="42" t="s">
        <v>197</v>
      </c>
      <c r="C94" s="170" t="s">
        <v>340</v>
      </c>
      <c r="D94" s="171"/>
      <c r="E94" s="171"/>
      <c r="F94" s="171"/>
      <c r="G94" s="42" t="s">
        <v>451</v>
      </c>
      <c r="H94" s="50">
        <v>9.465</v>
      </c>
      <c r="I94" s="50">
        <v>0</v>
      </c>
      <c r="J94" s="50">
        <f>H94*AO94</f>
        <v>0</v>
      </c>
      <c r="K94" s="50">
        <f>H94*AP94</f>
        <v>0</v>
      </c>
      <c r="L94" s="50">
        <f>H94*I94</f>
        <v>0</v>
      </c>
      <c r="M94" s="63" t="s">
        <v>471</v>
      </c>
      <c r="N94" s="17"/>
      <c r="Z94" s="67">
        <f>IF(AQ94="5",BJ94,0)</f>
        <v>0</v>
      </c>
      <c r="AB94" s="67">
        <f>IF(AQ94="1",BH94,0)</f>
        <v>0</v>
      </c>
      <c r="AC94" s="67">
        <f>IF(AQ94="1",BI94,0)</f>
        <v>0</v>
      </c>
      <c r="AD94" s="67">
        <f>IF(AQ94="7",BH94,0)</f>
        <v>0</v>
      </c>
      <c r="AE94" s="67">
        <f>IF(AQ94="7",BI94,0)</f>
        <v>0</v>
      </c>
      <c r="AF94" s="67">
        <f>IF(AQ94="2",BH94,0)</f>
        <v>0</v>
      </c>
      <c r="AG94" s="67">
        <f>IF(AQ94="2",BI94,0)</f>
        <v>0</v>
      </c>
      <c r="AH94" s="67">
        <f>IF(AQ94="0",BJ94,0)</f>
        <v>0</v>
      </c>
      <c r="AI94" s="66"/>
      <c r="AJ94" s="50">
        <f>IF(AN94=0,L94,0)</f>
        <v>0</v>
      </c>
      <c r="AK94" s="50">
        <f>IF(AN94=15,L94,0)</f>
        <v>0</v>
      </c>
      <c r="AL94" s="50">
        <f>IF(AN94=21,L94,0)</f>
        <v>0</v>
      </c>
      <c r="AN94" s="67">
        <v>21</v>
      </c>
      <c r="AO94" s="67">
        <f>I94*0.605298742138365</f>
        <v>0</v>
      </c>
      <c r="AP94" s="67">
        <f>I94*(1-0.605298742138365)</f>
        <v>0</v>
      </c>
      <c r="AQ94" s="68" t="s">
        <v>81</v>
      </c>
      <c r="AV94" s="67">
        <f>AW94+AX94</f>
        <v>0</v>
      </c>
      <c r="AW94" s="67">
        <f>H94*AO94</f>
        <v>0</v>
      </c>
      <c r="AX94" s="67">
        <f>H94*AP94</f>
        <v>0</v>
      </c>
      <c r="AY94" s="70" t="s">
        <v>495</v>
      </c>
      <c r="AZ94" s="70" t="s">
        <v>514</v>
      </c>
      <c r="BA94" s="66" t="s">
        <v>518</v>
      </c>
      <c r="BC94" s="67">
        <f>AW94+AX94</f>
        <v>0</v>
      </c>
      <c r="BD94" s="67">
        <f>I94/(100-BE94)*100</f>
        <v>0</v>
      </c>
      <c r="BE94" s="67">
        <v>0</v>
      </c>
      <c r="BF94" s="67">
        <f>94</f>
        <v>94</v>
      </c>
      <c r="BH94" s="50">
        <f>H94*AO94</f>
        <v>0</v>
      </c>
      <c r="BI94" s="50">
        <f>H94*AP94</f>
        <v>0</v>
      </c>
      <c r="BJ94" s="50">
        <f>H94*I94</f>
        <v>0</v>
      </c>
      <c r="BK94" s="50" t="s">
        <v>523</v>
      </c>
      <c r="BL94" s="67">
        <v>711</v>
      </c>
    </row>
    <row r="95" spans="1:14" ht="12.75">
      <c r="A95" s="17"/>
      <c r="C95" s="45" t="s">
        <v>337</v>
      </c>
      <c r="F95" s="46"/>
      <c r="H95" s="51">
        <v>4.455</v>
      </c>
      <c r="M95" s="16"/>
      <c r="N95" s="17"/>
    </row>
    <row r="96" spans="1:14" ht="12.75">
      <c r="A96" s="17"/>
      <c r="C96" s="45" t="s">
        <v>341</v>
      </c>
      <c r="F96" s="46"/>
      <c r="H96" s="51">
        <v>5.01</v>
      </c>
      <c r="M96" s="16"/>
      <c r="N96" s="17"/>
    </row>
    <row r="97" spans="1:64" ht="12.75">
      <c r="A97" s="34" t="s">
        <v>109</v>
      </c>
      <c r="B97" s="42" t="s">
        <v>198</v>
      </c>
      <c r="C97" s="170" t="s">
        <v>342</v>
      </c>
      <c r="D97" s="171"/>
      <c r="E97" s="171"/>
      <c r="F97" s="171"/>
      <c r="G97" s="42" t="s">
        <v>455</v>
      </c>
      <c r="H97" s="50">
        <v>6.7</v>
      </c>
      <c r="I97" s="50">
        <v>0</v>
      </c>
      <c r="J97" s="50">
        <f>H97*AO97</f>
        <v>0</v>
      </c>
      <c r="K97" s="50">
        <f>H97*AP97</f>
        <v>0</v>
      </c>
      <c r="L97" s="50">
        <f>H97*I97</f>
        <v>0</v>
      </c>
      <c r="M97" s="63" t="s">
        <v>471</v>
      </c>
      <c r="N97" s="17"/>
      <c r="Z97" s="67">
        <f>IF(AQ97="5",BJ97,0)</f>
        <v>0</v>
      </c>
      <c r="AB97" s="67">
        <f>IF(AQ97="1",BH97,0)</f>
        <v>0</v>
      </c>
      <c r="AC97" s="67">
        <f>IF(AQ97="1",BI97,0)</f>
        <v>0</v>
      </c>
      <c r="AD97" s="67">
        <f>IF(AQ97="7",BH97,0)</f>
        <v>0</v>
      </c>
      <c r="AE97" s="67">
        <f>IF(AQ97="7",BI97,0)</f>
        <v>0</v>
      </c>
      <c r="AF97" s="67">
        <f>IF(AQ97="2",BH97,0)</f>
        <v>0</v>
      </c>
      <c r="AG97" s="67">
        <f>IF(AQ97="2",BI97,0)</f>
        <v>0</v>
      </c>
      <c r="AH97" s="67">
        <f>IF(AQ97="0",BJ97,0)</f>
        <v>0</v>
      </c>
      <c r="AI97" s="66"/>
      <c r="AJ97" s="50">
        <f>IF(AN97=0,L97,0)</f>
        <v>0</v>
      </c>
      <c r="AK97" s="50">
        <f>IF(AN97=15,L97,0)</f>
        <v>0</v>
      </c>
      <c r="AL97" s="50">
        <f>IF(AN97=21,L97,0)</f>
        <v>0</v>
      </c>
      <c r="AN97" s="67">
        <v>21</v>
      </c>
      <c r="AO97" s="67">
        <f>I97*0.666966966966967</f>
        <v>0</v>
      </c>
      <c r="AP97" s="67">
        <f>I97*(1-0.666966966966967)</f>
        <v>0</v>
      </c>
      <c r="AQ97" s="68" t="s">
        <v>81</v>
      </c>
      <c r="AV97" s="67">
        <f>AW97+AX97</f>
        <v>0</v>
      </c>
      <c r="AW97" s="67">
        <f>H97*AO97</f>
        <v>0</v>
      </c>
      <c r="AX97" s="67">
        <f>H97*AP97</f>
        <v>0</v>
      </c>
      <c r="AY97" s="70" t="s">
        <v>495</v>
      </c>
      <c r="AZ97" s="70" t="s">
        <v>514</v>
      </c>
      <c r="BA97" s="66" t="s">
        <v>518</v>
      </c>
      <c r="BC97" s="67">
        <f>AW97+AX97</f>
        <v>0</v>
      </c>
      <c r="BD97" s="67">
        <f>I97/(100-BE97)*100</f>
        <v>0</v>
      </c>
      <c r="BE97" s="67">
        <v>0</v>
      </c>
      <c r="BF97" s="67">
        <f>97</f>
        <v>97</v>
      </c>
      <c r="BH97" s="50">
        <f>H97*AO97</f>
        <v>0</v>
      </c>
      <c r="BI97" s="50">
        <f>H97*AP97</f>
        <v>0</v>
      </c>
      <c r="BJ97" s="50">
        <f>H97*I97</f>
        <v>0</v>
      </c>
      <c r="BK97" s="50" t="s">
        <v>523</v>
      </c>
      <c r="BL97" s="67">
        <v>711</v>
      </c>
    </row>
    <row r="98" spans="1:14" ht="12.75">
      <c r="A98" s="17"/>
      <c r="C98" s="45" t="s">
        <v>343</v>
      </c>
      <c r="F98" s="46"/>
      <c r="H98" s="51">
        <v>6.7</v>
      </c>
      <c r="M98" s="16"/>
      <c r="N98" s="17"/>
    </row>
    <row r="99" spans="1:64" ht="12.75">
      <c r="A99" s="35" t="s">
        <v>110</v>
      </c>
      <c r="B99" s="43" t="s">
        <v>199</v>
      </c>
      <c r="C99" s="174" t="s">
        <v>344</v>
      </c>
      <c r="D99" s="175"/>
      <c r="E99" s="175"/>
      <c r="F99" s="175"/>
      <c r="G99" s="43" t="s">
        <v>455</v>
      </c>
      <c r="H99" s="52">
        <v>6.7</v>
      </c>
      <c r="I99" s="52">
        <v>0</v>
      </c>
      <c r="J99" s="52">
        <f>H99*AO99</f>
        <v>0</v>
      </c>
      <c r="K99" s="52">
        <f>H99*AP99</f>
        <v>0</v>
      </c>
      <c r="L99" s="52">
        <f>H99*I99</f>
        <v>0</v>
      </c>
      <c r="M99" s="64" t="s">
        <v>471</v>
      </c>
      <c r="N99" s="17"/>
      <c r="Z99" s="67">
        <f>IF(AQ99="5",BJ99,0)</f>
        <v>0</v>
      </c>
      <c r="AB99" s="67">
        <f>IF(AQ99="1",BH99,0)</f>
        <v>0</v>
      </c>
      <c r="AC99" s="67">
        <f>IF(AQ99="1",BI99,0)</f>
        <v>0</v>
      </c>
      <c r="AD99" s="67">
        <f>IF(AQ99="7",BH99,0)</f>
        <v>0</v>
      </c>
      <c r="AE99" s="67">
        <f>IF(AQ99="7",BI99,0)</f>
        <v>0</v>
      </c>
      <c r="AF99" s="67">
        <f>IF(AQ99="2",BH99,0)</f>
        <v>0</v>
      </c>
      <c r="AG99" s="67">
        <f>IF(AQ99="2",BI99,0)</f>
        <v>0</v>
      </c>
      <c r="AH99" s="67">
        <f>IF(AQ99="0",BJ99,0)</f>
        <v>0</v>
      </c>
      <c r="AI99" s="66"/>
      <c r="AJ99" s="52">
        <f>IF(AN99=0,L99,0)</f>
        <v>0</v>
      </c>
      <c r="AK99" s="52">
        <f>IF(AN99=15,L99,0)</f>
        <v>0</v>
      </c>
      <c r="AL99" s="52">
        <f>IF(AN99=21,L99,0)</f>
        <v>0</v>
      </c>
      <c r="AN99" s="67">
        <v>21</v>
      </c>
      <c r="AO99" s="67">
        <f>I99*1</f>
        <v>0</v>
      </c>
      <c r="AP99" s="67">
        <f>I99*(1-1)</f>
        <v>0</v>
      </c>
      <c r="AQ99" s="69" t="s">
        <v>81</v>
      </c>
      <c r="AV99" s="67">
        <f>AW99+AX99</f>
        <v>0</v>
      </c>
      <c r="AW99" s="67">
        <f>H99*AO99</f>
        <v>0</v>
      </c>
      <c r="AX99" s="67">
        <f>H99*AP99</f>
        <v>0</v>
      </c>
      <c r="AY99" s="70" t="s">
        <v>495</v>
      </c>
      <c r="AZ99" s="70" t="s">
        <v>514</v>
      </c>
      <c r="BA99" s="66" t="s">
        <v>518</v>
      </c>
      <c r="BC99" s="67">
        <f>AW99+AX99</f>
        <v>0</v>
      </c>
      <c r="BD99" s="67">
        <f>I99/(100-BE99)*100</f>
        <v>0</v>
      </c>
      <c r="BE99" s="67">
        <v>0</v>
      </c>
      <c r="BF99" s="67">
        <f>99</f>
        <v>99</v>
      </c>
      <c r="BH99" s="52">
        <f>H99*AO99</f>
        <v>0</v>
      </c>
      <c r="BI99" s="52">
        <f>H99*AP99</f>
        <v>0</v>
      </c>
      <c r="BJ99" s="52">
        <f>H99*I99</f>
        <v>0</v>
      </c>
      <c r="BK99" s="52" t="s">
        <v>524</v>
      </c>
      <c r="BL99" s="67">
        <v>711</v>
      </c>
    </row>
    <row r="100" spans="1:64" ht="12.75">
      <c r="A100" s="34" t="s">
        <v>111</v>
      </c>
      <c r="B100" s="42" t="s">
        <v>200</v>
      </c>
      <c r="C100" s="170" t="s">
        <v>345</v>
      </c>
      <c r="D100" s="171"/>
      <c r="E100" s="171"/>
      <c r="F100" s="171"/>
      <c r="G100" s="42" t="s">
        <v>454</v>
      </c>
      <c r="H100" s="50">
        <v>0.0379</v>
      </c>
      <c r="I100" s="50">
        <v>0</v>
      </c>
      <c r="J100" s="50">
        <f>H100*AO100</f>
        <v>0</v>
      </c>
      <c r="K100" s="50">
        <f>H100*AP100</f>
        <v>0</v>
      </c>
      <c r="L100" s="50">
        <f>H100*I100</f>
        <v>0</v>
      </c>
      <c r="M100" s="63" t="s">
        <v>471</v>
      </c>
      <c r="N100" s="17"/>
      <c r="Z100" s="67">
        <f>IF(AQ100="5",BJ100,0)</f>
        <v>0</v>
      </c>
      <c r="AB100" s="67">
        <f>IF(AQ100="1",BH100,0)</f>
        <v>0</v>
      </c>
      <c r="AC100" s="67">
        <f>IF(AQ100="1",BI100,0)</f>
        <v>0</v>
      </c>
      <c r="AD100" s="67">
        <f>IF(AQ100="7",BH100,0)</f>
        <v>0</v>
      </c>
      <c r="AE100" s="67">
        <f>IF(AQ100="7",BI100,0)</f>
        <v>0</v>
      </c>
      <c r="AF100" s="67">
        <f>IF(AQ100="2",BH100,0)</f>
        <v>0</v>
      </c>
      <c r="AG100" s="67">
        <f>IF(AQ100="2",BI100,0)</f>
        <v>0</v>
      </c>
      <c r="AH100" s="67">
        <f>IF(AQ100="0",BJ100,0)</f>
        <v>0</v>
      </c>
      <c r="AI100" s="66"/>
      <c r="AJ100" s="50">
        <f>IF(AN100=0,L100,0)</f>
        <v>0</v>
      </c>
      <c r="AK100" s="50">
        <f>IF(AN100=15,L100,0)</f>
        <v>0</v>
      </c>
      <c r="AL100" s="50">
        <f>IF(AN100=21,L100,0)</f>
        <v>0</v>
      </c>
      <c r="AN100" s="67">
        <v>21</v>
      </c>
      <c r="AO100" s="67">
        <f>I100*0</f>
        <v>0</v>
      </c>
      <c r="AP100" s="67">
        <f>I100*(1-0)</f>
        <v>0</v>
      </c>
      <c r="AQ100" s="68" t="s">
        <v>79</v>
      </c>
      <c r="AV100" s="67">
        <f>AW100+AX100</f>
        <v>0</v>
      </c>
      <c r="AW100" s="67">
        <f>H100*AO100</f>
        <v>0</v>
      </c>
      <c r="AX100" s="67">
        <f>H100*AP100</f>
        <v>0</v>
      </c>
      <c r="AY100" s="70" t="s">
        <v>495</v>
      </c>
      <c r="AZ100" s="70" t="s">
        <v>514</v>
      </c>
      <c r="BA100" s="66" t="s">
        <v>518</v>
      </c>
      <c r="BC100" s="67">
        <f>AW100+AX100</f>
        <v>0</v>
      </c>
      <c r="BD100" s="67">
        <f>I100/(100-BE100)*100</f>
        <v>0</v>
      </c>
      <c r="BE100" s="67">
        <v>0</v>
      </c>
      <c r="BF100" s="67">
        <f>100</f>
        <v>100</v>
      </c>
      <c r="BH100" s="50">
        <f>H100*AO100</f>
        <v>0</v>
      </c>
      <c r="BI100" s="50">
        <f>H100*AP100</f>
        <v>0</v>
      </c>
      <c r="BJ100" s="50">
        <f>H100*I100</f>
        <v>0</v>
      </c>
      <c r="BK100" s="50" t="s">
        <v>523</v>
      </c>
      <c r="BL100" s="67">
        <v>711</v>
      </c>
    </row>
    <row r="101" spans="1:47" ht="12.75">
      <c r="A101" s="33"/>
      <c r="B101" s="41" t="s">
        <v>201</v>
      </c>
      <c r="C101" s="168" t="s">
        <v>346</v>
      </c>
      <c r="D101" s="169"/>
      <c r="E101" s="169"/>
      <c r="F101" s="169"/>
      <c r="G101" s="48" t="s">
        <v>74</v>
      </c>
      <c r="H101" s="48" t="s">
        <v>74</v>
      </c>
      <c r="I101" s="48" t="s">
        <v>74</v>
      </c>
      <c r="J101" s="73">
        <f>SUM(J102:J118)</f>
        <v>0</v>
      </c>
      <c r="K101" s="73">
        <f>SUM(K102:K118)</f>
        <v>0</v>
      </c>
      <c r="L101" s="73">
        <f>SUM(L102:L118)</f>
        <v>0</v>
      </c>
      <c r="M101" s="62"/>
      <c r="N101" s="17"/>
      <c r="AI101" s="66"/>
      <c r="AS101" s="73">
        <f>SUM(AJ102:AJ118)</f>
        <v>0</v>
      </c>
      <c r="AT101" s="73">
        <f>SUM(AK102:AK118)</f>
        <v>0</v>
      </c>
      <c r="AU101" s="73">
        <f>SUM(AL102:AL118)</f>
        <v>0</v>
      </c>
    </row>
    <row r="102" spans="1:64" ht="12.75">
      <c r="A102" s="34" t="s">
        <v>112</v>
      </c>
      <c r="B102" s="42" t="s">
        <v>202</v>
      </c>
      <c r="C102" s="170" t="s">
        <v>347</v>
      </c>
      <c r="D102" s="171"/>
      <c r="E102" s="171"/>
      <c r="F102" s="171"/>
      <c r="G102" s="42" t="s">
        <v>455</v>
      </c>
      <c r="H102" s="50">
        <v>8.7</v>
      </c>
      <c r="I102" s="50">
        <v>0</v>
      </c>
      <c r="J102" s="50">
        <f>H102*AO102</f>
        <v>0</v>
      </c>
      <c r="K102" s="50">
        <f>H102*AP102</f>
        <v>0</v>
      </c>
      <c r="L102" s="50">
        <f>H102*I102</f>
        <v>0</v>
      </c>
      <c r="M102" s="63" t="s">
        <v>471</v>
      </c>
      <c r="N102" s="17"/>
      <c r="Z102" s="67">
        <f>IF(AQ102="5",BJ102,0)</f>
        <v>0</v>
      </c>
      <c r="AB102" s="67">
        <f>IF(AQ102="1",BH102,0)</f>
        <v>0</v>
      </c>
      <c r="AC102" s="67">
        <f>IF(AQ102="1",BI102,0)</f>
        <v>0</v>
      </c>
      <c r="AD102" s="67">
        <f>IF(AQ102="7",BH102,0)</f>
        <v>0</v>
      </c>
      <c r="AE102" s="67">
        <f>IF(AQ102="7",BI102,0)</f>
        <v>0</v>
      </c>
      <c r="AF102" s="67">
        <f>IF(AQ102="2",BH102,0)</f>
        <v>0</v>
      </c>
      <c r="AG102" s="67">
        <f>IF(AQ102="2",BI102,0)</f>
        <v>0</v>
      </c>
      <c r="AH102" s="67">
        <f>IF(AQ102="0",BJ102,0)</f>
        <v>0</v>
      </c>
      <c r="AI102" s="66"/>
      <c r="AJ102" s="50">
        <f>IF(AN102=0,L102,0)</f>
        <v>0</v>
      </c>
      <c r="AK102" s="50">
        <f>IF(AN102=15,L102,0)</f>
        <v>0</v>
      </c>
      <c r="AL102" s="50">
        <f>IF(AN102=21,L102,0)</f>
        <v>0</v>
      </c>
      <c r="AN102" s="67">
        <v>21</v>
      </c>
      <c r="AO102" s="67">
        <f>I102*0</f>
        <v>0</v>
      </c>
      <c r="AP102" s="67">
        <f>I102*(1-0)</f>
        <v>0</v>
      </c>
      <c r="AQ102" s="68" t="s">
        <v>81</v>
      </c>
      <c r="AV102" s="67">
        <f>AW102+AX102</f>
        <v>0</v>
      </c>
      <c r="AW102" s="67">
        <f>H102*AO102</f>
        <v>0</v>
      </c>
      <c r="AX102" s="67">
        <f>H102*AP102</f>
        <v>0</v>
      </c>
      <c r="AY102" s="70" t="s">
        <v>496</v>
      </c>
      <c r="AZ102" s="70" t="s">
        <v>515</v>
      </c>
      <c r="BA102" s="66" t="s">
        <v>518</v>
      </c>
      <c r="BC102" s="67">
        <f>AW102+AX102</f>
        <v>0</v>
      </c>
      <c r="BD102" s="67">
        <f>I102/(100-BE102)*100</f>
        <v>0</v>
      </c>
      <c r="BE102" s="67">
        <v>0</v>
      </c>
      <c r="BF102" s="67">
        <f>102</f>
        <v>102</v>
      </c>
      <c r="BH102" s="50">
        <f>H102*AO102</f>
        <v>0</v>
      </c>
      <c r="BI102" s="50">
        <f>H102*AP102</f>
        <v>0</v>
      </c>
      <c r="BJ102" s="50">
        <f>H102*I102</f>
        <v>0</v>
      </c>
      <c r="BK102" s="50" t="s">
        <v>523</v>
      </c>
      <c r="BL102" s="67">
        <v>764</v>
      </c>
    </row>
    <row r="103" spans="1:14" ht="12.75">
      <c r="A103" s="17"/>
      <c r="C103" s="45" t="s">
        <v>348</v>
      </c>
      <c r="F103" s="46"/>
      <c r="H103" s="51">
        <v>8.7</v>
      </c>
      <c r="M103" s="16"/>
      <c r="N103" s="17"/>
    </row>
    <row r="104" spans="1:64" ht="12.75">
      <c r="A104" s="34" t="s">
        <v>113</v>
      </c>
      <c r="B104" s="42" t="s">
        <v>203</v>
      </c>
      <c r="C104" s="170" t="s">
        <v>349</v>
      </c>
      <c r="D104" s="171"/>
      <c r="E104" s="171"/>
      <c r="F104" s="171"/>
      <c r="G104" s="42" t="s">
        <v>455</v>
      </c>
      <c r="H104" s="50">
        <v>7.5</v>
      </c>
      <c r="I104" s="50">
        <v>0</v>
      </c>
      <c r="J104" s="50">
        <f>H104*AO104</f>
        <v>0</v>
      </c>
      <c r="K104" s="50">
        <f>H104*AP104</f>
        <v>0</v>
      </c>
      <c r="L104" s="50">
        <f>H104*I104</f>
        <v>0</v>
      </c>
      <c r="M104" s="63" t="s">
        <v>471</v>
      </c>
      <c r="N104" s="17"/>
      <c r="Z104" s="67">
        <f>IF(AQ104="5",BJ104,0)</f>
        <v>0</v>
      </c>
      <c r="AB104" s="67">
        <f>IF(AQ104="1",BH104,0)</f>
        <v>0</v>
      </c>
      <c r="AC104" s="67">
        <f>IF(AQ104="1",BI104,0)</f>
        <v>0</v>
      </c>
      <c r="AD104" s="67">
        <f>IF(AQ104="7",BH104,0)</f>
        <v>0</v>
      </c>
      <c r="AE104" s="67">
        <f>IF(AQ104="7",BI104,0)</f>
        <v>0</v>
      </c>
      <c r="AF104" s="67">
        <f>IF(AQ104="2",BH104,0)</f>
        <v>0</v>
      </c>
      <c r="AG104" s="67">
        <f>IF(AQ104="2",BI104,0)</f>
        <v>0</v>
      </c>
      <c r="AH104" s="67">
        <f>IF(AQ104="0",BJ104,0)</f>
        <v>0</v>
      </c>
      <c r="AI104" s="66"/>
      <c r="AJ104" s="50">
        <f>IF(AN104=0,L104,0)</f>
        <v>0</v>
      </c>
      <c r="AK104" s="50">
        <f>IF(AN104=15,L104,0)</f>
        <v>0</v>
      </c>
      <c r="AL104" s="50">
        <f>IF(AN104=21,L104,0)</f>
        <v>0</v>
      </c>
      <c r="AN104" s="67">
        <v>21</v>
      </c>
      <c r="AO104" s="67">
        <f>I104*0</f>
        <v>0</v>
      </c>
      <c r="AP104" s="67">
        <f>I104*(1-0)</f>
        <v>0</v>
      </c>
      <c r="AQ104" s="68" t="s">
        <v>81</v>
      </c>
      <c r="AV104" s="67">
        <f>AW104+AX104</f>
        <v>0</v>
      </c>
      <c r="AW104" s="67">
        <f>H104*AO104</f>
        <v>0</v>
      </c>
      <c r="AX104" s="67">
        <f>H104*AP104</f>
        <v>0</v>
      </c>
      <c r="AY104" s="70" t="s">
        <v>496</v>
      </c>
      <c r="AZ104" s="70" t="s">
        <v>515</v>
      </c>
      <c r="BA104" s="66" t="s">
        <v>518</v>
      </c>
      <c r="BC104" s="67">
        <f>AW104+AX104</f>
        <v>0</v>
      </c>
      <c r="BD104" s="67">
        <f>I104/(100-BE104)*100</f>
        <v>0</v>
      </c>
      <c r="BE104" s="67">
        <v>0</v>
      </c>
      <c r="BF104" s="67">
        <f>104</f>
        <v>104</v>
      </c>
      <c r="BH104" s="50">
        <f>H104*AO104</f>
        <v>0</v>
      </c>
      <c r="BI104" s="50">
        <f>H104*AP104</f>
        <v>0</v>
      </c>
      <c r="BJ104" s="50">
        <f>H104*I104</f>
        <v>0</v>
      </c>
      <c r="BK104" s="50" t="s">
        <v>523</v>
      </c>
      <c r="BL104" s="67">
        <v>764</v>
      </c>
    </row>
    <row r="105" spans="1:64" ht="12.75">
      <c r="A105" s="34" t="s">
        <v>114</v>
      </c>
      <c r="B105" s="42" t="s">
        <v>204</v>
      </c>
      <c r="C105" s="170" t="s">
        <v>350</v>
      </c>
      <c r="D105" s="171"/>
      <c r="E105" s="171"/>
      <c r="F105" s="171"/>
      <c r="G105" s="42" t="s">
        <v>455</v>
      </c>
      <c r="H105" s="50">
        <v>2.9</v>
      </c>
      <c r="I105" s="50">
        <v>0</v>
      </c>
      <c r="J105" s="50">
        <f>H105*AO105</f>
        <v>0</v>
      </c>
      <c r="K105" s="50">
        <f>H105*AP105</f>
        <v>0</v>
      </c>
      <c r="L105" s="50">
        <f>H105*I105</f>
        <v>0</v>
      </c>
      <c r="M105" s="63" t="s">
        <v>471</v>
      </c>
      <c r="N105" s="17"/>
      <c r="Z105" s="67">
        <f>IF(AQ105="5",BJ105,0)</f>
        <v>0</v>
      </c>
      <c r="AB105" s="67">
        <f>IF(AQ105="1",BH105,0)</f>
        <v>0</v>
      </c>
      <c r="AC105" s="67">
        <f>IF(AQ105="1",BI105,0)</f>
        <v>0</v>
      </c>
      <c r="AD105" s="67">
        <f>IF(AQ105="7",BH105,0)</f>
        <v>0</v>
      </c>
      <c r="AE105" s="67">
        <f>IF(AQ105="7",BI105,0)</f>
        <v>0</v>
      </c>
      <c r="AF105" s="67">
        <f>IF(AQ105="2",BH105,0)</f>
        <v>0</v>
      </c>
      <c r="AG105" s="67">
        <f>IF(AQ105="2",BI105,0)</f>
        <v>0</v>
      </c>
      <c r="AH105" s="67">
        <f>IF(AQ105="0",BJ105,0)</f>
        <v>0</v>
      </c>
      <c r="AI105" s="66"/>
      <c r="AJ105" s="50">
        <f>IF(AN105=0,L105,0)</f>
        <v>0</v>
      </c>
      <c r="AK105" s="50">
        <f>IF(AN105=15,L105,0)</f>
        <v>0</v>
      </c>
      <c r="AL105" s="50">
        <f>IF(AN105=21,L105,0)</f>
        <v>0</v>
      </c>
      <c r="AN105" s="67">
        <v>21</v>
      </c>
      <c r="AO105" s="67">
        <f>I105*0</f>
        <v>0</v>
      </c>
      <c r="AP105" s="67">
        <f>I105*(1-0)</f>
        <v>0</v>
      </c>
      <c r="AQ105" s="68" t="s">
        <v>81</v>
      </c>
      <c r="AV105" s="67">
        <f>AW105+AX105</f>
        <v>0</v>
      </c>
      <c r="AW105" s="67">
        <f>H105*AO105</f>
        <v>0</v>
      </c>
      <c r="AX105" s="67">
        <f>H105*AP105</f>
        <v>0</v>
      </c>
      <c r="AY105" s="70" t="s">
        <v>496</v>
      </c>
      <c r="AZ105" s="70" t="s">
        <v>515</v>
      </c>
      <c r="BA105" s="66" t="s">
        <v>518</v>
      </c>
      <c r="BC105" s="67">
        <f>AW105+AX105</f>
        <v>0</v>
      </c>
      <c r="BD105" s="67">
        <f>I105/(100-BE105)*100</f>
        <v>0</v>
      </c>
      <c r="BE105" s="67">
        <v>0</v>
      </c>
      <c r="BF105" s="67">
        <f>105</f>
        <v>105</v>
      </c>
      <c r="BH105" s="50">
        <f>H105*AO105</f>
        <v>0</v>
      </c>
      <c r="BI105" s="50">
        <f>H105*AP105</f>
        <v>0</v>
      </c>
      <c r="BJ105" s="50">
        <f>H105*I105</f>
        <v>0</v>
      </c>
      <c r="BK105" s="50" t="s">
        <v>523</v>
      </c>
      <c r="BL105" s="67">
        <v>764</v>
      </c>
    </row>
    <row r="106" spans="1:64" ht="12.75">
      <c r="A106" s="34" t="s">
        <v>115</v>
      </c>
      <c r="B106" s="42" t="s">
        <v>205</v>
      </c>
      <c r="C106" s="170" t="s">
        <v>351</v>
      </c>
      <c r="D106" s="171"/>
      <c r="E106" s="171"/>
      <c r="F106" s="171"/>
      <c r="G106" s="42" t="s">
        <v>453</v>
      </c>
      <c r="H106" s="50">
        <v>1</v>
      </c>
      <c r="I106" s="50">
        <v>0</v>
      </c>
      <c r="J106" s="50">
        <f>H106*AO106</f>
        <v>0</v>
      </c>
      <c r="K106" s="50">
        <f>H106*AP106</f>
        <v>0</v>
      </c>
      <c r="L106" s="50">
        <f>H106*I106</f>
        <v>0</v>
      </c>
      <c r="M106" s="63" t="s">
        <v>471</v>
      </c>
      <c r="N106" s="17"/>
      <c r="Z106" s="67">
        <f>IF(AQ106="5",BJ106,0)</f>
        <v>0</v>
      </c>
      <c r="AB106" s="67">
        <f>IF(AQ106="1",BH106,0)</f>
        <v>0</v>
      </c>
      <c r="AC106" s="67">
        <f>IF(AQ106="1",BI106,0)</f>
        <v>0</v>
      </c>
      <c r="AD106" s="67">
        <f>IF(AQ106="7",BH106,0)</f>
        <v>0</v>
      </c>
      <c r="AE106" s="67">
        <f>IF(AQ106="7",BI106,0)</f>
        <v>0</v>
      </c>
      <c r="AF106" s="67">
        <f>IF(AQ106="2",BH106,0)</f>
        <v>0</v>
      </c>
      <c r="AG106" s="67">
        <f>IF(AQ106="2",BI106,0)</f>
        <v>0</v>
      </c>
      <c r="AH106" s="67">
        <f>IF(AQ106="0",BJ106,0)</f>
        <v>0</v>
      </c>
      <c r="AI106" s="66"/>
      <c r="AJ106" s="50">
        <f>IF(AN106=0,L106,0)</f>
        <v>0</v>
      </c>
      <c r="AK106" s="50">
        <f>IF(AN106=15,L106,0)</f>
        <v>0</v>
      </c>
      <c r="AL106" s="50">
        <f>IF(AN106=21,L106,0)</f>
        <v>0</v>
      </c>
      <c r="AN106" s="67">
        <v>21</v>
      </c>
      <c r="AO106" s="67">
        <f>I106*0</f>
        <v>0</v>
      </c>
      <c r="AP106" s="67">
        <f>I106*(1-0)</f>
        <v>0</v>
      </c>
      <c r="AQ106" s="68" t="s">
        <v>81</v>
      </c>
      <c r="AV106" s="67">
        <f>AW106+AX106</f>
        <v>0</v>
      </c>
      <c r="AW106" s="67">
        <f>H106*AO106</f>
        <v>0</v>
      </c>
      <c r="AX106" s="67">
        <f>H106*AP106</f>
        <v>0</v>
      </c>
      <c r="AY106" s="70" t="s">
        <v>496</v>
      </c>
      <c r="AZ106" s="70" t="s">
        <v>515</v>
      </c>
      <c r="BA106" s="66" t="s">
        <v>518</v>
      </c>
      <c r="BC106" s="67">
        <f>AW106+AX106</f>
        <v>0</v>
      </c>
      <c r="BD106" s="67">
        <f>I106/(100-BE106)*100</f>
        <v>0</v>
      </c>
      <c r="BE106" s="67">
        <v>0</v>
      </c>
      <c r="BF106" s="67">
        <f>106</f>
        <v>106</v>
      </c>
      <c r="BH106" s="50">
        <f>H106*AO106</f>
        <v>0</v>
      </c>
      <c r="BI106" s="50">
        <f>H106*AP106</f>
        <v>0</v>
      </c>
      <c r="BJ106" s="50">
        <f>H106*I106</f>
        <v>0</v>
      </c>
      <c r="BK106" s="50" t="s">
        <v>523</v>
      </c>
      <c r="BL106" s="67">
        <v>764</v>
      </c>
    </row>
    <row r="107" spans="1:64" ht="12.75">
      <c r="A107" s="34" t="s">
        <v>116</v>
      </c>
      <c r="B107" s="42" t="s">
        <v>206</v>
      </c>
      <c r="C107" s="170" t="s">
        <v>352</v>
      </c>
      <c r="D107" s="171"/>
      <c r="E107" s="171"/>
      <c r="F107" s="171"/>
      <c r="G107" s="42" t="s">
        <v>455</v>
      </c>
      <c r="H107" s="50">
        <v>7.5</v>
      </c>
      <c r="I107" s="50">
        <v>0</v>
      </c>
      <c r="J107" s="50">
        <f>H107*AO107</f>
        <v>0</v>
      </c>
      <c r="K107" s="50">
        <f>H107*AP107</f>
        <v>0</v>
      </c>
      <c r="L107" s="50">
        <f>H107*I107</f>
        <v>0</v>
      </c>
      <c r="M107" s="63" t="s">
        <v>471</v>
      </c>
      <c r="N107" s="17"/>
      <c r="Z107" s="67">
        <f>IF(AQ107="5",BJ107,0)</f>
        <v>0</v>
      </c>
      <c r="AB107" s="67">
        <f>IF(AQ107="1",BH107,0)</f>
        <v>0</v>
      </c>
      <c r="AC107" s="67">
        <f>IF(AQ107="1",BI107,0)</f>
        <v>0</v>
      </c>
      <c r="AD107" s="67">
        <f>IF(AQ107="7",BH107,0)</f>
        <v>0</v>
      </c>
      <c r="AE107" s="67">
        <f>IF(AQ107="7",BI107,0)</f>
        <v>0</v>
      </c>
      <c r="AF107" s="67">
        <f>IF(AQ107="2",BH107,0)</f>
        <v>0</v>
      </c>
      <c r="AG107" s="67">
        <f>IF(AQ107="2",BI107,0)</f>
        <v>0</v>
      </c>
      <c r="AH107" s="67">
        <f>IF(AQ107="0",BJ107,0)</f>
        <v>0</v>
      </c>
      <c r="AI107" s="66"/>
      <c r="AJ107" s="50">
        <f>IF(AN107=0,L107,0)</f>
        <v>0</v>
      </c>
      <c r="AK107" s="50">
        <f>IF(AN107=15,L107,0)</f>
        <v>0</v>
      </c>
      <c r="AL107" s="50">
        <f>IF(AN107=21,L107,0)</f>
        <v>0</v>
      </c>
      <c r="AN107" s="67">
        <v>21</v>
      </c>
      <c r="AO107" s="67">
        <f>I107*0</f>
        <v>0</v>
      </c>
      <c r="AP107" s="67">
        <f>I107*(1-0)</f>
        <v>0</v>
      </c>
      <c r="AQ107" s="68" t="s">
        <v>81</v>
      </c>
      <c r="AV107" s="67">
        <f>AW107+AX107</f>
        <v>0</v>
      </c>
      <c r="AW107" s="67">
        <f>H107*AO107</f>
        <v>0</v>
      </c>
      <c r="AX107" s="67">
        <f>H107*AP107</f>
        <v>0</v>
      </c>
      <c r="AY107" s="70" t="s">
        <v>496</v>
      </c>
      <c r="AZ107" s="70" t="s">
        <v>515</v>
      </c>
      <c r="BA107" s="66" t="s">
        <v>518</v>
      </c>
      <c r="BC107" s="67">
        <f>AW107+AX107</f>
        <v>0</v>
      </c>
      <c r="BD107" s="67">
        <f>I107/(100-BE107)*100</f>
        <v>0</v>
      </c>
      <c r="BE107" s="67">
        <v>0</v>
      </c>
      <c r="BF107" s="67">
        <f>107</f>
        <v>107</v>
      </c>
      <c r="BH107" s="50">
        <f>H107*AO107</f>
        <v>0</v>
      </c>
      <c r="BI107" s="50">
        <f>H107*AP107</f>
        <v>0</v>
      </c>
      <c r="BJ107" s="50">
        <f>H107*I107</f>
        <v>0</v>
      </c>
      <c r="BK107" s="50" t="s">
        <v>523</v>
      </c>
      <c r="BL107" s="67">
        <v>764</v>
      </c>
    </row>
    <row r="108" spans="1:64" ht="12.75">
      <c r="A108" s="34" t="s">
        <v>117</v>
      </c>
      <c r="B108" s="42" t="s">
        <v>207</v>
      </c>
      <c r="C108" s="170" t="s">
        <v>353</v>
      </c>
      <c r="D108" s="171"/>
      <c r="E108" s="171"/>
      <c r="F108" s="171"/>
      <c r="G108" s="42" t="s">
        <v>451</v>
      </c>
      <c r="H108" s="50">
        <v>15.3</v>
      </c>
      <c r="I108" s="50">
        <v>0</v>
      </c>
      <c r="J108" s="50">
        <f>H108*AO108</f>
        <v>0</v>
      </c>
      <c r="K108" s="50">
        <f>H108*AP108</f>
        <v>0</v>
      </c>
      <c r="L108" s="50">
        <f>H108*I108</f>
        <v>0</v>
      </c>
      <c r="M108" s="63" t="s">
        <v>471</v>
      </c>
      <c r="N108" s="17"/>
      <c r="Z108" s="67">
        <f>IF(AQ108="5",BJ108,0)</f>
        <v>0</v>
      </c>
      <c r="AB108" s="67">
        <f>IF(AQ108="1",BH108,0)</f>
        <v>0</v>
      </c>
      <c r="AC108" s="67">
        <f>IF(AQ108="1",BI108,0)</f>
        <v>0</v>
      </c>
      <c r="AD108" s="67">
        <f>IF(AQ108="7",BH108,0)</f>
        <v>0</v>
      </c>
      <c r="AE108" s="67">
        <f>IF(AQ108="7",BI108,0)</f>
        <v>0</v>
      </c>
      <c r="AF108" s="67">
        <f>IF(AQ108="2",BH108,0)</f>
        <v>0</v>
      </c>
      <c r="AG108" s="67">
        <f>IF(AQ108="2",BI108,0)</f>
        <v>0</v>
      </c>
      <c r="AH108" s="67">
        <f>IF(AQ108="0",BJ108,0)</f>
        <v>0</v>
      </c>
      <c r="AI108" s="66"/>
      <c r="AJ108" s="50">
        <f>IF(AN108=0,L108,0)</f>
        <v>0</v>
      </c>
      <c r="AK108" s="50">
        <f>IF(AN108=15,L108,0)</f>
        <v>0</v>
      </c>
      <c r="AL108" s="50">
        <f>IF(AN108=21,L108,0)</f>
        <v>0</v>
      </c>
      <c r="AN108" s="67">
        <v>21</v>
      </c>
      <c r="AO108" s="67">
        <f>I108*0</f>
        <v>0</v>
      </c>
      <c r="AP108" s="67">
        <f>I108*(1-0)</f>
        <v>0</v>
      </c>
      <c r="AQ108" s="68" t="s">
        <v>81</v>
      </c>
      <c r="AV108" s="67">
        <f>AW108+AX108</f>
        <v>0</v>
      </c>
      <c r="AW108" s="67">
        <f>H108*AO108</f>
        <v>0</v>
      </c>
      <c r="AX108" s="67">
        <f>H108*AP108</f>
        <v>0</v>
      </c>
      <c r="AY108" s="70" t="s">
        <v>496</v>
      </c>
      <c r="AZ108" s="70" t="s">
        <v>515</v>
      </c>
      <c r="BA108" s="66" t="s">
        <v>518</v>
      </c>
      <c r="BC108" s="67">
        <f>AW108+AX108</f>
        <v>0</v>
      </c>
      <c r="BD108" s="67">
        <f>I108/(100-BE108)*100</f>
        <v>0</v>
      </c>
      <c r="BE108" s="67">
        <v>0</v>
      </c>
      <c r="BF108" s="67">
        <f>108</f>
        <v>108</v>
      </c>
      <c r="BH108" s="50">
        <f>H108*AO108</f>
        <v>0</v>
      </c>
      <c r="BI108" s="50">
        <f>H108*AP108</f>
        <v>0</v>
      </c>
      <c r="BJ108" s="50">
        <f>H108*I108</f>
        <v>0</v>
      </c>
      <c r="BK108" s="50" t="s">
        <v>523</v>
      </c>
      <c r="BL108" s="67">
        <v>764</v>
      </c>
    </row>
    <row r="109" spans="1:14" ht="12.75">
      <c r="A109" s="17"/>
      <c r="C109" s="45" t="s">
        <v>354</v>
      </c>
      <c r="F109" s="46"/>
      <c r="H109" s="51">
        <v>15.3</v>
      </c>
      <c r="M109" s="16"/>
      <c r="N109" s="17"/>
    </row>
    <row r="110" spans="1:64" ht="12.75">
      <c r="A110" s="34" t="s">
        <v>118</v>
      </c>
      <c r="B110" s="42" t="s">
        <v>208</v>
      </c>
      <c r="C110" s="170" t="s">
        <v>355</v>
      </c>
      <c r="D110" s="171"/>
      <c r="E110" s="171"/>
      <c r="F110" s="171"/>
      <c r="G110" s="42" t="s">
        <v>451</v>
      </c>
      <c r="H110" s="50">
        <v>15.3</v>
      </c>
      <c r="I110" s="50">
        <v>0</v>
      </c>
      <c r="J110" s="50">
        <f>H110*AO110</f>
        <v>0</v>
      </c>
      <c r="K110" s="50">
        <f>H110*AP110</f>
        <v>0</v>
      </c>
      <c r="L110" s="50">
        <f>H110*I110</f>
        <v>0</v>
      </c>
      <c r="M110" s="63" t="s">
        <v>471</v>
      </c>
      <c r="N110" s="17"/>
      <c r="Z110" s="67">
        <f>IF(AQ110="5",BJ110,0)</f>
        <v>0</v>
      </c>
      <c r="AB110" s="67">
        <f>IF(AQ110="1",BH110,0)</f>
        <v>0</v>
      </c>
      <c r="AC110" s="67">
        <f>IF(AQ110="1",BI110,0)</f>
        <v>0</v>
      </c>
      <c r="AD110" s="67">
        <f>IF(AQ110="7",BH110,0)</f>
        <v>0</v>
      </c>
      <c r="AE110" s="67">
        <f>IF(AQ110="7",BI110,0)</f>
        <v>0</v>
      </c>
      <c r="AF110" s="67">
        <f>IF(AQ110="2",BH110,0)</f>
        <v>0</v>
      </c>
      <c r="AG110" s="67">
        <f>IF(AQ110="2",BI110,0)</f>
        <v>0</v>
      </c>
      <c r="AH110" s="67">
        <f>IF(AQ110="0",BJ110,0)</f>
        <v>0</v>
      </c>
      <c r="AI110" s="66"/>
      <c r="AJ110" s="50">
        <f>IF(AN110=0,L110,0)</f>
        <v>0</v>
      </c>
      <c r="AK110" s="50">
        <f>IF(AN110=15,L110,0)</f>
        <v>0</v>
      </c>
      <c r="AL110" s="50">
        <f>IF(AN110=21,L110,0)</f>
        <v>0</v>
      </c>
      <c r="AN110" s="67">
        <v>21</v>
      </c>
      <c r="AO110" s="67">
        <f>I110*0.765828125</f>
        <v>0</v>
      </c>
      <c r="AP110" s="67">
        <f>I110*(1-0.765828125)</f>
        <v>0</v>
      </c>
      <c r="AQ110" s="68" t="s">
        <v>81</v>
      </c>
      <c r="AV110" s="67">
        <f>AW110+AX110</f>
        <v>0</v>
      </c>
      <c r="AW110" s="67">
        <f>H110*AO110</f>
        <v>0</v>
      </c>
      <c r="AX110" s="67">
        <f>H110*AP110</f>
        <v>0</v>
      </c>
      <c r="AY110" s="70" t="s">
        <v>496</v>
      </c>
      <c r="AZ110" s="70" t="s">
        <v>515</v>
      </c>
      <c r="BA110" s="66" t="s">
        <v>518</v>
      </c>
      <c r="BC110" s="67">
        <f>AW110+AX110</f>
        <v>0</v>
      </c>
      <c r="BD110" s="67">
        <f>I110/(100-BE110)*100</f>
        <v>0</v>
      </c>
      <c r="BE110" s="67">
        <v>0</v>
      </c>
      <c r="BF110" s="67">
        <f>110</f>
        <v>110</v>
      </c>
      <c r="BH110" s="50">
        <f>H110*AO110</f>
        <v>0</v>
      </c>
      <c r="BI110" s="50">
        <f>H110*AP110</f>
        <v>0</v>
      </c>
      <c r="BJ110" s="50">
        <f>H110*I110</f>
        <v>0</v>
      </c>
      <c r="BK110" s="50" t="s">
        <v>523</v>
      </c>
      <c r="BL110" s="67">
        <v>764</v>
      </c>
    </row>
    <row r="111" spans="1:14" ht="12.75">
      <c r="A111" s="17"/>
      <c r="C111" s="45" t="s">
        <v>354</v>
      </c>
      <c r="F111" s="46"/>
      <c r="H111" s="51">
        <v>15.3</v>
      </c>
      <c r="M111" s="16"/>
      <c r="N111" s="17"/>
    </row>
    <row r="112" spans="1:64" ht="12.75">
      <c r="A112" s="34" t="s">
        <v>119</v>
      </c>
      <c r="B112" s="42" t="s">
        <v>209</v>
      </c>
      <c r="C112" s="170" t="s">
        <v>356</v>
      </c>
      <c r="D112" s="171"/>
      <c r="E112" s="171"/>
      <c r="F112" s="171"/>
      <c r="G112" s="42" t="s">
        <v>455</v>
      </c>
      <c r="H112" s="50">
        <v>8.5</v>
      </c>
      <c r="I112" s="50">
        <v>0</v>
      </c>
      <c r="J112" s="50">
        <f aca="true" t="shared" si="0" ref="J112:J118">H112*AO112</f>
        <v>0</v>
      </c>
      <c r="K112" s="50">
        <f aca="true" t="shared" si="1" ref="K112:K118">H112*AP112</f>
        <v>0</v>
      </c>
      <c r="L112" s="50">
        <f aca="true" t="shared" si="2" ref="L112:L118">H112*I112</f>
        <v>0</v>
      </c>
      <c r="M112" s="63" t="s">
        <v>471</v>
      </c>
      <c r="N112" s="17"/>
      <c r="Z112" s="67">
        <f aca="true" t="shared" si="3" ref="Z112:Z118">IF(AQ112="5",BJ112,0)</f>
        <v>0</v>
      </c>
      <c r="AB112" s="67">
        <f aca="true" t="shared" si="4" ref="AB112:AB118">IF(AQ112="1",BH112,0)</f>
        <v>0</v>
      </c>
      <c r="AC112" s="67">
        <f aca="true" t="shared" si="5" ref="AC112:AC118">IF(AQ112="1",BI112,0)</f>
        <v>0</v>
      </c>
      <c r="AD112" s="67">
        <f aca="true" t="shared" si="6" ref="AD112:AD118">IF(AQ112="7",BH112,0)</f>
        <v>0</v>
      </c>
      <c r="AE112" s="67">
        <f aca="true" t="shared" si="7" ref="AE112:AE118">IF(AQ112="7",BI112,0)</f>
        <v>0</v>
      </c>
      <c r="AF112" s="67">
        <f aca="true" t="shared" si="8" ref="AF112:AF118">IF(AQ112="2",BH112,0)</f>
        <v>0</v>
      </c>
      <c r="AG112" s="67">
        <f aca="true" t="shared" si="9" ref="AG112:AG118">IF(AQ112="2",BI112,0)</f>
        <v>0</v>
      </c>
      <c r="AH112" s="67">
        <f aca="true" t="shared" si="10" ref="AH112:AH118">IF(AQ112="0",BJ112,0)</f>
        <v>0</v>
      </c>
      <c r="AI112" s="66"/>
      <c r="AJ112" s="50">
        <f aca="true" t="shared" si="11" ref="AJ112:AJ118">IF(AN112=0,L112,0)</f>
        <v>0</v>
      </c>
      <c r="AK112" s="50">
        <f aca="true" t="shared" si="12" ref="AK112:AK118">IF(AN112=15,L112,0)</f>
        <v>0</v>
      </c>
      <c r="AL112" s="50">
        <f aca="true" t="shared" si="13" ref="AL112:AL118">IF(AN112=21,L112,0)</f>
        <v>0</v>
      </c>
      <c r="AN112" s="67">
        <v>21</v>
      </c>
      <c r="AO112" s="67">
        <f>I112*0.688216704288939</f>
        <v>0</v>
      </c>
      <c r="AP112" s="67">
        <f>I112*(1-0.688216704288939)</f>
        <v>0</v>
      </c>
      <c r="AQ112" s="68" t="s">
        <v>81</v>
      </c>
      <c r="AV112" s="67">
        <f aca="true" t="shared" si="14" ref="AV112:AV118">AW112+AX112</f>
        <v>0</v>
      </c>
      <c r="AW112" s="67">
        <f aca="true" t="shared" si="15" ref="AW112:AW118">H112*AO112</f>
        <v>0</v>
      </c>
      <c r="AX112" s="67">
        <f aca="true" t="shared" si="16" ref="AX112:AX118">H112*AP112</f>
        <v>0</v>
      </c>
      <c r="AY112" s="70" t="s">
        <v>496</v>
      </c>
      <c r="AZ112" s="70" t="s">
        <v>515</v>
      </c>
      <c r="BA112" s="66" t="s">
        <v>518</v>
      </c>
      <c r="BC112" s="67">
        <f aca="true" t="shared" si="17" ref="BC112:BC118">AW112+AX112</f>
        <v>0</v>
      </c>
      <c r="BD112" s="67">
        <f aca="true" t="shared" si="18" ref="BD112:BD118">I112/(100-BE112)*100</f>
        <v>0</v>
      </c>
      <c r="BE112" s="67">
        <v>0</v>
      </c>
      <c r="BF112" s="67">
        <f>112</f>
        <v>112</v>
      </c>
      <c r="BH112" s="50">
        <f aca="true" t="shared" si="19" ref="BH112:BH118">H112*AO112</f>
        <v>0</v>
      </c>
      <c r="BI112" s="50">
        <f aca="true" t="shared" si="20" ref="BI112:BI118">H112*AP112</f>
        <v>0</v>
      </c>
      <c r="BJ112" s="50">
        <f aca="true" t="shared" si="21" ref="BJ112:BJ118">H112*I112</f>
        <v>0</v>
      </c>
      <c r="BK112" s="50" t="s">
        <v>523</v>
      </c>
      <c r="BL112" s="67">
        <v>764</v>
      </c>
    </row>
    <row r="113" spans="1:64" ht="12.75">
      <c r="A113" s="34" t="s">
        <v>120</v>
      </c>
      <c r="B113" s="42" t="s">
        <v>210</v>
      </c>
      <c r="C113" s="170" t="s">
        <v>357</v>
      </c>
      <c r="D113" s="171"/>
      <c r="E113" s="171"/>
      <c r="F113" s="171"/>
      <c r="G113" s="42" t="s">
        <v>455</v>
      </c>
      <c r="H113" s="50">
        <v>2.9</v>
      </c>
      <c r="I113" s="50">
        <v>0</v>
      </c>
      <c r="J113" s="50">
        <f t="shared" si="0"/>
        <v>0</v>
      </c>
      <c r="K113" s="50">
        <f t="shared" si="1"/>
        <v>0</v>
      </c>
      <c r="L113" s="50">
        <f t="shared" si="2"/>
        <v>0</v>
      </c>
      <c r="M113" s="63" t="s">
        <v>471</v>
      </c>
      <c r="N113" s="17"/>
      <c r="Z113" s="67">
        <f t="shared" si="3"/>
        <v>0</v>
      </c>
      <c r="AB113" s="67">
        <f t="shared" si="4"/>
        <v>0</v>
      </c>
      <c r="AC113" s="67">
        <f t="shared" si="5"/>
        <v>0</v>
      </c>
      <c r="AD113" s="67">
        <f t="shared" si="6"/>
        <v>0</v>
      </c>
      <c r="AE113" s="67">
        <f t="shared" si="7"/>
        <v>0</v>
      </c>
      <c r="AF113" s="67">
        <f t="shared" si="8"/>
        <v>0</v>
      </c>
      <c r="AG113" s="67">
        <f t="shared" si="9"/>
        <v>0</v>
      </c>
      <c r="AH113" s="67">
        <f t="shared" si="10"/>
        <v>0</v>
      </c>
      <c r="AI113" s="66"/>
      <c r="AJ113" s="50">
        <f t="shared" si="11"/>
        <v>0</v>
      </c>
      <c r="AK113" s="50">
        <f t="shared" si="12"/>
        <v>0</v>
      </c>
      <c r="AL113" s="50">
        <f t="shared" si="13"/>
        <v>0</v>
      </c>
      <c r="AN113" s="67">
        <v>21</v>
      </c>
      <c r="AO113" s="67">
        <f>I113*0.807141041931385</f>
        <v>0</v>
      </c>
      <c r="AP113" s="67">
        <f>I113*(1-0.807141041931385)</f>
        <v>0</v>
      </c>
      <c r="AQ113" s="68" t="s">
        <v>81</v>
      </c>
      <c r="AV113" s="67">
        <f t="shared" si="14"/>
        <v>0</v>
      </c>
      <c r="AW113" s="67">
        <f t="shared" si="15"/>
        <v>0</v>
      </c>
      <c r="AX113" s="67">
        <f t="shared" si="16"/>
        <v>0</v>
      </c>
      <c r="AY113" s="70" t="s">
        <v>496</v>
      </c>
      <c r="AZ113" s="70" t="s">
        <v>515</v>
      </c>
      <c r="BA113" s="66" t="s">
        <v>518</v>
      </c>
      <c r="BC113" s="67">
        <f t="shared" si="17"/>
        <v>0</v>
      </c>
      <c r="BD113" s="67">
        <f t="shared" si="18"/>
        <v>0</v>
      </c>
      <c r="BE113" s="67">
        <v>0</v>
      </c>
      <c r="BF113" s="67">
        <f>113</f>
        <v>113</v>
      </c>
      <c r="BH113" s="50">
        <f t="shared" si="19"/>
        <v>0</v>
      </c>
      <c r="BI113" s="50">
        <f t="shared" si="20"/>
        <v>0</v>
      </c>
      <c r="BJ113" s="50">
        <f t="shared" si="21"/>
        <v>0</v>
      </c>
      <c r="BK113" s="50" t="s">
        <v>523</v>
      </c>
      <c r="BL113" s="67">
        <v>764</v>
      </c>
    </row>
    <row r="114" spans="1:64" ht="12.75">
      <c r="A114" s="34" t="s">
        <v>121</v>
      </c>
      <c r="B114" s="42" t="s">
        <v>211</v>
      </c>
      <c r="C114" s="170" t="s">
        <v>358</v>
      </c>
      <c r="D114" s="171"/>
      <c r="E114" s="171"/>
      <c r="F114" s="171"/>
      <c r="G114" s="42" t="s">
        <v>453</v>
      </c>
      <c r="H114" s="50">
        <v>1</v>
      </c>
      <c r="I114" s="50">
        <v>0</v>
      </c>
      <c r="J114" s="50">
        <f t="shared" si="0"/>
        <v>0</v>
      </c>
      <c r="K114" s="50">
        <f t="shared" si="1"/>
        <v>0</v>
      </c>
      <c r="L114" s="50">
        <f t="shared" si="2"/>
        <v>0</v>
      </c>
      <c r="M114" s="63" t="s">
        <v>471</v>
      </c>
      <c r="N114" s="17"/>
      <c r="Z114" s="67">
        <f t="shared" si="3"/>
        <v>0</v>
      </c>
      <c r="AB114" s="67">
        <f t="shared" si="4"/>
        <v>0</v>
      </c>
      <c r="AC114" s="67">
        <f t="shared" si="5"/>
        <v>0</v>
      </c>
      <c r="AD114" s="67">
        <f t="shared" si="6"/>
        <v>0</v>
      </c>
      <c r="AE114" s="67">
        <f t="shared" si="7"/>
        <v>0</v>
      </c>
      <c r="AF114" s="67">
        <f t="shared" si="8"/>
        <v>0</v>
      </c>
      <c r="AG114" s="67">
        <f t="shared" si="9"/>
        <v>0</v>
      </c>
      <c r="AH114" s="67">
        <f t="shared" si="10"/>
        <v>0</v>
      </c>
      <c r="AI114" s="66"/>
      <c r="AJ114" s="50">
        <f t="shared" si="11"/>
        <v>0</v>
      </c>
      <c r="AK114" s="50">
        <f t="shared" si="12"/>
        <v>0</v>
      </c>
      <c r="AL114" s="50">
        <f t="shared" si="13"/>
        <v>0</v>
      </c>
      <c r="AN114" s="67">
        <v>21</v>
      </c>
      <c r="AO114" s="67">
        <f>I114*0.578947368421053</f>
        <v>0</v>
      </c>
      <c r="AP114" s="67">
        <f>I114*(1-0.578947368421053)</f>
        <v>0</v>
      </c>
      <c r="AQ114" s="68" t="s">
        <v>81</v>
      </c>
      <c r="AV114" s="67">
        <f t="shared" si="14"/>
        <v>0</v>
      </c>
      <c r="AW114" s="67">
        <f t="shared" si="15"/>
        <v>0</v>
      </c>
      <c r="AX114" s="67">
        <f t="shared" si="16"/>
        <v>0</v>
      </c>
      <c r="AY114" s="70" t="s">
        <v>496</v>
      </c>
      <c r="AZ114" s="70" t="s">
        <v>515</v>
      </c>
      <c r="BA114" s="66" t="s">
        <v>518</v>
      </c>
      <c r="BC114" s="67">
        <f t="shared" si="17"/>
        <v>0</v>
      </c>
      <c r="BD114" s="67">
        <f t="shared" si="18"/>
        <v>0</v>
      </c>
      <c r="BE114" s="67">
        <v>0</v>
      </c>
      <c r="BF114" s="67">
        <f>114</f>
        <v>114</v>
      </c>
      <c r="BH114" s="50">
        <f t="shared" si="19"/>
        <v>0</v>
      </c>
      <c r="BI114" s="50">
        <f t="shared" si="20"/>
        <v>0</v>
      </c>
      <c r="BJ114" s="50">
        <f t="shared" si="21"/>
        <v>0</v>
      </c>
      <c r="BK114" s="50" t="s">
        <v>523</v>
      </c>
      <c r="BL114" s="67">
        <v>764</v>
      </c>
    </row>
    <row r="115" spans="1:64" ht="12.75">
      <c r="A115" s="34" t="s">
        <v>122</v>
      </c>
      <c r="B115" s="42" t="s">
        <v>212</v>
      </c>
      <c r="C115" s="170" t="s">
        <v>359</v>
      </c>
      <c r="D115" s="171"/>
      <c r="E115" s="171"/>
      <c r="F115" s="171"/>
      <c r="G115" s="42" t="s">
        <v>455</v>
      </c>
      <c r="H115" s="50">
        <v>8.5</v>
      </c>
      <c r="I115" s="50">
        <v>0</v>
      </c>
      <c r="J115" s="50">
        <f t="shared" si="0"/>
        <v>0</v>
      </c>
      <c r="K115" s="50">
        <f t="shared" si="1"/>
        <v>0</v>
      </c>
      <c r="L115" s="50">
        <f t="shared" si="2"/>
        <v>0</v>
      </c>
      <c r="M115" s="63" t="s">
        <v>471</v>
      </c>
      <c r="N115" s="17"/>
      <c r="Z115" s="67">
        <f t="shared" si="3"/>
        <v>0</v>
      </c>
      <c r="AB115" s="67">
        <f t="shared" si="4"/>
        <v>0</v>
      </c>
      <c r="AC115" s="67">
        <f t="shared" si="5"/>
        <v>0</v>
      </c>
      <c r="AD115" s="67">
        <f t="shared" si="6"/>
        <v>0</v>
      </c>
      <c r="AE115" s="67">
        <f t="shared" si="7"/>
        <v>0</v>
      </c>
      <c r="AF115" s="67">
        <f t="shared" si="8"/>
        <v>0</v>
      </c>
      <c r="AG115" s="67">
        <f t="shared" si="9"/>
        <v>0</v>
      </c>
      <c r="AH115" s="67">
        <f t="shared" si="10"/>
        <v>0</v>
      </c>
      <c r="AI115" s="66"/>
      <c r="AJ115" s="50">
        <f t="shared" si="11"/>
        <v>0</v>
      </c>
      <c r="AK115" s="50">
        <f t="shared" si="12"/>
        <v>0</v>
      </c>
      <c r="AL115" s="50">
        <f t="shared" si="13"/>
        <v>0</v>
      </c>
      <c r="AN115" s="67">
        <v>21</v>
      </c>
      <c r="AO115" s="67">
        <f>I115*0.743489242913648</f>
        <v>0</v>
      </c>
      <c r="AP115" s="67">
        <f>I115*(1-0.743489242913648)</f>
        <v>0</v>
      </c>
      <c r="AQ115" s="68" t="s">
        <v>81</v>
      </c>
      <c r="AV115" s="67">
        <f t="shared" si="14"/>
        <v>0</v>
      </c>
      <c r="AW115" s="67">
        <f t="shared" si="15"/>
        <v>0</v>
      </c>
      <c r="AX115" s="67">
        <f t="shared" si="16"/>
        <v>0</v>
      </c>
      <c r="AY115" s="70" t="s">
        <v>496</v>
      </c>
      <c r="AZ115" s="70" t="s">
        <v>515</v>
      </c>
      <c r="BA115" s="66" t="s">
        <v>518</v>
      </c>
      <c r="BC115" s="67">
        <f t="shared" si="17"/>
        <v>0</v>
      </c>
      <c r="BD115" s="67">
        <f t="shared" si="18"/>
        <v>0</v>
      </c>
      <c r="BE115" s="67">
        <v>0</v>
      </c>
      <c r="BF115" s="67">
        <f>115</f>
        <v>115</v>
      </c>
      <c r="BH115" s="50">
        <f t="shared" si="19"/>
        <v>0</v>
      </c>
      <c r="BI115" s="50">
        <f t="shared" si="20"/>
        <v>0</v>
      </c>
      <c r="BJ115" s="50">
        <f t="shared" si="21"/>
        <v>0</v>
      </c>
      <c r="BK115" s="50" t="s">
        <v>523</v>
      </c>
      <c r="BL115" s="67">
        <v>764</v>
      </c>
    </row>
    <row r="116" spans="1:64" ht="12.75">
      <c r="A116" s="34" t="s">
        <v>123</v>
      </c>
      <c r="B116" s="42" t="s">
        <v>213</v>
      </c>
      <c r="C116" s="170" t="s">
        <v>360</v>
      </c>
      <c r="D116" s="171"/>
      <c r="E116" s="171"/>
      <c r="F116" s="171"/>
      <c r="G116" s="42" t="s">
        <v>453</v>
      </c>
      <c r="H116" s="50">
        <v>9</v>
      </c>
      <c r="I116" s="50">
        <v>0</v>
      </c>
      <c r="J116" s="50">
        <f t="shared" si="0"/>
        <v>0</v>
      </c>
      <c r="K116" s="50">
        <f t="shared" si="1"/>
        <v>0</v>
      </c>
      <c r="L116" s="50">
        <f t="shared" si="2"/>
        <v>0</v>
      </c>
      <c r="M116" s="63" t="s">
        <v>471</v>
      </c>
      <c r="N116" s="17"/>
      <c r="Z116" s="67">
        <f t="shared" si="3"/>
        <v>0</v>
      </c>
      <c r="AB116" s="67">
        <f t="shared" si="4"/>
        <v>0</v>
      </c>
      <c r="AC116" s="67">
        <f t="shared" si="5"/>
        <v>0</v>
      </c>
      <c r="AD116" s="67">
        <f t="shared" si="6"/>
        <v>0</v>
      </c>
      <c r="AE116" s="67">
        <f t="shared" si="7"/>
        <v>0</v>
      </c>
      <c r="AF116" s="67">
        <f t="shared" si="8"/>
        <v>0</v>
      </c>
      <c r="AG116" s="67">
        <f t="shared" si="9"/>
        <v>0</v>
      </c>
      <c r="AH116" s="67">
        <f t="shared" si="10"/>
        <v>0</v>
      </c>
      <c r="AI116" s="66"/>
      <c r="AJ116" s="50">
        <f t="shared" si="11"/>
        <v>0</v>
      </c>
      <c r="AK116" s="50">
        <f t="shared" si="12"/>
        <v>0</v>
      </c>
      <c r="AL116" s="50">
        <f t="shared" si="13"/>
        <v>0</v>
      </c>
      <c r="AN116" s="67">
        <v>21</v>
      </c>
      <c r="AO116" s="67">
        <f>I116*0.00547045951859956</f>
        <v>0</v>
      </c>
      <c r="AP116" s="67">
        <f>I116*(1-0.00547045951859956)</f>
        <v>0</v>
      </c>
      <c r="AQ116" s="68" t="s">
        <v>81</v>
      </c>
      <c r="AV116" s="67">
        <f t="shared" si="14"/>
        <v>0</v>
      </c>
      <c r="AW116" s="67">
        <f t="shared" si="15"/>
        <v>0</v>
      </c>
      <c r="AX116" s="67">
        <f t="shared" si="16"/>
        <v>0</v>
      </c>
      <c r="AY116" s="70" t="s">
        <v>496</v>
      </c>
      <c r="AZ116" s="70" t="s">
        <v>515</v>
      </c>
      <c r="BA116" s="66" t="s">
        <v>518</v>
      </c>
      <c r="BC116" s="67">
        <f t="shared" si="17"/>
        <v>0</v>
      </c>
      <c r="BD116" s="67">
        <f t="shared" si="18"/>
        <v>0</v>
      </c>
      <c r="BE116" s="67">
        <v>0</v>
      </c>
      <c r="BF116" s="67">
        <f>116</f>
        <v>116</v>
      </c>
      <c r="BH116" s="50">
        <f t="shared" si="19"/>
        <v>0</v>
      </c>
      <c r="BI116" s="50">
        <f t="shared" si="20"/>
        <v>0</v>
      </c>
      <c r="BJ116" s="50">
        <f t="shared" si="21"/>
        <v>0</v>
      </c>
      <c r="BK116" s="50" t="s">
        <v>523</v>
      </c>
      <c r="BL116" s="67">
        <v>764</v>
      </c>
    </row>
    <row r="117" spans="1:64" ht="12.75">
      <c r="A117" s="35" t="s">
        <v>124</v>
      </c>
      <c r="B117" s="43" t="s">
        <v>214</v>
      </c>
      <c r="C117" s="174" t="s">
        <v>361</v>
      </c>
      <c r="D117" s="175"/>
      <c r="E117" s="175"/>
      <c r="F117" s="175"/>
      <c r="G117" s="43" t="s">
        <v>453</v>
      </c>
      <c r="H117" s="52">
        <v>9</v>
      </c>
      <c r="I117" s="52">
        <v>0</v>
      </c>
      <c r="J117" s="52">
        <f t="shared" si="0"/>
        <v>0</v>
      </c>
      <c r="K117" s="52">
        <f t="shared" si="1"/>
        <v>0</v>
      </c>
      <c r="L117" s="52">
        <f t="shared" si="2"/>
        <v>0</v>
      </c>
      <c r="M117" s="64" t="s">
        <v>471</v>
      </c>
      <c r="N117" s="17"/>
      <c r="Z117" s="67">
        <f t="shared" si="3"/>
        <v>0</v>
      </c>
      <c r="AB117" s="67">
        <f t="shared" si="4"/>
        <v>0</v>
      </c>
      <c r="AC117" s="67">
        <f t="shared" si="5"/>
        <v>0</v>
      </c>
      <c r="AD117" s="67">
        <f t="shared" si="6"/>
        <v>0</v>
      </c>
      <c r="AE117" s="67">
        <f t="shared" si="7"/>
        <v>0</v>
      </c>
      <c r="AF117" s="67">
        <f t="shared" si="8"/>
        <v>0</v>
      </c>
      <c r="AG117" s="67">
        <f t="shared" si="9"/>
        <v>0</v>
      </c>
      <c r="AH117" s="67">
        <f t="shared" si="10"/>
        <v>0</v>
      </c>
      <c r="AI117" s="66"/>
      <c r="AJ117" s="52">
        <f t="shared" si="11"/>
        <v>0</v>
      </c>
      <c r="AK117" s="52">
        <f t="shared" si="12"/>
        <v>0</v>
      </c>
      <c r="AL117" s="52">
        <f t="shared" si="13"/>
        <v>0</v>
      </c>
      <c r="AN117" s="67">
        <v>21</v>
      </c>
      <c r="AO117" s="67">
        <f>I117*1</f>
        <v>0</v>
      </c>
      <c r="AP117" s="67">
        <f>I117*(1-1)</f>
        <v>0</v>
      </c>
      <c r="AQ117" s="69" t="s">
        <v>81</v>
      </c>
      <c r="AV117" s="67">
        <f t="shared" si="14"/>
        <v>0</v>
      </c>
      <c r="AW117" s="67">
        <f t="shared" si="15"/>
        <v>0</v>
      </c>
      <c r="AX117" s="67">
        <f t="shared" si="16"/>
        <v>0</v>
      </c>
      <c r="AY117" s="70" t="s">
        <v>496</v>
      </c>
      <c r="AZ117" s="70" t="s">
        <v>515</v>
      </c>
      <c r="BA117" s="66" t="s">
        <v>518</v>
      </c>
      <c r="BC117" s="67">
        <f t="shared" si="17"/>
        <v>0</v>
      </c>
      <c r="BD117" s="67">
        <f t="shared" si="18"/>
        <v>0</v>
      </c>
      <c r="BE117" s="67">
        <v>0</v>
      </c>
      <c r="BF117" s="67">
        <f>117</f>
        <v>117</v>
      </c>
      <c r="BH117" s="52">
        <f t="shared" si="19"/>
        <v>0</v>
      </c>
      <c r="BI117" s="52">
        <f t="shared" si="20"/>
        <v>0</v>
      </c>
      <c r="BJ117" s="52">
        <f t="shared" si="21"/>
        <v>0</v>
      </c>
      <c r="BK117" s="52" t="s">
        <v>524</v>
      </c>
      <c r="BL117" s="67">
        <v>764</v>
      </c>
    </row>
    <row r="118" spans="1:64" ht="12.75">
      <c r="A118" s="34" t="s">
        <v>125</v>
      </c>
      <c r="B118" s="42" t="s">
        <v>215</v>
      </c>
      <c r="C118" s="170" t="s">
        <v>362</v>
      </c>
      <c r="D118" s="171"/>
      <c r="E118" s="171"/>
      <c r="F118" s="171"/>
      <c r="G118" s="42" t="s">
        <v>454</v>
      </c>
      <c r="H118" s="50">
        <v>0.1889</v>
      </c>
      <c r="I118" s="50">
        <v>0</v>
      </c>
      <c r="J118" s="50">
        <f t="shared" si="0"/>
        <v>0</v>
      </c>
      <c r="K118" s="50">
        <f t="shared" si="1"/>
        <v>0</v>
      </c>
      <c r="L118" s="50">
        <f t="shared" si="2"/>
        <v>0</v>
      </c>
      <c r="M118" s="63" t="s">
        <v>471</v>
      </c>
      <c r="N118" s="17"/>
      <c r="Z118" s="67">
        <f t="shared" si="3"/>
        <v>0</v>
      </c>
      <c r="AB118" s="67">
        <f t="shared" si="4"/>
        <v>0</v>
      </c>
      <c r="AC118" s="67">
        <f t="shared" si="5"/>
        <v>0</v>
      </c>
      <c r="AD118" s="67">
        <f t="shared" si="6"/>
        <v>0</v>
      </c>
      <c r="AE118" s="67">
        <f t="shared" si="7"/>
        <v>0</v>
      </c>
      <c r="AF118" s="67">
        <f t="shared" si="8"/>
        <v>0</v>
      </c>
      <c r="AG118" s="67">
        <f t="shared" si="9"/>
        <v>0</v>
      </c>
      <c r="AH118" s="67">
        <f t="shared" si="10"/>
        <v>0</v>
      </c>
      <c r="AI118" s="66"/>
      <c r="AJ118" s="50">
        <f t="shared" si="11"/>
        <v>0</v>
      </c>
      <c r="AK118" s="50">
        <f t="shared" si="12"/>
        <v>0</v>
      </c>
      <c r="AL118" s="50">
        <f t="shared" si="13"/>
        <v>0</v>
      </c>
      <c r="AN118" s="67">
        <v>21</v>
      </c>
      <c r="AO118" s="67">
        <f>I118*0</f>
        <v>0</v>
      </c>
      <c r="AP118" s="67">
        <f>I118*(1-0)</f>
        <v>0</v>
      </c>
      <c r="AQ118" s="68" t="s">
        <v>79</v>
      </c>
      <c r="AV118" s="67">
        <f t="shared" si="14"/>
        <v>0</v>
      </c>
      <c r="AW118" s="67">
        <f t="shared" si="15"/>
        <v>0</v>
      </c>
      <c r="AX118" s="67">
        <f t="shared" si="16"/>
        <v>0</v>
      </c>
      <c r="AY118" s="70" t="s">
        <v>496</v>
      </c>
      <c r="AZ118" s="70" t="s">
        <v>515</v>
      </c>
      <c r="BA118" s="66" t="s">
        <v>518</v>
      </c>
      <c r="BC118" s="67">
        <f t="shared" si="17"/>
        <v>0</v>
      </c>
      <c r="BD118" s="67">
        <f t="shared" si="18"/>
        <v>0</v>
      </c>
      <c r="BE118" s="67">
        <v>0</v>
      </c>
      <c r="BF118" s="67">
        <f>118</f>
        <v>118</v>
      </c>
      <c r="BH118" s="50">
        <f t="shared" si="19"/>
        <v>0</v>
      </c>
      <c r="BI118" s="50">
        <f t="shared" si="20"/>
        <v>0</v>
      </c>
      <c r="BJ118" s="50">
        <f t="shared" si="21"/>
        <v>0</v>
      </c>
      <c r="BK118" s="50" t="s">
        <v>523</v>
      </c>
      <c r="BL118" s="67">
        <v>764</v>
      </c>
    </row>
    <row r="119" spans="1:47" ht="12.75">
      <c r="A119" s="33"/>
      <c r="B119" s="41" t="s">
        <v>216</v>
      </c>
      <c r="C119" s="168" t="s">
        <v>363</v>
      </c>
      <c r="D119" s="169"/>
      <c r="E119" s="169"/>
      <c r="F119" s="169"/>
      <c r="G119" s="48" t="s">
        <v>74</v>
      </c>
      <c r="H119" s="48" t="s">
        <v>74</v>
      </c>
      <c r="I119" s="48" t="s">
        <v>74</v>
      </c>
      <c r="J119" s="73">
        <f>SUM(J120:J141)</f>
        <v>0</v>
      </c>
      <c r="K119" s="73">
        <f>SUM(K120:K141)</f>
        <v>0</v>
      </c>
      <c r="L119" s="73">
        <f>SUM(L120:L141)</f>
        <v>0</v>
      </c>
      <c r="M119" s="62"/>
      <c r="N119" s="17"/>
      <c r="AI119" s="66"/>
      <c r="AS119" s="73">
        <f>SUM(AJ120:AJ141)</f>
        <v>0</v>
      </c>
      <c r="AT119" s="73">
        <f>SUM(AK120:AK141)</f>
        <v>0</v>
      </c>
      <c r="AU119" s="73">
        <f>SUM(AL120:AL141)</f>
        <v>0</v>
      </c>
    </row>
    <row r="120" spans="1:64" ht="12.75">
      <c r="A120" s="34" t="s">
        <v>126</v>
      </c>
      <c r="B120" s="42" t="s">
        <v>217</v>
      </c>
      <c r="C120" s="170" t="s">
        <v>364</v>
      </c>
      <c r="D120" s="171"/>
      <c r="E120" s="171"/>
      <c r="F120" s="171"/>
      <c r="G120" s="42" t="s">
        <v>456</v>
      </c>
      <c r="H120" s="50">
        <v>209</v>
      </c>
      <c r="I120" s="50">
        <v>0</v>
      </c>
      <c r="J120" s="50">
        <f>H120*AO120</f>
        <v>0</v>
      </c>
      <c r="K120" s="50">
        <f>H120*AP120</f>
        <v>0</v>
      </c>
      <c r="L120" s="50">
        <f>H120*I120</f>
        <v>0</v>
      </c>
      <c r="M120" s="63" t="s">
        <v>471</v>
      </c>
      <c r="N120" s="17"/>
      <c r="Z120" s="67">
        <f>IF(AQ120="5",BJ120,0)</f>
        <v>0</v>
      </c>
      <c r="AB120" s="67">
        <f>IF(AQ120="1",BH120,0)</f>
        <v>0</v>
      </c>
      <c r="AC120" s="67">
        <f>IF(AQ120="1",BI120,0)</f>
        <v>0</v>
      </c>
      <c r="AD120" s="67">
        <f>IF(AQ120="7",BH120,0)</f>
        <v>0</v>
      </c>
      <c r="AE120" s="67">
        <f>IF(AQ120="7",BI120,0)</f>
        <v>0</v>
      </c>
      <c r="AF120" s="67">
        <f>IF(AQ120="2",BH120,0)</f>
        <v>0</v>
      </c>
      <c r="AG120" s="67">
        <f>IF(AQ120="2",BI120,0)</f>
        <v>0</v>
      </c>
      <c r="AH120" s="67">
        <f>IF(AQ120="0",BJ120,0)</f>
        <v>0</v>
      </c>
      <c r="AI120" s="66"/>
      <c r="AJ120" s="50">
        <f>IF(AN120=0,L120,0)</f>
        <v>0</v>
      </c>
      <c r="AK120" s="50">
        <f>IF(AN120=15,L120,0)</f>
        <v>0</v>
      </c>
      <c r="AL120" s="50">
        <f>IF(AN120=21,L120,0)</f>
        <v>0</v>
      </c>
      <c r="AN120" s="67">
        <v>21</v>
      </c>
      <c r="AO120" s="67">
        <f>I120*0.148127020346073</f>
        <v>0</v>
      </c>
      <c r="AP120" s="67">
        <f>I120*(1-0.148127020346073)</f>
        <v>0</v>
      </c>
      <c r="AQ120" s="68" t="s">
        <v>81</v>
      </c>
      <c r="AV120" s="67">
        <f>AW120+AX120</f>
        <v>0</v>
      </c>
      <c r="AW120" s="67">
        <f>H120*AO120</f>
        <v>0</v>
      </c>
      <c r="AX120" s="67">
        <f>H120*AP120</f>
        <v>0</v>
      </c>
      <c r="AY120" s="70" t="s">
        <v>497</v>
      </c>
      <c r="AZ120" s="70" t="s">
        <v>515</v>
      </c>
      <c r="BA120" s="66" t="s">
        <v>518</v>
      </c>
      <c r="BC120" s="67">
        <f>AW120+AX120</f>
        <v>0</v>
      </c>
      <c r="BD120" s="67">
        <f>I120/(100-BE120)*100</f>
        <v>0</v>
      </c>
      <c r="BE120" s="67">
        <v>0</v>
      </c>
      <c r="BF120" s="67">
        <f>120</f>
        <v>120</v>
      </c>
      <c r="BH120" s="50">
        <f>H120*AO120</f>
        <v>0</v>
      </c>
      <c r="BI120" s="50">
        <f>H120*AP120</f>
        <v>0</v>
      </c>
      <c r="BJ120" s="50">
        <f>H120*I120</f>
        <v>0</v>
      </c>
      <c r="BK120" s="50" t="s">
        <v>523</v>
      </c>
      <c r="BL120" s="67">
        <v>767</v>
      </c>
    </row>
    <row r="121" spans="1:14" ht="12.75">
      <c r="A121" s="17"/>
      <c r="C121" s="45" t="s">
        <v>365</v>
      </c>
      <c r="F121" s="46"/>
      <c r="H121" s="51">
        <v>0</v>
      </c>
      <c r="M121" s="16"/>
      <c r="N121" s="17"/>
    </row>
    <row r="122" spans="1:14" ht="12.75">
      <c r="A122" s="17"/>
      <c r="C122" s="45" t="s">
        <v>99</v>
      </c>
      <c r="F122" s="46"/>
      <c r="H122" s="51">
        <v>25</v>
      </c>
      <c r="M122" s="16"/>
      <c r="N122" s="17"/>
    </row>
    <row r="123" spans="1:14" ht="12.75">
      <c r="A123" s="17"/>
      <c r="C123" s="45" t="s">
        <v>366</v>
      </c>
      <c r="F123" s="46"/>
      <c r="H123" s="51">
        <v>0</v>
      </c>
      <c r="M123" s="16"/>
      <c r="N123" s="17"/>
    </row>
    <row r="124" spans="1:14" ht="12.75">
      <c r="A124" s="17"/>
      <c r="C124" s="45" t="s">
        <v>367</v>
      </c>
      <c r="F124" s="46"/>
      <c r="H124" s="51">
        <v>184</v>
      </c>
      <c r="M124" s="16"/>
      <c r="N124" s="17"/>
    </row>
    <row r="125" spans="1:64" ht="12.75">
      <c r="A125" s="34" t="s">
        <v>127</v>
      </c>
      <c r="B125" s="42" t="s">
        <v>218</v>
      </c>
      <c r="C125" s="170" t="s">
        <v>368</v>
      </c>
      <c r="D125" s="171"/>
      <c r="E125" s="171"/>
      <c r="F125" s="171"/>
      <c r="G125" s="42" t="s">
        <v>451</v>
      </c>
      <c r="H125" s="50">
        <v>15.93</v>
      </c>
      <c r="I125" s="50">
        <v>0</v>
      </c>
      <c r="J125" s="50">
        <f>H125*AO125</f>
        <v>0</v>
      </c>
      <c r="K125" s="50">
        <f>H125*AP125</f>
        <v>0</v>
      </c>
      <c r="L125" s="50">
        <f>H125*I125</f>
        <v>0</v>
      </c>
      <c r="M125" s="63" t="s">
        <v>471</v>
      </c>
      <c r="N125" s="17"/>
      <c r="Z125" s="67">
        <f>IF(AQ125="5",BJ125,0)</f>
        <v>0</v>
      </c>
      <c r="AB125" s="67">
        <f>IF(AQ125="1",BH125,0)</f>
        <v>0</v>
      </c>
      <c r="AC125" s="67">
        <f>IF(AQ125="1",BI125,0)</f>
        <v>0</v>
      </c>
      <c r="AD125" s="67">
        <f>IF(AQ125="7",BH125,0)</f>
        <v>0</v>
      </c>
      <c r="AE125" s="67">
        <f>IF(AQ125="7",BI125,0)</f>
        <v>0</v>
      </c>
      <c r="AF125" s="67">
        <f>IF(AQ125="2",BH125,0)</f>
        <v>0</v>
      </c>
      <c r="AG125" s="67">
        <f>IF(AQ125="2",BI125,0)</f>
        <v>0</v>
      </c>
      <c r="AH125" s="67">
        <f>IF(AQ125="0",BJ125,0)</f>
        <v>0</v>
      </c>
      <c r="AI125" s="66"/>
      <c r="AJ125" s="50">
        <f>IF(AN125=0,L125,0)</f>
        <v>0</v>
      </c>
      <c r="AK125" s="50">
        <f>IF(AN125=15,L125,0)</f>
        <v>0</v>
      </c>
      <c r="AL125" s="50">
        <f>IF(AN125=21,L125,0)</f>
        <v>0</v>
      </c>
      <c r="AN125" s="67">
        <v>21</v>
      </c>
      <c r="AO125" s="67">
        <f>I125*0</f>
        <v>0</v>
      </c>
      <c r="AP125" s="67">
        <f>I125*(1-0)</f>
        <v>0</v>
      </c>
      <c r="AQ125" s="68" t="s">
        <v>81</v>
      </c>
      <c r="AV125" s="67">
        <f>AW125+AX125</f>
        <v>0</v>
      </c>
      <c r="AW125" s="67">
        <f>H125*AO125</f>
        <v>0</v>
      </c>
      <c r="AX125" s="67">
        <f>H125*AP125</f>
        <v>0</v>
      </c>
      <c r="AY125" s="70" t="s">
        <v>497</v>
      </c>
      <c r="AZ125" s="70" t="s">
        <v>515</v>
      </c>
      <c r="BA125" s="66" t="s">
        <v>518</v>
      </c>
      <c r="BC125" s="67">
        <f>AW125+AX125</f>
        <v>0</v>
      </c>
      <c r="BD125" s="67">
        <f>I125/(100-BE125)*100</f>
        <v>0</v>
      </c>
      <c r="BE125" s="67">
        <v>0</v>
      </c>
      <c r="BF125" s="67">
        <f>125</f>
        <v>125</v>
      </c>
      <c r="BH125" s="50">
        <f>H125*AO125</f>
        <v>0</v>
      </c>
      <c r="BI125" s="50">
        <f>H125*AP125</f>
        <v>0</v>
      </c>
      <c r="BJ125" s="50">
        <f>H125*I125</f>
        <v>0</v>
      </c>
      <c r="BK125" s="50" t="s">
        <v>523</v>
      </c>
      <c r="BL125" s="67">
        <v>767</v>
      </c>
    </row>
    <row r="126" spans="1:14" ht="12.75">
      <c r="A126" s="17"/>
      <c r="C126" s="45" t="s">
        <v>369</v>
      </c>
      <c r="F126" s="46"/>
      <c r="H126" s="51">
        <v>15.93</v>
      </c>
      <c r="M126" s="16"/>
      <c r="N126" s="17"/>
    </row>
    <row r="127" spans="1:64" ht="12.75">
      <c r="A127" s="34" t="s">
        <v>128</v>
      </c>
      <c r="B127" s="42" t="s">
        <v>219</v>
      </c>
      <c r="C127" s="170" t="s">
        <v>370</v>
      </c>
      <c r="D127" s="171"/>
      <c r="E127" s="171"/>
      <c r="F127" s="171"/>
      <c r="G127" s="42" t="s">
        <v>451</v>
      </c>
      <c r="H127" s="50">
        <v>12.75</v>
      </c>
      <c r="I127" s="50">
        <v>0</v>
      </c>
      <c r="J127" s="50">
        <f>H127*AO127</f>
        <v>0</v>
      </c>
      <c r="K127" s="50">
        <f>H127*AP127</f>
        <v>0</v>
      </c>
      <c r="L127" s="50">
        <f>H127*I127</f>
        <v>0</v>
      </c>
      <c r="M127" s="63" t="s">
        <v>471</v>
      </c>
      <c r="N127" s="17"/>
      <c r="Z127" s="67">
        <f>IF(AQ127="5",BJ127,0)</f>
        <v>0</v>
      </c>
      <c r="AB127" s="67">
        <f>IF(AQ127="1",BH127,0)</f>
        <v>0</v>
      </c>
      <c r="AC127" s="67">
        <f>IF(AQ127="1",BI127,0)</f>
        <v>0</v>
      </c>
      <c r="AD127" s="67">
        <f>IF(AQ127="7",BH127,0)</f>
        <v>0</v>
      </c>
      <c r="AE127" s="67">
        <f>IF(AQ127="7",BI127,0)</f>
        <v>0</v>
      </c>
      <c r="AF127" s="67">
        <f>IF(AQ127="2",BH127,0)</f>
        <v>0</v>
      </c>
      <c r="AG127" s="67">
        <f>IF(AQ127="2",BI127,0)</f>
        <v>0</v>
      </c>
      <c r="AH127" s="67">
        <f>IF(AQ127="0",BJ127,0)</f>
        <v>0</v>
      </c>
      <c r="AI127" s="66"/>
      <c r="AJ127" s="50">
        <f>IF(AN127=0,L127,0)</f>
        <v>0</v>
      </c>
      <c r="AK127" s="50">
        <f>IF(AN127=15,L127,0)</f>
        <v>0</v>
      </c>
      <c r="AL127" s="50">
        <f>IF(AN127=21,L127,0)</f>
        <v>0</v>
      </c>
      <c r="AN127" s="67">
        <v>21</v>
      </c>
      <c r="AO127" s="67">
        <f>I127*0</f>
        <v>0</v>
      </c>
      <c r="AP127" s="67">
        <f>I127*(1-0)</f>
        <v>0</v>
      </c>
      <c r="AQ127" s="68" t="s">
        <v>81</v>
      </c>
      <c r="AV127" s="67">
        <f>AW127+AX127</f>
        <v>0</v>
      </c>
      <c r="AW127" s="67">
        <f>H127*AO127</f>
        <v>0</v>
      </c>
      <c r="AX127" s="67">
        <f>H127*AP127</f>
        <v>0</v>
      </c>
      <c r="AY127" s="70" t="s">
        <v>497</v>
      </c>
      <c r="AZ127" s="70" t="s">
        <v>515</v>
      </c>
      <c r="BA127" s="66" t="s">
        <v>518</v>
      </c>
      <c r="BC127" s="67">
        <f>AW127+AX127</f>
        <v>0</v>
      </c>
      <c r="BD127" s="67">
        <f>I127/(100-BE127)*100</f>
        <v>0</v>
      </c>
      <c r="BE127" s="67">
        <v>0</v>
      </c>
      <c r="BF127" s="67">
        <f>127</f>
        <v>127</v>
      </c>
      <c r="BH127" s="50">
        <f>H127*AO127</f>
        <v>0</v>
      </c>
      <c r="BI127" s="50">
        <f>H127*AP127</f>
        <v>0</v>
      </c>
      <c r="BJ127" s="50">
        <f>H127*I127</f>
        <v>0</v>
      </c>
      <c r="BK127" s="50" t="s">
        <v>523</v>
      </c>
      <c r="BL127" s="67">
        <v>767</v>
      </c>
    </row>
    <row r="128" spans="1:14" ht="12.75">
      <c r="A128" s="17"/>
      <c r="C128" s="45" t="s">
        <v>371</v>
      </c>
      <c r="F128" s="46"/>
      <c r="H128" s="51">
        <v>12.75</v>
      </c>
      <c r="M128" s="16"/>
      <c r="N128" s="17"/>
    </row>
    <row r="129" spans="1:64" ht="12.75">
      <c r="A129" s="35" t="s">
        <v>129</v>
      </c>
      <c r="B129" s="43" t="s">
        <v>220</v>
      </c>
      <c r="C129" s="174" t="s">
        <v>372</v>
      </c>
      <c r="D129" s="175"/>
      <c r="E129" s="175"/>
      <c r="F129" s="175"/>
      <c r="G129" s="43" t="s">
        <v>454</v>
      </c>
      <c r="H129" s="52">
        <v>0.13104</v>
      </c>
      <c r="I129" s="52">
        <v>0</v>
      </c>
      <c r="J129" s="52">
        <f>H129*AO129</f>
        <v>0</v>
      </c>
      <c r="K129" s="52">
        <f>H129*AP129</f>
        <v>0</v>
      </c>
      <c r="L129" s="52">
        <f>H129*I129</f>
        <v>0</v>
      </c>
      <c r="M129" s="64" t="s">
        <v>471</v>
      </c>
      <c r="N129" s="17"/>
      <c r="Z129" s="67">
        <f>IF(AQ129="5",BJ129,0)</f>
        <v>0</v>
      </c>
      <c r="AB129" s="67">
        <f>IF(AQ129="1",BH129,0)</f>
        <v>0</v>
      </c>
      <c r="AC129" s="67">
        <f>IF(AQ129="1",BI129,0)</f>
        <v>0</v>
      </c>
      <c r="AD129" s="67">
        <f>IF(AQ129="7",BH129,0)</f>
        <v>0</v>
      </c>
      <c r="AE129" s="67">
        <f>IF(AQ129="7",BI129,0)</f>
        <v>0</v>
      </c>
      <c r="AF129" s="67">
        <f>IF(AQ129="2",BH129,0)</f>
        <v>0</v>
      </c>
      <c r="AG129" s="67">
        <f>IF(AQ129="2",BI129,0)</f>
        <v>0</v>
      </c>
      <c r="AH129" s="67">
        <f>IF(AQ129="0",BJ129,0)</f>
        <v>0</v>
      </c>
      <c r="AI129" s="66"/>
      <c r="AJ129" s="52">
        <f>IF(AN129=0,L129,0)</f>
        <v>0</v>
      </c>
      <c r="AK129" s="52">
        <f>IF(AN129=15,L129,0)</f>
        <v>0</v>
      </c>
      <c r="AL129" s="52">
        <f>IF(AN129=21,L129,0)</f>
        <v>0</v>
      </c>
      <c r="AN129" s="67">
        <v>21</v>
      </c>
      <c r="AO129" s="67">
        <f>I129*1</f>
        <v>0</v>
      </c>
      <c r="AP129" s="67">
        <f>I129*(1-1)</f>
        <v>0</v>
      </c>
      <c r="AQ129" s="69" t="s">
        <v>81</v>
      </c>
      <c r="AV129" s="67">
        <f>AW129+AX129</f>
        <v>0</v>
      </c>
      <c r="AW129" s="67">
        <f>H129*AO129</f>
        <v>0</v>
      </c>
      <c r="AX129" s="67">
        <f>H129*AP129</f>
        <v>0</v>
      </c>
      <c r="AY129" s="70" t="s">
        <v>497</v>
      </c>
      <c r="AZ129" s="70" t="s">
        <v>515</v>
      </c>
      <c r="BA129" s="66" t="s">
        <v>518</v>
      </c>
      <c r="BC129" s="67">
        <f>AW129+AX129</f>
        <v>0</v>
      </c>
      <c r="BD129" s="67">
        <f>I129/(100-BE129)*100</f>
        <v>0</v>
      </c>
      <c r="BE129" s="67">
        <v>0</v>
      </c>
      <c r="BF129" s="67">
        <f>129</f>
        <v>129</v>
      </c>
      <c r="BH129" s="52">
        <f>H129*AO129</f>
        <v>0</v>
      </c>
      <c r="BI129" s="52">
        <f>H129*AP129</f>
        <v>0</v>
      </c>
      <c r="BJ129" s="52">
        <f>H129*I129</f>
        <v>0</v>
      </c>
      <c r="BK129" s="52" t="s">
        <v>524</v>
      </c>
      <c r="BL129" s="67">
        <v>767</v>
      </c>
    </row>
    <row r="130" spans="1:14" ht="12.75">
      <c r="A130" s="17"/>
      <c r="C130" s="45" t="s">
        <v>373</v>
      </c>
      <c r="F130" s="46"/>
      <c r="H130" s="51">
        <v>0.13104</v>
      </c>
      <c r="M130" s="16"/>
      <c r="N130" s="17"/>
    </row>
    <row r="131" spans="1:64" ht="12.75">
      <c r="A131" s="35" t="s">
        <v>130</v>
      </c>
      <c r="B131" s="43" t="s">
        <v>221</v>
      </c>
      <c r="C131" s="174" t="s">
        <v>374</v>
      </c>
      <c r="D131" s="175"/>
      <c r="E131" s="175"/>
      <c r="F131" s="175"/>
      <c r="G131" s="43" t="s">
        <v>455</v>
      </c>
      <c r="H131" s="52">
        <v>15</v>
      </c>
      <c r="I131" s="52">
        <v>0</v>
      </c>
      <c r="J131" s="52">
        <f>H131*AO131</f>
        <v>0</v>
      </c>
      <c r="K131" s="52">
        <f>H131*AP131</f>
        <v>0</v>
      </c>
      <c r="L131" s="52">
        <f>H131*I131</f>
        <v>0</v>
      </c>
      <c r="M131" s="64" t="s">
        <v>471</v>
      </c>
      <c r="N131" s="17"/>
      <c r="Z131" s="67">
        <f>IF(AQ131="5",BJ131,0)</f>
        <v>0</v>
      </c>
      <c r="AB131" s="67">
        <f>IF(AQ131="1",BH131,0)</f>
        <v>0</v>
      </c>
      <c r="AC131" s="67">
        <f>IF(AQ131="1",BI131,0)</f>
        <v>0</v>
      </c>
      <c r="AD131" s="67">
        <f>IF(AQ131="7",BH131,0)</f>
        <v>0</v>
      </c>
      <c r="AE131" s="67">
        <f>IF(AQ131="7",BI131,0)</f>
        <v>0</v>
      </c>
      <c r="AF131" s="67">
        <f>IF(AQ131="2",BH131,0)</f>
        <v>0</v>
      </c>
      <c r="AG131" s="67">
        <f>IF(AQ131="2",BI131,0)</f>
        <v>0</v>
      </c>
      <c r="AH131" s="67">
        <f>IF(AQ131="0",BJ131,0)</f>
        <v>0</v>
      </c>
      <c r="AI131" s="66"/>
      <c r="AJ131" s="52">
        <f>IF(AN131=0,L131,0)</f>
        <v>0</v>
      </c>
      <c r="AK131" s="52">
        <f>IF(AN131=15,L131,0)</f>
        <v>0</v>
      </c>
      <c r="AL131" s="52">
        <f>IF(AN131=21,L131,0)</f>
        <v>0</v>
      </c>
      <c r="AN131" s="67">
        <v>21</v>
      </c>
      <c r="AO131" s="67">
        <f>I131*1</f>
        <v>0</v>
      </c>
      <c r="AP131" s="67">
        <f>I131*(1-1)</f>
        <v>0</v>
      </c>
      <c r="AQ131" s="69" t="s">
        <v>81</v>
      </c>
      <c r="AV131" s="67">
        <f>AW131+AX131</f>
        <v>0</v>
      </c>
      <c r="AW131" s="67">
        <f>H131*AO131</f>
        <v>0</v>
      </c>
      <c r="AX131" s="67">
        <f>H131*AP131</f>
        <v>0</v>
      </c>
      <c r="AY131" s="70" t="s">
        <v>497</v>
      </c>
      <c r="AZ131" s="70" t="s">
        <v>515</v>
      </c>
      <c r="BA131" s="66" t="s">
        <v>518</v>
      </c>
      <c r="BC131" s="67">
        <f>AW131+AX131</f>
        <v>0</v>
      </c>
      <c r="BD131" s="67">
        <f>I131/(100-BE131)*100</f>
        <v>0</v>
      </c>
      <c r="BE131" s="67">
        <v>0</v>
      </c>
      <c r="BF131" s="67">
        <f>131</f>
        <v>131</v>
      </c>
      <c r="BH131" s="52">
        <f>H131*AO131</f>
        <v>0</v>
      </c>
      <c r="BI131" s="52">
        <f>H131*AP131</f>
        <v>0</v>
      </c>
      <c r="BJ131" s="52">
        <f>H131*I131</f>
        <v>0</v>
      </c>
      <c r="BK131" s="52" t="s">
        <v>524</v>
      </c>
      <c r="BL131" s="67">
        <v>767</v>
      </c>
    </row>
    <row r="132" spans="1:14" ht="12.75">
      <c r="A132" s="17"/>
      <c r="C132" s="45" t="s">
        <v>375</v>
      </c>
      <c r="F132" s="46"/>
      <c r="H132" s="51">
        <v>15</v>
      </c>
      <c r="M132" s="16"/>
      <c r="N132" s="17"/>
    </row>
    <row r="133" spans="1:64" ht="12.75">
      <c r="A133" s="35" t="s">
        <v>131</v>
      </c>
      <c r="B133" s="43" t="s">
        <v>166</v>
      </c>
      <c r="C133" s="174" t="s">
        <v>376</v>
      </c>
      <c r="D133" s="175"/>
      <c r="E133" s="175"/>
      <c r="F133" s="175"/>
      <c r="G133" s="43" t="s">
        <v>457</v>
      </c>
      <c r="H133" s="52">
        <v>1</v>
      </c>
      <c r="I133" s="52">
        <v>0</v>
      </c>
      <c r="J133" s="52">
        <f>H133*AO133</f>
        <v>0</v>
      </c>
      <c r="K133" s="52">
        <f>H133*AP133</f>
        <v>0</v>
      </c>
      <c r="L133" s="52">
        <f>H133*I133</f>
        <v>0</v>
      </c>
      <c r="M133" s="64" t="s">
        <v>166</v>
      </c>
      <c r="N133" s="17"/>
      <c r="Z133" s="67">
        <f>IF(AQ133="5",BJ133,0)</f>
        <v>0</v>
      </c>
      <c r="AB133" s="67">
        <f>IF(AQ133="1",BH133,0)</f>
        <v>0</v>
      </c>
      <c r="AC133" s="67">
        <f>IF(AQ133="1",BI133,0)</f>
        <v>0</v>
      </c>
      <c r="AD133" s="67">
        <f>IF(AQ133="7",BH133,0)</f>
        <v>0</v>
      </c>
      <c r="AE133" s="67">
        <f>IF(AQ133="7",BI133,0)</f>
        <v>0</v>
      </c>
      <c r="AF133" s="67">
        <f>IF(AQ133="2",BH133,0)</f>
        <v>0</v>
      </c>
      <c r="AG133" s="67">
        <f>IF(AQ133="2",BI133,0)</f>
        <v>0</v>
      </c>
      <c r="AH133" s="67">
        <f>IF(AQ133="0",BJ133,0)</f>
        <v>0</v>
      </c>
      <c r="AI133" s="66"/>
      <c r="AJ133" s="52">
        <f>IF(AN133=0,L133,0)</f>
        <v>0</v>
      </c>
      <c r="AK133" s="52">
        <f>IF(AN133=15,L133,0)</f>
        <v>0</v>
      </c>
      <c r="AL133" s="52">
        <f>IF(AN133=21,L133,0)</f>
        <v>0</v>
      </c>
      <c r="AN133" s="67">
        <v>21</v>
      </c>
      <c r="AO133" s="67">
        <f>I133*1</f>
        <v>0</v>
      </c>
      <c r="AP133" s="67">
        <f>I133*(1-1)</f>
        <v>0</v>
      </c>
      <c r="AQ133" s="69" t="s">
        <v>81</v>
      </c>
      <c r="AV133" s="67">
        <f>AW133+AX133</f>
        <v>0</v>
      </c>
      <c r="AW133" s="67">
        <f>H133*AO133</f>
        <v>0</v>
      </c>
      <c r="AX133" s="67">
        <f>H133*AP133</f>
        <v>0</v>
      </c>
      <c r="AY133" s="70" t="s">
        <v>497</v>
      </c>
      <c r="AZ133" s="70" t="s">
        <v>515</v>
      </c>
      <c r="BA133" s="66" t="s">
        <v>518</v>
      </c>
      <c r="BC133" s="67">
        <f>AW133+AX133</f>
        <v>0</v>
      </c>
      <c r="BD133" s="67">
        <f>I133/(100-BE133)*100</f>
        <v>0</v>
      </c>
      <c r="BE133" s="67">
        <v>0</v>
      </c>
      <c r="BF133" s="67">
        <f>133</f>
        <v>133</v>
      </c>
      <c r="BH133" s="52">
        <f>H133*AO133</f>
        <v>0</v>
      </c>
      <c r="BI133" s="52">
        <f>H133*AP133</f>
        <v>0</v>
      </c>
      <c r="BJ133" s="52">
        <f>H133*I133</f>
        <v>0</v>
      </c>
      <c r="BK133" s="52" t="s">
        <v>524</v>
      </c>
      <c r="BL133" s="67">
        <v>767</v>
      </c>
    </row>
    <row r="134" spans="1:14" ht="12.75">
      <c r="A134" s="17"/>
      <c r="C134" s="45" t="s">
        <v>377</v>
      </c>
      <c r="F134" s="46"/>
      <c r="H134" s="51">
        <v>0</v>
      </c>
      <c r="M134" s="16"/>
      <c r="N134" s="17"/>
    </row>
    <row r="135" spans="1:64" ht="12.75">
      <c r="A135" s="35" t="s">
        <v>132</v>
      </c>
      <c r="B135" s="43" t="s">
        <v>166</v>
      </c>
      <c r="C135" s="174" t="s">
        <v>378</v>
      </c>
      <c r="D135" s="175"/>
      <c r="E135" s="175"/>
      <c r="F135" s="175"/>
      <c r="G135" s="43" t="s">
        <v>457</v>
      </c>
      <c r="H135" s="52">
        <v>6740</v>
      </c>
      <c r="I135" s="52">
        <v>0</v>
      </c>
      <c r="J135" s="52">
        <f>H135*AO135</f>
        <v>0</v>
      </c>
      <c r="K135" s="52">
        <f>H135*AP135</f>
        <v>0</v>
      </c>
      <c r="L135" s="52">
        <f>H135*I135</f>
        <v>0</v>
      </c>
      <c r="M135" s="64" t="s">
        <v>166</v>
      </c>
      <c r="N135" s="17"/>
      <c r="Z135" s="67">
        <f>IF(AQ135="5",BJ135,0)</f>
        <v>0</v>
      </c>
      <c r="AB135" s="67">
        <f>IF(AQ135="1",BH135,0)</f>
        <v>0</v>
      </c>
      <c r="AC135" s="67">
        <f>IF(AQ135="1",BI135,0)</f>
        <v>0</v>
      </c>
      <c r="AD135" s="67">
        <f>IF(AQ135="7",BH135,0)</f>
        <v>0</v>
      </c>
      <c r="AE135" s="67">
        <f>IF(AQ135="7",BI135,0)</f>
        <v>0</v>
      </c>
      <c r="AF135" s="67">
        <f>IF(AQ135="2",BH135,0)</f>
        <v>0</v>
      </c>
      <c r="AG135" s="67">
        <f>IF(AQ135="2",BI135,0)</f>
        <v>0</v>
      </c>
      <c r="AH135" s="67">
        <f>IF(AQ135="0",BJ135,0)</f>
        <v>0</v>
      </c>
      <c r="AI135" s="66"/>
      <c r="AJ135" s="52">
        <f>IF(AN135=0,L135,0)</f>
        <v>0</v>
      </c>
      <c r="AK135" s="52">
        <f>IF(AN135=15,L135,0)</f>
        <v>0</v>
      </c>
      <c r="AL135" s="52">
        <f>IF(AN135=21,L135,0)</f>
        <v>0</v>
      </c>
      <c r="AN135" s="67">
        <v>21</v>
      </c>
      <c r="AO135" s="67">
        <f>I135*1</f>
        <v>0</v>
      </c>
      <c r="AP135" s="67">
        <f>I135*(1-1)</f>
        <v>0</v>
      </c>
      <c r="AQ135" s="69" t="s">
        <v>81</v>
      </c>
      <c r="AV135" s="67">
        <f>AW135+AX135</f>
        <v>0</v>
      </c>
      <c r="AW135" s="67">
        <f>H135*AO135</f>
        <v>0</v>
      </c>
      <c r="AX135" s="67">
        <f>H135*AP135</f>
        <v>0</v>
      </c>
      <c r="AY135" s="70" t="s">
        <v>497</v>
      </c>
      <c r="AZ135" s="70" t="s">
        <v>515</v>
      </c>
      <c r="BA135" s="66" t="s">
        <v>518</v>
      </c>
      <c r="BC135" s="67">
        <f>AW135+AX135</f>
        <v>0</v>
      </c>
      <c r="BD135" s="67">
        <f>I135/(100-BE135)*100</f>
        <v>0</v>
      </c>
      <c r="BE135" s="67">
        <v>0</v>
      </c>
      <c r="BF135" s="67">
        <f>135</f>
        <v>135</v>
      </c>
      <c r="BH135" s="52">
        <f>H135*AO135</f>
        <v>0</v>
      </c>
      <c r="BI135" s="52">
        <f>H135*AP135</f>
        <v>0</v>
      </c>
      <c r="BJ135" s="52">
        <f>H135*I135</f>
        <v>0</v>
      </c>
      <c r="BK135" s="52" t="s">
        <v>524</v>
      </c>
      <c r="BL135" s="67">
        <v>767</v>
      </c>
    </row>
    <row r="136" spans="1:14" ht="12.75">
      <c r="A136" s="17"/>
      <c r="C136" s="45" t="s">
        <v>379</v>
      </c>
      <c r="F136" s="46"/>
      <c r="H136" s="51">
        <v>0</v>
      </c>
      <c r="M136" s="16"/>
      <c r="N136" s="17"/>
    </row>
    <row r="137" spans="1:14" ht="12.75">
      <c r="A137" s="17"/>
      <c r="C137" s="45" t="s">
        <v>380</v>
      </c>
      <c r="F137" s="46"/>
      <c r="H137" s="51">
        <v>3200</v>
      </c>
      <c r="M137" s="16"/>
      <c r="N137" s="17"/>
    </row>
    <row r="138" spans="1:14" ht="12.75">
      <c r="A138" s="17"/>
      <c r="C138" s="45" t="s">
        <v>381</v>
      </c>
      <c r="F138" s="46"/>
      <c r="H138" s="51">
        <v>0</v>
      </c>
      <c r="M138" s="16"/>
      <c r="N138" s="17"/>
    </row>
    <row r="139" spans="1:14" ht="12.75">
      <c r="A139" s="17"/>
      <c r="C139" s="45" t="s">
        <v>382</v>
      </c>
      <c r="F139" s="46"/>
      <c r="H139" s="51">
        <v>3540</v>
      </c>
      <c r="M139" s="16"/>
      <c r="N139" s="17"/>
    </row>
    <row r="140" spans="1:64" ht="12.75">
      <c r="A140" s="35" t="s">
        <v>133</v>
      </c>
      <c r="B140" s="43" t="s">
        <v>166</v>
      </c>
      <c r="C140" s="174" t="s">
        <v>383</v>
      </c>
      <c r="D140" s="175"/>
      <c r="E140" s="175"/>
      <c r="F140" s="175"/>
      <c r="G140" s="43" t="s">
        <v>457</v>
      </c>
      <c r="H140" s="52">
        <v>1</v>
      </c>
      <c r="I140" s="52">
        <v>0</v>
      </c>
      <c r="J140" s="52">
        <f>H140*AO140</f>
        <v>0</v>
      </c>
      <c r="K140" s="52">
        <f>H140*AP140</f>
        <v>0</v>
      </c>
      <c r="L140" s="52">
        <f>H140*I140</f>
        <v>0</v>
      </c>
      <c r="M140" s="64" t="s">
        <v>166</v>
      </c>
      <c r="N140" s="17"/>
      <c r="Z140" s="67">
        <f>IF(AQ140="5",BJ140,0)</f>
        <v>0</v>
      </c>
      <c r="AB140" s="67">
        <f>IF(AQ140="1",BH140,0)</f>
        <v>0</v>
      </c>
      <c r="AC140" s="67">
        <f>IF(AQ140="1",BI140,0)</f>
        <v>0</v>
      </c>
      <c r="AD140" s="67">
        <f>IF(AQ140="7",BH140,0)</f>
        <v>0</v>
      </c>
      <c r="AE140" s="67">
        <f>IF(AQ140="7",BI140,0)</f>
        <v>0</v>
      </c>
      <c r="AF140" s="67">
        <f>IF(AQ140="2",BH140,0)</f>
        <v>0</v>
      </c>
      <c r="AG140" s="67">
        <f>IF(AQ140="2",BI140,0)</f>
        <v>0</v>
      </c>
      <c r="AH140" s="67">
        <f>IF(AQ140="0",BJ140,0)</f>
        <v>0</v>
      </c>
      <c r="AI140" s="66"/>
      <c r="AJ140" s="52">
        <f>IF(AN140=0,L140,0)</f>
        <v>0</v>
      </c>
      <c r="AK140" s="52">
        <f>IF(AN140=15,L140,0)</f>
        <v>0</v>
      </c>
      <c r="AL140" s="52">
        <f>IF(AN140=21,L140,0)</f>
        <v>0</v>
      </c>
      <c r="AN140" s="67">
        <v>21</v>
      </c>
      <c r="AO140" s="67">
        <f>I140*1</f>
        <v>0</v>
      </c>
      <c r="AP140" s="67">
        <f>I140*(1-1)</f>
        <v>0</v>
      </c>
      <c r="AQ140" s="69" t="s">
        <v>81</v>
      </c>
      <c r="AV140" s="67">
        <f>AW140+AX140</f>
        <v>0</v>
      </c>
      <c r="AW140" s="67">
        <f>H140*AO140</f>
        <v>0</v>
      </c>
      <c r="AX140" s="67">
        <f>H140*AP140</f>
        <v>0</v>
      </c>
      <c r="AY140" s="70" t="s">
        <v>497</v>
      </c>
      <c r="AZ140" s="70" t="s">
        <v>515</v>
      </c>
      <c r="BA140" s="66" t="s">
        <v>518</v>
      </c>
      <c r="BC140" s="67">
        <f>AW140+AX140</f>
        <v>0</v>
      </c>
      <c r="BD140" s="67">
        <f>I140/(100-BE140)*100</f>
        <v>0</v>
      </c>
      <c r="BE140" s="67">
        <v>0</v>
      </c>
      <c r="BF140" s="67">
        <f>140</f>
        <v>140</v>
      </c>
      <c r="BH140" s="52">
        <f>H140*AO140</f>
        <v>0</v>
      </c>
      <c r="BI140" s="52">
        <f>H140*AP140</f>
        <v>0</v>
      </c>
      <c r="BJ140" s="52">
        <f>H140*I140</f>
        <v>0</v>
      </c>
      <c r="BK140" s="52" t="s">
        <v>524</v>
      </c>
      <c r="BL140" s="67">
        <v>767</v>
      </c>
    </row>
    <row r="141" spans="1:64" ht="12.75">
      <c r="A141" s="34" t="s">
        <v>134</v>
      </c>
      <c r="B141" s="42" t="s">
        <v>222</v>
      </c>
      <c r="C141" s="170" t="s">
        <v>384</v>
      </c>
      <c r="D141" s="171"/>
      <c r="E141" s="171"/>
      <c r="F141" s="171"/>
      <c r="G141" s="42" t="s">
        <v>454</v>
      </c>
      <c r="H141" s="50">
        <v>1.392</v>
      </c>
      <c r="I141" s="50">
        <v>0</v>
      </c>
      <c r="J141" s="50">
        <f>H141*AO141</f>
        <v>0</v>
      </c>
      <c r="K141" s="50">
        <f>H141*AP141</f>
        <v>0</v>
      </c>
      <c r="L141" s="50">
        <f>H141*I141</f>
        <v>0</v>
      </c>
      <c r="M141" s="63" t="s">
        <v>471</v>
      </c>
      <c r="N141" s="17"/>
      <c r="Z141" s="67">
        <f>IF(AQ141="5",BJ141,0)</f>
        <v>0</v>
      </c>
      <c r="AB141" s="67">
        <f>IF(AQ141="1",BH141,0)</f>
        <v>0</v>
      </c>
      <c r="AC141" s="67">
        <f>IF(AQ141="1",BI141,0)</f>
        <v>0</v>
      </c>
      <c r="AD141" s="67">
        <f>IF(AQ141="7",BH141,0)</f>
        <v>0</v>
      </c>
      <c r="AE141" s="67">
        <f>IF(AQ141="7",BI141,0)</f>
        <v>0</v>
      </c>
      <c r="AF141" s="67">
        <f>IF(AQ141="2",BH141,0)</f>
        <v>0</v>
      </c>
      <c r="AG141" s="67">
        <f>IF(AQ141="2",BI141,0)</f>
        <v>0</v>
      </c>
      <c r="AH141" s="67">
        <f>IF(AQ141="0",BJ141,0)</f>
        <v>0</v>
      </c>
      <c r="AI141" s="66"/>
      <c r="AJ141" s="50">
        <f>IF(AN141=0,L141,0)</f>
        <v>0</v>
      </c>
      <c r="AK141" s="50">
        <f>IF(AN141=15,L141,0)</f>
        <v>0</v>
      </c>
      <c r="AL141" s="50">
        <f>IF(AN141=21,L141,0)</f>
        <v>0</v>
      </c>
      <c r="AN141" s="67">
        <v>21</v>
      </c>
      <c r="AO141" s="67">
        <f>I141*0</f>
        <v>0</v>
      </c>
      <c r="AP141" s="67">
        <f>I141*(1-0)</f>
        <v>0</v>
      </c>
      <c r="AQ141" s="68" t="s">
        <v>79</v>
      </c>
      <c r="AV141" s="67">
        <f>AW141+AX141</f>
        <v>0</v>
      </c>
      <c r="AW141" s="67">
        <f>H141*AO141</f>
        <v>0</v>
      </c>
      <c r="AX141" s="67">
        <f>H141*AP141</f>
        <v>0</v>
      </c>
      <c r="AY141" s="70" t="s">
        <v>497</v>
      </c>
      <c r="AZ141" s="70" t="s">
        <v>515</v>
      </c>
      <c r="BA141" s="66" t="s">
        <v>518</v>
      </c>
      <c r="BC141" s="67">
        <f>AW141+AX141</f>
        <v>0</v>
      </c>
      <c r="BD141" s="67">
        <f>I141/(100-BE141)*100</f>
        <v>0</v>
      </c>
      <c r="BE141" s="67">
        <v>0</v>
      </c>
      <c r="BF141" s="67">
        <f>141</f>
        <v>141</v>
      </c>
      <c r="BH141" s="50">
        <f>H141*AO141</f>
        <v>0</v>
      </c>
      <c r="BI141" s="50">
        <f>H141*AP141</f>
        <v>0</v>
      </c>
      <c r="BJ141" s="50">
        <f>H141*I141</f>
        <v>0</v>
      </c>
      <c r="BK141" s="50" t="s">
        <v>523</v>
      </c>
      <c r="BL141" s="67">
        <v>767</v>
      </c>
    </row>
    <row r="142" spans="1:47" ht="12.75">
      <c r="A142" s="33"/>
      <c r="B142" s="41" t="s">
        <v>223</v>
      </c>
      <c r="C142" s="168" t="s">
        <v>385</v>
      </c>
      <c r="D142" s="169"/>
      <c r="E142" s="169"/>
      <c r="F142" s="169"/>
      <c r="G142" s="48" t="s">
        <v>74</v>
      </c>
      <c r="H142" s="48" t="s">
        <v>74</v>
      </c>
      <c r="I142" s="48" t="s">
        <v>74</v>
      </c>
      <c r="J142" s="73">
        <f>SUM(J143:J150)</f>
        <v>0</v>
      </c>
      <c r="K142" s="73">
        <f>SUM(K143:K150)</f>
        <v>0</v>
      </c>
      <c r="L142" s="73">
        <f>SUM(L143:L150)</f>
        <v>0</v>
      </c>
      <c r="M142" s="62"/>
      <c r="N142" s="17"/>
      <c r="AI142" s="66"/>
      <c r="AS142" s="73">
        <f>SUM(AJ143:AJ150)</f>
        <v>0</v>
      </c>
      <c r="AT142" s="73">
        <f>SUM(AK143:AK150)</f>
        <v>0</v>
      </c>
      <c r="AU142" s="73">
        <f>SUM(AL143:AL150)</f>
        <v>0</v>
      </c>
    </row>
    <row r="143" spans="1:64" ht="12.75">
      <c r="A143" s="34" t="s">
        <v>135</v>
      </c>
      <c r="B143" s="42" t="s">
        <v>224</v>
      </c>
      <c r="C143" s="170" t="s">
        <v>386</v>
      </c>
      <c r="D143" s="171"/>
      <c r="E143" s="171"/>
      <c r="F143" s="171"/>
      <c r="G143" s="42" t="s">
        <v>451</v>
      </c>
      <c r="H143" s="50">
        <v>4.455</v>
      </c>
      <c r="I143" s="50">
        <v>0</v>
      </c>
      <c r="J143" s="50">
        <f>H143*AO143</f>
        <v>0</v>
      </c>
      <c r="K143" s="50">
        <f>H143*AP143</f>
        <v>0</v>
      </c>
      <c r="L143" s="50">
        <f>H143*I143</f>
        <v>0</v>
      </c>
      <c r="M143" s="63" t="s">
        <v>471</v>
      </c>
      <c r="N143" s="17"/>
      <c r="Z143" s="67">
        <f>IF(AQ143="5",BJ143,0)</f>
        <v>0</v>
      </c>
      <c r="AB143" s="67">
        <f>IF(AQ143="1",BH143,0)</f>
        <v>0</v>
      </c>
      <c r="AC143" s="67">
        <f>IF(AQ143="1",BI143,0)</f>
        <v>0</v>
      </c>
      <c r="AD143" s="67">
        <f>IF(AQ143="7",BH143,0)</f>
        <v>0</v>
      </c>
      <c r="AE143" s="67">
        <f>IF(AQ143="7",BI143,0)</f>
        <v>0</v>
      </c>
      <c r="AF143" s="67">
        <f>IF(AQ143="2",BH143,0)</f>
        <v>0</v>
      </c>
      <c r="AG143" s="67">
        <f>IF(AQ143="2",BI143,0)</f>
        <v>0</v>
      </c>
      <c r="AH143" s="67">
        <f>IF(AQ143="0",BJ143,0)</f>
        <v>0</v>
      </c>
      <c r="AI143" s="66"/>
      <c r="AJ143" s="50">
        <f>IF(AN143=0,L143,0)</f>
        <v>0</v>
      </c>
      <c r="AK143" s="50">
        <f>IF(AN143=15,L143,0)</f>
        <v>0</v>
      </c>
      <c r="AL143" s="50">
        <f>IF(AN143=21,L143,0)</f>
        <v>0</v>
      </c>
      <c r="AN143" s="67">
        <v>21</v>
      </c>
      <c r="AO143" s="67">
        <f>I143*0.999971223021583</f>
        <v>0</v>
      </c>
      <c r="AP143" s="67">
        <f>I143*(1-0.999971223021583)</f>
        <v>0</v>
      </c>
      <c r="AQ143" s="68" t="s">
        <v>81</v>
      </c>
      <c r="AV143" s="67">
        <f>AW143+AX143</f>
        <v>0</v>
      </c>
      <c r="AW143" s="67">
        <f>H143*AO143</f>
        <v>0</v>
      </c>
      <c r="AX143" s="67">
        <f>H143*AP143</f>
        <v>0</v>
      </c>
      <c r="AY143" s="70" t="s">
        <v>498</v>
      </c>
      <c r="AZ143" s="70" t="s">
        <v>516</v>
      </c>
      <c r="BA143" s="66" t="s">
        <v>518</v>
      </c>
      <c r="BC143" s="67">
        <f>AW143+AX143</f>
        <v>0</v>
      </c>
      <c r="BD143" s="67">
        <f>I143/(100-BE143)*100</f>
        <v>0</v>
      </c>
      <c r="BE143" s="67">
        <v>0</v>
      </c>
      <c r="BF143" s="67">
        <f>143</f>
        <v>143</v>
      </c>
      <c r="BH143" s="50">
        <f>H143*AO143</f>
        <v>0</v>
      </c>
      <c r="BI143" s="50">
        <f>H143*AP143</f>
        <v>0</v>
      </c>
      <c r="BJ143" s="50">
        <f>H143*I143</f>
        <v>0</v>
      </c>
      <c r="BK143" s="50" t="s">
        <v>523</v>
      </c>
      <c r="BL143" s="67">
        <v>771</v>
      </c>
    </row>
    <row r="144" spans="1:14" ht="12.75">
      <c r="A144" s="17"/>
      <c r="C144" s="45" t="s">
        <v>337</v>
      </c>
      <c r="F144" s="46"/>
      <c r="H144" s="51">
        <v>4.455</v>
      </c>
      <c r="M144" s="16"/>
      <c r="N144" s="17"/>
    </row>
    <row r="145" spans="1:64" ht="12.75">
      <c r="A145" s="34" t="s">
        <v>136</v>
      </c>
      <c r="B145" s="42" t="s">
        <v>225</v>
      </c>
      <c r="C145" s="170" t="s">
        <v>387</v>
      </c>
      <c r="D145" s="171"/>
      <c r="E145" s="171"/>
      <c r="F145" s="171"/>
      <c r="G145" s="42" t="s">
        <v>451</v>
      </c>
      <c r="H145" s="50">
        <v>4.455</v>
      </c>
      <c r="I145" s="50">
        <v>0</v>
      </c>
      <c r="J145" s="50">
        <f>H145*AO145</f>
        <v>0</v>
      </c>
      <c r="K145" s="50">
        <f>H145*AP145</f>
        <v>0</v>
      </c>
      <c r="L145" s="50">
        <f>H145*I145</f>
        <v>0</v>
      </c>
      <c r="M145" s="63" t="s">
        <v>471</v>
      </c>
      <c r="N145" s="17"/>
      <c r="Z145" s="67">
        <f>IF(AQ145="5",BJ145,0)</f>
        <v>0</v>
      </c>
      <c r="AB145" s="67">
        <f>IF(AQ145="1",BH145,0)</f>
        <v>0</v>
      </c>
      <c r="AC145" s="67">
        <f>IF(AQ145="1",BI145,0)</f>
        <v>0</v>
      </c>
      <c r="AD145" s="67">
        <f>IF(AQ145="7",BH145,0)</f>
        <v>0</v>
      </c>
      <c r="AE145" s="67">
        <f>IF(AQ145="7",BI145,0)</f>
        <v>0</v>
      </c>
      <c r="AF145" s="67">
        <f>IF(AQ145="2",BH145,0)</f>
        <v>0</v>
      </c>
      <c r="AG145" s="67">
        <f>IF(AQ145="2",BI145,0)</f>
        <v>0</v>
      </c>
      <c r="AH145" s="67">
        <f>IF(AQ145="0",BJ145,0)</f>
        <v>0</v>
      </c>
      <c r="AI145" s="66"/>
      <c r="AJ145" s="50">
        <f>IF(AN145=0,L145,0)</f>
        <v>0</v>
      </c>
      <c r="AK145" s="50">
        <f>IF(AN145=15,L145,0)</f>
        <v>0</v>
      </c>
      <c r="AL145" s="50">
        <f>IF(AN145=21,L145,0)</f>
        <v>0</v>
      </c>
      <c r="AN145" s="67">
        <v>21</v>
      </c>
      <c r="AO145" s="67">
        <f>I145*0.496907685413399</f>
        <v>0</v>
      </c>
      <c r="AP145" s="67">
        <f>I145*(1-0.496907685413399)</f>
        <v>0</v>
      </c>
      <c r="AQ145" s="68" t="s">
        <v>81</v>
      </c>
      <c r="AV145" s="67">
        <f>AW145+AX145</f>
        <v>0</v>
      </c>
      <c r="AW145" s="67">
        <f>H145*AO145</f>
        <v>0</v>
      </c>
      <c r="AX145" s="67">
        <f>H145*AP145</f>
        <v>0</v>
      </c>
      <c r="AY145" s="70" t="s">
        <v>498</v>
      </c>
      <c r="AZ145" s="70" t="s">
        <v>516</v>
      </c>
      <c r="BA145" s="66" t="s">
        <v>518</v>
      </c>
      <c r="BC145" s="67">
        <f>AW145+AX145</f>
        <v>0</v>
      </c>
      <c r="BD145" s="67">
        <f>I145/(100-BE145)*100</f>
        <v>0</v>
      </c>
      <c r="BE145" s="67">
        <v>0</v>
      </c>
      <c r="BF145" s="67">
        <f>145</f>
        <v>145</v>
      </c>
      <c r="BH145" s="50">
        <f>H145*AO145</f>
        <v>0</v>
      </c>
      <c r="BI145" s="50">
        <f>H145*AP145</f>
        <v>0</v>
      </c>
      <c r="BJ145" s="50">
        <f>H145*I145</f>
        <v>0</v>
      </c>
      <c r="BK145" s="50" t="s">
        <v>523</v>
      </c>
      <c r="BL145" s="67">
        <v>771</v>
      </c>
    </row>
    <row r="146" spans="1:64" ht="12.75">
      <c r="A146" s="34" t="s">
        <v>137</v>
      </c>
      <c r="B146" s="42" t="s">
        <v>226</v>
      </c>
      <c r="C146" s="170" t="s">
        <v>388</v>
      </c>
      <c r="D146" s="171"/>
      <c r="E146" s="171"/>
      <c r="F146" s="171"/>
      <c r="G146" s="42" t="s">
        <v>455</v>
      </c>
      <c r="H146" s="50">
        <v>8.06</v>
      </c>
      <c r="I146" s="50">
        <v>0</v>
      </c>
      <c r="J146" s="50">
        <f>H146*AO146</f>
        <v>0</v>
      </c>
      <c r="K146" s="50">
        <f>H146*AP146</f>
        <v>0</v>
      </c>
      <c r="L146" s="50">
        <f>H146*I146</f>
        <v>0</v>
      </c>
      <c r="M146" s="63" t="s">
        <v>471</v>
      </c>
      <c r="N146" s="17"/>
      <c r="Z146" s="67">
        <f>IF(AQ146="5",BJ146,0)</f>
        <v>0</v>
      </c>
      <c r="AB146" s="67">
        <f>IF(AQ146="1",BH146,0)</f>
        <v>0</v>
      </c>
      <c r="AC146" s="67">
        <f>IF(AQ146="1",BI146,0)</f>
        <v>0</v>
      </c>
      <c r="AD146" s="67">
        <f>IF(AQ146="7",BH146,0)</f>
        <v>0</v>
      </c>
      <c r="AE146" s="67">
        <f>IF(AQ146="7",BI146,0)</f>
        <v>0</v>
      </c>
      <c r="AF146" s="67">
        <f>IF(AQ146="2",BH146,0)</f>
        <v>0</v>
      </c>
      <c r="AG146" s="67">
        <f>IF(AQ146="2",BI146,0)</f>
        <v>0</v>
      </c>
      <c r="AH146" s="67">
        <f>IF(AQ146="0",BJ146,0)</f>
        <v>0</v>
      </c>
      <c r="AI146" s="66"/>
      <c r="AJ146" s="50">
        <f>IF(AN146=0,L146,0)</f>
        <v>0</v>
      </c>
      <c r="AK146" s="50">
        <f>IF(AN146=15,L146,0)</f>
        <v>0</v>
      </c>
      <c r="AL146" s="50">
        <f>IF(AN146=21,L146,0)</f>
        <v>0</v>
      </c>
      <c r="AN146" s="67">
        <v>21</v>
      </c>
      <c r="AO146" s="67">
        <f>I146*0.12279543311268</f>
        <v>0</v>
      </c>
      <c r="AP146" s="67">
        <f>I146*(1-0.12279543311268)</f>
        <v>0</v>
      </c>
      <c r="AQ146" s="68" t="s">
        <v>81</v>
      </c>
      <c r="AV146" s="67">
        <f>AW146+AX146</f>
        <v>0</v>
      </c>
      <c r="AW146" s="67">
        <f>H146*AO146</f>
        <v>0</v>
      </c>
      <c r="AX146" s="67">
        <f>H146*AP146</f>
        <v>0</v>
      </c>
      <c r="AY146" s="70" t="s">
        <v>498</v>
      </c>
      <c r="AZ146" s="70" t="s">
        <v>516</v>
      </c>
      <c r="BA146" s="66" t="s">
        <v>518</v>
      </c>
      <c r="BC146" s="67">
        <f>AW146+AX146</f>
        <v>0</v>
      </c>
      <c r="BD146" s="67">
        <f>I146/(100-BE146)*100</f>
        <v>0</v>
      </c>
      <c r="BE146" s="67">
        <v>0</v>
      </c>
      <c r="BF146" s="67">
        <f>146</f>
        <v>146</v>
      </c>
      <c r="BH146" s="50">
        <f>H146*AO146</f>
        <v>0</v>
      </c>
      <c r="BI146" s="50">
        <f>H146*AP146</f>
        <v>0</v>
      </c>
      <c r="BJ146" s="50">
        <f>H146*I146</f>
        <v>0</v>
      </c>
      <c r="BK146" s="50" t="s">
        <v>523</v>
      </c>
      <c r="BL146" s="67">
        <v>771</v>
      </c>
    </row>
    <row r="147" spans="1:14" ht="12.75">
      <c r="A147" s="17"/>
      <c r="C147" s="45" t="s">
        <v>389</v>
      </c>
      <c r="F147" s="46"/>
      <c r="H147" s="51">
        <v>8.06</v>
      </c>
      <c r="M147" s="16"/>
      <c r="N147" s="17"/>
    </row>
    <row r="148" spans="1:64" ht="12.75">
      <c r="A148" s="35" t="s">
        <v>138</v>
      </c>
      <c r="B148" s="43" t="s">
        <v>227</v>
      </c>
      <c r="C148" s="174" t="s">
        <v>390</v>
      </c>
      <c r="D148" s="175"/>
      <c r="E148" s="175"/>
      <c r="F148" s="175"/>
      <c r="G148" s="43" t="s">
        <v>453</v>
      </c>
      <c r="H148" s="52">
        <v>26.86667</v>
      </c>
      <c r="I148" s="52">
        <v>0</v>
      </c>
      <c r="J148" s="52">
        <f>H148*AO148</f>
        <v>0</v>
      </c>
      <c r="K148" s="52">
        <f>H148*AP148</f>
        <v>0</v>
      </c>
      <c r="L148" s="52">
        <f>H148*I148</f>
        <v>0</v>
      </c>
      <c r="M148" s="63" t="s">
        <v>471</v>
      </c>
      <c r="N148" s="17"/>
      <c r="Z148" s="67">
        <f>IF(AQ148="5",BJ148,0)</f>
        <v>0</v>
      </c>
      <c r="AB148" s="67">
        <f>IF(AQ148="1",BH148,0)</f>
        <v>0</v>
      </c>
      <c r="AC148" s="67">
        <f>IF(AQ148="1",BI148,0)</f>
        <v>0</v>
      </c>
      <c r="AD148" s="67">
        <f>IF(AQ148="7",BH148,0)</f>
        <v>0</v>
      </c>
      <c r="AE148" s="67">
        <f>IF(AQ148="7",BI148,0)</f>
        <v>0</v>
      </c>
      <c r="AF148" s="67">
        <f>IF(AQ148="2",BH148,0)</f>
        <v>0</v>
      </c>
      <c r="AG148" s="67">
        <f>IF(AQ148="2",BI148,0)</f>
        <v>0</v>
      </c>
      <c r="AH148" s="67">
        <f>IF(AQ148="0",BJ148,0)</f>
        <v>0</v>
      </c>
      <c r="AI148" s="66"/>
      <c r="AJ148" s="52">
        <f>IF(AN148=0,L148,0)</f>
        <v>0</v>
      </c>
      <c r="AK148" s="52">
        <f>IF(AN148=15,L148,0)</f>
        <v>0</v>
      </c>
      <c r="AL148" s="52">
        <f>IF(AN148=21,L148,0)</f>
        <v>0</v>
      </c>
      <c r="AN148" s="67">
        <v>21</v>
      </c>
      <c r="AO148" s="67">
        <f>I148*1</f>
        <v>0</v>
      </c>
      <c r="AP148" s="67">
        <f>I148*(1-1)</f>
        <v>0</v>
      </c>
      <c r="AQ148" s="69" t="s">
        <v>81</v>
      </c>
      <c r="AV148" s="67">
        <f>AW148+AX148</f>
        <v>0</v>
      </c>
      <c r="AW148" s="67">
        <f>H148*AO148</f>
        <v>0</v>
      </c>
      <c r="AX148" s="67">
        <f>H148*AP148</f>
        <v>0</v>
      </c>
      <c r="AY148" s="70" t="s">
        <v>498</v>
      </c>
      <c r="AZ148" s="70" t="s">
        <v>516</v>
      </c>
      <c r="BA148" s="66" t="s">
        <v>518</v>
      </c>
      <c r="BC148" s="67">
        <f>AW148+AX148</f>
        <v>0</v>
      </c>
      <c r="BD148" s="67">
        <f>I148/(100-BE148)*100</f>
        <v>0</v>
      </c>
      <c r="BE148" s="67">
        <v>0</v>
      </c>
      <c r="BF148" s="67">
        <f>148</f>
        <v>148</v>
      </c>
      <c r="BH148" s="52">
        <f>H148*AO148</f>
        <v>0</v>
      </c>
      <c r="BI148" s="52">
        <f>H148*AP148</f>
        <v>0</v>
      </c>
      <c r="BJ148" s="52">
        <f>H148*I148</f>
        <v>0</v>
      </c>
      <c r="BK148" s="52" t="s">
        <v>524</v>
      </c>
      <c r="BL148" s="67">
        <v>771</v>
      </c>
    </row>
    <row r="149" spans="1:14" ht="12.75">
      <c r="A149" s="17"/>
      <c r="C149" s="45" t="s">
        <v>391</v>
      </c>
      <c r="F149" s="46"/>
      <c r="H149" s="51">
        <v>26.86667</v>
      </c>
      <c r="M149" s="16"/>
      <c r="N149" s="17"/>
    </row>
    <row r="150" spans="1:64" ht="12.75">
      <c r="A150" s="34" t="s">
        <v>139</v>
      </c>
      <c r="B150" s="42" t="s">
        <v>228</v>
      </c>
      <c r="C150" s="170" t="s">
        <v>392</v>
      </c>
      <c r="D150" s="171"/>
      <c r="E150" s="171"/>
      <c r="F150" s="171"/>
      <c r="G150" s="42" t="s">
        <v>454</v>
      </c>
      <c r="H150" s="50">
        <v>0.0198</v>
      </c>
      <c r="I150" s="50">
        <v>0</v>
      </c>
      <c r="J150" s="50">
        <f>H150*AO150</f>
        <v>0</v>
      </c>
      <c r="K150" s="50">
        <f>H150*AP150</f>
        <v>0</v>
      </c>
      <c r="L150" s="50">
        <f>H150*I150</f>
        <v>0</v>
      </c>
      <c r="M150" s="63" t="s">
        <v>471</v>
      </c>
      <c r="N150" s="17"/>
      <c r="Z150" s="67">
        <f>IF(AQ150="5",BJ150,0)</f>
        <v>0</v>
      </c>
      <c r="AB150" s="67">
        <f>IF(AQ150="1",BH150,0)</f>
        <v>0</v>
      </c>
      <c r="AC150" s="67">
        <f>IF(AQ150="1",BI150,0)</f>
        <v>0</v>
      </c>
      <c r="AD150" s="67">
        <f>IF(AQ150="7",BH150,0)</f>
        <v>0</v>
      </c>
      <c r="AE150" s="67">
        <f>IF(AQ150="7",BI150,0)</f>
        <v>0</v>
      </c>
      <c r="AF150" s="67">
        <f>IF(AQ150="2",BH150,0)</f>
        <v>0</v>
      </c>
      <c r="AG150" s="67">
        <f>IF(AQ150="2",BI150,0)</f>
        <v>0</v>
      </c>
      <c r="AH150" s="67">
        <f>IF(AQ150="0",BJ150,0)</f>
        <v>0</v>
      </c>
      <c r="AI150" s="66"/>
      <c r="AJ150" s="50">
        <f>IF(AN150=0,L150,0)</f>
        <v>0</v>
      </c>
      <c r="AK150" s="50">
        <f>IF(AN150=15,L150,0)</f>
        <v>0</v>
      </c>
      <c r="AL150" s="50">
        <f>IF(AN150=21,L150,0)</f>
        <v>0</v>
      </c>
      <c r="AN150" s="67">
        <v>21</v>
      </c>
      <c r="AO150" s="67">
        <f>I150*0</f>
        <v>0</v>
      </c>
      <c r="AP150" s="67">
        <f>I150*(1-0)</f>
        <v>0</v>
      </c>
      <c r="AQ150" s="68" t="s">
        <v>79</v>
      </c>
      <c r="AV150" s="67">
        <f>AW150+AX150</f>
        <v>0</v>
      </c>
      <c r="AW150" s="67">
        <f>H150*AO150</f>
        <v>0</v>
      </c>
      <c r="AX150" s="67">
        <f>H150*AP150</f>
        <v>0</v>
      </c>
      <c r="AY150" s="70" t="s">
        <v>498</v>
      </c>
      <c r="AZ150" s="70" t="s">
        <v>516</v>
      </c>
      <c r="BA150" s="66" t="s">
        <v>518</v>
      </c>
      <c r="BC150" s="67">
        <f>AW150+AX150</f>
        <v>0</v>
      </c>
      <c r="BD150" s="67">
        <f>I150/(100-BE150)*100</f>
        <v>0</v>
      </c>
      <c r="BE150" s="67">
        <v>0</v>
      </c>
      <c r="BF150" s="67">
        <f>150</f>
        <v>150</v>
      </c>
      <c r="BH150" s="50">
        <f>H150*AO150</f>
        <v>0</v>
      </c>
      <c r="BI150" s="50">
        <f>H150*AP150</f>
        <v>0</v>
      </c>
      <c r="BJ150" s="50">
        <f>H150*I150</f>
        <v>0</v>
      </c>
      <c r="BK150" s="50" t="s">
        <v>523</v>
      </c>
      <c r="BL150" s="67">
        <v>771</v>
      </c>
    </row>
    <row r="151" spans="1:47" ht="12.75">
      <c r="A151" s="33"/>
      <c r="B151" s="41" t="s">
        <v>164</v>
      </c>
      <c r="C151" s="168" t="s">
        <v>393</v>
      </c>
      <c r="D151" s="169"/>
      <c r="E151" s="169"/>
      <c r="F151" s="169"/>
      <c r="G151" s="48" t="s">
        <v>74</v>
      </c>
      <c r="H151" s="48" t="s">
        <v>74</v>
      </c>
      <c r="I151" s="48" t="s">
        <v>74</v>
      </c>
      <c r="J151" s="73">
        <f>SUM(J152:J152)</f>
        <v>0</v>
      </c>
      <c r="K151" s="73">
        <f>SUM(K152:K152)</f>
        <v>0</v>
      </c>
      <c r="L151" s="73">
        <f>SUM(L152:L152)</f>
        <v>0</v>
      </c>
      <c r="M151" s="62"/>
      <c r="N151" s="17"/>
      <c r="AI151" s="66"/>
      <c r="AS151" s="73">
        <f>SUM(AJ152:AJ152)</f>
        <v>0</v>
      </c>
      <c r="AT151" s="73">
        <f>SUM(AK152:AK152)</f>
        <v>0</v>
      </c>
      <c r="AU151" s="73">
        <f>SUM(AL152:AL152)</f>
        <v>0</v>
      </c>
    </row>
    <row r="152" spans="1:64" ht="12.75">
      <c r="A152" s="34" t="s">
        <v>140</v>
      </c>
      <c r="B152" s="42" t="s">
        <v>229</v>
      </c>
      <c r="C152" s="170" t="s">
        <v>394</v>
      </c>
      <c r="D152" s="171"/>
      <c r="E152" s="171"/>
      <c r="F152" s="171"/>
      <c r="G152" s="42" t="s">
        <v>458</v>
      </c>
      <c r="H152" s="50">
        <v>4</v>
      </c>
      <c r="I152" s="50">
        <v>0</v>
      </c>
      <c r="J152" s="50">
        <f>H152*AO152</f>
        <v>0</v>
      </c>
      <c r="K152" s="50">
        <f>H152*AP152</f>
        <v>0</v>
      </c>
      <c r="L152" s="50">
        <f>H152*I152</f>
        <v>0</v>
      </c>
      <c r="M152" s="63" t="s">
        <v>471</v>
      </c>
      <c r="N152" s="17"/>
      <c r="Z152" s="67">
        <f>IF(AQ152="5",BJ152,0)</f>
        <v>0</v>
      </c>
      <c r="AB152" s="67">
        <f>IF(AQ152="1",BH152,0)</f>
        <v>0</v>
      </c>
      <c r="AC152" s="67">
        <f>IF(AQ152="1",BI152,0)</f>
        <v>0</v>
      </c>
      <c r="AD152" s="67">
        <f>IF(AQ152="7",BH152,0)</f>
        <v>0</v>
      </c>
      <c r="AE152" s="67">
        <f>IF(AQ152="7",BI152,0)</f>
        <v>0</v>
      </c>
      <c r="AF152" s="67">
        <f>IF(AQ152="2",BH152,0)</f>
        <v>0</v>
      </c>
      <c r="AG152" s="67">
        <f>IF(AQ152="2",BI152,0)</f>
        <v>0</v>
      </c>
      <c r="AH152" s="67">
        <f>IF(AQ152="0",BJ152,0)</f>
        <v>0</v>
      </c>
      <c r="AI152" s="66"/>
      <c r="AJ152" s="50">
        <f>IF(AN152=0,L152,0)</f>
        <v>0</v>
      </c>
      <c r="AK152" s="50">
        <f>IF(AN152=15,L152,0)</f>
        <v>0</v>
      </c>
      <c r="AL152" s="50">
        <f>IF(AN152=21,L152,0)</f>
        <v>0</v>
      </c>
      <c r="AN152" s="67">
        <v>21</v>
      </c>
      <c r="AO152" s="67">
        <f>I152*0</f>
        <v>0</v>
      </c>
      <c r="AP152" s="67">
        <f>I152*(1-0)</f>
        <v>0</v>
      </c>
      <c r="AQ152" s="68" t="s">
        <v>75</v>
      </c>
      <c r="AV152" s="67">
        <f>AW152+AX152</f>
        <v>0</v>
      </c>
      <c r="AW152" s="67">
        <f>H152*AO152</f>
        <v>0</v>
      </c>
      <c r="AX152" s="67">
        <f>H152*AP152</f>
        <v>0</v>
      </c>
      <c r="AY152" s="70" t="s">
        <v>499</v>
      </c>
      <c r="AZ152" s="70" t="s">
        <v>517</v>
      </c>
      <c r="BA152" s="66" t="s">
        <v>518</v>
      </c>
      <c r="BC152" s="67">
        <f>AW152+AX152</f>
        <v>0</v>
      </c>
      <c r="BD152" s="67">
        <f>I152/(100-BE152)*100</f>
        <v>0</v>
      </c>
      <c r="BE152" s="67">
        <v>0</v>
      </c>
      <c r="BF152" s="67">
        <f>152</f>
        <v>152</v>
      </c>
      <c r="BH152" s="50">
        <f>H152*AO152</f>
        <v>0</v>
      </c>
      <c r="BI152" s="50">
        <f>H152*AP152</f>
        <v>0</v>
      </c>
      <c r="BJ152" s="50">
        <f>H152*I152</f>
        <v>0</v>
      </c>
      <c r="BK152" s="50" t="s">
        <v>523</v>
      </c>
      <c r="BL152" s="67">
        <v>90</v>
      </c>
    </row>
    <row r="153" spans="1:47" ht="12.75">
      <c r="A153" s="33"/>
      <c r="B153" s="41" t="s">
        <v>230</v>
      </c>
      <c r="C153" s="168" t="s">
        <v>395</v>
      </c>
      <c r="D153" s="169"/>
      <c r="E153" s="169"/>
      <c r="F153" s="169"/>
      <c r="G153" s="48" t="s">
        <v>74</v>
      </c>
      <c r="H153" s="48" t="s">
        <v>74</v>
      </c>
      <c r="I153" s="48" t="s">
        <v>74</v>
      </c>
      <c r="J153" s="73">
        <f>SUM(J154:J159)</f>
        <v>0</v>
      </c>
      <c r="K153" s="73">
        <f>SUM(K154:K159)</f>
        <v>0</v>
      </c>
      <c r="L153" s="73">
        <f>SUM(L154:L159)</f>
        <v>0</v>
      </c>
      <c r="M153" s="62"/>
      <c r="N153" s="17"/>
      <c r="AI153" s="66"/>
      <c r="AS153" s="73">
        <f>SUM(AJ154:AJ159)</f>
        <v>0</v>
      </c>
      <c r="AT153" s="73">
        <f>SUM(AK154:AK159)</f>
        <v>0</v>
      </c>
      <c r="AU153" s="73">
        <f>SUM(AL154:AL159)</f>
        <v>0</v>
      </c>
    </row>
    <row r="154" spans="1:64" ht="12.75">
      <c r="A154" s="34" t="s">
        <v>141</v>
      </c>
      <c r="B154" s="42" t="s">
        <v>231</v>
      </c>
      <c r="C154" s="170" t="s">
        <v>396</v>
      </c>
      <c r="D154" s="171"/>
      <c r="E154" s="171"/>
      <c r="F154" s="171"/>
      <c r="G154" s="42" t="s">
        <v>451</v>
      </c>
      <c r="H154" s="50">
        <v>11.205</v>
      </c>
      <c r="I154" s="50">
        <v>0</v>
      </c>
      <c r="J154" s="50">
        <f>H154*AO154</f>
        <v>0</v>
      </c>
      <c r="K154" s="50">
        <f>H154*AP154</f>
        <v>0</v>
      </c>
      <c r="L154" s="50">
        <f>H154*I154</f>
        <v>0</v>
      </c>
      <c r="M154" s="63" t="s">
        <v>471</v>
      </c>
      <c r="N154" s="17"/>
      <c r="Z154" s="67">
        <f>IF(AQ154="5",BJ154,0)</f>
        <v>0</v>
      </c>
      <c r="AB154" s="67">
        <f>IF(AQ154="1",BH154,0)</f>
        <v>0</v>
      </c>
      <c r="AC154" s="67">
        <f>IF(AQ154="1",BI154,0)</f>
        <v>0</v>
      </c>
      <c r="AD154" s="67">
        <f>IF(AQ154="7",BH154,0)</f>
        <v>0</v>
      </c>
      <c r="AE154" s="67">
        <f>IF(AQ154="7",BI154,0)</f>
        <v>0</v>
      </c>
      <c r="AF154" s="67">
        <f>IF(AQ154="2",BH154,0)</f>
        <v>0</v>
      </c>
      <c r="AG154" s="67">
        <f>IF(AQ154="2",BI154,0)</f>
        <v>0</v>
      </c>
      <c r="AH154" s="67">
        <f>IF(AQ154="0",BJ154,0)</f>
        <v>0</v>
      </c>
      <c r="AI154" s="66"/>
      <c r="AJ154" s="50">
        <f>IF(AN154=0,L154,0)</f>
        <v>0</v>
      </c>
      <c r="AK154" s="50">
        <f>IF(AN154=15,L154,0)</f>
        <v>0</v>
      </c>
      <c r="AL154" s="50">
        <f>IF(AN154=21,L154,0)</f>
        <v>0</v>
      </c>
      <c r="AN154" s="67">
        <v>21</v>
      </c>
      <c r="AO154" s="67">
        <f>I154*0.360833333333333</f>
        <v>0</v>
      </c>
      <c r="AP154" s="67">
        <f>I154*(1-0.360833333333333)</f>
        <v>0</v>
      </c>
      <c r="AQ154" s="68" t="s">
        <v>75</v>
      </c>
      <c r="AV154" s="67">
        <f>AW154+AX154</f>
        <v>0</v>
      </c>
      <c r="AW154" s="67">
        <f>H154*AO154</f>
        <v>0</v>
      </c>
      <c r="AX154" s="67">
        <f>H154*AP154</f>
        <v>0</v>
      </c>
      <c r="AY154" s="70" t="s">
        <v>500</v>
      </c>
      <c r="AZ154" s="70" t="s">
        <v>517</v>
      </c>
      <c r="BA154" s="66" t="s">
        <v>518</v>
      </c>
      <c r="BC154" s="67">
        <f>AW154+AX154</f>
        <v>0</v>
      </c>
      <c r="BD154" s="67">
        <f>I154/(100-BE154)*100</f>
        <v>0</v>
      </c>
      <c r="BE154" s="67">
        <v>0</v>
      </c>
      <c r="BF154" s="67">
        <f>154</f>
        <v>154</v>
      </c>
      <c r="BH154" s="50">
        <f>H154*AO154</f>
        <v>0</v>
      </c>
      <c r="BI154" s="50">
        <f>H154*AP154</f>
        <v>0</v>
      </c>
      <c r="BJ154" s="50">
        <f>H154*I154</f>
        <v>0</v>
      </c>
      <c r="BK154" s="50" t="s">
        <v>523</v>
      </c>
      <c r="BL154" s="67">
        <v>94</v>
      </c>
    </row>
    <row r="155" spans="1:14" ht="12.75">
      <c r="A155" s="17"/>
      <c r="C155" s="45" t="s">
        <v>397</v>
      </c>
      <c r="F155" s="46"/>
      <c r="H155" s="51">
        <v>11.205</v>
      </c>
      <c r="M155" s="16"/>
      <c r="N155" s="17"/>
    </row>
    <row r="156" spans="1:64" ht="12.75">
      <c r="A156" s="34" t="s">
        <v>142</v>
      </c>
      <c r="B156" s="42" t="s">
        <v>232</v>
      </c>
      <c r="C156" s="170" t="s">
        <v>398</v>
      </c>
      <c r="D156" s="171"/>
      <c r="E156" s="171"/>
      <c r="F156" s="171"/>
      <c r="G156" s="42" t="s">
        <v>451</v>
      </c>
      <c r="H156" s="50">
        <v>40.6</v>
      </c>
      <c r="I156" s="50">
        <v>0</v>
      </c>
      <c r="J156" s="50">
        <f>H156*AO156</f>
        <v>0</v>
      </c>
      <c r="K156" s="50">
        <f>H156*AP156</f>
        <v>0</v>
      </c>
      <c r="L156" s="50">
        <f>H156*I156</f>
        <v>0</v>
      </c>
      <c r="M156" s="63" t="s">
        <v>471</v>
      </c>
      <c r="N156" s="17"/>
      <c r="Z156" s="67">
        <f>IF(AQ156="5",BJ156,0)</f>
        <v>0</v>
      </c>
      <c r="AB156" s="67">
        <f>IF(AQ156="1",BH156,0)</f>
        <v>0</v>
      </c>
      <c r="AC156" s="67">
        <f>IF(AQ156="1",BI156,0)</f>
        <v>0</v>
      </c>
      <c r="AD156" s="67">
        <f>IF(AQ156="7",BH156,0)</f>
        <v>0</v>
      </c>
      <c r="AE156" s="67">
        <f>IF(AQ156="7",BI156,0)</f>
        <v>0</v>
      </c>
      <c r="AF156" s="67">
        <f>IF(AQ156="2",BH156,0)</f>
        <v>0</v>
      </c>
      <c r="AG156" s="67">
        <f>IF(AQ156="2",BI156,0)</f>
        <v>0</v>
      </c>
      <c r="AH156" s="67">
        <f>IF(AQ156="0",BJ156,0)</f>
        <v>0</v>
      </c>
      <c r="AI156" s="66"/>
      <c r="AJ156" s="50">
        <f>IF(AN156=0,L156,0)</f>
        <v>0</v>
      </c>
      <c r="AK156" s="50">
        <f>IF(AN156=15,L156,0)</f>
        <v>0</v>
      </c>
      <c r="AL156" s="50">
        <f>IF(AN156=21,L156,0)</f>
        <v>0</v>
      </c>
      <c r="AN156" s="67">
        <v>21</v>
      </c>
      <c r="AO156" s="67">
        <f>I156*0.000379266750948167</f>
        <v>0</v>
      </c>
      <c r="AP156" s="67">
        <f>I156*(1-0.000379266750948167)</f>
        <v>0</v>
      </c>
      <c r="AQ156" s="68" t="s">
        <v>75</v>
      </c>
      <c r="AV156" s="67">
        <f>AW156+AX156</f>
        <v>0</v>
      </c>
      <c r="AW156" s="67">
        <f>H156*AO156</f>
        <v>0</v>
      </c>
      <c r="AX156" s="67">
        <f>H156*AP156</f>
        <v>0</v>
      </c>
      <c r="AY156" s="70" t="s">
        <v>500</v>
      </c>
      <c r="AZ156" s="70" t="s">
        <v>517</v>
      </c>
      <c r="BA156" s="66" t="s">
        <v>518</v>
      </c>
      <c r="BC156" s="67">
        <f>AW156+AX156</f>
        <v>0</v>
      </c>
      <c r="BD156" s="67">
        <f>I156/(100-BE156)*100</f>
        <v>0</v>
      </c>
      <c r="BE156" s="67">
        <v>0</v>
      </c>
      <c r="BF156" s="67">
        <f>156</f>
        <v>156</v>
      </c>
      <c r="BH156" s="50">
        <f>H156*AO156</f>
        <v>0</v>
      </c>
      <c r="BI156" s="50">
        <f>H156*AP156</f>
        <v>0</v>
      </c>
      <c r="BJ156" s="50">
        <f>H156*I156</f>
        <v>0</v>
      </c>
      <c r="BK156" s="50" t="s">
        <v>523</v>
      </c>
      <c r="BL156" s="67">
        <v>94</v>
      </c>
    </row>
    <row r="157" spans="1:14" ht="12.75">
      <c r="A157" s="17"/>
      <c r="C157" s="45" t="s">
        <v>399</v>
      </c>
      <c r="F157" s="46"/>
      <c r="H157" s="51">
        <v>40.6</v>
      </c>
      <c r="M157" s="16"/>
      <c r="N157" s="17"/>
    </row>
    <row r="158" spans="1:64" ht="12.75">
      <c r="A158" s="34" t="s">
        <v>143</v>
      </c>
      <c r="B158" s="42" t="s">
        <v>233</v>
      </c>
      <c r="C158" s="170" t="s">
        <v>400</v>
      </c>
      <c r="D158" s="171"/>
      <c r="E158" s="171"/>
      <c r="F158" s="171"/>
      <c r="G158" s="42" t="s">
        <v>451</v>
      </c>
      <c r="H158" s="50">
        <v>40.6</v>
      </c>
      <c r="I158" s="50">
        <v>0</v>
      </c>
      <c r="J158" s="50">
        <f>H158*AO158</f>
        <v>0</v>
      </c>
      <c r="K158" s="50">
        <f>H158*AP158</f>
        <v>0</v>
      </c>
      <c r="L158" s="50">
        <f>H158*I158</f>
        <v>0</v>
      </c>
      <c r="M158" s="63" t="s">
        <v>471</v>
      </c>
      <c r="N158" s="17"/>
      <c r="Z158" s="67">
        <f>IF(AQ158="5",BJ158,0)</f>
        <v>0</v>
      </c>
      <c r="AB158" s="67">
        <f>IF(AQ158="1",BH158,0)</f>
        <v>0</v>
      </c>
      <c r="AC158" s="67">
        <f>IF(AQ158="1",BI158,0)</f>
        <v>0</v>
      </c>
      <c r="AD158" s="67">
        <f>IF(AQ158="7",BH158,0)</f>
        <v>0</v>
      </c>
      <c r="AE158" s="67">
        <f>IF(AQ158="7",BI158,0)</f>
        <v>0</v>
      </c>
      <c r="AF158" s="67">
        <f>IF(AQ158="2",BH158,0)</f>
        <v>0</v>
      </c>
      <c r="AG158" s="67">
        <f>IF(AQ158="2",BI158,0)</f>
        <v>0</v>
      </c>
      <c r="AH158" s="67">
        <f>IF(AQ158="0",BJ158,0)</f>
        <v>0</v>
      </c>
      <c r="AI158" s="66"/>
      <c r="AJ158" s="50">
        <f>IF(AN158=0,L158,0)</f>
        <v>0</v>
      </c>
      <c r="AK158" s="50">
        <f>IF(AN158=15,L158,0)</f>
        <v>0</v>
      </c>
      <c r="AL158" s="50">
        <f>IF(AN158=21,L158,0)</f>
        <v>0</v>
      </c>
      <c r="AN158" s="67">
        <v>21</v>
      </c>
      <c r="AO158" s="67">
        <f>I158*0.910731103178335</f>
        <v>0</v>
      </c>
      <c r="AP158" s="67">
        <f>I158*(1-0.910731103178335)</f>
        <v>0</v>
      </c>
      <c r="AQ158" s="68" t="s">
        <v>75</v>
      </c>
      <c r="AV158" s="67">
        <f>AW158+AX158</f>
        <v>0</v>
      </c>
      <c r="AW158" s="67">
        <f>H158*AO158</f>
        <v>0</v>
      </c>
      <c r="AX158" s="67">
        <f>H158*AP158</f>
        <v>0</v>
      </c>
      <c r="AY158" s="70" t="s">
        <v>500</v>
      </c>
      <c r="AZ158" s="70" t="s">
        <v>517</v>
      </c>
      <c r="BA158" s="66" t="s">
        <v>518</v>
      </c>
      <c r="BC158" s="67">
        <f>AW158+AX158</f>
        <v>0</v>
      </c>
      <c r="BD158" s="67">
        <f>I158/(100-BE158)*100</f>
        <v>0</v>
      </c>
      <c r="BE158" s="67">
        <v>0</v>
      </c>
      <c r="BF158" s="67">
        <f>158</f>
        <v>158</v>
      </c>
      <c r="BH158" s="50">
        <f>H158*AO158</f>
        <v>0</v>
      </c>
      <c r="BI158" s="50">
        <f>H158*AP158</f>
        <v>0</v>
      </c>
      <c r="BJ158" s="50">
        <f>H158*I158</f>
        <v>0</v>
      </c>
      <c r="BK158" s="50" t="s">
        <v>523</v>
      </c>
      <c r="BL158" s="67">
        <v>94</v>
      </c>
    </row>
    <row r="159" spans="1:64" ht="12.75">
      <c r="A159" s="34" t="s">
        <v>144</v>
      </c>
      <c r="B159" s="42" t="s">
        <v>234</v>
      </c>
      <c r="C159" s="170" t="s">
        <v>401</v>
      </c>
      <c r="D159" s="171"/>
      <c r="E159" s="171"/>
      <c r="F159" s="171"/>
      <c r="G159" s="42" t="s">
        <v>451</v>
      </c>
      <c r="H159" s="50">
        <v>40.6</v>
      </c>
      <c r="I159" s="50">
        <v>0</v>
      </c>
      <c r="J159" s="50">
        <f>H159*AO159</f>
        <v>0</v>
      </c>
      <c r="K159" s="50">
        <f>H159*AP159</f>
        <v>0</v>
      </c>
      <c r="L159" s="50">
        <f>H159*I159</f>
        <v>0</v>
      </c>
      <c r="M159" s="63" t="s">
        <v>471</v>
      </c>
      <c r="N159" s="17"/>
      <c r="Z159" s="67">
        <f>IF(AQ159="5",BJ159,0)</f>
        <v>0</v>
      </c>
      <c r="AB159" s="67">
        <f>IF(AQ159="1",BH159,0)</f>
        <v>0</v>
      </c>
      <c r="AC159" s="67">
        <f>IF(AQ159="1",BI159,0)</f>
        <v>0</v>
      </c>
      <c r="AD159" s="67">
        <f>IF(AQ159="7",BH159,0)</f>
        <v>0</v>
      </c>
      <c r="AE159" s="67">
        <f>IF(AQ159="7",BI159,0)</f>
        <v>0</v>
      </c>
      <c r="AF159" s="67">
        <f>IF(AQ159="2",BH159,0)</f>
        <v>0</v>
      </c>
      <c r="AG159" s="67">
        <f>IF(AQ159="2",BI159,0)</f>
        <v>0</v>
      </c>
      <c r="AH159" s="67">
        <f>IF(AQ159="0",BJ159,0)</f>
        <v>0</v>
      </c>
      <c r="AI159" s="66"/>
      <c r="AJ159" s="50">
        <f>IF(AN159=0,L159,0)</f>
        <v>0</v>
      </c>
      <c r="AK159" s="50">
        <f>IF(AN159=15,L159,0)</f>
        <v>0</v>
      </c>
      <c r="AL159" s="50">
        <f>IF(AN159=21,L159,0)</f>
        <v>0</v>
      </c>
      <c r="AN159" s="67">
        <v>21</v>
      </c>
      <c r="AO159" s="67">
        <f>I159*0</f>
        <v>0</v>
      </c>
      <c r="AP159" s="67">
        <f>I159*(1-0)</f>
        <v>0</v>
      </c>
      <c r="AQ159" s="68" t="s">
        <v>75</v>
      </c>
      <c r="AV159" s="67">
        <f>AW159+AX159</f>
        <v>0</v>
      </c>
      <c r="AW159" s="67">
        <f>H159*AO159</f>
        <v>0</v>
      </c>
      <c r="AX159" s="67">
        <f>H159*AP159</f>
        <v>0</v>
      </c>
      <c r="AY159" s="70" t="s">
        <v>500</v>
      </c>
      <c r="AZ159" s="70" t="s">
        <v>517</v>
      </c>
      <c r="BA159" s="66" t="s">
        <v>518</v>
      </c>
      <c r="BC159" s="67">
        <f>AW159+AX159</f>
        <v>0</v>
      </c>
      <c r="BD159" s="67">
        <f>I159/(100-BE159)*100</f>
        <v>0</v>
      </c>
      <c r="BE159" s="67">
        <v>0</v>
      </c>
      <c r="BF159" s="67">
        <f>159</f>
        <v>159</v>
      </c>
      <c r="BH159" s="50">
        <f>H159*AO159</f>
        <v>0</v>
      </c>
      <c r="BI159" s="50">
        <f>H159*AP159</f>
        <v>0</v>
      </c>
      <c r="BJ159" s="50">
        <f>H159*I159</f>
        <v>0</v>
      </c>
      <c r="BK159" s="50" t="s">
        <v>523</v>
      </c>
      <c r="BL159" s="67">
        <v>94</v>
      </c>
    </row>
    <row r="160" spans="1:47" ht="12.75">
      <c r="A160" s="33"/>
      <c r="B160" s="41" t="s">
        <v>235</v>
      </c>
      <c r="C160" s="168" t="s">
        <v>402</v>
      </c>
      <c r="D160" s="169"/>
      <c r="E160" s="169"/>
      <c r="F160" s="169"/>
      <c r="G160" s="48" t="s">
        <v>74</v>
      </c>
      <c r="H160" s="48" t="s">
        <v>74</v>
      </c>
      <c r="I160" s="48" t="s">
        <v>74</v>
      </c>
      <c r="J160" s="73">
        <f>SUM(J161:J166)</f>
        <v>0</v>
      </c>
      <c r="K160" s="73">
        <f>SUM(K161:K166)</f>
        <v>0</v>
      </c>
      <c r="L160" s="73">
        <f>SUM(L161:L166)</f>
        <v>0</v>
      </c>
      <c r="M160" s="62"/>
      <c r="N160" s="17"/>
      <c r="AI160" s="66"/>
      <c r="AS160" s="73">
        <f>SUM(AJ161:AJ166)</f>
        <v>0</v>
      </c>
      <c r="AT160" s="73">
        <f>SUM(AK161:AK166)</f>
        <v>0</v>
      </c>
      <c r="AU160" s="73">
        <f>SUM(AL161:AL166)</f>
        <v>0</v>
      </c>
    </row>
    <row r="161" spans="1:64" ht="12.75">
      <c r="A161" s="34" t="s">
        <v>145</v>
      </c>
      <c r="B161" s="42" t="s">
        <v>236</v>
      </c>
      <c r="C161" s="170" t="s">
        <v>403</v>
      </c>
      <c r="D161" s="171"/>
      <c r="E161" s="171"/>
      <c r="F161" s="171"/>
      <c r="G161" s="42" t="s">
        <v>451</v>
      </c>
      <c r="H161" s="50">
        <v>16.2</v>
      </c>
      <c r="I161" s="50">
        <v>0</v>
      </c>
      <c r="J161" s="50">
        <f>H161*AO161</f>
        <v>0</v>
      </c>
      <c r="K161" s="50">
        <f>H161*AP161</f>
        <v>0</v>
      </c>
      <c r="L161" s="50">
        <f>H161*I161</f>
        <v>0</v>
      </c>
      <c r="M161" s="63" t="s">
        <v>471</v>
      </c>
      <c r="N161" s="17"/>
      <c r="Z161" s="67">
        <f>IF(AQ161="5",BJ161,0)</f>
        <v>0</v>
      </c>
      <c r="AB161" s="67">
        <f>IF(AQ161="1",BH161,0)</f>
        <v>0</v>
      </c>
      <c r="AC161" s="67">
        <f>IF(AQ161="1",BI161,0)</f>
        <v>0</v>
      </c>
      <c r="AD161" s="67">
        <f>IF(AQ161="7",BH161,0)</f>
        <v>0</v>
      </c>
      <c r="AE161" s="67">
        <f>IF(AQ161="7",BI161,0)</f>
        <v>0</v>
      </c>
      <c r="AF161" s="67">
        <f>IF(AQ161="2",BH161,0)</f>
        <v>0</v>
      </c>
      <c r="AG161" s="67">
        <f>IF(AQ161="2",BI161,0)</f>
        <v>0</v>
      </c>
      <c r="AH161" s="67">
        <f>IF(AQ161="0",BJ161,0)</f>
        <v>0</v>
      </c>
      <c r="AI161" s="66"/>
      <c r="AJ161" s="50">
        <f>IF(AN161=0,L161,0)</f>
        <v>0</v>
      </c>
      <c r="AK161" s="50">
        <f>IF(AN161=15,L161,0)</f>
        <v>0</v>
      </c>
      <c r="AL161" s="50">
        <f>IF(AN161=21,L161,0)</f>
        <v>0</v>
      </c>
      <c r="AN161" s="67">
        <v>21</v>
      </c>
      <c r="AO161" s="67">
        <f>I161*0.0124696356275304</f>
        <v>0</v>
      </c>
      <c r="AP161" s="67">
        <f>I161*(1-0.0124696356275304)</f>
        <v>0</v>
      </c>
      <c r="AQ161" s="68" t="s">
        <v>75</v>
      </c>
      <c r="AV161" s="67">
        <f>AW161+AX161</f>
        <v>0</v>
      </c>
      <c r="AW161" s="67">
        <f>H161*AO161</f>
        <v>0</v>
      </c>
      <c r="AX161" s="67">
        <f>H161*AP161</f>
        <v>0</v>
      </c>
      <c r="AY161" s="70" t="s">
        <v>501</v>
      </c>
      <c r="AZ161" s="70" t="s">
        <v>517</v>
      </c>
      <c r="BA161" s="66" t="s">
        <v>518</v>
      </c>
      <c r="BC161" s="67">
        <f>AW161+AX161</f>
        <v>0</v>
      </c>
      <c r="BD161" s="67">
        <f>I161/(100-BE161)*100</f>
        <v>0</v>
      </c>
      <c r="BE161" s="67">
        <v>0</v>
      </c>
      <c r="BF161" s="67">
        <f>161</f>
        <v>161</v>
      </c>
      <c r="BH161" s="50">
        <f>H161*AO161</f>
        <v>0</v>
      </c>
      <c r="BI161" s="50">
        <f>H161*AP161</f>
        <v>0</v>
      </c>
      <c r="BJ161" s="50">
        <f>H161*I161</f>
        <v>0</v>
      </c>
      <c r="BK161" s="50" t="s">
        <v>523</v>
      </c>
      <c r="BL161" s="67">
        <v>95</v>
      </c>
    </row>
    <row r="162" spans="1:14" ht="12.75">
      <c r="A162" s="17"/>
      <c r="C162" s="45" t="s">
        <v>404</v>
      </c>
      <c r="F162" s="46"/>
      <c r="H162" s="51">
        <v>16.2</v>
      </c>
      <c r="M162" s="16"/>
      <c r="N162" s="17"/>
    </row>
    <row r="163" spans="1:64" ht="12.75">
      <c r="A163" s="34" t="s">
        <v>146</v>
      </c>
      <c r="B163" s="42" t="s">
        <v>237</v>
      </c>
      <c r="C163" s="170" t="s">
        <v>405</v>
      </c>
      <c r="D163" s="171"/>
      <c r="E163" s="171"/>
      <c r="F163" s="171"/>
      <c r="G163" s="42" t="s">
        <v>453</v>
      </c>
      <c r="H163" s="50">
        <v>10</v>
      </c>
      <c r="I163" s="50">
        <v>0</v>
      </c>
      <c r="J163" s="50">
        <f>H163*AO163</f>
        <v>0</v>
      </c>
      <c r="K163" s="50">
        <f>H163*AP163</f>
        <v>0</v>
      </c>
      <c r="L163" s="50">
        <f>H163*I163</f>
        <v>0</v>
      </c>
      <c r="M163" s="63" t="s">
        <v>471</v>
      </c>
      <c r="N163" s="17"/>
      <c r="Z163" s="67">
        <f>IF(AQ163="5",BJ163,0)</f>
        <v>0</v>
      </c>
      <c r="AB163" s="67">
        <f>IF(AQ163="1",BH163,0)</f>
        <v>0</v>
      </c>
      <c r="AC163" s="67">
        <f>IF(AQ163="1",BI163,0)</f>
        <v>0</v>
      </c>
      <c r="AD163" s="67">
        <f>IF(AQ163="7",BH163,0)</f>
        <v>0</v>
      </c>
      <c r="AE163" s="67">
        <f>IF(AQ163="7",BI163,0)</f>
        <v>0</v>
      </c>
      <c r="AF163" s="67">
        <f>IF(AQ163="2",BH163,0)</f>
        <v>0</v>
      </c>
      <c r="AG163" s="67">
        <f>IF(AQ163="2",BI163,0)</f>
        <v>0</v>
      </c>
      <c r="AH163" s="67">
        <f>IF(AQ163="0",BJ163,0)</f>
        <v>0</v>
      </c>
      <c r="AI163" s="66"/>
      <c r="AJ163" s="50">
        <f>IF(AN163=0,L163,0)</f>
        <v>0</v>
      </c>
      <c r="AK163" s="50">
        <f>IF(AN163=15,L163,0)</f>
        <v>0</v>
      </c>
      <c r="AL163" s="50">
        <f>IF(AN163=21,L163,0)</f>
        <v>0</v>
      </c>
      <c r="AN163" s="67">
        <v>21</v>
      </c>
      <c r="AO163" s="67">
        <f>I163*0.658197424892704</f>
        <v>0</v>
      </c>
      <c r="AP163" s="67">
        <f>I163*(1-0.658197424892704)</f>
        <v>0</v>
      </c>
      <c r="AQ163" s="68" t="s">
        <v>75</v>
      </c>
      <c r="AV163" s="67">
        <f>AW163+AX163</f>
        <v>0</v>
      </c>
      <c r="AW163" s="67">
        <f>H163*AO163</f>
        <v>0</v>
      </c>
      <c r="AX163" s="67">
        <f>H163*AP163</f>
        <v>0</v>
      </c>
      <c r="AY163" s="70" t="s">
        <v>501</v>
      </c>
      <c r="AZ163" s="70" t="s">
        <v>517</v>
      </c>
      <c r="BA163" s="66" t="s">
        <v>518</v>
      </c>
      <c r="BC163" s="67">
        <f>AW163+AX163</f>
        <v>0</v>
      </c>
      <c r="BD163" s="67">
        <f>I163/(100-BE163)*100</f>
        <v>0</v>
      </c>
      <c r="BE163" s="67">
        <v>0</v>
      </c>
      <c r="BF163" s="67">
        <f>163</f>
        <v>163</v>
      </c>
      <c r="BH163" s="50">
        <f>H163*AO163</f>
        <v>0</v>
      </c>
      <c r="BI163" s="50">
        <f>H163*AP163</f>
        <v>0</v>
      </c>
      <c r="BJ163" s="50">
        <f>H163*I163</f>
        <v>0</v>
      </c>
      <c r="BK163" s="50" t="s">
        <v>523</v>
      </c>
      <c r="BL163" s="67">
        <v>95</v>
      </c>
    </row>
    <row r="164" spans="1:14" ht="12.75">
      <c r="A164" s="17"/>
      <c r="C164" s="45" t="s">
        <v>406</v>
      </c>
      <c r="F164" s="46"/>
      <c r="H164" s="51">
        <v>0</v>
      </c>
      <c r="M164" s="16"/>
      <c r="N164" s="17"/>
    </row>
    <row r="165" spans="1:14" ht="12.75">
      <c r="A165" s="17"/>
      <c r="C165" s="45" t="s">
        <v>84</v>
      </c>
      <c r="F165" s="46"/>
      <c r="H165" s="51">
        <v>10</v>
      </c>
      <c r="M165" s="16"/>
      <c r="N165" s="17"/>
    </row>
    <row r="166" spans="1:64" ht="12.75">
      <c r="A166" s="34" t="s">
        <v>147</v>
      </c>
      <c r="B166" s="42" t="s">
        <v>238</v>
      </c>
      <c r="C166" s="170" t="s">
        <v>407</v>
      </c>
      <c r="D166" s="171"/>
      <c r="E166" s="171"/>
      <c r="F166" s="171"/>
      <c r="G166" s="42" t="s">
        <v>453</v>
      </c>
      <c r="H166" s="50">
        <v>5</v>
      </c>
      <c r="I166" s="50">
        <v>0</v>
      </c>
      <c r="J166" s="50">
        <f>H166*AO166</f>
        <v>0</v>
      </c>
      <c r="K166" s="50">
        <f>H166*AP166</f>
        <v>0</v>
      </c>
      <c r="L166" s="50">
        <f>H166*I166</f>
        <v>0</v>
      </c>
      <c r="M166" s="63" t="s">
        <v>471</v>
      </c>
      <c r="N166" s="17"/>
      <c r="Z166" s="67">
        <f>IF(AQ166="5",BJ166,0)</f>
        <v>0</v>
      </c>
      <c r="AB166" s="67">
        <f>IF(AQ166="1",BH166,0)</f>
        <v>0</v>
      </c>
      <c r="AC166" s="67">
        <f>IF(AQ166="1",BI166,0)</f>
        <v>0</v>
      </c>
      <c r="AD166" s="67">
        <f>IF(AQ166="7",BH166,0)</f>
        <v>0</v>
      </c>
      <c r="AE166" s="67">
        <f>IF(AQ166="7",BI166,0)</f>
        <v>0</v>
      </c>
      <c r="AF166" s="67">
        <f>IF(AQ166="2",BH166,0)</f>
        <v>0</v>
      </c>
      <c r="AG166" s="67">
        <f>IF(AQ166="2",BI166,0)</f>
        <v>0</v>
      </c>
      <c r="AH166" s="67">
        <f>IF(AQ166="0",BJ166,0)</f>
        <v>0</v>
      </c>
      <c r="AI166" s="66"/>
      <c r="AJ166" s="50">
        <f>IF(AN166=0,L166,0)</f>
        <v>0</v>
      </c>
      <c r="AK166" s="50">
        <f>IF(AN166=15,L166,0)</f>
        <v>0</v>
      </c>
      <c r="AL166" s="50">
        <f>IF(AN166=21,L166,0)</f>
        <v>0</v>
      </c>
      <c r="AN166" s="67">
        <v>21</v>
      </c>
      <c r="AO166" s="67">
        <f>I166*0.554660448024875</f>
        <v>0</v>
      </c>
      <c r="AP166" s="67">
        <f>I166*(1-0.554660448024875)</f>
        <v>0</v>
      </c>
      <c r="AQ166" s="68" t="s">
        <v>75</v>
      </c>
      <c r="AV166" s="67">
        <f>AW166+AX166</f>
        <v>0</v>
      </c>
      <c r="AW166" s="67">
        <f>H166*AO166</f>
        <v>0</v>
      </c>
      <c r="AX166" s="67">
        <f>H166*AP166</f>
        <v>0</v>
      </c>
      <c r="AY166" s="70" t="s">
        <v>501</v>
      </c>
      <c r="AZ166" s="70" t="s">
        <v>517</v>
      </c>
      <c r="BA166" s="66" t="s">
        <v>518</v>
      </c>
      <c r="BC166" s="67">
        <f>AW166+AX166</f>
        <v>0</v>
      </c>
      <c r="BD166" s="67">
        <f>I166/(100-BE166)*100</f>
        <v>0</v>
      </c>
      <c r="BE166" s="67">
        <v>0</v>
      </c>
      <c r="BF166" s="67">
        <f>166</f>
        <v>166</v>
      </c>
      <c r="BH166" s="50">
        <f>H166*AO166</f>
        <v>0</v>
      </c>
      <c r="BI166" s="50">
        <f>H166*AP166</f>
        <v>0</v>
      </c>
      <c r="BJ166" s="50">
        <f>H166*I166</f>
        <v>0</v>
      </c>
      <c r="BK166" s="50" t="s">
        <v>523</v>
      </c>
      <c r="BL166" s="67">
        <v>95</v>
      </c>
    </row>
    <row r="167" spans="1:14" ht="12.75">
      <c r="A167" s="17"/>
      <c r="C167" s="45" t="s">
        <v>408</v>
      </c>
      <c r="F167" s="46"/>
      <c r="H167" s="51">
        <v>0</v>
      </c>
      <c r="M167" s="16"/>
      <c r="N167" s="17"/>
    </row>
    <row r="168" spans="1:14" ht="12.75">
      <c r="A168" s="17"/>
      <c r="C168" s="45" t="s">
        <v>79</v>
      </c>
      <c r="F168" s="46"/>
      <c r="H168" s="51">
        <v>5</v>
      </c>
      <c r="M168" s="16"/>
      <c r="N168" s="17"/>
    </row>
    <row r="169" spans="1:47" ht="12.75">
      <c r="A169" s="33"/>
      <c r="B169" s="41" t="s">
        <v>239</v>
      </c>
      <c r="C169" s="168" t="s">
        <v>409</v>
      </c>
      <c r="D169" s="169"/>
      <c r="E169" s="169"/>
      <c r="F169" s="169"/>
      <c r="G169" s="48" t="s">
        <v>74</v>
      </c>
      <c r="H169" s="48" t="s">
        <v>74</v>
      </c>
      <c r="I169" s="48" t="s">
        <v>74</v>
      </c>
      <c r="J169" s="73">
        <f>SUM(J170:J187)</f>
        <v>0</v>
      </c>
      <c r="K169" s="73">
        <f>SUM(K170:K187)</f>
        <v>0</v>
      </c>
      <c r="L169" s="73">
        <f>SUM(L170:L187)</f>
        <v>0</v>
      </c>
      <c r="M169" s="62"/>
      <c r="N169" s="17"/>
      <c r="AI169" s="66"/>
      <c r="AS169" s="73">
        <f>SUM(AJ170:AJ187)</f>
        <v>0</v>
      </c>
      <c r="AT169" s="73">
        <f>SUM(AK170:AK187)</f>
        <v>0</v>
      </c>
      <c r="AU169" s="73">
        <f>SUM(AL170:AL187)</f>
        <v>0</v>
      </c>
    </row>
    <row r="170" spans="1:64" ht="12.75">
      <c r="A170" s="34" t="s">
        <v>148</v>
      </c>
      <c r="B170" s="42" t="s">
        <v>240</v>
      </c>
      <c r="C170" s="170" t="s">
        <v>410</v>
      </c>
      <c r="D170" s="171"/>
      <c r="E170" s="171"/>
      <c r="F170" s="171"/>
      <c r="G170" s="42" t="s">
        <v>452</v>
      </c>
      <c r="H170" s="50">
        <v>1.377</v>
      </c>
      <c r="I170" s="50">
        <v>0</v>
      </c>
      <c r="J170" s="50">
        <f>H170*AO170</f>
        <v>0</v>
      </c>
      <c r="K170" s="50">
        <f>H170*AP170</f>
        <v>0</v>
      </c>
      <c r="L170" s="50">
        <f>H170*I170</f>
        <v>0</v>
      </c>
      <c r="M170" s="63" t="s">
        <v>471</v>
      </c>
      <c r="N170" s="17"/>
      <c r="Z170" s="67">
        <f>IF(AQ170="5",BJ170,0)</f>
        <v>0</v>
      </c>
      <c r="AB170" s="67">
        <f>IF(AQ170="1",BH170,0)</f>
        <v>0</v>
      </c>
      <c r="AC170" s="67">
        <f>IF(AQ170="1",BI170,0)</f>
        <v>0</v>
      </c>
      <c r="AD170" s="67">
        <f>IF(AQ170="7",BH170,0)</f>
        <v>0</v>
      </c>
      <c r="AE170" s="67">
        <f>IF(AQ170="7",BI170,0)</f>
        <v>0</v>
      </c>
      <c r="AF170" s="67">
        <f>IF(AQ170="2",BH170,0)</f>
        <v>0</v>
      </c>
      <c r="AG170" s="67">
        <f>IF(AQ170="2",BI170,0)</f>
        <v>0</v>
      </c>
      <c r="AH170" s="67">
        <f>IF(AQ170="0",BJ170,0)</f>
        <v>0</v>
      </c>
      <c r="AI170" s="66"/>
      <c r="AJ170" s="50">
        <f>IF(AN170=0,L170,0)</f>
        <v>0</v>
      </c>
      <c r="AK170" s="50">
        <f>IF(AN170=15,L170,0)</f>
        <v>0</v>
      </c>
      <c r="AL170" s="50">
        <f>IF(AN170=21,L170,0)</f>
        <v>0</v>
      </c>
      <c r="AN170" s="67">
        <v>21</v>
      </c>
      <c r="AO170" s="67">
        <f>I170*0</f>
        <v>0</v>
      </c>
      <c r="AP170" s="67">
        <f>I170*(1-0)</f>
        <v>0</v>
      </c>
      <c r="AQ170" s="68" t="s">
        <v>75</v>
      </c>
      <c r="AV170" s="67">
        <f>AW170+AX170</f>
        <v>0</v>
      </c>
      <c r="AW170" s="67">
        <f>H170*AO170</f>
        <v>0</v>
      </c>
      <c r="AX170" s="67">
        <f>H170*AP170</f>
        <v>0</v>
      </c>
      <c r="AY170" s="70" t="s">
        <v>502</v>
      </c>
      <c r="AZ170" s="70" t="s">
        <v>517</v>
      </c>
      <c r="BA170" s="66" t="s">
        <v>518</v>
      </c>
      <c r="BC170" s="67">
        <f>AW170+AX170</f>
        <v>0</v>
      </c>
      <c r="BD170" s="67">
        <f>I170/(100-BE170)*100</f>
        <v>0</v>
      </c>
      <c r="BE170" s="67">
        <v>0</v>
      </c>
      <c r="BF170" s="67">
        <f>170</f>
        <v>170</v>
      </c>
      <c r="BH170" s="50">
        <f>H170*AO170</f>
        <v>0</v>
      </c>
      <c r="BI170" s="50">
        <f>H170*AP170</f>
        <v>0</v>
      </c>
      <c r="BJ170" s="50">
        <f>H170*I170</f>
        <v>0</v>
      </c>
      <c r="BK170" s="50" t="s">
        <v>523</v>
      </c>
      <c r="BL170" s="67">
        <v>96</v>
      </c>
    </row>
    <row r="171" spans="1:14" ht="12.75">
      <c r="A171" s="17"/>
      <c r="C171" s="45" t="s">
        <v>411</v>
      </c>
      <c r="F171" s="46"/>
      <c r="H171" s="51">
        <v>1.377</v>
      </c>
      <c r="M171" s="16"/>
      <c r="N171" s="17"/>
    </row>
    <row r="172" spans="1:64" ht="12.75">
      <c r="A172" s="34" t="s">
        <v>149</v>
      </c>
      <c r="B172" s="42" t="s">
        <v>241</v>
      </c>
      <c r="C172" s="170" t="s">
        <v>412</v>
      </c>
      <c r="D172" s="171"/>
      <c r="E172" s="171"/>
      <c r="F172" s="171"/>
      <c r="G172" s="42" t="s">
        <v>451</v>
      </c>
      <c r="H172" s="50">
        <v>9.18</v>
      </c>
      <c r="I172" s="50">
        <v>0</v>
      </c>
      <c r="J172" s="50">
        <f>H172*AO172</f>
        <v>0</v>
      </c>
      <c r="K172" s="50">
        <f>H172*AP172</f>
        <v>0</v>
      </c>
      <c r="L172" s="50">
        <f>H172*I172</f>
        <v>0</v>
      </c>
      <c r="M172" s="63" t="s">
        <v>471</v>
      </c>
      <c r="N172" s="17"/>
      <c r="Z172" s="67">
        <f>IF(AQ172="5",BJ172,0)</f>
        <v>0</v>
      </c>
      <c r="AB172" s="67">
        <f>IF(AQ172="1",BH172,0)</f>
        <v>0</v>
      </c>
      <c r="AC172" s="67">
        <f>IF(AQ172="1",BI172,0)</f>
        <v>0</v>
      </c>
      <c r="AD172" s="67">
        <f>IF(AQ172="7",BH172,0)</f>
        <v>0</v>
      </c>
      <c r="AE172" s="67">
        <f>IF(AQ172="7",BI172,0)</f>
        <v>0</v>
      </c>
      <c r="AF172" s="67">
        <f>IF(AQ172="2",BH172,0)</f>
        <v>0</v>
      </c>
      <c r="AG172" s="67">
        <f>IF(AQ172="2",BI172,0)</f>
        <v>0</v>
      </c>
      <c r="AH172" s="67">
        <f>IF(AQ172="0",BJ172,0)</f>
        <v>0</v>
      </c>
      <c r="AI172" s="66"/>
      <c r="AJ172" s="50">
        <f>IF(AN172=0,L172,0)</f>
        <v>0</v>
      </c>
      <c r="AK172" s="50">
        <f>IF(AN172=15,L172,0)</f>
        <v>0</v>
      </c>
      <c r="AL172" s="50">
        <f>IF(AN172=21,L172,0)</f>
        <v>0</v>
      </c>
      <c r="AN172" s="67">
        <v>21</v>
      </c>
      <c r="AO172" s="67">
        <f>I172*0</f>
        <v>0</v>
      </c>
      <c r="AP172" s="67">
        <f>I172*(1-0)</f>
        <v>0</v>
      </c>
      <c r="AQ172" s="68" t="s">
        <v>75</v>
      </c>
      <c r="AV172" s="67">
        <f>AW172+AX172</f>
        <v>0</v>
      </c>
      <c r="AW172" s="67">
        <f>H172*AO172</f>
        <v>0</v>
      </c>
      <c r="AX172" s="67">
        <f>H172*AP172</f>
        <v>0</v>
      </c>
      <c r="AY172" s="70" t="s">
        <v>502</v>
      </c>
      <c r="AZ172" s="70" t="s">
        <v>517</v>
      </c>
      <c r="BA172" s="66" t="s">
        <v>518</v>
      </c>
      <c r="BC172" s="67">
        <f>AW172+AX172</f>
        <v>0</v>
      </c>
      <c r="BD172" s="67">
        <f>I172/(100-BE172)*100</f>
        <v>0</v>
      </c>
      <c r="BE172" s="67">
        <v>0</v>
      </c>
      <c r="BF172" s="67">
        <f>172</f>
        <v>172</v>
      </c>
      <c r="BH172" s="50">
        <f>H172*AO172</f>
        <v>0</v>
      </c>
      <c r="BI172" s="50">
        <f>H172*AP172</f>
        <v>0</v>
      </c>
      <c r="BJ172" s="50">
        <f>H172*I172</f>
        <v>0</v>
      </c>
      <c r="BK172" s="50" t="s">
        <v>523</v>
      </c>
      <c r="BL172" s="67">
        <v>96</v>
      </c>
    </row>
    <row r="173" spans="1:14" ht="12.75">
      <c r="A173" s="17"/>
      <c r="C173" s="45" t="s">
        <v>413</v>
      </c>
      <c r="F173" s="46"/>
      <c r="H173" s="51">
        <v>0</v>
      </c>
      <c r="M173" s="16"/>
      <c r="N173" s="17"/>
    </row>
    <row r="174" spans="1:14" ht="12.75">
      <c r="A174" s="17"/>
      <c r="C174" s="45" t="s">
        <v>414</v>
      </c>
      <c r="F174" s="46"/>
      <c r="H174" s="51">
        <v>0</v>
      </c>
      <c r="M174" s="16"/>
      <c r="N174" s="17"/>
    </row>
    <row r="175" spans="1:14" ht="12.75">
      <c r="A175" s="17"/>
      <c r="C175" s="45" t="s">
        <v>415</v>
      </c>
      <c r="F175" s="46"/>
      <c r="H175" s="51">
        <v>0</v>
      </c>
      <c r="M175" s="16"/>
      <c r="N175" s="17"/>
    </row>
    <row r="176" spans="1:14" ht="12.75">
      <c r="A176" s="17"/>
      <c r="C176" s="45" t="s">
        <v>416</v>
      </c>
      <c r="F176" s="46"/>
      <c r="H176" s="51">
        <v>9.18</v>
      </c>
      <c r="M176" s="16"/>
      <c r="N176" s="17"/>
    </row>
    <row r="177" spans="1:64" ht="12.75">
      <c r="A177" s="34" t="s">
        <v>150</v>
      </c>
      <c r="B177" s="42" t="s">
        <v>242</v>
      </c>
      <c r="C177" s="170" t="s">
        <v>417</v>
      </c>
      <c r="D177" s="171"/>
      <c r="E177" s="171"/>
      <c r="F177" s="171"/>
      <c r="G177" s="42" t="s">
        <v>455</v>
      </c>
      <c r="H177" s="50">
        <v>9.49</v>
      </c>
      <c r="I177" s="50">
        <v>0</v>
      </c>
      <c r="J177" s="50">
        <f>H177*AO177</f>
        <v>0</v>
      </c>
      <c r="K177" s="50">
        <f>H177*AP177</f>
        <v>0</v>
      </c>
      <c r="L177" s="50">
        <f>H177*I177</f>
        <v>0</v>
      </c>
      <c r="M177" s="63" t="s">
        <v>471</v>
      </c>
      <c r="N177" s="17"/>
      <c r="Z177" s="67">
        <f>IF(AQ177="5",BJ177,0)</f>
        <v>0</v>
      </c>
      <c r="AB177" s="67">
        <f>IF(AQ177="1",BH177,0)</f>
        <v>0</v>
      </c>
      <c r="AC177" s="67">
        <f>IF(AQ177="1",BI177,0)</f>
        <v>0</v>
      </c>
      <c r="AD177" s="67">
        <f>IF(AQ177="7",BH177,0)</f>
        <v>0</v>
      </c>
      <c r="AE177" s="67">
        <f>IF(AQ177="7",BI177,0)</f>
        <v>0</v>
      </c>
      <c r="AF177" s="67">
        <f>IF(AQ177="2",BH177,0)</f>
        <v>0</v>
      </c>
      <c r="AG177" s="67">
        <f>IF(AQ177="2",BI177,0)</f>
        <v>0</v>
      </c>
      <c r="AH177" s="67">
        <f>IF(AQ177="0",BJ177,0)</f>
        <v>0</v>
      </c>
      <c r="AI177" s="66"/>
      <c r="AJ177" s="50">
        <f>IF(AN177=0,L177,0)</f>
        <v>0</v>
      </c>
      <c r="AK177" s="50">
        <f>IF(AN177=15,L177,0)</f>
        <v>0</v>
      </c>
      <c r="AL177" s="50">
        <f>IF(AN177=21,L177,0)</f>
        <v>0</v>
      </c>
      <c r="AN177" s="67">
        <v>21</v>
      </c>
      <c r="AO177" s="67">
        <f>I177*0</f>
        <v>0</v>
      </c>
      <c r="AP177" s="67">
        <f>I177*(1-0)</f>
        <v>0</v>
      </c>
      <c r="AQ177" s="68" t="s">
        <v>75</v>
      </c>
      <c r="AV177" s="67">
        <f>AW177+AX177</f>
        <v>0</v>
      </c>
      <c r="AW177" s="67">
        <f>H177*AO177</f>
        <v>0</v>
      </c>
      <c r="AX177" s="67">
        <f>H177*AP177</f>
        <v>0</v>
      </c>
      <c r="AY177" s="70" t="s">
        <v>502</v>
      </c>
      <c r="AZ177" s="70" t="s">
        <v>517</v>
      </c>
      <c r="BA177" s="66" t="s">
        <v>518</v>
      </c>
      <c r="BC177" s="67">
        <f>AW177+AX177</f>
        <v>0</v>
      </c>
      <c r="BD177" s="67">
        <f>I177/(100-BE177)*100</f>
        <v>0</v>
      </c>
      <c r="BE177" s="67">
        <v>0</v>
      </c>
      <c r="BF177" s="67">
        <f>177</f>
        <v>177</v>
      </c>
      <c r="BH177" s="50">
        <f>H177*AO177</f>
        <v>0</v>
      </c>
      <c r="BI177" s="50">
        <f>H177*AP177</f>
        <v>0</v>
      </c>
      <c r="BJ177" s="50">
        <f>H177*I177</f>
        <v>0</v>
      </c>
      <c r="BK177" s="50" t="s">
        <v>523</v>
      </c>
      <c r="BL177" s="67">
        <v>96</v>
      </c>
    </row>
    <row r="178" spans="1:14" ht="12.75">
      <c r="A178" s="17"/>
      <c r="C178" s="45" t="s">
        <v>418</v>
      </c>
      <c r="F178" s="46"/>
      <c r="H178" s="51">
        <v>9.49</v>
      </c>
      <c r="M178" s="16"/>
      <c r="N178" s="17"/>
    </row>
    <row r="179" spans="1:64" ht="12.75">
      <c r="A179" s="34" t="s">
        <v>151</v>
      </c>
      <c r="B179" s="42" t="s">
        <v>243</v>
      </c>
      <c r="C179" s="170" t="s">
        <v>419</v>
      </c>
      <c r="D179" s="171"/>
      <c r="E179" s="171"/>
      <c r="F179" s="171"/>
      <c r="G179" s="42" t="s">
        <v>452</v>
      </c>
      <c r="H179" s="50">
        <v>5.62275</v>
      </c>
      <c r="I179" s="50">
        <v>0</v>
      </c>
      <c r="J179" s="50">
        <f>H179*AO179</f>
        <v>0</v>
      </c>
      <c r="K179" s="50">
        <f>H179*AP179</f>
        <v>0</v>
      </c>
      <c r="L179" s="50">
        <f>H179*I179</f>
        <v>0</v>
      </c>
      <c r="M179" s="63" t="s">
        <v>471</v>
      </c>
      <c r="N179" s="17"/>
      <c r="Z179" s="67">
        <f>IF(AQ179="5",BJ179,0)</f>
        <v>0</v>
      </c>
      <c r="AB179" s="67">
        <f>IF(AQ179="1",BH179,0)</f>
        <v>0</v>
      </c>
      <c r="AC179" s="67">
        <f>IF(AQ179="1",BI179,0)</f>
        <v>0</v>
      </c>
      <c r="AD179" s="67">
        <f>IF(AQ179="7",BH179,0)</f>
        <v>0</v>
      </c>
      <c r="AE179" s="67">
        <f>IF(AQ179="7",BI179,0)</f>
        <v>0</v>
      </c>
      <c r="AF179" s="67">
        <f>IF(AQ179="2",BH179,0)</f>
        <v>0</v>
      </c>
      <c r="AG179" s="67">
        <f>IF(AQ179="2",BI179,0)</f>
        <v>0</v>
      </c>
      <c r="AH179" s="67">
        <f>IF(AQ179="0",BJ179,0)</f>
        <v>0</v>
      </c>
      <c r="AI179" s="66"/>
      <c r="AJ179" s="50">
        <f>IF(AN179=0,L179,0)</f>
        <v>0</v>
      </c>
      <c r="AK179" s="50">
        <f>IF(AN179=15,L179,0)</f>
        <v>0</v>
      </c>
      <c r="AL179" s="50">
        <f>IF(AN179=21,L179,0)</f>
        <v>0</v>
      </c>
      <c r="AN179" s="67">
        <v>21</v>
      </c>
      <c r="AO179" s="67">
        <f>I179*0</f>
        <v>0</v>
      </c>
      <c r="AP179" s="67">
        <f>I179*(1-0)</f>
        <v>0</v>
      </c>
      <c r="AQ179" s="68" t="s">
        <v>75</v>
      </c>
      <c r="AV179" s="67">
        <f>AW179+AX179</f>
        <v>0</v>
      </c>
      <c r="AW179" s="67">
        <f>H179*AO179</f>
        <v>0</v>
      </c>
      <c r="AX179" s="67">
        <f>H179*AP179</f>
        <v>0</v>
      </c>
      <c r="AY179" s="70" t="s">
        <v>502</v>
      </c>
      <c r="AZ179" s="70" t="s">
        <v>517</v>
      </c>
      <c r="BA179" s="66" t="s">
        <v>518</v>
      </c>
      <c r="BC179" s="67">
        <f>AW179+AX179</f>
        <v>0</v>
      </c>
      <c r="BD179" s="67">
        <f>I179/(100-BE179)*100</f>
        <v>0</v>
      </c>
      <c r="BE179" s="67">
        <v>0</v>
      </c>
      <c r="BF179" s="67">
        <f>179</f>
        <v>179</v>
      </c>
      <c r="BH179" s="50">
        <f>H179*AO179</f>
        <v>0</v>
      </c>
      <c r="BI179" s="50">
        <f>H179*AP179</f>
        <v>0</v>
      </c>
      <c r="BJ179" s="50">
        <f>H179*I179</f>
        <v>0</v>
      </c>
      <c r="BK179" s="50" t="s">
        <v>523</v>
      </c>
      <c r="BL179" s="67">
        <v>96</v>
      </c>
    </row>
    <row r="180" spans="1:14" ht="12.75">
      <c r="A180" s="17"/>
      <c r="C180" s="45" t="s">
        <v>420</v>
      </c>
      <c r="F180" s="46"/>
      <c r="H180" s="51">
        <v>5.62275</v>
      </c>
      <c r="M180" s="16"/>
      <c r="N180" s="17"/>
    </row>
    <row r="181" spans="1:64" ht="12.75">
      <c r="A181" s="34" t="s">
        <v>152</v>
      </c>
      <c r="B181" s="42" t="s">
        <v>244</v>
      </c>
      <c r="C181" s="170" t="s">
        <v>421</v>
      </c>
      <c r="D181" s="171"/>
      <c r="E181" s="171"/>
      <c r="F181" s="171"/>
      <c r="G181" s="42" t="s">
        <v>451</v>
      </c>
      <c r="H181" s="50">
        <v>6</v>
      </c>
      <c r="I181" s="50">
        <v>0</v>
      </c>
      <c r="J181" s="50">
        <f>H181*AO181</f>
        <v>0</v>
      </c>
      <c r="K181" s="50">
        <f>H181*AP181</f>
        <v>0</v>
      </c>
      <c r="L181" s="50">
        <f>H181*I181</f>
        <v>0</v>
      </c>
      <c r="M181" s="63" t="s">
        <v>471</v>
      </c>
      <c r="N181" s="17"/>
      <c r="Z181" s="67">
        <f>IF(AQ181="5",BJ181,0)</f>
        <v>0</v>
      </c>
      <c r="AB181" s="67">
        <f>IF(AQ181="1",BH181,0)</f>
        <v>0</v>
      </c>
      <c r="AC181" s="67">
        <f>IF(AQ181="1",BI181,0)</f>
        <v>0</v>
      </c>
      <c r="AD181" s="67">
        <f>IF(AQ181="7",BH181,0)</f>
        <v>0</v>
      </c>
      <c r="AE181" s="67">
        <f>IF(AQ181="7",BI181,0)</f>
        <v>0</v>
      </c>
      <c r="AF181" s="67">
        <f>IF(AQ181="2",BH181,0)</f>
        <v>0</v>
      </c>
      <c r="AG181" s="67">
        <f>IF(AQ181="2",BI181,0)</f>
        <v>0</v>
      </c>
      <c r="AH181" s="67">
        <f>IF(AQ181="0",BJ181,0)</f>
        <v>0</v>
      </c>
      <c r="AI181" s="66"/>
      <c r="AJ181" s="50">
        <f>IF(AN181=0,L181,0)</f>
        <v>0</v>
      </c>
      <c r="AK181" s="50">
        <f>IF(AN181=15,L181,0)</f>
        <v>0</v>
      </c>
      <c r="AL181" s="50">
        <f>IF(AN181=21,L181,0)</f>
        <v>0</v>
      </c>
      <c r="AN181" s="67">
        <v>21</v>
      </c>
      <c r="AO181" s="67">
        <f>I181*0</f>
        <v>0</v>
      </c>
      <c r="AP181" s="67">
        <f>I181*(1-0)</f>
        <v>0</v>
      </c>
      <c r="AQ181" s="68" t="s">
        <v>75</v>
      </c>
      <c r="AV181" s="67">
        <f>AW181+AX181</f>
        <v>0</v>
      </c>
      <c r="AW181" s="67">
        <f>H181*AO181</f>
        <v>0</v>
      </c>
      <c r="AX181" s="67">
        <f>H181*AP181</f>
        <v>0</v>
      </c>
      <c r="AY181" s="70" t="s">
        <v>502</v>
      </c>
      <c r="AZ181" s="70" t="s">
        <v>517</v>
      </c>
      <c r="BA181" s="66" t="s">
        <v>518</v>
      </c>
      <c r="BC181" s="67">
        <f>AW181+AX181</f>
        <v>0</v>
      </c>
      <c r="BD181" s="67">
        <f>I181/(100-BE181)*100</f>
        <v>0</v>
      </c>
      <c r="BE181" s="67">
        <v>0</v>
      </c>
      <c r="BF181" s="67">
        <f>181</f>
        <v>181</v>
      </c>
      <c r="BH181" s="50">
        <f>H181*AO181</f>
        <v>0</v>
      </c>
      <c r="BI181" s="50">
        <f>H181*AP181</f>
        <v>0</v>
      </c>
      <c r="BJ181" s="50">
        <f>H181*I181</f>
        <v>0</v>
      </c>
      <c r="BK181" s="50" t="s">
        <v>523</v>
      </c>
      <c r="BL181" s="67">
        <v>96</v>
      </c>
    </row>
    <row r="182" spans="1:14" ht="12.75">
      <c r="A182" s="17"/>
      <c r="C182" s="45" t="s">
        <v>422</v>
      </c>
      <c r="F182" s="46"/>
      <c r="H182" s="51">
        <v>6</v>
      </c>
      <c r="M182" s="16"/>
      <c r="N182" s="17"/>
    </row>
    <row r="183" spans="1:64" ht="12.75">
      <c r="A183" s="34" t="s">
        <v>153</v>
      </c>
      <c r="B183" s="42" t="s">
        <v>245</v>
      </c>
      <c r="C183" s="170" t="s">
        <v>423</v>
      </c>
      <c r="D183" s="171"/>
      <c r="E183" s="171"/>
      <c r="F183" s="171"/>
      <c r="G183" s="42" t="s">
        <v>452</v>
      </c>
      <c r="H183" s="50">
        <v>0.645</v>
      </c>
      <c r="I183" s="50">
        <v>0</v>
      </c>
      <c r="J183" s="50">
        <f>H183*AO183</f>
        <v>0</v>
      </c>
      <c r="K183" s="50">
        <f>H183*AP183</f>
        <v>0</v>
      </c>
      <c r="L183" s="50">
        <f>H183*I183</f>
        <v>0</v>
      </c>
      <c r="M183" s="63" t="s">
        <v>471</v>
      </c>
      <c r="N183" s="17"/>
      <c r="Z183" s="67">
        <f>IF(AQ183="5",BJ183,0)</f>
        <v>0</v>
      </c>
      <c r="AB183" s="67">
        <f>IF(AQ183="1",BH183,0)</f>
        <v>0</v>
      </c>
      <c r="AC183" s="67">
        <f>IF(AQ183="1",BI183,0)</f>
        <v>0</v>
      </c>
      <c r="AD183" s="67">
        <f>IF(AQ183="7",BH183,0)</f>
        <v>0</v>
      </c>
      <c r="AE183" s="67">
        <f>IF(AQ183="7",BI183,0)</f>
        <v>0</v>
      </c>
      <c r="AF183" s="67">
        <f>IF(AQ183="2",BH183,0)</f>
        <v>0</v>
      </c>
      <c r="AG183" s="67">
        <f>IF(AQ183="2",BI183,0)</f>
        <v>0</v>
      </c>
      <c r="AH183" s="67">
        <f>IF(AQ183="0",BJ183,0)</f>
        <v>0</v>
      </c>
      <c r="AI183" s="66"/>
      <c r="AJ183" s="50">
        <f>IF(AN183=0,L183,0)</f>
        <v>0</v>
      </c>
      <c r="AK183" s="50">
        <f>IF(AN183=15,L183,0)</f>
        <v>0</v>
      </c>
      <c r="AL183" s="50">
        <f>IF(AN183=21,L183,0)</f>
        <v>0</v>
      </c>
      <c r="AN183" s="67">
        <v>21</v>
      </c>
      <c r="AO183" s="67">
        <f>I183*0.0144990270407604</f>
        <v>0</v>
      </c>
      <c r="AP183" s="67">
        <f>I183*(1-0.0144990270407604)</f>
        <v>0</v>
      </c>
      <c r="AQ183" s="68" t="s">
        <v>75</v>
      </c>
      <c r="AV183" s="67">
        <f>AW183+AX183</f>
        <v>0</v>
      </c>
      <c r="AW183" s="67">
        <f>H183*AO183</f>
        <v>0</v>
      </c>
      <c r="AX183" s="67">
        <f>H183*AP183</f>
        <v>0</v>
      </c>
      <c r="AY183" s="70" t="s">
        <v>502</v>
      </c>
      <c r="AZ183" s="70" t="s">
        <v>517</v>
      </c>
      <c r="BA183" s="66" t="s">
        <v>518</v>
      </c>
      <c r="BC183" s="67">
        <f>AW183+AX183</f>
        <v>0</v>
      </c>
      <c r="BD183" s="67">
        <f>I183/(100-BE183)*100</f>
        <v>0</v>
      </c>
      <c r="BE183" s="67">
        <v>0</v>
      </c>
      <c r="BF183" s="67">
        <f>183</f>
        <v>183</v>
      </c>
      <c r="BH183" s="50">
        <f>H183*AO183</f>
        <v>0</v>
      </c>
      <c r="BI183" s="50">
        <f>H183*AP183</f>
        <v>0</v>
      </c>
      <c r="BJ183" s="50">
        <f>H183*I183</f>
        <v>0</v>
      </c>
      <c r="BK183" s="50" t="s">
        <v>523</v>
      </c>
      <c r="BL183" s="67">
        <v>96</v>
      </c>
    </row>
    <row r="184" spans="1:14" ht="12.75">
      <c r="A184" s="17"/>
      <c r="C184" s="45" t="s">
        <v>424</v>
      </c>
      <c r="F184" s="46"/>
      <c r="H184" s="51">
        <v>0</v>
      </c>
      <c r="M184" s="16"/>
      <c r="N184" s="17"/>
    </row>
    <row r="185" spans="1:14" ht="12.75">
      <c r="A185" s="17"/>
      <c r="C185" s="45" t="s">
        <v>425</v>
      </c>
      <c r="F185" s="46"/>
      <c r="H185" s="51">
        <v>0.645</v>
      </c>
      <c r="M185" s="16"/>
      <c r="N185" s="17"/>
    </row>
    <row r="186" spans="1:64" ht="12.75">
      <c r="A186" s="34" t="s">
        <v>154</v>
      </c>
      <c r="B186" s="42" t="s">
        <v>246</v>
      </c>
      <c r="C186" s="170" t="s">
        <v>426</v>
      </c>
      <c r="D186" s="171"/>
      <c r="E186" s="171"/>
      <c r="F186" s="171"/>
      <c r="G186" s="42" t="s">
        <v>455</v>
      </c>
      <c r="H186" s="50">
        <v>1</v>
      </c>
      <c r="I186" s="50">
        <v>0</v>
      </c>
      <c r="J186" s="50">
        <f>H186*AO186</f>
        <v>0</v>
      </c>
      <c r="K186" s="50">
        <f>H186*AP186</f>
        <v>0</v>
      </c>
      <c r="L186" s="50">
        <f>H186*I186</f>
        <v>0</v>
      </c>
      <c r="M186" s="63" t="s">
        <v>471</v>
      </c>
      <c r="N186" s="17"/>
      <c r="Z186" s="67">
        <f>IF(AQ186="5",BJ186,0)</f>
        <v>0</v>
      </c>
      <c r="AB186" s="67">
        <f>IF(AQ186="1",BH186,0)</f>
        <v>0</v>
      </c>
      <c r="AC186" s="67">
        <f>IF(AQ186="1",BI186,0)</f>
        <v>0</v>
      </c>
      <c r="AD186" s="67">
        <f>IF(AQ186="7",BH186,0)</f>
        <v>0</v>
      </c>
      <c r="AE186" s="67">
        <f>IF(AQ186="7",BI186,0)</f>
        <v>0</v>
      </c>
      <c r="AF186" s="67">
        <f>IF(AQ186="2",BH186,0)</f>
        <v>0</v>
      </c>
      <c r="AG186" s="67">
        <f>IF(AQ186="2",BI186,0)</f>
        <v>0</v>
      </c>
      <c r="AH186" s="67">
        <f>IF(AQ186="0",BJ186,0)</f>
        <v>0</v>
      </c>
      <c r="AI186" s="66"/>
      <c r="AJ186" s="50">
        <f>IF(AN186=0,L186,0)</f>
        <v>0</v>
      </c>
      <c r="AK186" s="50">
        <f>IF(AN186=15,L186,0)</f>
        <v>0</v>
      </c>
      <c r="AL186" s="50">
        <f>IF(AN186=21,L186,0)</f>
        <v>0</v>
      </c>
      <c r="AN186" s="67">
        <v>21</v>
      </c>
      <c r="AO186" s="67">
        <f>I186*0</f>
        <v>0</v>
      </c>
      <c r="AP186" s="67">
        <f>I186*(1-0)</f>
        <v>0</v>
      </c>
      <c r="AQ186" s="68" t="s">
        <v>76</v>
      </c>
      <c r="AV186" s="67">
        <f>AW186+AX186</f>
        <v>0</v>
      </c>
      <c r="AW186" s="67">
        <f>H186*AO186</f>
        <v>0</v>
      </c>
      <c r="AX186" s="67">
        <f>H186*AP186</f>
        <v>0</v>
      </c>
      <c r="AY186" s="70" t="s">
        <v>502</v>
      </c>
      <c r="AZ186" s="70" t="s">
        <v>517</v>
      </c>
      <c r="BA186" s="66" t="s">
        <v>518</v>
      </c>
      <c r="BC186" s="67">
        <f>AW186+AX186</f>
        <v>0</v>
      </c>
      <c r="BD186" s="67">
        <f>I186/(100-BE186)*100</f>
        <v>0</v>
      </c>
      <c r="BE186" s="67">
        <v>0</v>
      </c>
      <c r="BF186" s="67">
        <f>186</f>
        <v>186</v>
      </c>
      <c r="BH186" s="50">
        <f>H186*AO186</f>
        <v>0</v>
      </c>
      <c r="BI186" s="50">
        <f>H186*AP186</f>
        <v>0</v>
      </c>
      <c r="BJ186" s="50">
        <f>H186*I186</f>
        <v>0</v>
      </c>
      <c r="BK186" s="50" t="s">
        <v>523</v>
      </c>
      <c r="BL186" s="67">
        <v>96</v>
      </c>
    </row>
    <row r="187" spans="1:64" ht="12.75">
      <c r="A187" s="34" t="s">
        <v>155</v>
      </c>
      <c r="B187" s="42" t="s">
        <v>247</v>
      </c>
      <c r="C187" s="170" t="s">
        <v>427</v>
      </c>
      <c r="D187" s="171"/>
      <c r="E187" s="171"/>
      <c r="F187" s="171"/>
      <c r="G187" s="42" t="s">
        <v>452</v>
      </c>
      <c r="H187" s="50">
        <v>3.4515</v>
      </c>
      <c r="I187" s="50">
        <v>0</v>
      </c>
      <c r="J187" s="50">
        <f>H187*AO187</f>
        <v>0</v>
      </c>
      <c r="K187" s="50">
        <f>H187*AP187</f>
        <v>0</v>
      </c>
      <c r="L187" s="50">
        <f>H187*I187</f>
        <v>0</v>
      </c>
      <c r="M187" s="63" t="s">
        <v>471</v>
      </c>
      <c r="N187" s="17"/>
      <c r="Z187" s="67">
        <f>IF(AQ187="5",BJ187,0)</f>
        <v>0</v>
      </c>
      <c r="AB187" s="67">
        <f>IF(AQ187="1",BH187,0)</f>
        <v>0</v>
      </c>
      <c r="AC187" s="67">
        <f>IF(AQ187="1",BI187,0)</f>
        <v>0</v>
      </c>
      <c r="AD187" s="67">
        <f>IF(AQ187="7",BH187,0)</f>
        <v>0</v>
      </c>
      <c r="AE187" s="67">
        <f>IF(AQ187="7",BI187,0)</f>
        <v>0</v>
      </c>
      <c r="AF187" s="67">
        <f>IF(AQ187="2",BH187,0)</f>
        <v>0</v>
      </c>
      <c r="AG187" s="67">
        <f>IF(AQ187="2",BI187,0)</f>
        <v>0</v>
      </c>
      <c r="AH187" s="67">
        <f>IF(AQ187="0",BJ187,0)</f>
        <v>0</v>
      </c>
      <c r="AI187" s="66"/>
      <c r="AJ187" s="50">
        <f>IF(AN187=0,L187,0)</f>
        <v>0</v>
      </c>
      <c r="AK187" s="50">
        <f>IF(AN187=15,L187,0)</f>
        <v>0</v>
      </c>
      <c r="AL187" s="50">
        <f>IF(AN187=21,L187,0)</f>
        <v>0</v>
      </c>
      <c r="AN187" s="67">
        <v>21</v>
      </c>
      <c r="AO187" s="67">
        <f>I187*0.0408543424447389</f>
        <v>0</v>
      </c>
      <c r="AP187" s="67">
        <f>I187*(1-0.0408543424447389)</f>
        <v>0</v>
      </c>
      <c r="AQ187" s="68" t="s">
        <v>75</v>
      </c>
      <c r="AV187" s="67">
        <f>AW187+AX187</f>
        <v>0</v>
      </c>
      <c r="AW187" s="67">
        <f>H187*AO187</f>
        <v>0</v>
      </c>
      <c r="AX187" s="67">
        <f>H187*AP187</f>
        <v>0</v>
      </c>
      <c r="AY187" s="70" t="s">
        <v>502</v>
      </c>
      <c r="AZ187" s="70" t="s">
        <v>517</v>
      </c>
      <c r="BA187" s="66" t="s">
        <v>518</v>
      </c>
      <c r="BC187" s="67">
        <f>AW187+AX187</f>
        <v>0</v>
      </c>
      <c r="BD187" s="67">
        <f>I187/(100-BE187)*100</f>
        <v>0</v>
      </c>
      <c r="BE187" s="67">
        <v>0</v>
      </c>
      <c r="BF187" s="67">
        <f>187</f>
        <v>187</v>
      </c>
      <c r="BH187" s="50">
        <f>H187*AO187</f>
        <v>0</v>
      </c>
      <c r="BI187" s="50">
        <f>H187*AP187</f>
        <v>0</v>
      </c>
      <c r="BJ187" s="50">
        <f>H187*I187</f>
        <v>0</v>
      </c>
      <c r="BK187" s="50" t="s">
        <v>523</v>
      </c>
      <c r="BL187" s="67">
        <v>96</v>
      </c>
    </row>
    <row r="188" spans="1:14" ht="12.75">
      <c r="A188" s="17"/>
      <c r="C188" s="45" t="s">
        <v>428</v>
      </c>
      <c r="F188" s="46"/>
      <c r="H188" s="51">
        <v>3.4515</v>
      </c>
      <c r="M188" s="16"/>
      <c r="N188" s="17"/>
    </row>
    <row r="189" spans="1:47" ht="12.75">
      <c r="A189" s="33"/>
      <c r="B189" s="41" t="s">
        <v>248</v>
      </c>
      <c r="C189" s="168" t="s">
        <v>429</v>
      </c>
      <c r="D189" s="169"/>
      <c r="E189" s="169"/>
      <c r="F189" s="169"/>
      <c r="G189" s="48" t="s">
        <v>74</v>
      </c>
      <c r="H189" s="48" t="s">
        <v>74</v>
      </c>
      <c r="I189" s="48" t="s">
        <v>74</v>
      </c>
      <c r="J189" s="73">
        <f>SUM(J190:J193)</f>
        <v>0</v>
      </c>
      <c r="K189" s="73">
        <f>SUM(K190:K193)</f>
        <v>0</v>
      </c>
      <c r="L189" s="73">
        <f>SUM(L190:L193)</f>
        <v>0</v>
      </c>
      <c r="M189" s="62"/>
      <c r="N189" s="17"/>
      <c r="AI189" s="66"/>
      <c r="AS189" s="73">
        <f>SUM(AJ190:AJ193)</f>
        <v>0</v>
      </c>
      <c r="AT189" s="73">
        <f>SUM(AK190:AK193)</f>
        <v>0</v>
      </c>
      <c r="AU189" s="73">
        <f>SUM(AL190:AL193)</f>
        <v>0</v>
      </c>
    </row>
    <row r="190" spans="1:64" ht="12.75">
      <c r="A190" s="34" t="s">
        <v>156</v>
      </c>
      <c r="B190" s="42" t="s">
        <v>249</v>
      </c>
      <c r="C190" s="170" t="s">
        <v>430</v>
      </c>
      <c r="D190" s="171"/>
      <c r="E190" s="171"/>
      <c r="F190" s="171"/>
      <c r="G190" s="42" t="s">
        <v>453</v>
      </c>
      <c r="H190" s="50">
        <v>15</v>
      </c>
      <c r="I190" s="50">
        <v>0</v>
      </c>
      <c r="J190" s="50">
        <f>H190*AO190</f>
        <v>0</v>
      </c>
      <c r="K190" s="50">
        <f>H190*AP190</f>
        <v>0</v>
      </c>
      <c r="L190" s="50">
        <f>H190*I190</f>
        <v>0</v>
      </c>
      <c r="M190" s="63" t="s">
        <v>471</v>
      </c>
      <c r="N190" s="17"/>
      <c r="Z190" s="67">
        <f>IF(AQ190="5",BJ190,0)</f>
        <v>0</v>
      </c>
      <c r="AB190" s="67">
        <f>IF(AQ190="1",BH190,0)</f>
        <v>0</v>
      </c>
      <c r="AC190" s="67">
        <f>IF(AQ190="1",BI190,0)</f>
        <v>0</v>
      </c>
      <c r="AD190" s="67">
        <f>IF(AQ190="7",BH190,0)</f>
        <v>0</v>
      </c>
      <c r="AE190" s="67">
        <f>IF(AQ190="7",BI190,0)</f>
        <v>0</v>
      </c>
      <c r="AF190" s="67">
        <f>IF(AQ190="2",BH190,0)</f>
        <v>0</v>
      </c>
      <c r="AG190" s="67">
        <f>IF(AQ190="2",BI190,0)</f>
        <v>0</v>
      </c>
      <c r="AH190" s="67">
        <f>IF(AQ190="0",BJ190,0)</f>
        <v>0</v>
      </c>
      <c r="AI190" s="66"/>
      <c r="AJ190" s="50">
        <f>IF(AN190=0,L190,0)</f>
        <v>0</v>
      </c>
      <c r="AK190" s="50">
        <f>IF(AN190=15,L190,0)</f>
        <v>0</v>
      </c>
      <c r="AL190" s="50">
        <f>IF(AN190=21,L190,0)</f>
        <v>0</v>
      </c>
      <c r="AN190" s="67">
        <v>21</v>
      </c>
      <c r="AO190" s="67">
        <f>I190*0</f>
        <v>0</v>
      </c>
      <c r="AP190" s="67">
        <f>I190*(1-0)</f>
        <v>0</v>
      </c>
      <c r="AQ190" s="68" t="s">
        <v>75</v>
      </c>
      <c r="AV190" s="67">
        <f>AW190+AX190</f>
        <v>0</v>
      </c>
      <c r="AW190" s="67">
        <f>H190*AO190</f>
        <v>0</v>
      </c>
      <c r="AX190" s="67">
        <f>H190*AP190</f>
        <v>0</v>
      </c>
      <c r="AY190" s="70" t="s">
        <v>503</v>
      </c>
      <c r="AZ190" s="70" t="s">
        <v>517</v>
      </c>
      <c r="BA190" s="66" t="s">
        <v>518</v>
      </c>
      <c r="BC190" s="67">
        <f>AW190+AX190</f>
        <v>0</v>
      </c>
      <c r="BD190" s="67">
        <f>I190/(100-BE190)*100</f>
        <v>0</v>
      </c>
      <c r="BE190" s="67">
        <v>0</v>
      </c>
      <c r="BF190" s="67">
        <f>190</f>
        <v>190</v>
      </c>
      <c r="BH190" s="50">
        <f>H190*AO190</f>
        <v>0</v>
      </c>
      <c r="BI190" s="50">
        <f>H190*AP190</f>
        <v>0</v>
      </c>
      <c r="BJ190" s="50">
        <f>H190*I190</f>
        <v>0</v>
      </c>
      <c r="BK190" s="50" t="s">
        <v>523</v>
      </c>
      <c r="BL190" s="67">
        <v>97</v>
      </c>
    </row>
    <row r="191" spans="1:14" ht="12.75">
      <c r="A191" s="17"/>
      <c r="C191" s="45" t="s">
        <v>431</v>
      </c>
      <c r="F191" s="46"/>
      <c r="H191" s="51">
        <v>0</v>
      </c>
      <c r="M191" s="16"/>
      <c r="N191" s="17"/>
    </row>
    <row r="192" spans="1:14" ht="12.75">
      <c r="A192" s="17"/>
      <c r="C192" s="45" t="s">
        <v>432</v>
      </c>
      <c r="F192" s="46"/>
      <c r="H192" s="51">
        <v>15</v>
      </c>
      <c r="M192" s="16"/>
      <c r="N192" s="17"/>
    </row>
    <row r="193" spans="1:64" ht="12.75">
      <c r="A193" s="34" t="s">
        <v>157</v>
      </c>
      <c r="B193" s="42" t="s">
        <v>250</v>
      </c>
      <c r="C193" s="170" t="s">
        <v>433</v>
      </c>
      <c r="D193" s="171"/>
      <c r="E193" s="171"/>
      <c r="F193" s="171"/>
      <c r="G193" s="42" t="s">
        <v>453</v>
      </c>
      <c r="H193" s="50">
        <v>2</v>
      </c>
      <c r="I193" s="50">
        <v>0</v>
      </c>
      <c r="J193" s="50">
        <f>H193*AO193</f>
        <v>0</v>
      </c>
      <c r="K193" s="50">
        <f>H193*AP193</f>
        <v>0</v>
      </c>
      <c r="L193" s="50">
        <f>H193*I193</f>
        <v>0</v>
      </c>
      <c r="M193" s="63" t="s">
        <v>471</v>
      </c>
      <c r="N193" s="17"/>
      <c r="Z193" s="67">
        <f>IF(AQ193="5",BJ193,0)</f>
        <v>0</v>
      </c>
      <c r="AB193" s="67">
        <f>IF(AQ193="1",BH193,0)</f>
        <v>0</v>
      </c>
      <c r="AC193" s="67">
        <f>IF(AQ193="1",BI193,0)</f>
        <v>0</v>
      </c>
      <c r="AD193" s="67">
        <f>IF(AQ193="7",BH193,0)</f>
        <v>0</v>
      </c>
      <c r="AE193" s="67">
        <f>IF(AQ193="7",BI193,0)</f>
        <v>0</v>
      </c>
      <c r="AF193" s="67">
        <f>IF(AQ193="2",BH193,0)</f>
        <v>0</v>
      </c>
      <c r="AG193" s="67">
        <f>IF(AQ193="2",BI193,0)</f>
        <v>0</v>
      </c>
      <c r="AH193" s="67">
        <f>IF(AQ193="0",BJ193,0)</f>
        <v>0</v>
      </c>
      <c r="AI193" s="66"/>
      <c r="AJ193" s="50">
        <f>IF(AN193=0,L193,0)</f>
        <v>0</v>
      </c>
      <c r="AK193" s="50">
        <f>IF(AN193=15,L193,0)</f>
        <v>0</v>
      </c>
      <c r="AL193" s="50">
        <f>IF(AN193=21,L193,0)</f>
        <v>0</v>
      </c>
      <c r="AN193" s="67">
        <v>21</v>
      </c>
      <c r="AO193" s="67">
        <f>I193*0</f>
        <v>0</v>
      </c>
      <c r="AP193" s="67">
        <f>I193*(1-0)</f>
        <v>0</v>
      </c>
      <c r="AQ193" s="68" t="s">
        <v>75</v>
      </c>
      <c r="AV193" s="67">
        <f>AW193+AX193</f>
        <v>0</v>
      </c>
      <c r="AW193" s="67">
        <f>H193*AO193</f>
        <v>0</v>
      </c>
      <c r="AX193" s="67">
        <f>H193*AP193</f>
        <v>0</v>
      </c>
      <c r="AY193" s="70" t="s">
        <v>503</v>
      </c>
      <c r="AZ193" s="70" t="s">
        <v>517</v>
      </c>
      <c r="BA193" s="66" t="s">
        <v>518</v>
      </c>
      <c r="BC193" s="67">
        <f>AW193+AX193</f>
        <v>0</v>
      </c>
      <c r="BD193" s="67">
        <f>I193/(100-BE193)*100</f>
        <v>0</v>
      </c>
      <c r="BE193" s="67">
        <v>0</v>
      </c>
      <c r="BF193" s="67">
        <f>193</f>
        <v>193</v>
      </c>
      <c r="BH193" s="50">
        <f>H193*AO193</f>
        <v>0</v>
      </c>
      <c r="BI193" s="50">
        <f>H193*AP193</f>
        <v>0</v>
      </c>
      <c r="BJ193" s="50">
        <f>H193*I193</f>
        <v>0</v>
      </c>
      <c r="BK193" s="50" t="s">
        <v>523</v>
      </c>
      <c r="BL193" s="67">
        <v>97</v>
      </c>
    </row>
    <row r="194" spans="1:47" ht="12.75">
      <c r="A194" s="33"/>
      <c r="B194" s="41" t="s">
        <v>251</v>
      </c>
      <c r="C194" s="168" t="s">
        <v>434</v>
      </c>
      <c r="D194" s="169"/>
      <c r="E194" s="169"/>
      <c r="F194" s="169"/>
      <c r="G194" s="48" t="s">
        <v>74</v>
      </c>
      <c r="H194" s="48" t="s">
        <v>74</v>
      </c>
      <c r="I194" s="48" t="s">
        <v>74</v>
      </c>
      <c r="J194" s="73">
        <f>SUM(J195:J195)</f>
        <v>0</v>
      </c>
      <c r="K194" s="73">
        <f>SUM(K195:K195)</f>
        <v>0</v>
      </c>
      <c r="L194" s="73">
        <f>SUM(L195:L195)</f>
        <v>0</v>
      </c>
      <c r="M194" s="62"/>
      <c r="N194" s="17"/>
      <c r="AI194" s="66"/>
      <c r="AS194" s="73">
        <f>SUM(AJ195:AJ195)</f>
        <v>0</v>
      </c>
      <c r="AT194" s="73">
        <f>SUM(AK195:AK195)</f>
        <v>0</v>
      </c>
      <c r="AU194" s="73">
        <f>SUM(AL195:AL195)</f>
        <v>0</v>
      </c>
    </row>
    <row r="195" spans="1:64" ht="12.75">
      <c r="A195" s="34" t="s">
        <v>158</v>
      </c>
      <c r="B195" s="42" t="s">
        <v>252</v>
      </c>
      <c r="C195" s="170" t="s">
        <v>435</v>
      </c>
      <c r="D195" s="171"/>
      <c r="E195" s="171"/>
      <c r="F195" s="171"/>
      <c r="G195" s="42" t="s">
        <v>454</v>
      </c>
      <c r="H195" s="50">
        <v>20.47175</v>
      </c>
      <c r="I195" s="50">
        <v>0</v>
      </c>
      <c r="J195" s="50">
        <f>H195*AO195</f>
        <v>0</v>
      </c>
      <c r="K195" s="50">
        <f>H195*AP195</f>
        <v>0</v>
      </c>
      <c r="L195" s="50">
        <f>H195*I195</f>
        <v>0</v>
      </c>
      <c r="M195" s="63" t="s">
        <v>471</v>
      </c>
      <c r="N195" s="17"/>
      <c r="Z195" s="67">
        <f>IF(AQ195="5",BJ195,0)</f>
        <v>0</v>
      </c>
      <c r="AB195" s="67">
        <f>IF(AQ195="1",BH195,0)</f>
        <v>0</v>
      </c>
      <c r="AC195" s="67">
        <f>IF(AQ195="1",BI195,0)</f>
        <v>0</v>
      </c>
      <c r="AD195" s="67">
        <f>IF(AQ195="7",BH195,0)</f>
        <v>0</v>
      </c>
      <c r="AE195" s="67">
        <f>IF(AQ195="7",BI195,0)</f>
        <v>0</v>
      </c>
      <c r="AF195" s="67">
        <f>IF(AQ195="2",BH195,0)</f>
        <v>0</v>
      </c>
      <c r="AG195" s="67">
        <f>IF(AQ195="2",BI195,0)</f>
        <v>0</v>
      </c>
      <c r="AH195" s="67">
        <f>IF(AQ195="0",BJ195,0)</f>
        <v>0</v>
      </c>
      <c r="AI195" s="66"/>
      <c r="AJ195" s="50">
        <f>IF(AN195=0,L195,0)</f>
        <v>0</v>
      </c>
      <c r="AK195" s="50">
        <f>IF(AN195=15,L195,0)</f>
        <v>0</v>
      </c>
      <c r="AL195" s="50">
        <f>IF(AN195=21,L195,0)</f>
        <v>0</v>
      </c>
      <c r="AN195" s="67">
        <v>21</v>
      </c>
      <c r="AO195" s="67">
        <f>I195*0</f>
        <v>0</v>
      </c>
      <c r="AP195" s="67">
        <f>I195*(1-0)</f>
        <v>0</v>
      </c>
      <c r="AQ195" s="68" t="s">
        <v>79</v>
      </c>
      <c r="AV195" s="67">
        <f>AW195+AX195</f>
        <v>0</v>
      </c>
      <c r="AW195" s="67">
        <f>H195*AO195</f>
        <v>0</v>
      </c>
      <c r="AX195" s="67">
        <f>H195*AP195</f>
        <v>0</v>
      </c>
      <c r="AY195" s="70" t="s">
        <v>504</v>
      </c>
      <c r="AZ195" s="70" t="s">
        <v>517</v>
      </c>
      <c r="BA195" s="66" t="s">
        <v>518</v>
      </c>
      <c r="BC195" s="67">
        <f>AW195+AX195</f>
        <v>0</v>
      </c>
      <c r="BD195" s="67">
        <f>I195/(100-BE195)*100</f>
        <v>0</v>
      </c>
      <c r="BE195" s="67">
        <v>0</v>
      </c>
      <c r="BF195" s="67">
        <f>195</f>
        <v>195</v>
      </c>
      <c r="BH195" s="50">
        <f>H195*AO195</f>
        <v>0</v>
      </c>
      <c r="BI195" s="50">
        <f>H195*AP195</f>
        <v>0</v>
      </c>
      <c r="BJ195" s="50">
        <f>H195*I195</f>
        <v>0</v>
      </c>
      <c r="BK195" s="50" t="s">
        <v>523</v>
      </c>
      <c r="BL195" s="67" t="s">
        <v>251</v>
      </c>
    </row>
    <row r="196" spans="1:47" ht="12.75">
      <c r="A196" s="33"/>
      <c r="B196" s="41" t="s">
        <v>253</v>
      </c>
      <c r="C196" s="168" t="s">
        <v>436</v>
      </c>
      <c r="D196" s="169"/>
      <c r="E196" s="169"/>
      <c r="F196" s="169"/>
      <c r="G196" s="48" t="s">
        <v>74</v>
      </c>
      <c r="H196" s="48" t="s">
        <v>74</v>
      </c>
      <c r="I196" s="48" t="s">
        <v>74</v>
      </c>
      <c r="J196" s="73">
        <f>SUM(J197:J197)</f>
        <v>0</v>
      </c>
      <c r="K196" s="73">
        <f>SUM(K197:K197)</f>
        <v>0</v>
      </c>
      <c r="L196" s="73">
        <f>SUM(L197:L197)</f>
        <v>0</v>
      </c>
      <c r="M196" s="62"/>
      <c r="N196" s="17"/>
      <c r="AI196" s="66"/>
      <c r="AS196" s="73">
        <f>SUM(AJ197:AJ197)</f>
        <v>0</v>
      </c>
      <c r="AT196" s="73">
        <f>SUM(AK197:AK197)</f>
        <v>0</v>
      </c>
      <c r="AU196" s="73">
        <f>SUM(AL197:AL197)</f>
        <v>0</v>
      </c>
    </row>
    <row r="197" spans="1:64" ht="12.75">
      <c r="A197" s="34" t="s">
        <v>159</v>
      </c>
      <c r="B197" s="42" t="s">
        <v>254</v>
      </c>
      <c r="C197" s="170" t="s">
        <v>437</v>
      </c>
      <c r="D197" s="171"/>
      <c r="E197" s="171"/>
      <c r="F197" s="171"/>
      <c r="G197" s="42" t="s">
        <v>455</v>
      </c>
      <c r="H197" s="50">
        <v>8.85</v>
      </c>
      <c r="I197" s="50">
        <v>0</v>
      </c>
      <c r="J197" s="50">
        <f>H197*AO197</f>
        <v>0</v>
      </c>
      <c r="K197" s="50">
        <f>H197*AP197</f>
        <v>0</v>
      </c>
      <c r="L197" s="50">
        <f>H197*I197</f>
        <v>0</v>
      </c>
      <c r="M197" s="63" t="s">
        <v>471</v>
      </c>
      <c r="N197" s="17"/>
      <c r="Z197" s="67">
        <f>IF(AQ197="5",BJ197,0)</f>
        <v>0</v>
      </c>
      <c r="AB197" s="67">
        <f>IF(AQ197="1",BH197,0)</f>
        <v>0</v>
      </c>
      <c r="AC197" s="67">
        <f>IF(AQ197="1",BI197,0)</f>
        <v>0</v>
      </c>
      <c r="AD197" s="67">
        <f>IF(AQ197="7",BH197,0)</f>
        <v>0</v>
      </c>
      <c r="AE197" s="67">
        <f>IF(AQ197="7",BI197,0)</f>
        <v>0</v>
      </c>
      <c r="AF197" s="67">
        <f>IF(AQ197="2",BH197,0)</f>
        <v>0</v>
      </c>
      <c r="AG197" s="67">
        <f>IF(AQ197="2",BI197,0)</f>
        <v>0</v>
      </c>
      <c r="AH197" s="67">
        <f>IF(AQ197="0",BJ197,0)</f>
        <v>0</v>
      </c>
      <c r="AI197" s="66"/>
      <c r="AJ197" s="50">
        <f>IF(AN197=0,L197,0)</f>
        <v>0</v>
      </c>
      <c r="AK197" s="50">
        <f>IF(AN197=15,L197,0)</f>
        <v>0</v>
      </c>
      <c r="AL197" s="50">
        <f>IF(AN197=21,L197,0)</f>
        <v>0</v>
      </c>
      <c r="AN197" s="67">
        <v>21</v>
      </c>
      <c r="AO197" s="67">
        <f>I197*0.243565471948847</f>
        <v>0</v>
      </c>
      <c r="AP197" s="67">
        <f>I197*(1-0.243565471948847)</f>
        <v>0</v>
      </c>
      <c r="AQ197" s="68" t="s">
        <v>76</v>
      </c>
      <c r="AV197" s="67">
        <f>AW197+AX197</f>
        <v>0</v>
      </c>
      <c r="AW197" s="67">
        <f>H197*AO197</f>
        <v>0</v>
      </c>
      <c r="AX197" s="67">
        <f>H197*AP197</f>
        <v>0</v>
      </c>
      <c r="AY197" s="70" t="s">
        <v>505</v>
      </c>
      <c r="AZ197" s="70" t="s">
        <v>517</v>
      </c>
      <c r="BA197" s="66" t="s">
        <v>518</v>
      </c>
      <c r="BC197" s="67">
        <f>AW197+AX197</f>
        <v>0</v>
      </c>
      <c r="BD197" s="67">
        <f>I197/(100-BE197)*100</f>
        <v>0</v>
      </c>
      <c r="BE197" s="67">
        <v>0</v>
      </c>
      <c r="BF197" s="67">
        <f>197</f>
        <v>197</v>
      </c>
      <c r="BH197" s="50">
        <f>H197*AO197</f>
        <v>0</v>
      </c>
      <c r="BI197" s="50">
        <f>H197*AP197</f>
        <v>0</v>
      </c>
      <c r="BJ197" s="50">
        <f>H197*I197</f>
        <v>0</v>
      </c>
      <c r="BK197" s="50" t="s">
        <v>523</v>
      </c>
      <c r="BL197" s="67" t="s">
        <v>253</v>
      </c>
    </row>
    <row r="198" spans="1:14" ht="12.75">
      <c r="A198" s="17"/>
      <c r="C198" s="45" t="s">
        <v>438</v>
      </c>
      <c r="F198" s="46"/>
      <c r="H198" s="51">
        <v>8.85</v>
      </c>
      <c r="M198" s="16"/>
      <c r="N198" s="17"/>
    </row>
    <row r="199" spans="1:47" ht="12.75">
      <c r="A199" s="33"/>
      <c r="B199" s="41" t="s">
        <v>255</v>
      </c>
      <c r="C199" s="168" t="s">
        <v>439</v>
      </c>
      <c r="D199" s="169"/>
      <c r="E199" s="169"/>
      <c r="F199" s="169"/>
      <c r="G199" s="48" t="s">
        <v>74</v>
      </c>
      <c r="H199" s="48" t="s">
        <v>74</v>
      </c>
      <c r="I199" s="48" t="s">
        <v>74</v>
      </c>
      <c r="J199" s="73">
        <f>SUM(J200:J207)</f>
        <v>0</v>
      </c>
      <c r="K199" s="73">
        <f>SUM(K200:K207)</f>
        <v>0</v>
      </c>
      <c r="L199" s="73">
        <f>SUM(L200:L207)</f>
        <v>0</v>
      </c>
      <c r="M199" s="62"/>
      <c r="N199" s="17"/>
      <c r="AI199" s="66"/>
      <c r="AS199" s="73">
        <f>SUM(AJ200:AJ207)</f>
        <v>0</v>
      </c>
      <c r="AT199" s="73">
        <f>SUM(AK200:AK207)</f>
        <v>0</v>
      </c>
      <c r="AU199" s="73">
        <f>SUM(AL200:AL207)</f>
        <v>0</v>
      </c>
    </row>
    <row r="200" spans="1:64" ht="12.75">
      <c r="A200" s="34" t="s">
        <v>160</v>
      </c>
      <c r="B200" s="42" t="s">
        <v>256</v>
      </c>
      <c r="C200" s="170" t="s">
        <v>440</v>
      </c>
      <c r="D200" s="171"/>
      <c r="E200" s="171"/>
      <c r="F200" s="171"/>
      <c r="G200" s="42" t="s">
        <v>454</v>
      </c>
      <c r="H200" s="50">
        <v>14.623</v>
      </c>
      <c r="I200" s="50">
        <v>0</v>
      </c>
      <c r="J200" s="50">
        <f>H200*AO200</f>
        <v>0</v>
      </c>
      <c r="K200" s="50">
        <f>H200*AP200</f>
        <v>0</v>
      </c>
      <c r="L200" s="50">
        <f>H200*I200</f>
        <v>0</v>
      </c>
      <c r="M200" s="63" t="s">
        <v>471</v>
      </c>
      <c r="N200" s="17"/>
      <c r="Z200" s="67">
        <f>IF(AQ200="5",BJ200,0)</f>
        <v>0</v>
      </c>
      <c r="AB200" s="67">
        <f>IF(AQ200="1",BH200,0)</f>
        <v>0</v>
      </c>
      <c r="AC200" s="67">
        <f>IF(AQ200="1",BI200,0)</f>
        <v>0</v>
      </c>
      <c r="AD200" s="67">
        <f>IF(AQ200="7",BH200,0)</f>
        <v>0</v>
      </c>
      <c r="AE200" s="67">
        <f>IF(AQ200="7",BI200,0)</f>
        <v>0</v>
      </c>
      <c r="AF200" s="67">
        <f>IF(AQ200="2",BH200,0)</f>
        <v>0</v>
      </c>
      <c r="AG200" s="67">
        <f>IF(AQ200="2",BI200,0)</f>
        <v>0</v>
      </c>
      <c r="AH200" s="67">
        <f>IF(AQ200="0",BJ200,0)</f>
        <v>0</v>
      </c>
      <c r="AI200" s="66"/>
      <c r="AJ200" s="50">
        <f>IF(AN200=0,L200,0)</f>
        <v>0</v>
      </c>
      <c r="AK200" s="50">
        <f>IF(AN200=15,L200,0)</f>
        <v>0</v>
      </c>
      <c r="AL200" s="50">
        <f>IF(AN200=21,L200,0)</f>
        <v>0</v>
      </c>
      <c r="AN200" s="67">
        <v>21</v>
      </c>
      <c r="AO200" s="67">
        <f>I200*0</f>
        <v>0</v>
      </c>
      <c r="AP200" s="67">
        <f>I200*(1-0)</f>
        <v>0</v>
      </c>
      <c r="AQ200" s="68" t="s">
        <v>79</v>
      </c>
      <c r="AV200" s="67">
        <f>AW200+AX200</f>
        <v>0</v>
      </c>
      <c r="AW200" s="67">
        <f>H200*AO200</f>
        <v>0</v>
      </c>
      <c r="AX200" s="67">
        <f>H200*AP200</f>
        <v>0</v>
      </c>
      <c r="AY200" s="70" t="s">
        <v>506</v>
      </c>
      <c r="AZ200" s="70" t="s">
        <v>517</v>
      </c>
      <c r="BA200" s="66" t="s">
        <v>518</v>
      </c>
      <c r="BC200" s="67">
        <f>AW200+AX200</f>
        <v>0</v>
      </c>
      <c r="BD200" s="67">
        <f>I200/(100-BE200)*100</f>
        <v>0</v>
      </c>
      <c r="BE200" s="67">
        <v>0</v>
      </c>
      <c r="BF200" s="67">
        <f>200</f>
        <v>200</v>
      </c>
      <c r="BH200" s="50">
        <f>H200*AO200</f>
        <v>0</v>
      </c>
      <c r="BI200" s="50">
        <f>H200*AP200</f>
        <v>0</v>
      </c>
      <c r="BJ200" s="50">
        <f>H200*I200</f>
        <v>0</v>
      </c>
      <c r="BK200" s="50" t="s">
        <v>523</v>
      </c>
      <c r="BL200" s="67" t="s">
        <v>255</v>
      </c>
    </row>
    <row r="201" spans="1:64" ht="12.75">
      <c r="A201" s="34" t="s">
        <v>161</v>
      </c>
      <c r="B201" s="42" t="s">
        <v>257</v>
      </c>
      <c r="C201" s="170" t="s">
        <v>441</v>
      </c>
      <c r="D201" s="171"/>
      <c r="E201" s="171"/>
      <c r="F201" s="171"/>
      <c r="G201" s="42" t="s">
        <v>454</v>
      </c>
      <c r="H201" s="50">
        <v>14.623</v>
      </c>
      <c r="I201" s="50">
        <v>0</v>
      </c>
      <c r="J201" s="50">
        <f>H201*AO201</f>
        <v>0</v>
      </c>
      <c r="K201" s="50">
        <f>H201*AP201</f>
        <v>0</v>
      </c>
      <c r="L201" s="50">
        <f>H201*I201</f>
        <v>0</v>
      </c>
      <c r="M201" s="63" t="s">
        <v>471</v>
      </c>
      <c r="N201" s="17"/>
      <c r="Z201" s="67">
        <f>IF(AQ201="5",BJ201,0)</f>
        <v>0</v>
      </c>
      <c r="AB201" s="67">
        <f>IF(AQ201="1",BH201,0)</f>
        <v>0</v>
      </c>
      <c r="AC201" s="67">
        <f>IF(AQ201="1",BI201,0)</f>
        <v>0</v>
      </c>
      <c r="AD201" s="67">
        <f>IF(AQ201="7",BH201,0)</f>
        <v>0</v>
      </c>
      <c r="AE201" s="67">
        <f>IF(AQ201="7",BI201,0)</f>
        <v>0</v>
      </c>
      <c r="AF201" s="67">
        <f>IF(AQ201="2",BH201,0)</f>
        <v>0</v>
      </c>
      <c r="AG201" s="67">
        <f>IF(AQ201="2",BI201,0)</f>
        <v>0</v>
      </c>
      <c r="AH201" s="67">
        <f>IF(AQ201="0",BJ201,0)</f>
        <v>0</v>
      </c>
      <c r="AI201" s="66"/>
      <c r="AJ201" s="50">
        <f>IF(AN201=0,L201,0)</f>
        <v>0</v>
      </c>
      <c r="AK201" s="50">
        <f>IF(AN201=15,L201,0)</f>
        <v>0</v>
      </c>
      <c r="AL201" s="50">
        <f>IF(AN201=21,L201,0)</f>
        <v>0</v>
      </c>
      <c r="AN201" s="67">
        <v>21</v>
      </c>
      <c r="AO201" s="67">
        <f>I201*0</f>
        <v>0</v>
      </c>
      <c r="AP201" s="67">
        <f>I201*(1-0)</f>
        <v>0</v>
      </c>
      <c r="AQ201" s="68" t="s">
        <v>79</v>
      </c>
      <c r="AV201" s="67">
        <f>AW201+AX201</f>
        <v>0</v>
      </c>
      <c r="AW201" s="67">
        <f>H201*AO201</f>
        <v>0</v>
      </c>
      <c r="AX201" s="67">
        <f>H201*AP201</f>
        <v>0</v>
      </c>
      <c r="AY201" s="70" t="s">
        <v>506</v>
      </c>
      <c r="AZ201" s="70" t="s">
        <v>517</v>
      </c>
      <c r="BA201" s="66" t="s">
        <v>518</v>
      </c>
      <c r="BC201" s="67">
        <f>AW201+AX201</f>
        <v>0</v>
      </c>
      <c r="BD201" s="67">
        <f>I201/(100-BE201)*100</f>
        <v>0</v>
      </c>
      <c r="BE201" s="67">
        <v>0</v>
      </c>
      <c r="BF201" s="67">
        <f>201</f>
        <v>201</v>
      </c>
      <c r="BH201" s="50">
        <f>H201*AO201</f>
        <v>0</v>
      </c>
      <c r="BI201" s="50">
        <f>H201*AP201</f>
        <v>0</v>
      </c>
      <c r="BJ201" s="50">
        <f>H201*I201</f>
        <v>0</v>
      </c>
      <c r="BK201" s="50" t="s">
        <v>523</v>
      </c>
      <c r="BL201" s="67" t="s">
        <v>255</v>
      </c>
    </row>
    <row r="202" spans="1:14" ht="12.75">
      <c r="A202" s="17"/>
      <c r="C202" s="45" t="s">
        <v>442</v>
      </c>
      <c r="F202" s="46"/>
      <c r="H202" s="51">
        <v>14.623</v>
      </c>
      <c r="M202" s="16"/>
      <c r="N202" s="17"/>
    </row>
    <row r="203" spans="1:64" ht="12.75">
      <c r="A203" s="34" t="s">
        <v>162</v>
      </c>
      <c r="B203" s="42" t="s">
        <v>258</v>
      </c>
      <c r="C203" s="170" t="s">
        <v>443</v>
      </c>
      <c r="D203" s="171"/>
      <c r="E203" s="171"/>
      <c r="F203" s="171"/>
      <c r="G203" s="42" t="s">
        <v>454</v>
      </c>
      <c r="H203" s="50">
        <v>14.623</v>
      </c>
      <c r="I203" s="50">
        <v>0</v>
      </c>
      <c r="J203" s="50">
        <f>H203*AO203</f>
        <v>0</v>
      </c>
      <c r="K203" s="50">
        <f>H203*AP203</f>
        <v>0</v>
      </c>
      <c r="L203" s="50">
        <f>H203*I203</f>
        <v>0</v>
      </c>
      <c r="M203" s="63" t="s">
        <v>471</v>
      </c>
      <c r="N203" s="17"/>
      <c r="Z203" s="67">
        <f>IF(AQ203="5",BJ203,0)</f>
        <v>0</v>
      </c>
      <c r="AB203" s="67">
        <f>IF(AQ203="1",BH203,0)</f>
        <v>0</v>
      </c>
      <c r="AC203" s="67">
        <f>IF(AQ203="1",BI203,0)</f>
        <v>0</v>
      </c>
      <c r="AD203" s="67">
        <f>IF(AQ203="7",BH203,0)</f>
        <v>0</v>
      </c>
      <c r="AE203" s="67">
        <f>IF(AQ203="7",BI203,0)</f>
        <v>0</v>
      </c>
      <c r="AF203" s="67">
        <f>IF(AQ203="2",BH203,0)</f>
        <v>0</v>
      </c>
      <c r="AG203" s="67">
        <f>IF(AQ203="2",BI203,0)</f>
        <v>0</v>
      </c>
      <c r="AH203" s="67">
        <f>IF(AQ203="0",BJ203,0)</f>
        <v>0</v>
      </c>
      <c r="AI203" s="66"/>
      <c r="AJ203" s="50">
        <f>IF(AN203=0,L203,0)</f>
        <v>0</v>
      </c>
      <c r="AK203" s="50">
        <f>IF(AN203=15,L203,0)</f>
        <v>0</v>
      </c>
      <c r="AL203" s="50">
        <f>IF(AN203=21,L203,0)</f>
        <v>0</v>
      </c>
      <c r="AN203" s="67">
        <v>21</v>
      </c>
      <c r="AO203" s="67">
        <f>I203*0</f>
        <v>0</v>
      </c>
      <c r="AP203" s="67">
        <f>I203*(1-0)</f>
        <v>0</v>
      </c>
      <c r="AQ203" s="68" t="s">
        <v>79</v>
      </c>
      <c r="AV203" s="67">
        <f>AW203+AX203</f>
        <v>0</v>
      </c>
      <c r="AW203" s="67">
        <f>H203*AO203</f>
        <v>0</v>
      </c>
      <c r="AX203" s="67">
        <f>H203*AP203</f>
        <v>0</v>
      </c>
      <c r="AY203" s="70" t="s">
        <v>506</v>
      </c>
      <c r="AZ203" s="70" t="s">
        <v>517</v>
      </c>
      <c r="BA203" s="66" t="s">
        <v>518</v>
      </c>
      <c r="BC203" s="67">
        <f>AW203+AX203</f>
        <v>0</v>
      </c>
      <c r="BD203" s="67">
        <f>I203/(100-BE203)*100</f>
        <v>0</v>
      </c>
      <c r="BE203" s="67">
        <v>0</v>
      </c>
      <c r="BF203" s="67">
        <f>203</f>
        <v>203</v>
      </c>
      <c r="BH203" s="50">
        <f>H203*AO203</f>
        <v>0</v>
      </c>
      <c r="BI203" s="50">
        <f>H203*AP203</f>
        <v>0</v>
      </c>
      <c r="BJ203" s="50">
        <f>H203*I203</f>
        <v>0</v>
      </c>
      <c r="BK203" s="50" t="s">
        <v>523</v>
      </c>
      <c r="BL203" s="67" t="s">
        <v>255</v>
      </c>
    </row>
    <row r="204" spans="1:64" ht="12.75">
      <c r="A204" s="34" t="s">
        <v>163</v>
      </c>
      <c r="B204" s="42" t="s">
        <v>259</v>
      </c>
      <c r="C204" s="170" t="s">
        <v>444</v>
      </c>
      <c r="D204" s="171"/>
      <c r="E204" s="171"/>
      <c r="F204" s="171"/>
      <c r="G204" s="42" t="s">
        <v>454</v>
      </c>
      <c r="H204" s="50">
        <v>14.623</v>
      </c>
      <c r="I204" s="50">
        <v>0</v>
      </c>
      <c r="J204" s="50">
        <f>H204*AO204</f>
        <v>0</v>
      </c>
      <c r="K204" s="50">
        <f>H204*AP204</f>
        <v>0</v>
      </c>
      <c r="L204" s="50">
        <f>H204*I204</f>
        <v>0</v>
      </c>
      <c r="M204" s="63" t="s">
        <v>471</v>
      </c>
      <c r="N204" s="17"/>
      <c r="Z204" s="67">
        <f>IF(AQ204="5",BJ204,0)</f>
        <v>0</v>
      </c>
      <c r="AB204" s="67">
        <f>IF(AQ204="1",BH204,0)</f>
        <v>0</v>
      </c>
      <c r="AC204" s="67">
        <f>IF(AQ204="1",BI204,0)</f>
        <v>0</v>
      </c>
      <c r="AD204" s="67">
        <f>IF(AQ204="7",BH204,0)</f>
        <v>0</v>
      </c>
      <c r="AE204" s="67">
        <f>IF(AQ204="7",BI204,0)</f>
        <v>0</v>
      </c>
      <c r="AF204" s="67">
        <f>IF(AQ204="2",BH204,0)</f>
        <v>0</v>
      </c>
      <c r="AG204" s="67">
        <f>IF(AQ204="2",BI204,0)</f>
        <v>0</v>
      </c>
      <c r="AH204" s="67">
        <f>IF(AQ204="0",BJ204,0)</f>
        <v>0</v>
      </c>
      <c r="AI204" s="66"/>
      <c r="AJ204" s="50">
        <f>IF(AN204=0,L204,0)</f>
        <v>0</v>
      </c>
      <c r="AK204" s="50">
        <f>IF(AN204=15,L204,0)</f>
        <v>0</v>
      </c>
      <c r="AL204" s="50">
        <f>IF(AN204=21,L204,0)</f>
        <v>0</v>
      </c>
      <c r="AN204" s="67">
        <v>21</v>
      </c>
      <c r="AO204" s="67">
        <f>I204*0</f>
        <v>0</v>
      </c>
      <c r="AP204" s="67">
        <f>I204*(1-0)</f>
        <v>0</v>
      </c>
      <c r="AQ204" s="68" t="s">
        <v>79</v>
      </c>
      <c r="AV204" s="67">
        <f>AW204+AX204</f>
        <v>0</v>
      </c>
      <c r="AW204" s="67">
        <f>H204*AO204</f>
        <v>0</v>
      </c>
      <c r="AX204" s="67">
        <f>H204*AP204</f>
        <v>0</v>
      </c>
      <c r="AY204" s="70" t="s">
        <v>506</v>
      </c>
      <c r="AZ204" s="70" t="s">
        <v>517</v>
      </c>
      <c r="BA204" s="66" t="s">
        <v>518</v>
      </c>
      <c r="BC204" s="67">
        <f>AW204+AX204</f>
        <v>0</v>
      </c>
      <c r="BD204" s="67">
        <f>I204/(100-BE204)*100</f>
        <v>0</v>
      </c>
      <c r="BE204" s="67">
        <v>0</v>
      </c>
      <c r="BF204" s="67">
        <f>204</f>
        <v>204</v>
      </c>
      <c r="BH204" s="50">
        <f>H204*AO204</f>
        <v>0</v>
      </c>
      <c r="BI204" s="50">
        <f>H204*AP204</f>
        <v>0</v>
      </c>
      <c r="BJ204" s="50">
        <f>H204*I204</f>
        <v>0</v>
      </c>
      <c r="BK204" s="50" t="s">
        <v>523</v>
      </c>
      <c r="BL204" s="67" t="s">
        <v>255</v>
      </c>
    </row>
    <row r="205" spans="1:64" ht="12.75">
      <c r="A205" s="34" t="s">
        <v>164</v>
      </c>
      <c r="B205" s="42" t="s">
        <v>260</v>
      </c>
      <c r="C205" s="170" t="s">
        <v>445</v>
      </c>
      <c r="D205" s="171"/>
      <c r="E205" s="171"/>
      <c r="F205" s="171"/>
      <c r="G205" s="42" t="s">
        <v>454</v>
      </c>
      <c r="H205" s="50">
        <v>14.623</v>
      </c>
      <c r="I205" s="50">
        <v>0</v>
      </c>
      <c r="J205" s="50">
        <f>H205*AO205</f>
        <v>0</v>
      </c>
      <c r="K205" s="50">
        <f>H205*AP205</f>
        <v>0</v>
      </c>
      <c r="L205" s="50">
        <f>H205*I205</f>
        <v>0</v>
      </c>
      <c r="M205" s="63" t="s">
        <v>471</v>
      </c>
      <c r="N205" s="17"/>
      <c r="Z205" s="67">
        <f>IF(AQ205="5",BJ205,0)</f>
        <v>0</v>
      </c>
      <c r="AB205" s="67">
        <f>IF(AQ205="1",BH205,0)</f>
        <v>0</v>
      </c>
      <c r="AC205" s="67">
        <f>IF(AQ205="1",BI205,0)</f>
        <v>0</v>
      </c>
      <c r="AD205" s="67">
        <f>IF(AQ205="7",BH205,0)</f>
        <v>0</v>
      </c>
      <c r="AE205" s="67">
        <f>IF(AQ205="7",BI205,0)</f>
        <v>0</v>
      </c>
      <c r="AF205" s="67">
        <f>IF(AQ205="2",BH205,0)</f>
        <v>0</v>
      </c>
      <c r="AG205" s="67">
        <f>IF(AQ205="2",BI205,0)</f>
        <v>0</v>
      </c>
      <c r="AH205" s="67">
        <f>IF(AQ205="0",BJ205,0)</f>
        <v>0</v>
      </c>
      <c r="AI205" s="66"/>
      <c r="AJ205" s="50">
        <f>IF(AN205=0,L205,0)</f>
        <v>0</v>
      </c>
      <c r="AK205" s="50">
        <f>IF(AN205=15,L205,0)</f>
        <v>0</v>
      </c>
      <c r="AL205" s="50">
        <f>IF(AN205=21,L205,0)</f>
        <v>0</v>
      </c>
      <c r="AN205" s="67">
        <v>21</v>
      </c>
      <c r="AO205" s="67">
        <f>I205*0</f>
        <v>0</v>
      </c>
      <c r="AP205" s="67">
        <f>I205*(1-0)</f>
        <v>0</v>
      </c>
      <c r="AQ205" s="68" t="s">
        <v>79</v>
      </c>
      <c r="AV205" s="67">
        <f>AW205+AX205</f>
        <v>0</v>
      </c>
      <c r="AW205" s="67">
        <f>H205*AO205</f>
        <v>0</v>
      </c>
      <c r="AX205" s="67">
        <f>H205*AP205</f>
        <v>0</v>
      </c>
      <c r="AY205" s="70" t="s">
        <v>506</v>
      </c>
      <c r="AZ205" s="70" t="s">
        <v>517</v>
      </c>
      <c r="BA205" s="66" t="s">
        <v>518</v>
      </c>
      <c r="BC205" s="67">
        <f>AW205+AX205</f>
        <v>0</v>
      </c>
      <c r="BD205" s="67">
        <f>I205/(100-BE205)*100</f>
        <v>0</v>
      </c>
      <c r="BE205" s="67">
        <v>0</v>
      </c>
      <c r="BF205" s="67">
        <f>205</f>
        <v>205</v>
      </c>
      <c r="BH205" s="50">
        <f>H205*AO205</f>
        <v>0</v>
      </c>
      <c r="BI205" s="50">
        <f>H205*AP205</f>
        <v>0</v>
      </c>
      <c r="BJ205" s="50">
        <f>H205*I205</f>
        <v>0</v>
      </c>
      <c r="BK205" s="50" t="s">
        <v>523</v>
      </c>
      <c r="BL205" s="67" t="s">
        <v>255</v>
      </c>
    </row>
    <row r="206" spans="1:14" ht="12.75">
      <c r="A206" s="17"/>
      <c r="C206" s="45" t="s">
        <v>442</v>
      </c>
      <c r="F206" s="46"/>
      <c r="H206" s="51">
        <v>14.623</v>
      </c>
      <c r="M206" s="16"/>
      <c r="N206" s="17"/>
    </row>
    <row r="207" spans="1:64" ht="12.75">
      <c r="A207" s="36" t="s">
        <v>58</v>
      </c>
      <c r="B207" s="44" t="s">
        <v>261</v>
      </c>
      <c r="C207" s="176" t="s">
        <v>446</v>
      </c>
      <c r="D207" s="177"/>
      <c r="E207" s="177"/>
      <c r="F207" s="177"/>
      <c r="G207" s="44" t="s">
        <v>454</v>
      </c>
      <c r="H207" s="53">
        <v>14.623</v>
      </c>
      <c r="I207" s="53">
        <v>0</v>
      </c>
      <c r="J207" s="53">
        <f>H207*AO207</f>
        <v>0</v>
      </c>
      <c r="K207" s="53">
        <f>H207*AP207</f>
        <v>0</v>
      </c>
      <c r="L207" s="53">
        <f>H207*I207</f>
        <v>0</v>
      </c>
      <c r="M207" s="65" t="s">
        <v>471</v>
      </c>
      <c r="N207" s="17"/>
      <c r="Z207" s="67">
        <f>IF(AQ207="5",BJ207,0)</f>
        <v>0</v>
      </c>
      <c r="AB207" s="67">
        <f>IF(AQ207="1",BH207,0)</f>
        <v>0</v>
      </c>
      <c r="AC207" s="67">
        <f>IF(AQ207="1",BI207,0)</f>
        <v>0</v>
      </c>
      <c r="AD207" s="67">
        <f>IF(AQ207="7",BH207,0)</f>
        <v>0</v>
      </c>
      <c r="AE207" s="67">
        <f>IF(AQ207="7",BI207,0)</f>
        <v>0</v>
      </c>
      <c r="AF207" s="67">
        <f>IF(AQ207="2",BH207,0)</f>
        <v>0</v>
      </c>
      <c r="AG207" s="67">
        <f>IF(AQ207="2",BI207,0)</f>
        <v>0</v>
      </c>
      <c r="AH207" s="67">
        <f>IF(AQ207="0",BJ207,0)</f>
        <v>0</v>
      </c>
      <c r="AI207" s="66"/>
      <c r="AJ207" s="50">
        <f>IF(AN207=0,L207,0)</f>
        <v>0</v>
      </c>
      <c r="AK207" s="50">
        <f>IF(AN207=15,L207,0)</f>
        <v>0</v>
      </c>
      <c r="AL207" s="50">
        <f>IF(AN207=21,L207,0)</f>
        <v>0</v>
      </c>
      <c r="AN207" s="67">
        <v>21</v>
      </c>
      <c r="AO207" s="67">
        <f>I207*0</f>
        <v>0</v>
      </c>
      <c r="AP207" s="67">
        <f>I207*(1-0)</f>
        <v>0</v>
      </c>
      <c r="AQ207" s="68" t="s">
        <v>79</v>
      </c>
      <c r="AV207" s="67">
        <f>AW207+AX207</f>
        <v>0</v>
      </c>
      <c r="AW207" s="67">
        <f>H207*AO207</f>
        <v>0</v>
      </c>
      <c r="AX207" s="67">
        <f>H207*AP207</f>
        <v>0</v>
      </c>
      <c r="AY207" s="70" t="s">
        <v>506</v>
      </c>
      <c r="AZ207" s="70" t="s">
        <v>517</v>
      </c>
      <c r="BA207" s="66" t="s">
        <v>518</v>
      </c>
      <c r="BC207" s="67">
        <f>AW207+AX207</f>
        <v>0</v>
      </c>
      <c r="BD207" s="67">
        <f>I207/(100-BE207)*100</f>
        <v>0</v>
      </c>
      <c r="BE207" s="67">
        <v>0</v>
      </c>
      <c r="BF207" s="67">
        <f>207</f>
        <v>207</v>
      </c>
      <c r="BH207" s="50">
        <f>H207*AO207</f>
        <v>0</v>
      </c>
      <c r="BI207" s="50">
        <f>H207*AP207</f>
        <v>0</v>
      </c>
      <c r="BJ207" s="50">
        <f>H207*I207</f>
        <v>0</v>
      </c>
      <c r="BK207" s="50" t="s">
        <v>523</v>
      </c>
      <c r="BL207" s="67" t="s">
        <v>255</v>
      </c>
    </row>
    <row r="208" spans="1:13" ht="12.75">
      <c r="A208" s="5"/>
      <c r="B208" s="5"/>
      <c r="C208" s="5"/>
      <c r="D208" s="5"/>
      <c r="E208" s="5"/>
      <c r="F208" s="5"/>
      <c r="G208" s="5"/>
      <c r="H208" s="5"/>
      <c r="I208" s="5"/>
      <c r="J208" s="178" t="s">
        <v>467</v>
      </c>
      <c r="K208" s="99"/>
      <c r="L208" s="74">
        <f>L13+L15+L19+L24+L29+L35+L49+L55+L59+L61+L68+L76+L78+L84+L92+L101+L119+L142+L151+L153+L160+L169+L189+L194+L196+L199</f>
        <v>0</v>
      </c>
      <c r="M208" s="5"/>
    </row>
    <row r="209" ht="11.25" customHeight="1">
      <c r="A209" s="37" t="s">
        <v>18</v>
      </c>
    </row>
    <row r="210" spans="1:13" ht="12.75">
      <c r="A210" s="105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</row>
  </sheetData>
  <sheetProtection/>
  <mergeCells count="148">
    <mergeCell ref="C207:F207"/>
    <mergeCell ref="J208:K208"/>
    <mergeCell ref="A210:M210"/>
    <mergeCell ref="C199:F199"/>
    <mergeCell ref="C200:F200"/>
    <mergeCell ref="C201:F201"/>
    <mergeCell ref="C203:F203"/>
    <mergeCell ref="C204:F204"/>
    <mergeCell ref="C205:F205"/>
    <mergeCell ref="C190:F190"/>
    <mergeCell ref="C193:F193"/>
    <mergeCell ref="C194:F194"/>
    <mergeCell ref="C195:F195"/>
    <mergeCell ref="C196:F196"/>
    <mergeCell ref="C197:F197"/>
    <mergeCell ref="C179:F179"/>
    <mergeCell ref="C181:F181"/>
    <mergeCell ref="C183:F183"/>
    <mergeCell ref="C186:F186"/>
    <mergeCell ref="C187:F187"/>
    <mergeCell ref="C189:F189"/>
    <mergeCell ref="C163:F163"/>
    <mergeCell ref="C166:F166"/>
    <mergeCell ref="C169:F169"/>
    <mergeCell ref="C170:F170"/>
    <mergeCell ref="C172:F172"/>
    <mergeCell ref="C177:F177"/>
    <mergeCell ref="C154:F154"/>
    <mergeCell ref="C156:F156"/>
    <mergeCell ref="C158:F158"/>
    <mergeCell ref="C159:F159"/>
    <mergeCell ref="C160:F160"/>
    <mergeCell ref="C161:F161"/>
    <mergeCell ref="C146:F146"/>
    <mergeCell ref="C148:F148"/>
    <mergeCell ref="C150:F150"/>
    <mergeCell ref="C151:F151"/>
    <mergeCell ref="C152:F152"/>
    <mergeCell ref="C153:F153"/>
    <mergeCell ref="C135:F135"/>
    <mergeCell ref="C140:F140"/>
    <mergeCell ref="C141:F141"/>
    <mergeCell ref="C142:F142"/>
    <mergeCell ref="C143:F143"/>
    <mergeCell ref="C145:F145"/>
    <mergeCell ref="C120:F120"/>
    <mergeCell ref="C125:F125"/>
    <mergeCell ref="C127:F127"/>
    <mergeCell ref="C129:F129"/>
    <mergeCell ref="C131:F131"/>
    <mergeCell ref="C133:F133"/>
    <mergeCell ref="C114:F114"/>
    <mergeCell ref="C115:F115"/>
    <mergeCell ref="C116:F116"/>
    <mergeCell ref="C117:F117"/>
    <mergeCell ref="C118:F118"/>
    <mergeCell ref="C119:F119"/>
    <mergeCell ref="C106:F106"/>
    <mergeCell ref="C107:F107"/>
    <mergeCell ref="C108:F108"/>
    <mergeCell ref="C110:F110"/>
    <mergeCell ref="C112:F112"/>
    <mergeCell ref="C113:F113"/>
    <mergeCell ref="C99:F99"/>
    <mergeCell ref="C100:F100"/>
    <mergeCell ref="C101:F101"/>
    <mergeCell ref="C102:F102"/>
    <mergeCell ref="C104:F104"/>
    <mergeCell ref="C105:F105"/>
    <mergeCell ref="C88:F88"/>
    <mergeCell ref="C90:F90"/>
    <mergeCell ref="C92:F92"/>
    <mergeCell ref="C93:F93"/>
    <mergeCell ref="C94:F94"/>
    <mergeCell ref="C97:F97"/>
    <mergeCell ref="C77:F77"/>
    <mergeCell ref="C78:F78"/>
    <mergeCell ref="C79:F79"/>
    <mergeCell ref="C83:F83"/>
    <mergeCell ref="C84:F84"/>
    <mergeCell ref="C85:F85"/>
    <mergeCell ref="C66:F66"/>
    <mergeCell ref="C68:F68"/>
    <mergeCell ref="C69:F69"/>
    <mergeCell ref="C72:F72"/>
    <mergeCell ref="C74:F74"/>
    <mergeCell ref="C76:F76"/>
    <mergeCell ref="C58:F58"/>
    <mergeCell ref="C59:F59"/>
    <mergeCell ref="C60:F60"/>
    <mergeCell ref="C61:F61"/>
    <mergeCell ref="C62:F62"/>
    <mergeCell ref="C64:F64"/>
    <mergeCell ref="C48:F48"/>
    <mergeCell ref="C49:F49"/>
    <mergeCell ref="C50:F50"/>
    <mergeCell ref="C55:F55"/>
    <mergeCell ref="C56:F56"/>
    <mergeCell ref="C57:F57"/>
    <mergeCell ref="C31:F31"/>
    <mergeCell ref="C35:F35"/>
    <mergeCell ref="C36:F36"/>
    <mergeCell ref="C41:F41"/>
    <mergeCell ref="C44:F44"/>
    <mergeCell ref="C45:F45"/>
    <mergeCell ref="C25:F25"/>
    <mergeCell ref="C26:F26"/>
    <mergeCell ref="C27:F27"/>
    <mergeCell ref="C28:F28"/>
    <mergeCell ref="C29:F29"/>
    <mergeCell ref="C30:F30"/>
    <mergeCell ref="C15:F15"/>
    <mergeCell ref="C16:F16"/>
    <mergeCell ref="C19:F19"/>
    <mergeCell ref="C20:F20"/>
    <mergeCell ref="C23:F23"/>
    <mergeCell ref="C24:F24"/>
    <mergeCell ref="C10:F10"/>
    <mergeCell ref="J10:L10"/>
    <mergeCell ref="C11:F11"/>
    <mergeCell ref="C12:F12"/>
    <mergeCell ref="C13:F13"/>
    <mergeCell ref="C14:F14"/>
    <mergeCell ref="A8:B9"/>
    <mergeCell ref="C8:D9"/>
    <mergeCell ref="E8:F9"/>
    <mergeCell ref="G8:H9"/>
    <mergeCell ref="I8:I9"/>
    <mergeCell ref="J8:M9"/>
    <mergeCell ref="A6:B7"/>
    <mergeCell ref="C6:D7"/>
    <mergeCell ref="E6:F7"/>
    <mergeCell ref="G6:H7"/>
    <mergeCell ref="I6:I7"/>
    <mergeCell ref="J6:M7"/>
    <mergeCell ref="A4:B5"/>
    <mergeCell ref="C4:D5"/>
    <mergeCell ref="E4:F5"/>
    <mergeCell ref="G4:H5"/>
    <mergeCell ref="I4:I5"/>
    <mergeCell ref="J4:M5"/>
    <mergeCell ref="A1:M1"/>
    <mergeCell ref="A2:B3"/>
    <mergeCell ref="C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Prace</cp:lastModifiedBy>
  <dcterms:modified xsi:type="dcterms:W3CDTF">2022-02-16T11:51:54Z</dcterms:modified>
  <cp:category/>
  <cp:version/>
  <cp:contentType/>
  <cp:contentStatus/>
</cp:coreProperties>
</file>