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<sst xmlns="http://schemas.openxmlformats.org/spreadsheetml/2006/main" count="1834" uniqueCount="704">
  <si>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</si>
  <si>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</si>
  <si>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</si>
  <si>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</si>
  <si>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</si>
  <si>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</si>
  <si>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</si>
  <si>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</si>
  <si>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</si>
  <si>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</si>
  <si>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</si>
  <si>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</si>
  <si>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</si>
  <si>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</si>
  <si>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</si>
  <si>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</si>
  <si>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</si>
  <si>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</si>
  <si>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</si>
  <si>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</si>
  <si>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</si>
  <si>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</si>
  <si>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</si>
  <si>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</si>
  <si>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</si>
  <si>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</si>
  <si>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</si>
  <si>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</si>
  <si>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</si>
  <si>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</si>
  <si>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</si>
  <si>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</si>
  <si>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</si>
  <si>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</si>
  <si>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</si>
  <si>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</si>
  <si>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</si>
  <si>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</si>
  <si>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</si>
  <si>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</si>
  <si>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</si>
  <si>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</si>
  <si>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</si>
  <si>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</si>
  <si>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</si>
  <si>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</si>
  <si>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</si>
  <si>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</si>
  <si>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</si>
  <si>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</si>
  <si>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</si>
  <si>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</si>
  <si>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</si>
  <si>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</si>
  <si>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</si>
  <si>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</si>
  <si>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295841/CZ00295841</t>
  </si>
  <si>
    <t>45646597/</t>
  </si>
  <si>
    <t>143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</si>
  <si>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</si>
  <si>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</si>
  <si>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</si>
  <si>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</si>
  <si>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</si>
  <si>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</si>
  <si>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</si>
  <si>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</si>
  <si>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</si>
  <si>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</si>
  <si>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</si>
  <si>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</si>
  <si>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</si>
  <si>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</si>
  <si>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</si>
  <si>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</si>
  <si>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</si>
  <si>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</si>
  <si>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</si>
  <si>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</si>
  <si>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</si>
  <si>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</si>
  <si>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</si>
  <si>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</si>
  <si>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</si>
  <si>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</si>
  <si>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</si>
  <si>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</si>
  <si>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</si>
  <si>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</si>
  <si>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</si>
  <si>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</si>
  <si>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</si>
  <si>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</si>
  <si>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</si>
  <si>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</si>
  <si>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</si>
  <si>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</si>
  <si>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</si>
  <si>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</si>
  <si>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</si>
  <si>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</si>
  <si>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</si>
  <si>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</si>
  <si>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</si>
  <si>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</si>
  <si>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</si>
  <si>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</si>
  <si>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</si>
  <si>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</si>
  <si>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</si>
  <si>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</si>
  <si>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</si>
  <si>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</si>
  <si>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</si>
  <si>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</si>
  <si>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</si>
  <si>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</si>
  <si>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</si>
  <si>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</si>
  <si>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</si>
  <si>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</si>
  <si>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</si>
  <si>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</si>
  <si>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</si>
  <si>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</si>
  <si>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</si>
  <si>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</si>
  <si>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</si>
  <si>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</si>
  <si>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</si>
  <si>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</si>
  <si>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</si>
  <si>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</si>
  <si>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</si>
  <si>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</si>
  <si>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</si>
  <si>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</si>
  <si>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</si>
  <si>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</si>
  <si>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</si>
  <si>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</si>
  <si>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</si>
  <si>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</si>
  <si>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</si>
  <si>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</si>
  <si>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</si>
  <si>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</si>
  <si>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</si>
  <si>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</si>
  <si>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</si>
  <si>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</si>
  <si>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</si>
  <si>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</si>
  <si>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</si>
  <si>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</si>
  <si>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</si>
  <si>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</si>
  <si>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</si>
  <si>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</si>
  <si>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</si>
  <si>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</si>
  <si>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</si>
  <si>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</si>
  <si>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</si>
  <si>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</si>
  <si>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</si>
  <si>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</si>
  <si>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</si>
  <si>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</si>
  <si>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</si>
  <si>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</si>
  <si>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</si>
  <si>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</si>
  <si>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</si>
  <si>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</si>
  <si>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</si>
  <si>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</si>
  <si>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</si>
  <si>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</si>
  <si>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</si>
  <si>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</si>
  <si>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</si>
  <si>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</si>
  <si>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</si>
  <si>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</si>
  <si>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</si>
  <si>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</si>
  <si>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</si>
  <si>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</si>
  <si>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</si>
  <si>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</si>
  <si>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</si>
  <si>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</si>
  <si>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</si>
  <si>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</si>
  <si>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</si>
  <si>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</si>
  <si>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</si>
  <si>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</si>
  <si>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</si>
  <si>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</si>
  <si>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</si>
  <si>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</si>
  <si>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</si>
  <si>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</si>
  <si>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</si>
  <si>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</si>
  <si>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</si>
  <si>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</si>
  <si>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</si>
  <si>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</si>
  <si>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</si>
  <si>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</si>
  <si>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</si>
  <si>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</si>
  <si>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</si>
  <si>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Objekt</t>
  </si>
  <si>
    <t>Kód</t>
  </si>
  <si>
    <t>342668111R00</t>
  </si>
  <si>
    <t>342270012RA0</t>
  </si>
  <si>
    <t>342270014RA0</t>
  </si>
  <si>
    <t>349231811R00</t>
  </si>
  <si>
    <t>342267111R00</t>
  </si>
  <si>
    <t>611401311R00</t>
  </si>
  <si>
    <t>612473181R00</t>
  </si>
  <si>
    <t>612472181RT2</t>
  </si>
  <si>
    <t>602011193R00</t>
  </si>
  <si>
    <t>602011141RT1</t>
  </si>
  <si>
    <t>612403399RT2</t>
  </si>
  <si>
    <t>11VD</t>
  </si>
  <si>
    <t>612481211RT2</t>
  </si>
  <si>
    <t>632411150R00</t>
  </si>
  <si>
    <t>642942111RT2</t>
  </si>
  <si>
    <t>642942111RT3</t>
  </si>
  <si>
    <t>711</t>
  </si>
  <si>
    <t>711212012R00</t>
  </si>
  <si>
    <t>711212000RW2</t>
  </si>
  <si>
    <t>711212601RW1</t>
  </si>
  <si>
    <t>711212611RU1</t>
  </si>
  <si>
    <t>998711102R00</t>
  </si>
  <si>
    <t>721</t>
  </si>
  <si>
    <t>721140935R00</t>
  </si>
  <si>
    <t>721140802R00</t>
  </si>
  <si>
    <t>721171803R00</t>
  </si>
  <si>
    <t>721176102R00</t>
  </si>
  <si>
    <t>721176103R00</t>
  </si>
  <si>
    <t>721176105R00</t>
  </si>
  <si>
    <t>721176115R00</t>
  </si>
  <si>
    <t>721194104R00</t>
  </si>
  <si>
    <t>721194105R00</t>
  </si>
  <si>
    <t>721194109R00</t>
  </si>
  <si>
    <t>230120046R00</t>
  </si>
  <si>
    <t>721290111R00</t>
  </si>
  <si>
    <t>721176212R00</t>
  </si>
  <si>
    <t>998721101R00</t>
  </si>
  <si>
    <t>722</t>
  </si>
  <si>
    <t>722130801R00IM</t>
  </si>
  <si>
    <t>722130913R00</t>
  </si>
  <si>
    <t>722172631R00</t>
  </si>
  <si>
    <t>722172632R00</t>
  </si>
  <si>
    <t>722220111R00</t>
  </si>
  <si>
    <t>722220121R00</t>
  </si>
  <si>
    <t>722181214RT8</t>
  </si>
  <si>
    <t>722181215RU1</t>
  </si>
  <si>
    <t>722290234R00</t>
  </si>
  <si>
    <t>722280106R00</t>
  </si>
  <si>
    <t>722202413R00</t>
  </si>
  <si>
    <t>998722102R00</t>
  </si>
  <si>
    <t>725</t>
  </si>
  <si>
    <t>725820801R00</t>
  </si>
  <si>
    <t>725110811R00</t>
  </si>
  <si>
    <t>725230811R00</t>
  </si>
  <si>
    <t>725130812R00</t>
  </si>
  <si>
    <t>725210821R00</t>
  </si>
  <si>
    <t>725860811R00</t>
  </si>
  <si>
    <t>725219401R00</t>
  </si>
  <si>
    <t>725017161R00</t>
  </si>
  <si>
    <t>64218621</t>
  </si>
  <si>
    <t>725860213R00</t>
  </si>
  <si>
    <t>725860107R00</t>
  </si>
  <si>
    <t>725829301R00</t>
  </si>
  <si>
    <t>725849201R00</t>
  </si>
  <si>
    <t>725860222R00</t>
  </si>
  <si>
    <t>725810402R00</t>
  </si>
  <si>
    <t>725249102R00</t>
  </si>
  <si>
    <t>725823114RT0</t>
  </si>
  <si>
    <t>725845111RT0</t>
  </si>
  <si>
    <t>725119305R00</t>
  </si>
  <si>
    <t>725014131RT1</t>
  </si>
  <si>
    <t>55423032.A</t>
  </si>
  <si>
    <t>55428091.A</t>
  </si>
  <si>
    <t>725119401R00</t>
  </si>
  <si>
    <t>726211123R00</t>
  </si>
  <si>
    <t>998725102R00</t>
  </si>
  <si>
    <t>725590812R00</t>
  </si>
  <si>
    <t>728</t>
  </si>
  <si>
    <t>728114111R00</t>
  </si>
  <si>
    <t>728214311R00</t>
  </si>
  <si>
    <t>728214511R00</t>
  </si>
  <si>
    <t>429851112</t>
  </si>
  <si>
    <t>429853220</t>
  </si>
  <si>
    <t>429853240</t>
  </si>
  <si>
    <t>429853270</t>
  </si>
  <si>
    <t>VLASTNÍ</t>
  </si>
  <si>
    <t>728611211R00</t>
  </si>
  <si>
    <t>429148026</t>
  </si>
  <si>
    <t>728890813R00</t>
  </si>
  <si>
    <t>735</t>
  </si>
  <si>
    <t>735117110R00</t>
  </si>
  <si>
    <t>734200811R00</t>
  </si>
  <si>
    <t>734209103R00</t>
  </si>
  <si>
    <t>735890801R00</t>
  </si>
  <si>
    <t>766</t>
  </si>
  <si>
    <t>766662811R00</t>
  </si>
  <si>
    <t>766661112R00</t>
  </si>
  <si>
    <t>766695212R00</t>
  </si>
  <si>
    <t>766665921R00</t>
  </si>
  <si>
    <t>61162101</t>
  </si>
  <si>
    <t>61162102</t>
  </si>
  <si>
    <t>54914591</t>
  </si>
  <si>
    <t>54914588</t>
  </si>
  <si>
    <t>61187356</t>
  </si>
  <si>
    <t>61187381</t>
  </si>
  <si>
    <t>998766101R00</t>
  </si>
  <si>
    <t>771</t>
  </si>
  <si>
    <t>771775109R00</t>
  </si>
  <si>
    <t>771579792R00</t>
  </si>
  <si>
    <t>771101116R00</t>
  </si>
  <si>
    <t>771101210R00</t>
  </si>
  <si>
    <t>59764203</t>
  </si>
  <si>
    <t>998771101R00</t>
  </si>
  <si>
    <t>776</t>
  </si>
  <si>
    <t>776511810R00</t>
  </si>
  <si>
    <t>781</t>
  </si>
  <si>
    <t>781415013RT6</t>
  </si>
  <si>
    <t>781429711R00</t>
  </si>
  <si>
    <t>781672106R00</t>
  </si>
  <si>
    <t>781441905R00</t>
  </si>
  <si>
    <t>59781501</t>
  </si>
  <si>
    <t>23152419</t>
  </si>
  <si>
    <t>781491001RT1</t>
  </si>
  <si>
    <t>998781101R00</t>
  </si>
  <si>
    <t>783</t>
  </si>
  <si>
    <t>783222100R00</t>
  </si>
  <si>
    <t>783601813R00</t>
  </si>
  <si>
    <t>783401811R00</t>
  </si>
  <si>
    <t>784</t>
  </si>
  <si>
    <t>784165612R00</t>
  </si>
  <si>
    <t>900      R03</t>
  </si>
  <si>
    <t>941955002R00</t>
  </si>
  <si>
    <t>949942101R00</t>
  </si>
  <si>
    <t>952901111R00</t>
  </si>
  <si>
    <t>962031113R00</t>
  </si>
  <si>
    <t>962031116R00</t>
  </si>
  <si>
    <t>289902111R00</t>
  </si>
  <si>
    <t>965043331R00</t>
  </si>
  <si>
    <t>965081813R00</t>
  </si>
  <si>
    <t>968061125R00</t>
  </si>
  <si>
    <t>968072455R00</t>
  </si>
  <si>
    <t>978059511R00</t>
  </si>
  <si>
    <t>965081702R00</t>
  </si>
  <si>
    <t>973031812R00</t>
  </si>
  <si>
    <t>973031813R00</t>
  </si>
  <si>
    <t>970031130R00</t>
  </si>
  <si>
    <t>970033130R00</t>
  </si>
  <si>
    <t>H99</t>
  </si>
  <si>
    <t>999281111R00</t>
  </si>
  <si>
    <t>M74</t>
  </si>
  <si>
    <t>S0</t>
  </si>
  <si>
    <t>979081111R00</t>
  </si>
  <si>
    <t>979081121R00</t>
  </si>
  <si>
    <t>979082111R00</t>
  </si>
  <si>
    <t>979088212R00</t>
  </si>
  <si>
    <t>979990107R00</t>
  </si>
  <si>
    <t>HD Morava- oprava sociálních zařízení 2NP</t>
  </si>
  <si>
    <t>HD Morava, Horní ul. Žďár nad Sázavou</t>
  </si>
  <si>
    <t>Zkrácený popis</t>
  </si>
  <si>
    <t>Rozměry</t>
  </si>
  <si>
    <t>Nezařazeno</t>
  </si>
  <si>
    <t>Stěny a příčky</t>
  </si>
  <si>
    <t>Ukotvení příček k cihelným konstrukcím plochými kotvami</t>
  </si>
  <si>
    <t>3*6</t>
  </si>
  <si>
    <t>Příčka z tvárnic pórobetonových, tloušťka 10 cm</t>
  </si>
  <si>
    <t>1*0,5+1,2*0,5+0,7*2+1*3+(1,5*2+2)*3-0,6*2*</t>
  </si>
  <si>
    <t>Příčka z tvárnic pórobetonových, tloušťka 15 cm</t>
  </si>
  <si>
    <t>1,4*3</t>
  </si>
  <si>
    <t>Přizdívka Geberity</t>
  </si>
  <si>
    <t>(0,95*1,2)*2+(0,8*1,2)*2+1,4*1,2</t>
  </si>
  <si>
    <t>Obklad trámů sádrokartonem dvoustranný do 0,5/0,5m</t>
  </si>
  <si>
    <t>obklad VZT</t>
  </si>
  <si>
    <t>0,7</t>
  </si>
  <si>
    <t>Úprava povrchů vnitřní</t>
  </si>
  <si>
    <t>Oprava omítky na stropech o ploše do 1 m2</t>
  </si>
  <si>
    <t>Omítka vnitřního zdiva ze suché směsi, hladká-pod obklad</t>
  </si>
  <si>
    <t>Omítka stěn, jádro míchané, štuk ze suché směsi</t>
  </si>
  <si>
    <t>1,38*3+1*0,5+0,7*0,5+1,2*0,5+1*0,5+1,2*0,5</t>
  </si>
  <si>
    <t>0,7*0,5+1,38*(3-2,1)+1*0,9+(0,95+2,1)*0,9</t>
  </si>
  <si>
    <t>((0,95+1,5)*0,9)*2</t>
  </si>
  <si>
    <t>Kontaktní nátěr pod omítky bílý Cemix K</t>
  </si>
  <si>
    <t>35,71+24,975</t>
  </si>
  <si>
    <t>Štuk na stěnách vnitřní Cemix 033, ručně</t>
  </si>
  <si>
    <t>oprav omítek nad obklady</t>
  </si>
  <si>
    <t>(4,5+0,25+0,25+1,6+0,15*2+0,9*9+0,1+1,1)*(3,25-2,1)</t>
  </si>
  <si>
    <t>(4,5-0,9+2,75+0,15*2+0,9*3+0,1*2+1*5+0,3)*(3,25-2,1)</t>
  </si>
  <si>
    <t>Hrubá výplň rýh ve stěnách maltou</t>
  </si>
  <si>
    <t>Zednické práce pro elektro a ZTI</t>
  </si>
  <si>
    <t>Montáž výztužné sítě(perlinky)do stěrky-vnit.stěny</t>
  </si>
  <si>
    <t>vnitřní stěny</t>
  </si>
  <si>
    <t>1,38*3+0,7*2+1*3+(1,5*2)*3+(2,1-0,6*2)*3</t>
  </si>
  <si>
    <t>Podlahy, podlahové konstrukce</t>
  </si>
  <si>
    <t>Potěr ze SMS Cemix, ruční zpracování, tl. 50 mm</t>
  </si>
  <si>
    <t>23,2815</t>
  </si>
  <si>
    <t>Osazování výplní otvorů</t>
  </si>
  <si>
    <t>Osazení zárubní dveřních ocelových, pl. do 2,5 m2 včetně dodávky zárubně  60 x 197 x 11 cm</t>
  </si>
  <si>
    <t>Osazení zárubní dveřních ocelových, pl. do 2,5 m2 včetně dodávky zárubně  70 x 197 x 11 cm</t>
  </si>
  <si>
    <t>Izolace proti vodě</t>
  </si>
  <si>
    <t>Hydroizolační povlak vyztužený tkaninou</t>
  </si>
  <si>
    <t>vodorovná plocha</t>
  </si>
  <si>
    <t>1,65*1,3</t>
  </si>
  <si>
    <t>svislé plochy-</t>
  </si>
  <si>
    <t>(1,65+1,3)*2,1</t>
  </si>
  <si>
    <t>Penetrace podkladu pod hydroizolační nátěr,vč.dod.</t>
  </si>
  <si>
    <t>Těsnicí pás do spoje podlaha - stěna</t>
  </si>
  <si>
    <t>1,65*2+1,3+0,5+0,15</t>
  </si>
  <si>
    <t>Těsnicí pás do svislých koutů</t>
  </si>
  <si>
    <t>2,1*3</t>
  </si>
  <si>
    <t>Přesun hmot pro izolace proti vodě, výšky do 12 m</t>
  </si>
  <si>
    <t>Vnitřní kanalizace</t>
  </si>
  <si>
    <t>Oprava - přechod z plastových trub na litinu DN100</t>
  </si>
  <si>
    <t>Demontáž potrubí litinového DN 100</t>
  </si>
  <si>
    <t>Demontáž potrubí z PVC do D 75 mm</t>
  </si>
  <si>
    <t>Potrubí HT připojovací D 40 x 1,8 mm</t>
  </si>
  <si>
    <t>Potrubí HT připojovací D 50 x 1,8 mm</t>
  </si>
  <si>
    <t>Potrubí HT připojovací D 110 x 2,7 mm</t>
  </si>
  <si>
    <t>Potrubí HT odpadní svislé D 110 x 2,7 mm</t>
  </si>
  <si>
    <t>Vyvedení odpadních výpustek D 40 x 1,8</t>
  </si>
  <si>
    <t>Vyvedení odpadních výpustek D 50 x 1,8</t>
  </si>
  <si>
    <t>Vyvedení odpadních výpustek D 110 x 2,3</t>
  </si>
  <si>
    <t>Čištění potrubí profukováním nebo proplach. DN 100</t>
  </si>
  <si>
    <t>6,5+7,3+4,2</t>
  </si>
  <si>
    <t>Zkouška těsnosti kanalizace vodou DN 125</t>
  </si>
  <si>
    <t>Potrubí KG odpadní svislé D 110 x 3,2 mm</t>
  </si>
  <si>
    <t>Přesun hmot pro vnitřní kanalizaci, výšky do 6 m</t>
  </si>
  <si>
    <t>Vnitřní vodovod</t>
  </si>
  <si>
    <t>Demontáž potrubí ocelových závitových DN 25</t>
  </si>
  <si>
    <t>Oprava-přeřezání ocelové trubky DN 25</t>
  </si>
  <si>
    <t>Potrubí z PPR Instaplast, teplá, D 20x3,4 mm</t>
  </si>
  <si>
    <t>Potrubí z PPR Instaplast, D 25x4,2 mm, PN 20</t>
  </si>
  <si>
    <t>Nástěnka K 247, pro výtokový ventil G 1/2</t>
  </si>
  <si>
    <t>Nástěnka K 247, pro baterii G 1/2</t>
  </si>
  <si>
    <t>Izolace návleková MIRELON PRO tl. stěny 20 mm</t>
  </si>
  <si>
    <t>Izolace návleková  MIRELON PRO tl. stěny 25 mm</t>
  </si>
  <si>
    <t>Proplach a dezinfekce vodovod.potrubí DN 80</t>
  </si>
  <si>
    <t>Tlaková zkouška vodovodního potrubí DN 32</t>
  </si>
  <si>
    <t>Kohout kulový nerozebíratelný PP-R INSTAPLAST D 25</t>
  </si>
  <si>
    <t>Přesun hmot pro vnitřní vodovod, výšky do 12 m</t>
  </si>
  <si>
    <t>Zařizovací předměty</t>
  </si>
  <si>
    <t>Demontáž baterie nástěnné do G 3/4</t>
  </si>
  <si>
    <t>Demontáž klozetů splachovacích</t>
  </si>
  <si>
    <t>Demontáž bidetů  z diturvitu</t>
  </si>
  <si>
    <t>Demontáž pisoárové nádrže + 2 stání</t>
  </si>
  <si>
    <t>Demontáž umyvadel bez výtokových armatur</t>
  </si>
  <si>
    <t>Demontáž uzávěrek zápachových jednoduchých</t>
  </si>
  <si>
    <t>Montáž umyvadel na šrouby do zdiva</t>
  </si>
  <si>
    <t>Umyvadlo na šrouby LYRA Plus , 50 x 41 cm, bílé</t>
  </si>
  <si>
    <t>Umývátko REKORD s otv. pro bater. 400x330 mm</t>
  </si>
  <si>
    <t>Sifon umyvadlový HL132, D 32, 40 mm</t>
  </si>
  <si>
    <t>Uzávěrka zápachová umyvadlová T 1015,D 40</t>
  </si>
  <si>
    <t>Montáž baterie umyv.a dřezové stojánkové</t>
  </si>
  <si>
    <t>Montáž baterií sprchových, pevná výška</t>
  </si>
  <si>
    <t>Sifon sprchový PP HL514SN, D 40/50 mm</t>
  </si>
  <si>
    <t>Ventil rohový bez přípoj. trubičky TE 66 G 1/2</t>
  </si>
  <si>
    <t>Montáž sprchových mís a vaniček</t>
  </si>
  <si>
    <t>Baterie dřezová stojánková ruční, bez otvír.odpadu</t>
  </si>
  <si>
    <t>Baterie sprchová nástěnná ruční, bez příslušenství</t>
  </si>
  <si>
    <t>Montáž klozetových mís kombinovaných</t>
  </si>
  <si>
    <t>Klozet závěsný OLYMP + sedátko, bílý</t>
  </si>
  <si>
    <t>Sprchová vanička půlkruhová RAVAK</t>
  </si>
  <si>
    <t>Sprchová zástěna čtvrtkruhová 80x80x185 cm</t>
  </si>
  <si>
    <t>Montáž předstěnových systémů pro zazdění</t>
  </si>
  <si>
    <t>Modul pro WC Kombifix Eco, UP320, h 108 cm</t>
  </si>
  <si>
    <t>Přesun hmot pro zařizovací předměty, výšky do 12 m</t>
  </si>
  <si>
    <t>Přesun vybour.hmot, zařizovací předměty H 12 m</t>
  </si>
  <si>
    <t>Vzduchotechnika</t>
  </si>
  <si>
    <t>Montáž potrubí plastového kruhového do d 100 mm</t>
  </si>
  <si>
    <t>3+2,4</t>
  </si>
  <si>
    <t>Montáž odbočky plastové kruhové do d 100 mm</t>
  </si>
  <si>
    <t>Montáž spojky plastové kruhové do d 100 mm</t>
  </si>
  <si>
    <t>Potrubí plastové kulaté VP 100/1000 KP</t>
  </si>
  <si>
    <t>T-kus kruhový VP 100 KT</t>
  </si>
  <si>
    <t>Spojka potrubí kruhová VP 100 KS</t>
  </si>
  <si>
    <t>Montážní rámeček kruhový VP 100 KMR</t>
  </si>
  <si>
    <t>Zednické výpomoci pro VZT, pomocné lešení</t>
  </si>
  <si>
    <t>Montážní materiál</t>
  </si>
  <si>
    <t>Mtž ventilátoru radiál.nízkotl.potrub.do d 100 mm</t>
  </si>
  <si>
    <t>Ventilátor axiální do potrubí 110mm</t>
  </si>
  <si>
    <t>Přesun demont. hmot - vzduchotechnika, H 12 - 24 m</t>
  </si>
  <si>
    <t>Otopná tělesa</t>
  </si>
  <si>
    <t>Odpojení a připojení těles po nátěru</t>
  </si>
  <si>
    <t>Demontáž armatur s 1závitem do G 1/2</t>
  </si>
  <si>
    <t>Montáž armatur závitových,s 1závitem, G 1/2</t>
  </si>
  <si>
    <t>Přemístění demont. hmot - otop. těles, H do 6 m</t>
  </si>
  <si>
    <t>Konstrukce truhlářské</t>
  </si>
  <si>
    <t>Demontáž prahů dveří 1křídlových</t>
  </si>
  <si>
    <t>Montáž dveří do zárubně,otevíravých 1kř.do 0,8 m</t>
  </si>
  <si>
    <t>Montáž prahů dveří jednokřídlových š. do 10 cm</t>
  </si>
  <si>
    <t>Zakování dveří 1křídlých kompletizovaných</t>
  </si>
  <si>
    <t>Dveře vnitřní fóliované plné 1kř. 60x197 cm</t>
  </si>
  <si>
    <t>Dveře vnitřní fóliované plné 1kř. 70x197 cm</t>
  </si>
  <si>
    <t>Kliky se štítem dveř.  804  klíč/90 Cr</t>
  </si>
  <si>
    <t>Kliky se štítem mezip  s ukazatelem 804 Cr</t>
  </si>
  <si>
    <t>Prah bukový délka 60 cm šířka 10 cm tl. 2 cm</t>
  </si>
  <si>
    <t>Prah bukový délka 70 cm šířka 15 cm tl. 2 cm</t>
  </si>
  <si>
    <t>Přesun hmot pro truhlářské konstr., výšky do 6 m</t>
  </si>
  <si>
    <t>Podlahy z dlaždic</t>
  </si>
  <si>
    <t>Montáž podlah keram.vnější, hladké, tmel, 30x30 cm</t>
  </si>
  <si>
    <t>2,8*1,3+(0,95*1,5)*2+2,82*1,3+0,72*0,95+1,4*1,38+1,9*1,38</t>
  </si>
  <si>
    <t>(0,8*1,2)*2+2,15*2,45+0,7*1</t>
  </si>
  <si>
    <t>Příplatek za podlahy keram.v omezeném prostoru</t>
  </si>
  <si>
    <t>Vyrovnání podkladů samonivel. hmotou tl. do 30 mm</t>
  </si>
  <si>
    <t>Penetrace podkladu pod dlažby</t>
  </si>
  <si>
    <t>Dlažba Taurus Granit matná 300x300x9 mm</t>
  </si>
  <si>
    <t>1,1*23,2815</t>
  </si>
  <si>
    <t>Přesun hmot pro podlahy z dlaždic, výšky do 6 m</t>
  </si>
  <si>
    <t>Podlahy povlakové</t>
  </si>
  <si>
    <t>Odstranění PVC a koberců lepených bez podložky</t>
  </si>
  <si>
    <t>1*1,3</t>
  </si>
  <si>
    <t>Obklady (keramické)</t>
  </si>
  <si>
    <t>Montáž obkladů stěn, porovin., do tmele, 15x15 cm</t>
  </si>
  <si>
    <t>m.č.2.1</t>
  </si>
  <si>
    <t>(1,38+0,8*2)*2,1</t>
  </si>
  <si>
    <t>mč2.2</t>
  </si>
  <si>
    <t>(0,9+2,45+0,7)*2,1</t>
  </si>
  <si>
    <t>mč2.3</t>
  </si>
  <si>
    <t>(0,8+1,2)*2*2,1-0,6*2</t>
  </si>
  <si>
    <t>mč2.4</t>
  </si>
  <si>
    <t>mč2.5</t>
  </si>
  <si>
    <t>(1,4+1,38)*2*2,1-0,7*2</t>
  </si>
  <si>
    <t>mč2.6</t>
  </si>
  <si>
    <t>(1,65+1,3+1,65+0,7+0,1+0,7+1)*2,1</t>
  </si>
  <si>
    <t>mč2.7</t>
  </si>
  <si>
    <t>(1,3+0,95+0,72+0,95+2,1+1,3+2,82)*2,1-0,6*3</t>
  </si>
  <si>
    <t>mč2.8</t>
  </si>
  <si>
    <t>(1,5+0,95)*2*2,1-0,6*2</t>
  </si>
  <si>
    <t>mč2.9</t>
  </si>
  <si>
    <t>vodorovné plochy- "geberity"</t>
  </si>
  <si>
    <t>(0,8*2+1,4)*0,15+(0,95*2)*0,15</t>
  </si>
  <si>
    <t>Příplatek za plochu do 10 m2 (jednotlivě)</t>
  </si>
  <si>
    <t>Příplatek za spárování silikonem</t>
  </si>
  <si>
    <t>Průnik obkladem kruhový řez bez izolace</t>
  </si>
  <si>
    <t>Obklad dle požadavku investora</t>
  </si>
  <si>
    <t>1,1*92,758</t>
  </si>
  <si>
    <t>Tmel silikonový 310 ml</t>
  </si>
  <si>
    <t>Montáž lišt k obkladům</t>
  </si>
  <si>
    <t>4,5+2,8+0,25*2+2,95+0,9*6+0,3</t>
  </si>
  <si>
    <t>4,5-0,9+2,75+0,25*2+2,95+0,9*5+0,3</t>
  </si>
  <si>
    <t>39*2,1</t>
  </si>
  <si>
    <t>Přesun hmot pro obklady keramické, výšky do 6 m</t>
  </si>
  <si>
    <t>Nátěry</t>
  </si>
  <si>
    <t>Nátěr syntetický kovových konstrukcí dvojnásobný</t>
  </si>
  <si>
    <t>stávající a nové zárubně</t>
  </si>
  <si>
    <t>(0,6*2)*6+0,7*2+(0,8*2)*2</t>
  </si>
  <si>
    <t>Očištění zárubní před nátěrem</t>
  </si>
  <si>
    <t>Odstranění nátěru z potrubí DN do 50 mm</t>
  </si>
  <si>
    <t>Malby</t>
  </si>
  <si>
    <t>Malba tekutá HET Brillant, bílá, bez penetrace, 2x</t>
  </si>
  <si>
    <t>Hodinové zúčtovací sazby (HZS)</t>
  </si>
  <si>
    <t>HZS</t>
  </si>
  <si>
    <t>Lešení a stavební výtahy</t>
  </si>
  <si>
    <t>Lešení lehké pomocné, výška podlahy do 1,9 m</t>
  </si>
  <si>
    <t>Nájem za hydraulickou zvedací plošinu, H do 27 m</t>
  </si>
  <si>
    <t>Různé dokončovací konstrukce a práce pozemních staveb</t>
  </si>
  <si>
    <t>Vyčištění budov o výšce podlaží do 4 m</t>
  </si>
  <si>
    <t>Bourání konstrukcí</t>
  </si>
  <si>
    <t>Bourání příček z cihel pálených plných tl. 65 mm</t>
  </si>
  <si>
    <t>0,65*2,15+1,4*3+0,7*2</t>
  </si>
  <si>
    <t>(1,25+2,1+1+1,25+0,6)*3-0,6*2*3</t>
  </si>
  <si>
    <t>Bourání příček z cihel pálených plných tl. 140 mm</t>
  </si>
  <si>
    <t>0,8*2</t>
  </si>
  <si>
    <t>Otlučení nebo odsekání omítek stěn</t>
  </si>
  <si>
    <t>stávající omítka pod obklady ( z tzv. buchet)</t>
  </si>
  <si>
    <t>53,355</t>
  </si>
  <si>
    <t>11,775*0,1</t>
  </si>
  <si>
    <t>Bourání podkladů bet., potěr tl. 10 cm, pl. 4 m2</t>
  </si>
  <si>
    <t>0,05*23,2815</t>
  </si>
  <si>
    <t>Bourání dlaždic keramických</t>
  </si>
  <si>
    <t>1*1,25+1,655*1,25+0,62*1+2,1*1,35+1,4*1+1,65*1,3+1,4*1,2</t>
  </si>
  <si>
    <t>2,15*1,4+2,45*2,15+0,7*1+(0,8*1,2)*2</t>
  </si>
  <si>
    <t>Vyvěšení dřevěných dveřních křídel pl. do 2 m2</t>
  </si>
  <si>
    <t>Vybourání kovových dveřních zárubní pl. do 2 m2</t>
  </si>
  <si>
    <t>0,6*2*6</t>
  </si>
  <si>
    <t>Odsekání vnitřních obkladů stěn do 1 m2</t>
  </si>
  <si>
    <t>1,5*((1,65+2,25+0,62+(1,55+2,1)*2-0,6*1,5+(1,65+1,3)*2-0,6*1,5))</t>
  </si>
  <si>
    <t>1,5*((1+0,6*2+(1,4+1,2)*2-(0,6*1,5)*2+(0,8+1,2)*4-(0,6*1,5)*2))</t>
  </si>
  <si>
    <t>1,5*((1,4+0,9*2+0,9+2,45+0,65*2))</t>
  </si>
  <si>
    <t>Bourání soklíků z dlažeb keramických</t>
  </si>
  <si>
    <t>1+2,15+1+1,8+0,4*2+0,4+1,4*2-0,6*2</t>
  </si>
  <si>
    <t>1+0,4+1+(1+1,25)*2-0,6*2+1,25+1,1-0,6*2</t>
  </si>
  <si>
    <t>Prorážení otvorů a ostatní bourací práce</t>
  </si>
  <si>
    <t>Vysekání kapes pro zavázání příček tl. 10 cm</t>
  </si>
  <si>
    <t>5*3,6</t>
  </si>
  <si>
    <t>Vysekání kapes pro zavázání příček tl. 15 cm</t>
  </si>
  <si>
    <t>2*3,6</t>
  </si>
  <si>
    <t>Vrtání jádrové do zdiva cihelného do D 130 mm</t>
  </si>
  <si>
    <t>0,45*2</t>
  </si>
  <si>
    <t>Příp. za jádr. vrt. ve H nad 1,5m cihel do 130mm</t>
  </si>
  <si>
    <t>Ostatní přesuny hmot</t>
  </si>
  <si>
    <t>Přesun hmot pro opravy a údržbu do výšky 25 m</t>
  </si>
  <si>
    <t>Elektromontážní práce (silnoproud)</t>
  </si>
  <si>
    <t>Oprava elektroinstalace</t>
  </si>
  <si>
    <t>Přesuny sutí</t>
  </si>
  <si>
    <t>Odvoz suti a vybour. hmot na skládku do 1 km</t>
  </si>
  <si>
    <t>Příplatek k odvozu za každý další 1 km</t>
  </si>
  <si>
    <t>15*12,8626</t>
  </si>
  <si>
    <t>Vnitrostaveništní doprava suti do 10 m</t>
  </si>
  <si>
    <t>Nakládání suti na dopr.prostředky-zvlášt.zakl.obj.</t>
  </si>
  <si>
    <t>Poplatek za skládku suti - směs betonu,cihel,dřeva</t>
  </si>
  <si>
    <t>Doba výstavby:</t>
  </si>
  <si>
    <t>Zpracováno dne:</t>
  </si>
  <si>
    <t>24.03.2022</t>
  </si>
  <si>
    <t>MJ</t>
  </si>
  <si>
    <t>m</t>
  </si>
  <si>
    <t>m2</t>
  </si>
  <si>
    <t>kus</t>
  </si>
  <si>
    <t>ks</t>
  </si>
  <si>
    <t>t</t>
  </si>
  <si>
    <t>pár</t>
  </si>
  <si>
    <t>soubor</t>
  </si>
  <si>
    <t>kompl.</t>
  </si>
  <si>
    <t>hod</t>
  </si>
  <si>
    <t>h</t>
  </si>
  <si>
    <t>m3</t>
  </si>
  <si>
    <t>Množství</t>
  </si>
  <si>
    <t>Cena/MJ</t>
  </si>
  <si>
    <t>(Kč)</t>
  </si>
  <si>
    <t>Město Žďár nad Sázavou</t>
  </si>
  <si>
    <t>ing. Zbyněk Semerád</t>
  </si>
  <si>
    <t> </t>
  </si>
  <si>
    <t>Náklady (Kč)</t>
  </si>
  <si>
    <t>Dodávka</t>
  </si>
  <si>
    <t>Celkem:</t>
  </si>
  <si>
    <t>Celkem</t>
  </si>
  <si>
    <t>Hmotnost (t)</t>
  </si>
  <si>
    <t>Jednot.</t>
  </si>
  <si>
    <t>Cenová</t>
  </si>
  <si>
    <t>soustava</t>
  </si>
  <si>
    <t>RTS I / 2022</t>
  </si>
  <si>
    <t>RTS I / 2009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</si>
  <si>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</si>
  <si>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</si>
  <si>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</si>
  <si>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</si>
  <si>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</si>
  <si>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</si>
  <si>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</si>
  <si>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</si>
  <si>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</si>
  <si>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</si>
  <si>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</si>
  <si>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63_</t>
  </si>
  <si>
    <t>64_</t>
  </si>
  <si>
    <t>711_</t>
  </si>
  <si>
    <t>721_</t>
  </si>
  <si>
    <t>722_</t>
  </si>
  <si>
    <t>725_</t>
  </si>
  <si>
    <t>728_</t>
  </si>
  <si>
    <t>735_</t>
  </si>
  <si>
    <t>766_</t>
  </si>
  <si>
    <t>771_</t>
  </si>
  <si>
    <t>776_</t>
  </si>
  <si>
    <t>781_</t>
  </si>
  <si>
    <t>783_</t>
  </si>
  <si>
    <t>784_</t>
  </si>
  <si>
    <t>90_</t>
  </si>
  <si>
    <t>94_</t>
  </si>
  <si>
    <t>95_</t>
  </si>
  <si>
    <t>96_</t>
  </si>
  <si>
    <t>97_</t>
  </si>
  <si>
    <t>H99_</t>
  </si>
  <si>
    <t>M74_</t>
  </si>
  <si>
    <t>S0_</t>
  </si>
  <si>
    <t>_3_</t>
  </si>
  <si>
    <t>_6_</t>
  </si>
  <si>
    <t>_71_</t>
  </si>
  <si>
    <t>_72_</t>
  </si>
  <si>
    <t>_73_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</si>
  <si>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</si>
  <si>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</si>
  <si>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</si>
  <si>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</si>
  <si>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</si>
  <si>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</si>
  <si>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</si>
  <si>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</si>
  <si>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</si>
  <si>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</si>
  <si>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</si>
  <si>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</si>
  <si>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725139101R00</t>
  </si>
  <si>
    <t>Montáž pisoárových stání ostatních</t>
  </si>
  <si>
    <t>725016103R00</t>
  </si>
  <si>
    <t>Pisoár  s oplachov. ventilem, bílý</t>
  </si>
  <si>
    <t>144</t>
  </si>
  <si>
    <t>145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</si>
</sst>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5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3" fillId="34" borderId="16" xfId="0" applyNumberFormat="1" applyFont="1" applyFill="1" applyBorder="1" applyAlignment="1" applyProtection="1">
      <alignment horizontal="right" vertical="center"/>
      <protection/>
    </xf>
    <xf numFmtId="49" fontId="14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3" fillId="34" borderId="20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3" fillId="34" borderId="16" xfId="0" applyNumberFormat="1" applyFont="1" applyFill="1" applyBorder="1" applyAlignment="1" applyProtection="1">
      <alignment horizontal="right" vertical="center"/>
      <protection/>
    </xf>
    <xf numFmtId="4" fontId="14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" fillId="35" borderId="22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21" xfId="0" applyNumberFormat="1" applyFont="1" applyFill="1" applyBorder="1" applyAlignment="1" applyProtection="1">
      <alignment horizontal="righ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1" fillId="36" borderId="40" xfId="0" applyNumberFormat="1" applyFont="1" applyFill="1" applyBorder="1" applyAlignment="1" applyProtection="1">
      <alignment horizontal="left" vertical="center"/>
      <protection/>
    </xf>
    <xf numFmtId="4" fontId="1" fillId="36" borderId="40" xfId="0" applyNumberFormat="1" applyFont="1" applyFill="1" applyBorder="1" applyAlignment="1" applyProtection="1">
      <alignment horizontal="right" vertical="center"/>
      <protection/>
    </xf>
    <xf numFmtId="49" fontId="1" fillId="36" borderId="41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6" borderId="41" xfId="0" applyNumberFormat="1" applyFont="1" applyFill="1" applyBorder="1" applyAlignment="1" applyProtection="1">
      <alignment vertical="center"/>
      <protection/>
    </xf>
    <xf numFmtId="49" fontId="1" fillId="36" borderId="43" xfId="0" applyNumberFormat="1" applyFont="1" applyFill="1" applyBorder="1" applyAlignment="1" applyProtection="1">
      <alignment horizontal="left" vertical="center"/>
      <protection/>
    </xf>
    <xf numFmtId="4" fontId="1" fillId="36" borderId="43" xfId="0" applyNumberFormat="1" applyFont="1" applyFill="1" applyBorder="1" applyAlignment="1" applyProtection="1">
      <alignment horizontal="right" vertical="center"/>
      <protection/>
    </xf>
    <xf numFmtId="0" fontId="1" fillId="36" borderId="43" xfId="0" applyNumberFormat="1" applyFont="1" applyFill="1" applyBorder="1" applyAlignment="1" applyProtection="1">
      <alignment vertical="center"/>
      <protection/>
    </xf>
    <xf numFmtId="0" fontId="1" fillId="36" borderId="43" xfId="1" applyNumberFormat="1" applyFont="1" applyFill="1" applyBorder="1" applyAlignment="1" applyProtection="1">
      <alignment/>
      <protection/>
    </xf>
    <xf numFmtId="49" fontId="15" fillId="36" borderId="43" xfId="0" applyNumberFormat="1" applyFont="1" applyFill="1" applyBorder="1" applyAlignment="1" applyProtection="1">
      <alignment horizontal="left" vertical="center"/>
      <protection/>
    </xf>
    <xf numFmtId="4" fontId="15" fillId="36" borderId="43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4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" fontId="1" fillId="37" borderId="0" xfId="0" applyNumberFormat="1" applyFont="1" applyFill="1" applyBorder="1" applyAlignment="1" applyProtection="1">
      <alignment horizontal="right" vertical="center"/>
      <protection/>
    </xf>
    <xf numFmtId="4" fontId="11" fillId="37" borderId="0" xfId="0" applyNumberFormat="1" applyFont="1" applyFill="1" applyBorder="1" applyAlignment="1" applyProtection="1">
      <alignment horizontal="right" vertical="center"/>
      <protection/>
    </xf>
    <xf numFmtId="0" fontId="1" fillId="37" borderId="0" xfId="1" applyNumberFormat="1" applyFont="1" applyFill="1" applyBorder="1" applyAlignment="1" applyProtection="1">
      <alignment/>
      <protection/>
    </xf>
    <xf numFmtId="4" fontId="1" fillId="37" borderId="43" xfId="0" applyNumberFormat="1" applyFont="1" applyFill="1" applyBorder="1" applyAlignment="1" applyProtection="1">
      <alignment horizontal="right" vertical="center"/>
      <protection/>
    </xf>
    <xf numFmtId="4" fontId="1" fillId="37" borderId="40" xfId="0" applyNumberFormat="1" applyFont="1" applyFill="1" applyBorder="1" applyAlignment="1" applyProtection="1">
      <alignment horizontal="right" vertical="center"/>
      <protection/>
    </xf>
    <xf numFmtId="4" fontId="1" fillId="37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4" fillId="33" borderId="46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9" xfId="0" applyNumberFormat="1" applyFont="1" applyFill="1" applyBorder="1" applyAlignment="1" applyProtection="1">
      <alignment horizontal="left" vertical="center"/>
      <protection/>
    </xf>
    <xf numFmtId="4" fontId="4" fillId="0" borderId="58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9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0" fontId="13" fillId="34" borderId="16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" fillId="36" borderId="43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49" fontId="1" fillId="36" borderId="40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90"/>
      <c r="B1" s="1"/>
      <c r="C1" s="98" t="s">
        <v>22</v>
      </c>
      <c r="D1" s="99"/>
      <c r="E1" s="99"/>
      <c r="F1" s="99"/>
      <c r="G1" s="99"/>
      <c r="H1" s="99"/>
      <c r="I1" s="99"/>
    </row>
    <row r="2" spans="1:10" ht="12.75">
      <c r="A2" s="100" t="s">
        <v>0</v>
      </c>
      <c r="B2" s="101"/>
      <c r="C2" s="104" t="str">
        <f>'Stavební rozpočet'!D2</f>
        <v>HD Morava- oprava sociálních zařízení 2NP</v>
      </c>
      <c r="D2" s="105"/>
      <c r="E2" s="107" t="s">
        <v>32</v>
      </c>
      <c r="F2" s="107" t="str">
        <f>'Stavební rozpočet'!I2</f>
        <v>Město Žďár nad Sázavou</v>
      </c>
      <c r="G2" s="101"/>
      <c r="H2" s="107" t="s">
        <v>52</v>
      </c>
      <c r="I2" s="108" t="s">
        <v>56</v>
      </c>
      <c r="J2" s="18"/>
    </row>
    <row r="3" spans="1:10" ht="12.75">
      <c r="A3" s="102"/>
      <c r="B3" s="103"/>
      <c r="C3" s="106"/>
      <c r="D3" s="106"/>
      <c r="E3" s="103"/>
      <c r="F3" s="103"/>
      <c r="G3" s="103"/>
      <c r="H3" s="103"/>
      <c r="I3" s="109"/>
      <c r="J3" s="18"/>
    </row>
    <row r="4" spans="1:10" ht="12.75">
      <c r="A4" s="110" t="s">
        <v>1</v>
      </c>
      <c r="B4" s="103"/>
      <c r="C4" s="111" t="str">
        <f>'Stavební rozpočet'!D4</f>
        <v> </v>
      </c>
      <c r="D4" s="103"/>
      <c r="E4" s="111" t="s">
        <v>33</v>
      </c>
      <c r="F4" s="111" t="str">
        <f>'Stavební rozpočet'!I4</f>
        <v>ing. Zbyněk Semerád</v>
      </c>
      <c r="G4" s="103"/>
      <c r="H4" s="111" t="s">
        <v>52</v>
      </c>
      <c r="I4" s="112" t="s">
        <v>57</v>
      </c>
      <c r="J4" s="18"/>
    </row>
    <row r="5" spans="1:10" ht="12.75">
      <c r="A5" s="102"/>
      <c r="B5" s="103"/>
      <c r="C5" s="103"/>
      <c r="D5" s="103"/>
      <c r="E5" s="103"/>
      <c r="F5" s="103"/>
      <c r="G5" s="103"/>
      <c r="H5" s="103"/>
      <c r="I5" s="109"/>
      <c r="J5" s="18"/>
    </row>
    <row r="6" spans="1:10" ht="12.75">
      <c r="A6" s="110" t="s">
        <v>2</v>
      </c>
      <c r="B6" s="103"/>
      <c r="C6" s="111" t="str">
        <f>'Stavební rozpočet'!D6</f>
        <v>HD Morava, Horní ul. Žďár nad Sázavou</v>
      </c>
      <c r="D6" s="103"/>
      <c r="E6" s="111" t="s">
        <v>34</v>
      </c>
      <c r="F6" s="111" t="str">
        <f>'Stavební rozpočet'!I6</f>
        <v> </v>
      </c>
      <c r="G6" s="103"/>
      <c r="H6" s="111" t="s">
        <v>52</v>
      </c>
      <c r="I6" s="112"/>
      <c r="J6" s="18"/>
    </row>
    <row r="7" spans="1:10" ht="12.75">
      <c r="A7" s="102"/>
      <c r="B7" s="103"/>
      <c r="C7" s="103"/>
      <c r="D7" s="103"/>
      <c r="E7" s="103"/>
      <c r="F7" s="103"/>
      <c r="G7" s="103"/>
      <c r="H7" s="103"/>
      <c r="I7" s="109"/>
      <c r="J7" s="18"/>
    </row>
    <row r="8" spans="1:10" ht="12.75">
      <c r="A8" s="110" t="s">
        <v>3</v>
      </c>
      <c r="B8" s="103"/>
      <c r="C8" s="111" t="str">
        <f>'Stavební rozpočet'!F4</f>
        <v> </v>
      </c>
      <c r="D8" s="103"/>
      <c r="E8" s="111" t="s">
        <v>35</v>
      </c>
      <c r="F8" s="111" t="str">
        <f>'Stavební rozpočet'!F6</f>
        <v> </v>
      </c>
      <c r="G8" s="103"/>
      <c r="H8" s="113" t="s">
        <v>53</v>
      </c>
      <c r="I8" s="112" t="s">
        <v>58</v>
      </c>
      <c r="J8" s="18"/>
    </row>
    <row r="9" spans="1:10" ht="12.75">
      <c r="A9" s="102"/>
      <c r="B9" s="103"/>
      <c r="C9" s="103"/>
      <c r="D9" s="103"/>
      <c r="E9" s="103"/>
      <c r="F9" s="103"/>
      <c r="G9" s="103"/>
      <c r="H9" s="103"/>
      <c r="I9" s="109"/>
      <c r="J9" s="18"/>
    </row>
    <row r="10" spans="1:10" ht="12.75">
      <c r="A10" s="110" t="s">
        <v>4</v>
      </c>
      <c r="B10" s="103"/>
      <c r="C10" s="111" t="str">
        <f>'Stavební rozpočet'!D8</f>
        <v> </v>
      </c>
      <c r="D10" s="103"/>
      <c r="E10" s="111" t="s">
        <v>36</v>
      </c>
      <c r="F10" s="111" t="str">
        <f>'Stavební rozpočet'!I8</f>
        <v> </v>
      </c>
      <c r="G10" s="103"/>
      <c r="H10" s="113" t="s">
        <v>54</v>
      </c>
      <c r="I10" s="116" t="str">
        <f>'Stavební rozpočet'!F8</f>
        <v>24.03.2022</v>
      </c>
      <c r="J10" s="18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18"/>
    </row>
    <row r="12" spans="1:9" ht="23.25" customHeight="1">
      <c r="A12" s="118" t="s">
        <v>5</v>
      </c>
      <c r="B12" s="119"/>
      <c r="C12" s="119"/>
      <c r="D12" s="119"/>
      <c r="E12" s="119"/>
      <c r="F12" s="119"/>
      <c r="G12" s="119"/>
      <c r="H12" s="119"/>
      <c r="I12" s="119"/>
    </row>
    <row r="13" spans="1:10" ht="26.25" customHeight="1">
      <c r="A13" s="2" t="s">
        <v>6</v>
      </c>
      <c r="B13" s="120" t="s">
        <v>19</v>
      </c>
      <c r="C13" s="121"/>
      <c r="D13" s="2" t="s">
        <v>23</v>
      </c>
      <c r="E13" s="120" t="s">
        <v>37</v>
      </c>
      <c r="F13" s="121"/>
      <c r="G13" s="2" t="s">
        <v>38</v>
      </c>
      <c r="H13" s="120" t="s">
        <v>55</v>
      </c>
      <c r="I13" s="121"/>
      <c r="J13" s="18"/>
    </row>
    <row r="14" spans="1:10" ht="15" customHeight="1">
      <c r="A14" s="3" t="s">
        <v>7</v>
      </c>
      <c r="B14" s="8" t="s">
        <v>20</v>
      </c>
      <c r="C14" s="12">
        <f>SUM('Stavební rozpočet'!AB12:AB255)</f>
        <v>0</v>
      </c>
      <c r="D14" s="122" t="s">
        <v>24</v>
      </c>
      <c r="E14" s="123"/>
      <c r="F14" s="12">
        <f>VORN!I15</f>
        <v>0</v>
      </c>
      <c r="G14" s="122" t="s">
        <v>39</v>
      </c>
      <c r="H14" s="123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rozpočet'!AC12:AC255)</f>
        <v>0</v>
      </c>
      <c r="D15" s="122" t="s">
        <v>25</v>
      </c>
      <c r="E15" s="123"/>
      <c r="F15" s="12">
        <f>VORN!I16</f>
        <v>0</v>
      </c>
      <c r="G15" s="122" t="s">
        <v>40</v>
      </c>
      <c r="H15" s="123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rozpočet'!AD12:AD255)</f>
        <v>0</v>
      </c>
      <c r="D16" s="122" t="s">
        <v>26</v>
      </c>
      <c r="E16" s="123"/>
      <c r="F16" s="12">
        <f>VORN!I17</f>
        <v>0</v>
      </c>
      <c r="G16" s="122" t="s">
        <v>41</v>
      </c>
      <c r="H16" s="123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rozpočet'!AE12:AE255)</f>
        <v>0</v>
      </c>
      <c r="D17" s="122"/>
      <c r="E17" s="123"/>
      <c r="F17" s="13"/>
      <c r="G17" s="122" t="s">
        <v>42</v>
      </c>
      <c r="H17" s="123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rozpočet'!AF12:AF255)</f>
        <v>0</v>
      </c>
      <c r="D18" s="122"/>
      <c r="E18" s="123"/>
      <c r="F18" s="13"/>
      <c r="G18" s="122" t="s">
        <v>43</v>
      </c>
      <c r="H18" s="123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rozpočet'!AG12:AG255)</f>
        <v>0</v>
      </c>
      <c r="D19" s="122"/>
      <c r="E19" s="123"/>
      <c r="F19" s="13"/>
      <c r="G19" s="122" t="s">
        <v>44</v>
      </c>
      <c r="H19" s="123"/>
      <c r="I19" s="12">
        <f>VORN!I26</f>
        <v>0</v>
      </c>
      <c r="J19" s="18"/>
    </row>
    <row r="20" spans="1:10" ht="15" customHeight="1">
      <c r="A20" s="124" t="s">
        <v>10</v>
      </c>
      <c r="B20" s="125"/>
      <c r="C20" s="12">
        <f>SUM('Stavební rozpočet'!AH12:AH255)</f>
        <v>0</v>
      </c>
      <c r="D20" s="122"/>
      <c r="E20" s="123"/>
      <c r="F20" s="13"/>
      <c r="G20" s="122"/>
      <c r="H20" s="123"/>
      <c r="I20" s="13"/>
      <c r="J20" s="18"/>
    </row>
    <row r="21" spans="1:10" ht="15" customHeight="1">
      <c r="A21" s="124" t="s">
        <v>11</v>
      </c>
      <c r="B21" s="125"/>
      <c r="C21" s="12">
        <f>SUM('Stavební rozpočet'!Z12:Z255)</f>
        <v>0</v>
      </c>
      <c r="D21" s="122"/>
      <c r="E21" s="123"/>
      <c r="F21" s="13"/>
      <c r="G21" s="122"/>
      <c r="H21" s="123"/>
      <c r="I21" s="13"/>
      <c r="J21" s="18"/>
    </row>
    <row r="22" spans="1:10" ht="16.5" customHeight="1">
      <c r="A22" s="124" t="s">
        <v>12</v>
      </c>
      <c r="B22" s="125"/>
      <c r="C22" s="12">
        <f>SUM(C14:C21)</f>
        <v>0</v>
      </c>
      <c r="D22" s="124" t="s">
        <v>27</v>
      </c>
      <c r="E22" s="125"/>
      <c r="F22" s="12">
        <f>SUM(F14:F21)</f>
        <v>0</v>
      </c>
      <c r="G22" s="124" t="s">
        <v>45</v>
      </c>
      <c r="H22" s="125"/>
      <c r="I22" s="12">
        <f>SUM(I14:I21)</f>
        <v>0</v>
      </c>
      <c r="J22" s="18"/>
    </row>
    <row r="23" spans="1:10" ht="15" customHeight="1">
      <c r="A23" s="5"/>
      <c r="B23" s="5"/>
      <c r="C23" s="10"/>
      <c r="D23" s="124" t="s">
        <v>28</v>
      </c>
      <c r="E23" s="125"/>
      <c r="F23" s="14">
        <v>0</v>
      </c>
      <c r="G23" s="124" t="s">
        <v>46</v>
      </c>
      <c r="H23" s="125"/>
      <c r="I23" s="12">
        <v>0</v>
      </c>
      <c r="J23" s="18"/>
    </row>
    <row r="24" spans="4:10" ht="15" customHeight="1">
      <c r="D24" s="5"/>
      <c r="E24" s="5"/>
      <c r="F24" s="15"/>
      <c r="G24" s="124" t="s">
        <v>47</v>
      </c>
      <c r="H24" s="125"/>
      <c r="I24" s="12">
        <f>vorn_sum</f>
        <v>0</v>
      </c>
      <c r="J24" s="18"/>
    </row>
    <row r="25" spans="6:10" ht="15" customHeight="1">
      <c r="F25" s="16"/>
      <c r="G25" s="124" t="s">
        <v>48</v>
      </c>
      <c r="H25" s="125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26" t="s">
        <v>13</v>
      </c>
      <c r="B27" s="127"/>
      <c r="C27" s="20">
        <f>SUM('Stavební rozpočet'!AJ12:AJ255)</f>
        <v>0</v>
      </c>
      <c r="D27" s="11"/>
      <c r="E27" s="1"/>
      <c r="F27" s="1"/>
      <c r="G27" s="1"/>
      <c r="H27" s="1"/>
      <c r="I27" s="1"/>
    </row>
    <row r="28" spans="1:10" ht="15" customHeight="1">
      <c r="A28" s="126" t="s">
        <v>14</v>
      </c>
      <c r="B28" s="127"/>
      <c r="C28" s="20">
        <f>SUM('Stavební rozpočet'!AK12:AK255)</f>
        <v>0</v>
      </c>
      <c r="D28" s="126" t="s">
        <v>29</v>
      </c>
      <c r="E28" s="127"/>
      <c r="F28" s="20">
        <f>ROUND(C28*(15/100),2)</f>
        <v>0</v>
      </c>
      <c r="G28" s="126" t="s">
        <v>49</v>
      </c>
      <c r="H28" s="127"/>
      <c r="I28" s="20">
        <f>SUM(C27:C29)</f>
        <v>0</v>
      </c>
      <c r="J28" s="18"/>
    </row>
    <row r="29" spans="1:10" ht="15" customHeight="1">
      <c r="A29" s="126" t="s">
        <v>15</v>
      </c>
      <c r="B29" s="127"/>
      <c r="C29" s="20">
        <f>SUM('Stavební rozpočet'!AL12:AL255)+(F22+I22+F23+I23+I24+I25)</f>
        <v>0</v>
      </c>
      <c r="D29" s="126" t="s">
        <v>30</v>
      </c>
      <c r="E29" s="127"/>
      <c r="F29" s="20">
        <f>ROUND(C29*(21/100),2)</f>
        <v>0</v>
      </c>
      <c r="G29" s="126" t="s">
        <v>50</v>
      </c>
      <c r="H29" s="127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28" t="s">
        <v>16</v>
      </c>
      <c r="B31" s="129"/>
      <c r="C31" s="130"/>
      <c r="D31" s="128" t="s">
        <v>31</v>
      </c>
      <c r="E31" s="129"/>
      <c r="F31" s="130"/>
      <c r="G31" s="128" t="s">
        <v>51</v>
      </c>
      <c r="H31" s="129"/>
      <c r="I31" s="130"/>
      <c r="J31" s="19"/>
    </row>
    <row r="32" spans="1:10" ht="14.25" customHeight="1">
      <c r="A32" s="131"/>
      <c r="B32" s="132"/>
      <c r="C32" s="133"/>
      <c r="D32" s="131"/>
      <c r="E32" s="132"/>
      <c r="F32" s="133"/>
      <c r="G32" s="131"/>
      <c r="H32" s="132"/>
      <c r="I32" s="133"/>
      <c r="J32" s="19"/>
    </row>
    <row r="33" spans="1:10" ht="14.25" customHeight="1">
      <c r="A33" s="131"/>
      <c r="B33" s="132"/>
      <c r="C33" s="133"/>
      <c r="D33" s="131"/>
      <c r="E33" s="132"/>
      <c r="F33" s="133"/>
      <c r="G33" s="131"/>
      <c r="H33" s="132"/>
      <c r="I33" s="133"/>
      <c r="J33" s="19"/>
    </row>
    <row r="34" spans="1:10" ht="14.25" customHeight="1">
      <c r="A34" s="131"/>
      <c r="B34" s="132"/>
      <c r="C34" s="133"/>
      <c r="D34" s="131"/>
      <c r="E34" s="132"/>
      <c r="F34" s="133"/>
      <c r="G34" s="131"/>
      <c r="H34" s="132"/>
      <c r="I34" s="133"/>
      <c r="J34" s="19"/>
    </row>
    <row r="35" spans="1:10" ht="14.25" customHeight="1">
      <c r="A35" s="134" t="s">
        <v>17</v>
      </c>
      <c r="B35" s="135"/>
      <c r="C35" s="136"/>
      <c r="D35" s="134" t="s">
        <v>17</v>
      </c>
      <c r="E35" s="135"/>
      <c r="F35" s="136"/>
      <c r="G35" s="134" t="s">
        <v>17</v>
      </c>
      <c r="H35" s="135"/>
      <c r="I35" s="136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11"/>
      <c r="B37" s="103"/>
      <c r="C37" s="103"/>
      <c r="D37" s="103"/>
      <c r="E37" s="103"/>
      <c r="F37" s="103"/>
      <c r="G37" s="103"/>
      <c r="H37" s="103"/>
      <c r="I37" s="10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90"/>
      <c r="B1" s="1"/>
      <c r="C1" s="98" t="s">
        <v>67</v>
      </c>
      <c r="D1" s="99"/>
      <c r="E1" s="99"/>
      <c r="F1" s="99"/>
      <c r="G1" s="99"/>
      <c r="H1" s="99"/>
      <c r="I1" s="99"/>
    </row>
    <row r="2" spans="1:10" ht="12.75">
      <c r="A2" s="100" t="s">
        <v>0</v>
      </c>
      <c r="B2" s="101"/>
      <c r="C2" s="104" t="str">
        <f>'Stavební rozpočet'!D2</f>
        <v>HD Morava- oprava sociálních zařízení 2NP</v>
      </c>
      <c r="D2" s="105"/>
      <c r="E2" s="107" t="s">
        <v>32</v>
      </c>
      <c r="F2" s="107" t="str">
        <f>'Stavební rozpočet'!I2</f>
        <v>Město Žďár nad Sázavou</v>
      </c>
      <c r="G2" s="101"/>
      <c r="H2" s="107" t="s">
        <v>52</v>
      </c>
      <c r="I2" s="108" t="s">
        <v>56</v>
      </c>
      <c r="J2" s="18"/>
    </row>
    <row r="3" spans="1:10" ht="12.75">
      <c r="A3" s="102"/>
      <c r="B3" s="103"/>
      <c r="C3" s="106"/>
      <c r="D3" s="106"/>
      <c r="E3" s="103"/>
      <c r="F3" s="103"/>
      <c r="G3" s="103"/>
      <c r="H3" s="103"/>
      <c r="I3" s="109"/>
      <c r="J3" s="18"/>
    </row>
    <row r="4" spans="1:10" ht="12.75">
      <c r="A4" s="110" t="s">
        <v>1</v>
      </c>
      <c r="B4" s="103"/>
      <c r="C4" s="111" t="str">
        <f>'Stavební rozpočet'!D4</f>
        <v> </v>
      </c>
      <c r="D4" s="103"/>
      <c r="E4" s="111" t="s">
        <v>33</v>
      </c>
      <c r="F4" s="111" t="str">
        <f>'Stavební rozpočet'!I4</f>
        <v>ing. Zbyněk Semerád</v>
      </c>
      <c r="G4" s="103"/>
      <c r="H4" s="111" t="s">
        <v>52</v>
      </c>
      <c r="I4" s="112" t="s">
        <v>57</v>
      </c>
      <c r="J4" s="18"/>
    </row>
    <row r="5" spans="1:10" ht="12.75">
      <c r="A5" s="102"/>
      <c r="B5" s="103"/>
      <c r="C5" s="103"/>
      <c r="D5" s="103"/>
      <c r="E5" s="103"/>
      <c r="F5" s="103"/>
      <c r="G5" s="103"/>
      <c r="H5" s="103"/>
      <c r="I5" s="109"/>
      <c r="J5" s="18"/>
    </row>
    <row r="6" spans="1:10" ht="12.75">
      <c r="A6" s="110" t="s">
        <v>2</v>
      </c>
      <c r="B6" s="103"/>
      <c r="C6" s="111" t="str">
        <f>'Stavební rozpočet'!D6</f>
        <v>HD Morava, Horní ul. Žďár nad Sázavou</v>
      </c>
      <c r="D6" s="103"/>
      <c r="E6" s="111" t="s">
        <v>34</v>
      </c>
      <c r="F6" s="111" t="str">
        <f>'Stavební rozpočet'!I6</f>
        <v> </v>
      </c>
      <c r="G6" s="103"/>
      <c r="H6" s="111" t="s">
        <v>52</v>
      </c>
      <c r="I6" s="112"/>
      <c r="J6" s="18"/>
    </row>
    <row r="7" spans="1:10" ht="12.75">
      <c r="A7" s="102"/>
      <c r="B7" s="103"/>
      <c r="C7" s="103"/>
      <c r="D7" s="103"/>
      <c r="E7" s="103"/>
      <c r="F7" s="103"/>
      <c r="G7" s="103"/>
      <c r="H7" s="103"/>
      <c r="I7" s="109"/>
      <c r="J7" s="18"/>
    </row>
    <row r="8" spans="1:10" ht="12.75">
      <c r="A8" s="110" t="s">
        <v>3</v>
      </c>
      <c r="B8" s="103"/>
      <c r="C8" s="111" t="str">
        <f>'Stavební rozpočet'!F4</f>
        <v> </v>
      </c>
      <c r="D8" s="103"/>
      <c r="E8" s="111" t="s">
        <v>35</v>
      </c>
      <c r="F8" s="111" t="str">
        <f>'Stavební rozpočet'!F6</f>
        <v> </v>
      </c>
      <c r="G8" s="103"/>
      <c r="H8" s="113" t="s">
        <v>53</v>
      </c>
      <c r="I8" s="112" t="s">
        <v>58</v>
      </c>
      <c r="J8" s="18"/>
    </row>
    <row r="9" spans="1:10" ht="12.75">
      <c r="A9" s="102"/>
      <c r="B9" s="103"/>
      <c r="C9" s="103"/>
      <c r="D9" s="103"/>
      <c r="E9" s="103"/>
      <c r="F9" s="103"/>
      <c r="G9" s="103"/>
      <c r="H9" s="103"/>
      <c r="I9" s="109"/>
      <c r="J9" s="18"/>
    </row>
    <row r="10" spans="1:10" ht="12.75">
      <c r="A10" s="110" t="s">
        <v>4</v>
      </c>
      <c r="B10" s="103"/>
      <c r="C10" s="111" t="str">
        <f>'Stavební rozpočet'!D8</f>
        <v> </v>
      </c>
      <c r="D10" s="103"/>
      <c r="E10" s="111" t="s">
        <v>36</v>
      </c>
      <c r="F10" s="111" t="str">
        <f>'Stavební rozpočet'!I8</f>
        <v> </v>
      </c>
      <c r="G10" s="103"/>
      <c r="H10" s="113" t="s">
        <v>54</v>
      </c>
      <c r="I10" s="116" t="str">
        <f>'Stavební rozpočet'!F8</f>
        <v>24.03.2022</v>
      </c>
      <c r="J10" s="18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1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37" t="s">
        <v>59</v>
      </c>
      <c r="B13" s="138"/>
      <c r="C13" s="138"/>
      <c r="D13" s="138"/>
      <c r="E13" s="138"/>
      <c r="F13" s="22"/>
      <c r="G13" s="22"/>
      <c r="H13" s="22"/>
      <c r="I13" s="22"/>
    </row>
    <row r="14" spans="1:10" ht="12.75">
      <c r="A14" s="139" t="s">
        <v>60</v>
      </c>
      <c r="B14" s="140"/>
      <c r="C14" s="140"/>
      <c r="D14" s="140"/>
      <c r="E14" s="141"/>
      <c r="F14" s="23" t="s">
        <v>68</v>
      </c>
      <c r="G14" s="23" t="s">
        <v>69</v>
      </c>
      <c r="H14" s="23" t="s">
        <v>70</v>
      </c>
      <c r="I14" s="23" t="s">
        <v>68</v>
      </c>
      <c r="J14" s="19"/>
    </row>
    <row r="15" spans="1:10" ht="12.75">
      <c r="A15" s="142" t="s">
        <v>24</v>
      </c>
      <c r="B15" s="143"/>
      <c r="C15" s="143"/>
      <c r="D15" s="143"/>
      <c r="E15" s="144"/>
      <c r="F15" s="24">
        <v>0</v>
      </c>
      <c r="G15" s="27"/>
      <c r="H15" s="27"/>
      <c r="I15" s="24">
        <f>F15</f>
        <v>0</v>
      </c>
      <c r="J15" s="18"/>
    </row>
    <row r="16" spans="1:10" ht="12.75">
      <c r="A16" s="142" t="s">
        <v>25</v>
      </c>
      <c r="B16" s="143"/>
      <c r="C16" s="143"/>
      <c r="D16" s="143"/>
      <c r="E16" s="144"/>
      <c r="F16" s="24">
        <v>0</v>
      </c>
      <c r="G16" s="27"/>
      <c r="H16" s="27"/>
      <c r="I16" s="24">
        <f>F16</f>
        <v>0</v>
      </c>
      <c r="J16" s="18"/>
    </row>
    <row r="17" spans="1:10" ht="12.75">
      <c r="A17" s="145" t="s">
        <v>26</v>
      </c>
      <c r="B17" s="146"/>
      <c r="C17" s="146"/>
      <c r="D17" s="146"/>
      <c r="E17" s="147"/>
      <c r="F17" s="25">
        <v>0</v>
      </c>
      <c r="G17" s="28"/>
      <c r="H17" s="28"/>
      <c r="I17" s="25">
        <f>F17</f>
        <v>0</v>
      </c>
      <c r="J17" s="18"/>
    </row>
    <row r="18" spans="1:10" ht="12.75">
      <c r="A18" s="148" t="s">
        <v>61</v>
      </c>
      <c r="B18" s="149"/>
      <c r="C18" s="149"/>
      <c r="D18" s="149"/>
      <c r="E18" s="150"/>
      <c r="F18" s="26"/>
      <c r="G18" s="29"/>
      <c r="H18" s="29"/>
      <c r="I18" s="30">
        <f>SUM(I15:I17)</f>
        <v>0</v>
      </c>
      <c r="J18" s="19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139" t="s">
        <v>55</v>
      </c>
      <c r="B20" s="140"/>
      <c r="C20" s="140"/>
      <c r="D20" s="140"/>
      <c r="E20" s="141"/>
      <c r="F20" s="23" t="s">
        <v>68</v>
      </c>
      <c r="G20" s="23" t="s">
        <v>69</v>
      </c>
      <c r="H20" s="23" t="s">
        <v>70</v>
      </c>
      <c r="I20" s="23" t="s">
        <v>68</v>
      </c>
      <c r="J20" s="19"/>
    </row>
    <row r="21" spans="1:10" ht="12.75">
      <c r="A21" s="142" t="s">
        <v>39</v>
      </c>
      <c r="B21" s="143"/>
      <c r="C21" s="143"/>
      <c r="D21" s="143"/>
      <c r="E21" s="144"/>
      <c r="F21" s="27"/>
      <c r="G21" s="24">
        <v>1</v>
      </c>
      <c r="H21" s="24">
        <f>'Krycí list rozpočtu'!C22</f>
        <v>0</v>
      </c>
      <c r="I21" s="24">
        <f>ROUND((G21/100)*H21,2)</f>
        <v>0</v>
      </c>
      <c r="J21" s="18"/>
    </row>
    <row r="22" spans="1:10" ht="12.75">
      <c r="A22" s="142" t="s">
        <v>40</v>
      </c>
      <c r="B22" s="143"/>
      <c r="C22" s="143"/>
      <c r="D22" s="143"/>
      <c r="E22" s="144"/>
      <c r="F22" s="24">
        <v>0</v>
      </c>
      <c r="G22" s="27"/>
      <c r="H22" s="27"/>
      <c r="I22" s="24">
        <f>F22</f>
        <v>0</v>
      </c>
      <c r="J22" s="18"/>
    </row>
    <row r="23" spans="1:10" ht="12.75">
      <c r="A23" s="142" t="s">
        <v>41</v>
      </c>
      <c r="B23" s="143"/>
      <c r="C23" s="143"/>
      <c r="D23" s="143"/>
      <c r="E23" s="144"/>
      <c r="F23" s="24">
        <v>0</v>
      </c>
      <c r="G23" s="27"/>
      <c r="H23" s="27"/>
      <c r="I23" s="24">
        <f>F23</f>
        <v>0</v>
      </c>
      <c r="J23" s="18"/>
    </row>
    <row r="24" spans="1:10" ht="12.75">
      <c r="A24" s="142" t="s">
        <v>42</v>
      </c>
      <c r="B24" s="143"/>
      <c r="C24" s="143"/>
      <c r="D24" s="143"/>
      <c r="E24" s="144"/>
      <c r="F24" s="24">
        <v>0</v>
      </c>
      <c r="G24" s="27"/>
      <c r="H24" s="27"/>
      <c r="I24" s="24">
        <f>F24</f>
        <v>0</v>
      </c>
      <c r="J24" s="18"/>
    </row>
    <row r="25" spans="1:10" ht="12.75">
      <c r="A25" s="142" t="s">
        <v>43</v>
      </c>
      <c r="B25" s="143"/>
      <c r="C25" s="143"/>
      <c r="D25" s="143"/>
      <c r="E25" s="144"/>
      <c r="F25" s="24">
        <v>0</v>
      </c>
      <c r="G25" s="27"/>
      <c r="H25" s="27"/>
      <c r="I25" s="24">
        <f>F25</f>
        <v>0</v>
      </c>
      <c r="J25" s="18"/>
    </row>
    <row r="26" spans="1:10" ht="12.75">
      <c r="A26" s="145" t="s">
        <v>44</v>
      </c>
      <c r="B26" s="146"/>
      <c r="C26" s="146"/>
      <c r="D26" s="146"/>
      <c r="E26" s="147"/>
      <c r="F26" s="25">
        <v>0</v>
      </c>
      <c r="G26" s="28"/>
      <c r="H26" s="28"/>
      <c r="I26" s="25">
        <f>F26</f>
        <v>0</v>
      </c>
      <c r="J26" s="18"/>
    </row>
    <row r="27" spans="1:10" ht="12.75">
      <c r="A27" s="148" t="s">
        <v>62</v>
      </c>
      <c r="B27" s="149"/>
      <c r="C27" s="149"/>
      <c r="D27" s="149"/>
      <c r="E27" s="150"/>
      <c r="F27" s="26"/>
      <c r="G27" s="29"/>
      <c r="H27" s="29"/>
      <c r="I27" s="30">
        <f>SUM(I21:I26)</f>
        <v>0</v>
      </c>
      <c r="J27" s="19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151" t="s">
        <v>63</v>
      </c>
      <c r="B29" s="152"/>
      <c r="C29" s="152"/>
      <c r="D29" s="152"/>
      <c r="E29" s="153"/>
      <c r="F29" s="154">
        <f>I18+I27</f>
        <v>0</v>
      </c>
      <c r="G29" s="155"/>
      <c r="H29" s="155"/>
      <c r="I29" s="156"/>
      <c r="J29" s="1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37" t="s">
        <v>64</v>
      </c>
      <c r="B33" s="138"/>
      <c r="C33" s="138"/>
      <c r="D33" s="138"/>
      <c r="E33" s="138"/>
      <c r="F33" s="22"/>
      <c r="G33" s="22"/>
      <c r="H33" s="22"/>
      <c r="I33" s="22"/>
    </row>
    <row r="34" spans="1:10" ht="12.75">
      <c r="A34" s="139" t="s">
        <v>65</v>
      </c>
      <c r="B34" s="140"/>
      <c r="C34" s="140"/>
      <c r="D34" s="140"/>
      <c r="E34" s="141"/>
      <c r="F34" s="23" t="s">
        <v>68</v>
      </c>
      <c r="G34" s="23" t="s">
        <v>69</v>
      </c>
      <c r="H34" s="23" t="s">
        <v>70</v>
      </c>
      <c r="I34" s="23" t="s">
        <v>68</v>
      </c>
      <c r="J34" s="19"/>
    </row>
    <row r="35" spans="1:10" ht="12.75">
      <c r="A35" s="145"/>
      <c r="B35" s="146"/>
      <c r="C35" s="146"/>
      <c r="D35" s="146"/>
      <c r="E35" s="147"/>
      <c r="F35" s="25">
        <v>0</v>
      </c>
      <c r="G35" s="28"/>
      <c r="H35" s="28"/>
      <c r="I35" s="25">
        <f>F35</f>
        <v>0</v>
      </c>
      <c r="J35" s="18"/>
    </row>
    <row r="36" spans="1:10" ht="12.75">
      <c r="A36" s="148" t="s">
        <v>66</v>
      </c>
      <c r="B36" s="149"/>
      <c r="C36" s="149"/>
      <c r="D36" s="149"/>
      <c r="E36" s="150"/>
      <c r="F36" s="26"/>
      <c r="G36" s="29"/>
      <c r="H36" s="29"/>
      <c r="I36" s="30">
        <f>SUM(I35:I35)</f>
        <v>0</v>
      </c>
      <c r="J36" s="1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H115" sqref="H11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5.421875" style="0" customWidth="1"/>
    <col min="5" max="5" width="22.71093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customWidth="1"/>
  </cols>
  <sheetData>
    <row r="1" spans="1:14" ht="72.75" customHeight="1">
      <c r="A1" s="157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ht="12.75">
      <c r="A2" s="100" t="s">
        <v>0</v>
      </c>
      <c r="B2" s="101"/>
      <c r="C2" s="101"/>
      <c r="D2" s="104" t="s">
        <v>374</v>
      </c>
      <c r="E2" s="158" t="s">
        <v>617</v>
      </c>
      <c r="F2" s="158" t="s">
        <v>73</v>
      </c>
      <c r="G2" s="101"/>
      <c r="H2" s="107" t="s">
        <v>32</v>
      </c>
      <c r="I2" s="107" t="s">
        <v>635</v>
      </c>
      <c r="J2" s="101"/>
      <c r="K2" s="101"/>
      <c r="L2" s="101"/>
      <c r="M2" s="101"/>
      <c r="N2" s="159"/>
      <c r="O2" s="18"/>
    </row>
    <row r="3" spans="1:15" ht="12.75">
      <c r="A3" s="102"/>
      <c r="B3" s="103"/>
      <c r="C3" s="103"/>
      <c r="D3" s="106"/>
      <c r="E3" s="103"/>
      <c r="F3" s="103"/>
      <c r="G3" s="103"/>
      <c r="H3" s="103"/>
      <c r="I3" s="103"/>
      <c r="J3" s="103"/>
      <c r="K3" s="103"/>
      <c r="L3" s="103"/>
      <c r="M3" s="103"/>
      <c r="N3" s="109"/>
      <c r="O3" s="18"/>
    </row>
    <row r="4" spans="1:15" ht="12.75">
      <c r="A4" s="110" t="s">
        <v>1</v>
      </c>
      <c r="B4" s="103"/>
      <c r="C4" s="103"/>
      <c r="D4" s="111" t="s">
        <v>73</v>
      </c>
      <c r="E4" s="113" t="s">
        <v>3</v>
      </c>
      <c r="F4" s="113" t="s">
        <v>73</v>
      </c>
      <c r="G4" s="103"/>
      <c r="H4" s="111" t="s">
        <v>33</v>
      </c>
      <c r="I4" s="111" t="s">
        <v>636</v>
      </c>
      <c r="J4" s="103"/>
      <c r="K4" s="103"/>
      <c r="L4" s="103"/>
      <c r="M4" s="103"/>
      <c r="N4" s="109"/>
      <c r="O4" s="18"/>
    </row>
    <row r="5" spans="1:15" ht="12.7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9"/>
      <c r="O5" s="18"/>
    </row>
    <row r="6" spans="1:15" ht="12.75">
      <c r="A6" s="110" t="s">
        <v>2</v>
      </c>
      <c r="B6" s="103"/>
      <c r="C6" s="103"/>
      <c r="D6" s="111" t="s">
        <v>375</v>
      </c>
      <c r="E6" s="113" t="s">
        <v>35</v>
      </c>
      <c r="F6" s="113" t="s">
        <v>73</v>
      </c>
      <c r="G6" s="103"/>
      <c r="H6" s="111" t="s">
        <v>34</v>
      </c>
      <c r="I6" s="113" t="s">
        <v>637</v>
      </c>
      <c r="J6" s="103"/>
      <c r="K6" s="103"/>
      <c r="L6" s="103"/>
      <c r="M6" s="103"/>
      <c r="N6" s="109"/>
      <c r="O6" s="18"/>
    </row>
    <row r="7" spans="1:15" ht="12.7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9"/>
      <c r="O7" s="18"/>
    </row>
    <row r="8" spans="1:15" ht="12.75">
      <c r="A8" s="110" t="s">
        <v>4</v>
      </c>
      <c r="B8" s="103"/>
      <c r="C8" s="103"/>
      <c r="D8" s="111" t="s">
        <v>73</v>
      </c>
      <c r="E8" s="113" t="s">
        <v>618</v>
      </c>
      <c r="F8" s="113" t="s">
        <v>619</v>
      </c>
      <c r="G8" s="103"/>
      <c r="H8" s="111" t="s">
        <v>36</v>
      </c>
      <c r="I8" s="113" t="s">
        <v>637</v>
      </c>
      <c r="J8" s="103"/>
      <c r="K8" s="103"/>
      <c r="L8" s="103"/>
      <c r="M8" s="103"/>
      <c r="N8" s="109"/>
      <c r="O8" s="18"/>
    </row>
    <row r="9" spans="1:15" ht="12.75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  <c r="O9" s="18"/>
    </row>
    <row r="10" spans="1:64" ht="12.75">
      <c r="A10" s="31" t="s">
        <v>72</v>
      </c>
      <c r="B10" s="36" t="s">
        <v>216</v>
      </c>
      <c r="C10" s="36" t="s">
        <v>217</v>
      </c>
      <c r="D10" s="163" t="s">
        <v>376</v>
      </c>
      <c r="E10" s="164"/>
      <c r="F10" s="36" t="s">
        <v>620</v>
      </c>
      <c r="G10" s="41" t="s">
        <v>632</v>
      </c>
      <c r="H10" s="44" t="s">
        <v>633</v>
      </c>
      <c r="I10" s="165" t="s">
        <v>638</v>
      </c>
      <c r="J10" s="166"/>
      <c r="K10" s="167"/>
      <c r="L10" s="165" t="s">
        <v>642</v>
      </c>
      <c r="M10" s="167"/>
      <c r="N10" s="51" t="s">
        <v>644</v>
      </c>
      <c r="O10" s="19"/>
      <c r="BK10" s="50" t="s">
        <v>694</v>
      </c>
      <c r="BL10" s="59" t="s">
        <v>697</v>
      </c>
    </row>
    <row r="11" spans="1:62" ht="12.75">
      <c r="A11" s="32" t="s">
        <v>73</v>
      </c>
      <c r="B11" s="37" t="s">
        <v>73</v>
      </c>
      <c r="C11" s="37" t="s">
        <v>73</v>
      </c>
      <c r="D11" s="168" t="s">
        <v>377</v>
      </c>
      <c r="E11" s="169"/>
      <c r="F11" s="37" t="s">
        <v>73</v>
      </c>
      <c r="G11" s="37" t="s">
        <v>73</v>
      </c>
      <c r="H11" s="45" t="s">
        <v>634</v>
      </c>
      <c r="I11" s="46" t="s">
        <v>639</v>
      </c>
      <c r="J11" s="47" t="s">
        <v>21</v>
      </c>
      <c r="K11" s="48" t="s">
        <v>641</v>
      </c>
      <c r="L11" s="46" t="s">
        <v>643</v>
      </c>
      <c r="M11" s="48" t="s">
        <v>641</v>
      </c>
      <c r="N11" s="52" t="s">
        <v>645</v>
      </c>
      <c r="O11" s="19"/>
      <c r="Z11" s="50" t="s">
        <v>648</v>
      </c>
      <c r="AA11" s="50" t="s">
        <v>649</v>
      </c>
      <c r="AB11" s="50" t="s">
        <v>650</v>
      </c>
      <c r="AC11" s="50" t="s">
        <v>651</v>
      </c>
      <c r="AD11" s="50" t="s">
        <v>652</v>
      </c>
      <c r="AE11" s="50" t="s">
        <v>653</v>
      </c>
      <c r="AF11" s="50" t="s">
        <v>654</v>
      </c>
      <c r="AG11" s="50" t="s">
        <v>655</v>
      </c>
      <c r="AH11" s="50" t="s">
        <v>656</v>
      </c>
      <c r="BH11" s="50" t="s">
        <v>691</v>
      </c>
      <c r="BI11" s="50" t="s">
        <v>692</v>
      </c>
      <c r="BJ11" s="50" t="s">
        <v>693</v>
      </c>
    </row>
    <row r="12" spans="1:15" ht="12.75">
      <c r="A12" s="33"/>
      <c r="B12" s="38"/>
      <c r="C12" s="38"/>
      <c r="D12" s="170" t="s">
        <v>378</v>
      </c>
      <c r="E12" s="171"/>
      <c r="F12" s="40" t="s">
        <v>73</v>
      </c>
      <c r="G12" s="40" t="s">
        <v>73</v>
      </c>
      <c r="H12" s="40" t="s">
        <v>73</v>
      </c>
      <c r="I12" s="60">
        <f>I13+I25+I43+I46+I49+I61+I77+I90+I119+I133+I138+I150+I160+I163+I196+I202+I204+I206+I209+I211+I236+I245+I247+I249</f>
        <v>0</v>
      </c>
      <c r="J12" s="60">
        <f>J13+J25+J43+J46+J49+J61+J77+J90+J119+J133+J138+J150+J160+J163+J196+J202+J204+J206+J209+J211+J236+J245+J247+J249</f>
        <v>0</v>
      </c>
      <c r="K12" s="60">
        <f>K13+K25+K43+K46+K49+K61+K77+K90+K119+K133+K138+K150+K160+K163+K196+K202+K204+K206+K209+K211+K236+K245+K247+K249</f>
        <v>0</v>
      </c>
      <c r="L12" s="49"/>
      <c r="M12" s="60">
        <f>M13+M25+M43+M46+M49+M61+M77+M90+M119+M133+M138+M150+M160+M163+M196+M202+M204+M206+M209+M211+M236+M245+M247+M249</f>
        <v>30.135108719999998</v>
      </c>
      <c r="N12" s="53"/>
      <c r="O12" s="18"/>
    </row>
    <row r="13" spans="1:47" ht="12.75">
      <c r="A13" s="63"/>
      <c r="B13" s="64"/>
      <c r="C13" s="64" t="s">
        <v>107</v>
      </c>
      <c r="D13" s="172" t="s">
        <v>379</v>
      </c>
      <c r="E13" s="173"/>
      <c r="F13" s="65" t="s">
        <v>73</v>
      </c>
      <c r="G13" s="65" t="s">
        <v>73</v>
      </c>
      <c r="H13" s="65" t="s">
        <v>73</v>
      </c>
      <c r="I13" s="66">
        <f>SUM(I14:I22)</f>
        <v>0</v>
      </c>
      <c r="J13" s="66">
        <f>SUM(J14:J22)</f>
        <v>0</v>
      </c>
      <c r="K13" s="66">
        <f>SUM(K14:K22)</f>
        <v>0</v>
      </c>
      <c r="L13" s="67"/>
      <c r="M13" s="66">
        <f>SUM(M14:M22)</f>
        <v>4.0043998</v>
      </c>
      <c r="N13" s="68"/>
      <c r="O13" s="18"/>
      <c r="AI13" s="50"/>
      <c r="AS13" s="61">
        <f>SUM(AJ14:AJ22)</f>
        <v>0</v>
      </c>
      <c r="AT13" s="61">
        <f>SUM(AK14:AK22)</f>
        <v>0</v>
      </c>
      <c r="AU13" s="61">
        <f>SUM(AL14:AL22)</f>
        <v>0</v>
      </c>
    </row>
    <row r="14" spans="1:64" ht="12.75">
      <c r="A14" s="69" t="s">
        <v>74</v>
      </c>
      <c r="B14" s="17"/>
      <c r="C14" s="17" t="s">
        <v>218</v>
      </c>
      <c r="D14" s="113" t="s">
        <v>380</v>
      </c>
      <c r="E14" s="174"/>
      <c r="F14" s="17" t="s">
        <v>621</v>
      </c>
      <c r="G14" s="55">
        <v>18</v>
      </c>
      <c r="H14" s="92"/>
      <c r="I14" s="55">
        <f>G14*AO14</f>
        <v>0</v>
      </c>
      <c r="J14" s="55">
        <f>G14*AP14</f>
        <v>0</v>
      </c>
      <c r="K14" s="55">
        <f>G14*H14</f>
        <v>0</v>
      </c>
      <c r="L14" s="55">
        <v>8E-05</v>
      </c>
      <c r="M14" s="55">
        <f>G14*L14</f>
        <v>0.00144</v>
      </c>
      <c r="N14" s="70" t="s">
        <v>646</v>
      </c>
      <c r="O14" s="18"/>
      <c r="Z14" s="55">
        <f>IF(AQ14="5",BJ14,0)</f>
        <v>0</v>
      </c>
      <c r="AB14" s="55">
        <f>IF(AQ14="1",BH14,0)</f>
        <v>0</v>
      </c>
      <c r="AC14" s="55">
        <f>IF(AQ14="1",BI14,0)</f>
        <v>0</v>
      </c>
      <c r="AD14" s="55">
        <f>IF(AQ14="7",BH14,0)</f>
        <v>0</v>
      </c>
      <c r="AE14" s="55">
        <f>IF(AQ14="7",BI14,0)</f>
        <v>0</v>
      </c>
      <c r="AF14" s="55">
        <f>IF(AQ14="2",BH14,0)</f>
        <v>0</v>
      </c>
      <c r="AG14" s="55">
        <f>IF(AQ14="2",BI14,0)</f>
        <v>0</v>
      </c>
      <c r="AH14" s="55">
        <f>IF(AQ14="0",BJ14,0)</f>
        <v>0</v>
      </c>
      <c r="AI14" s="50"/>
      <c r="AJ14" s="42">
        <f>IF(AN14=0,K14,0)</f>
        <v>0</v>
      </c>
      <c r="AK14" s="42">
        <f>IF(AN14=15,K14,0)</f>
        <v>0</v>
      </c>
      <c r="AL14" s="42">
        <f>IF(AN14=21,K14,0)</f>
        <v>0</v>
      </c>
      <c r="AN14" s="55">
        <v>21</v>
      </c>
      <c r="AO14" s="55">
        <f>H14*0.191981426913117</f>
        <v>0</v>
      </c>
      <c r="AP14" s="55">
        <f>H14*(1-0.191981426913117)</f>
        <v>0</v>
      </c>
      <c r="AQ14" s="56" t="s">
        <v>74</v>
      </c>
      <c r="AV14" s="55">
        <f>AW14+AX14</f>
        <v>0</v>
      </c>
      <c r="AW14" s="55">
        <f>G14*AO14</f>
        <v>0</v>
      </c>
      <c r="AX14" s="55">
        <f>G14*AP14</f>
        <v>0</v>
      </c>
      <c r="AY14" s="58" t="s">
        <v>657</v>
      </c>
      <c r="AZ14" s="58" t="s">
        <v>681</v>
      </c>
      <c r="BA14" s="50" t="s">
        <v>690</v>
      </c>
      <c r="BC14" s="55">
        <f>AW14+AX14</f>
        <v>0</v>
      </c>
      <c r="BD14" s="55">
        <f>H14/(100-BE14)*100</f>
        <v>0</v>
      </c>
      <c r="BE14" s="55">
        <v>0</v>
      </c>
      <c r="BF14" s="55">
        <f>M14</f>
        <v>0.00144</v>
      </c>
      <c r="BH14" s="42">
        <f>G14*AO14</f>
        <v>0</v>
      </c>
      <c r="BI14" s="42">
        <f>G14*AP14</f>
        <v>0</v>
      </c>
      <c r="BJ14" s="42">
        <f>G14*H14</f>
        <v>0</v>
      </c>
      <c r="BK14" s="42" t="s">
        <v>695</v>
      </c>
      <c r="BL14" s="55">
        <v>34</v>
      </c>
    </row>
    <row r="15" spans="1:15" ht="12.75">
      <c r="A15" s="18"/>
      <c r="B15" s="71"/>
      <c r="C15" s="71"/>
      <c r="D15" s="72" t="s">
        <v>381</v>
      </c>
      <c r="E15" s="72"/>
      <c r="F15" s="71"/>
      <c r="G15" s="73">
        <v>18</v>
      </c>
      <c r="H15" s="71"/>
      <c r="I15" s="71"/>
      <c r="J15" s="71"/>
      <c r="K15" s="71"/>
      <c r="L15" s="71"/>
      <c r="M15" s="71"/>
      <c r="N15" s="16"/>
      <c r="O15" s="18"/>
    </row>
    <row r="16" spans="1:64" ht="12.75">
      <c r="A16" s="69" t="s">
        <v>75</v>
      </c>
      <c r="B16" s="17"/>
      <c r="C16" s="17" t="s">
        <v>219</v>
      </c>
      <c r="D16" s="113" t="s">
        <v>382</v>
      </c>
      <c r="E16" s="174"/>
      <c r="F16" s="17" t="s">
        <v>622</v>
      </c>
      <c r="G16" s="55">
        <v>19.3</v>
      </c>
      <c r="H16" s="92"/>
      <c r="I16" s="55">
        <f>G16*AO16</f>
        <v>0</v>
      </c>
      <c r="J16" s="55">
        <f>G16*AP16</f>
        <v>0</v>
      </c>
      <c r="K16" s="55">
        <f>G16*H16</f>
        <v>0</v>
      </c>
      <c r="L16" s="55">
        <v>0.09135</v>
      </c>
      <c r="M16" s="55">
        <f>G16*L16</f>
        <v>1.763055</v>
      </c>
      <c r="N16" s="70" t="s">
        <v>646</v>
      </c>
      <c r="O16" s="18"/>
      <c r="Z16" s="55">
        <f>IF(AQ16="5",BJ16,0)</f>
        <v>0</v>
      </c>
      <c r="AB16" s="55">
        <f>IF(AQ16="1",BH16,0)</f>
        <v>0</v>
      </c>
      <c r="AC16" s="55">
        <f>IF(AQ16="1",BI16,0)</f>
        <v>0</v>
      </c>
      <c r="AD16" s="55">
        <f>IF(AQ16="7",BH16,0)</f>
        <v>0</v>
      </c>
      <c r="AE16" s="55">
        <f>IF(AQ16="7",BI16,0)</f>
        <v>0</v>
      </c>
      <c r="AF16" s="55">
        <f>IF(AQ16="2",BH16,0)</f>
        <v>0</v>
      </c>
      <c r="AG16" s="55">
        <f>IF(AQ16="2",BI16,0)</f>
        <v>0</v>
      </c>
      <c r="AH16" s="55">
        <f>IF(AQ16="0",BJ16,0)</f>
        <v>0</v>
      </c>
      <c r="AI16" s="50"/>
      <c r="AJ16" s="42">
        <f>IF(AN16=0,K16,0)</f>
        <v>0</v>
      </c>
      <c r="AK16" s="42">
        <f>IF(AN16=15,K16,0)</f>
        <v>0</v>
      </c>
      <c r="AL16" s="42">
        <f>IF(AN16=21,K16,0)</f>
        <v>0</v>
      </c>
      <c r="AN16" s="55">
        <v>21</v>
      </c>
      <c r="AO16" s="55">
        <f>H16*0.579893617021277</f>
        <v>0</v>
      </c>
      <c r="AP16" s="55">
        <f>H16*(1-0.579893617021277)</f>
        <v>0</v>
      </c>
      <c r="AQ16" s="56" t="s">
        <v>74</v>
      </c>
      <c r="AV16" s="55">
        <f>AW16+AX16</f>
        <v>0</v>
      </c>
      <c r="AW16" s="55">
        <f>G16*AO16</f>
        <v>0</v>
      </c>
      <c r="AX16" s="55">
        <f>G16*AP16</f>
        <v>0</v>
      </c>
      <c r="AY16" s="58" t="s">
        <v>657</v>
      </c>
      <c r="AZ16" s="58" t="s">
        <v>681</v>
      </c>
      <c r="BA16" s="50" t="s">
        <v>690</v>
      </c>
      <c r="BC16" s="55">
        <f>AW16+AX16</f>
        <v>0</v>
      </c>
      <c r="BD16" s="55">
        <f>H16/(100-BE16)*100</f>
        <v>0</v>
      </c>
      <c r="BE16" s="55">
        <v>0</v>
      </c>
      <c r="BF16" s="55">
        <f>M16</f>
        <v>1.763055</v>
      </c>
      <c r="BH16" s="42">
        <f>G16*AO16</f>
        <v>0</v>
      </c>
      <c r="BI16" s="42">
        <f>G16*AP16</f>
        <v>0</v>
      </c>
      <c r="BJ16" s="42">
        <f>G16*H16</f>
        <v>0</v>
      </c>
      <c r="BK16" s="42" t="s">
        <v>695</v>
      </c>
      <c r="BL16" s="55">
        <v>34</v>
      </c>
    </row>
    <row r="17" spans="1:15" ht="12.75">
      <c r="A17" s="18"/>
      <c r="B17" s="71"/>
      <c r="C17" s="71"/>
      <c r="D17" s="72" t="s">
        <v>383</v>
      </c>
      <c r="E17" s="72"/>
      <c r="F17" s="71"/>
      <c r="G17" s="73">
        <v>19.3</v>
      </c>
      <c r="H17" s="71"/>
      <c r="I17" s="71"/>
      <c r="J17" s="71"/>
      <c r="K17" s="71"/>
      <c r="L17" s="71"/>
      <c r="M17" s="71"/>
      <c r="N17" s="16"/>
      <c r="O17" s="18"/>
    </row>
    <row r="18" spans="1:64" ht="12.75">
      <c r="A18" s="69" t="s">
        <v>76</v>
      </c>
      <c r="B18" s="17"/>
      <c r="C18" s="17" t="s">
        <v>220</v>
      </c>
      <c r="D18" s="113" t="s">
        <v>384</v>
      </c>
      <c r="E18" s="174"/>
      <c r="F18" s="17" t="s">
        <v>622</v>
      </c>
      <c r="G18" s="55">
        <v>4.2</v>
      </c>
      <c r="H18" s="92"/>
      <c r="I18" s="55">
        <f>G18*AO18</f>
        <v>0</v>
      </c>
      <c r="J18" s="55">
        <f>G18*AP18</f>
        <v>0</v>
      </c>
      <c r="K18" s="55">
        <f>G18*H18</f>
        <v>0</v>
      </c>
      <c r="L18" s="55">
        <v>0.1372</v>
      </c>
      <c r="M18" s="55">
        <f>G18*L18</f>
        <v>0.57624</v>
      </c>
      <c r="N18" s="70" t="s">
        <v>646</v>
      </c>
      <c r="O18" s="18"/>
      <c r="Z18" s="55">
        <f>IF(AQ18="5",BJ18,0)</f>
        <v>0</v>
      </c>
      <c r="AB18" s="55">
        <f>IF(AQ18="1",BH18,0)</f>
        <v>0</v>
      </c>
      <c r="AC18" s="55">
        <f>IF(AQ18="1",BI18,0)</f>
        <v>0</v>
      </c>
      <c r="AD18" s="55">
        <f>IF(AQ18="7",BH18,0)</f>
        <v>0</v>
      </c>
      <c r="AE18" s="55">
        <f>IF(AQ18="7",BI18,0)</f>
        <v>0</v>
      </c>
      <c r="AF18" s="55">
        <f>IF(AQ18="2",BH18,0)</f>
        <v>0</v>
      </c>
      <c r="AG18" s="55">
        <f>IF(AQ18="2",BI18,0)</f>
        <v>0</v>
      </c>
      <c r="AH18" s="55">
        <f>IF(AQ18="0",BJ18,0)</f>
        <v>0</v>
      </c>
      <c r="AI18" s="50"/>
      <c r="AJ18" s="42">
        <f>IF(AN18=0,K18,0)</f>
        <v>0</v>
      </c>
      <c r="AK18" s="42">
        <f>IF(AN18=15,K18,0)</f>
        <v>0</v>
      </c>
      <c r="AL18" s="42">
        <f>IF(AN18=21,K18,0)</f>
        <v>0</v>
      </c>
      <c r="AN18" s="55">
        <v>21</v>
      </c>
      <c r="AO18" s="55">
        <f>H18*0.64512465854041</f>
        <v>0</v>
      </c>
      <c r="AP18" s="55">
        <f>H18*(1-0.64512465854041)</f>
        <v>0</v>
      </c>
      <c r="AQ18" s="56" t="s">
        <v>74</v>
      </c>
      <c r="AV18" s="55">
        <f>AW18+AX18</f>
        <v>0</v>
      </c>
      <c r="AW18" s="55">
        <f>G18*AO18</f>
        <v>0</v>
      </c>
      <c r="AX18" s="55">
        <f>G18*AP18</f>
        <v>0</v>
      </c>
      <c r="AY18" s="58" t="s">
        <v>657</v>
      </c>
      <c r="AZ18" s="58" t="s">
        <v>681</v>
      </c>
      <c r="BA18" s="50" t="s">
        <v>690</v>
      </c>
      <c r="BC18" s="55">
        <f>AW18+AX18</f>
        <v>0</v>
      </c>
      <c r="BD18" s="55">
        <f>H18/(100-BE18)*100</f>
        <v>0</v>
      </c>
      <c r="BE18" s="55">
        <v>0</v>
      </c>
      <c r="BF18" s="55">
        <f>M18</f>
        <v>0.57624</v>
      </c>
      <c r="BH18" s="42">
        <f>G18*AO18</f>
        <v>0</v>
      </c>
      <c r="BI18" s="42">
        <f>G18*AP18</f>
        <v>0</v>
      </c>
      <c r="BJ18" s="42">
        <f>G18*H18</f>
        <v>0</v>
      </c>
      <c r="BK18" s="42" t="s">
        <v>695</v>
      </c>
      <c r="BL18" s="55">
        <v>34</v>
      </c>
    </row>
    <row r="19" spans="1:15" ht="12.75">
      <c r="A19" s="18"/>
      <c r="B19" s="71"/>
      <c r="C19" s="71"/>
      <c r="D19" s="72" t="s">
        <v>385</v>
      </c>
      <c r="E19" s="72"/>
      <c r="F19" s="71"/>
      <c r="G19" s="73">
        <v>4.2</v>
      </c>
      <c r="H19" s="71"/>
      <c r="I19" s="71"/>
      <c r="J19" s="71"/>
      <c r="K19" s="71"/>
      <c r="L19" s="71"/>
      <c r="M19" s="71"/>
      <c r="N19" s="16"/>
      <c r="O19" s="18"/>
    </row>
    <row r="20" spans="1:64" ht="12.75">
      <c r="A20" s="69" t="s">
        <v>77</v>
      </c>
      <c r="B20" s="17"/>
      <c r="C20" s="17" t="s">
        <v>221</v>
      </c>
      <c r="D20" s="113" t="s">
        <v>386</v>
      </c>
      <c r="E20" s="174"/>
      <c r="F20" s="17" t="s">
        <v>622</v>
      </c>
      <c r="G20" s="55">
        <v>5.88</v>
      </c>
      <c r="H20" s="92"/>
      <c r="I20" s="55">
        <f>G20*AO20</f>
        <v>0</v>
      </c>
      <c r="J20" s="55">
        <f>G20*AP20</f>
        <v>0</v>
      </c>
      <c r="K20" s="55">
        <f>G20*H20</f>
        <v>0</v>
      </c>
      <c r="L20" s="55">
        <v>0.28156</v>
      </c>
      <c r="M20" s="55">
        <f>G20*L20</f>
        <v>1.6555727999999998</v>
      </c>
      <c r="N20" s="70" t="s">
        <v>646</v>
      </c>
      <c r="O20" s="18"/>
      <c r="Z20" s="55">
        <f>IF(AQ20="5",BJ20,0)</f>
        <v>0</v>
      </c>
      <c r="AB20" s="55">
        <f>IF(AQ20="1",BH20,0)</f>
        <v>0</v>
      </c>
      <c r="AC20" s="55">
        <f>IF(AQ20="1",BI20,0)</f>
        <v>0</v>
      </c>
      <c r="AD20" s="55">
        <f>IF(AQ20="7",BH20,0)</f>
        <v>0</v>
      </c>
      <c r="AE20" s="55">
        <f>IF(AQ20="7",BI20,0)</f>
        <v>0</v>
      </c>
      <c r="AF20" s="55">
        <f>IF(AQ20="2",BH20,0)</f>
        <v>0</v>
      </c>
      <c r="AG20" s="55">
        <f>IF(AQ20="2",BI20,0)</f>
        <v>0</v>
      </c>
      <c r="AH20" s="55">
        <f>IF(AQ20="0",BJ20,0)</f>
        <v>0</v>
      </c>
      <c r="AI20" s="50"/>
      <c r="AJ20" s="42">
        <f>IF(AN20=0,K20,0)</f>
        <v>0</v>
      </c>
      <c r="AK20" s="42">
        <f>IF(AN20=15,K20,0)</f>
        <v>0</v>
      </c>
      <c r="AL20" s="42">
        <f>IF(AN20=21,K20,0)</f>
        <v>0</v>
      </c>
      <c r="AN20" s="55">
        <v>21</v>
      </c>
      <c r="AO20" s="55">
        <f>H20*0.425776805251641</f>
        <v>0</v>
      </c>
      <c r="AP20" s="55">
        <f>H20*(1-0.425776805251641)</f>
        <v>0</v>
      </c>
      <c r="AQ20" s="56" t="s">
        <v>74</v>
      </c>
      <c r="AV20" s="55">
        <f>AW20+AX20</f>
        <v>0</v>
      </c>
      <c r="AW20" s="55">
        <f>G20*AO20</f>
        <v>0</v>
      </c>
      <c r="AX20" s="55">
        <f>G20*AP20</f>
        <v>0</v>
      </c>
      <c r="AY20" s="58" t="s">
        <v>657</v>
      </c>
      <c r="AZ20" s="58" t="s">
        <v>681</v>
      </c>
      <c r="BA20" s="50" t="s">
        <v>690</v>
      </c>
      <c r="BC20" s="55">
        <f>AW20+AX20</f>
        <v>0</v>
      </c>
      <c r="BD20" s="55">
        <f>H20/(100-BE20)*100</f>
        <v>0</v>
      </c>
      <c r="BE20" s="55">
        <v>0</v>
      </c>
      <c r="BF20" s="55">
        <f>M20</f>
        <v>1.6555727999999998</v>
      </c>
      <c r="BH20" s="42">
        <f>G20*AO20</f>
        <v>0</v>
      </c>
      <c r="BI20" s="42">
        <f>G20*AP20</f>
        <v>0</v>
      </c>
      <c r="BJ20" s="42">
        <f>G20*H20</f>
        <v>0</v>
      </c>
      <c r="BK20" s="42" t="s">
        <v>695</v>
      </c>
      <c r="BL20" s="55">
        <v>34</v>
      </c>
    </row>
    <row r="21" spans="1:15" ht="12.75">
      <c r="A21" s="18"/>
      <c r="B21" s="71"/>
      <c r="C21" s="71"/>
      <c r="D21" s="72" t="s">
        <v>387</v>
      </c>
      <c r="E21" s="72"/>
      <c r="F21" s="71"/>
      <c r="G21" s="73">
        <v>5.88</v>
      </c>
      <c r="H21" s="71"/>
      <c r="I21" s="71"/>
      <c r="J21" s="71"/>
      <c r="K21" s="71"/>
      <c r="L21" s="71"/>
      <c r="M21" s="71"/>
      <c r="N21" s="16"/>
      <c r="O21" s="18"/>
    </row>
    <row r="22" spans="1:64" ht="12.75">
      <c r="A22" s="69" t="s">
        <v>78</v>
      </c>
      <c r="B22" s="17"/>
      <c r="C22" s="17" t="s">
        <v>222</v>
      </c>
      <c r="D22" s="113" t="s">
        <v>388</v>
      </c>
      <c r="E22" s="174"/>
      <c r="F22" s="17" t="s">
        <v>621</v>
      </c>
      <c r="G22" s="55">
        <v>0.7</v>
      </c>
      <c r="H22" s="92"/>
      <c r="I22" s="55">
        <f>G22*AO22</f>
        <v>0</v>
      </c>
      <c r="J22" s="55">
        <f>G22*AP22</f>
        <v>0</v>
      </c>
      <c r="K22" s="55">
        <f>G22*H22</f>
        <v>0</v>
      </c>
      <c r="L22" s="55">
        <v>0.01156</v>
      </c>
      <c r="M22" s="55">
        <f>G22*L22</f>
        <v>0.008092</v>
      </c>
      <c r="N22" s="70" t="s">
        <v>646</v>
      </c>
      <c r="O22" s="18"/>
      <c r="Z22" s="55">
        <f>IF(AQ22="5",BJ22,0)</f>
        <v>0</v>
      </c>
      <c r="AB22" s="55">
        <f>IF(AQ22="1",BH22,0)</f>
        <v>0</v>
      </c>
      <c r="AC22" s="55">
        <f>IF(AQ22="1",BI22,0)</f>
        <v>0</v>
      </c>
      <c r="AD22" s="55">
        <f>IF(AQ22="7",BH22,0)</f>
        <v>0</v>
      </c>
      <c r="AE22" s="55">
        <f>IF(AQ22="7",BI22,0)</f>
        <v>0</v>
      </c>
      <c r="AF22" s="55">
        <f>IF(AQ22="2",BH22,0)</f>
        <v>0</v>
      </c>
      <c r="AG22" s="55">
        <f>IF(AQ22="2",BI22,0)</f>
        <v>0</v>
      </c>
      <c r="AH22" s="55">
        <f>IF(AQ22="0",BJ22,0)</f>
        <v>0</v>
      </c>
      <c r="AI22" s="50"/>
      <c r="AJ22" s="42">
        <f>IF(AN22=0,K22,0)</f>
        <v>0</v>
      </c>
      <c r="AK22" s="42">
        <f>IF(AN22=15,K22,0)</f>
        <v>0</v>
      </c>
      <c r="AL22" s="42">
        <f>IF(AN22=21,K22,0)</f>
        <v>0</v>
      </c>
      <c r="AN22" s="55">
        <v>21</v>
      </c>
      <c r="AO22" s="55">
        <f>H22*0.149328657314629</f>
        <v>0</v>
      </c>
      <c r="AP22" s="55">
        <f>H22*(1-0.149328657314629)</f>
        <v>0</v>
      </c>
      <c r="AQ22" s="56" t="s">
        <v>74</v>
      </c>
      <c r="AV22" s="55">
        <f>AW22+AX22</f>
        <v>0</v>
      </c>
      <c r="AW22" s="55">
        <f>G22*AO22</f>
        <v>0</v>
      </c>
      <c r="AX22" s="55">
        <f>G22*AP22</f>
        <v>0</v>
      </c>
      <c r="AY22" s="58" t="s">
        <v>657</v>
      </c>
      <c r="AZ22" s="58" t="s">
        <v>681</v>
      </c>
      <c r="BA22" s="50" t="s">
        <v>690</v>
      </c>
      <c r="BC22" s="55">
        <f>AW22+AX22</f>
        <v>0</v>
      </c>
      <c r="BD22" s="55">
        <f>H22/(100-BE22)*100</f>
        <v>0</v>
      </c>
      <c r="BE22" s="55">
        <v>0</v>
      </c>
      <c r="BF22" s="55">
        <f>M22</f>
        <v>0.008092</v>
      </c>
      <c r="BH22" s="42">
        <f>G22*AO22</f>
        <v>0</v>
      </c>
      <c r="BI22" s="42">
        <f>G22*AP22</f>
        <v>0</v>
      </c>
      <c r="BJ22" s="42">
        <f>G22*H22</f>
        <v>0</v>
      </c>
      <c r="BK22" s="42" t="s">
        <v>695</v>
      </c>
      <c r="BL22" s="55">
        <v>34</v>
      </c>
    </row>
    <row r="23" spans="1:15" ht="12.75">
      <c r="A23" s="18"/>
      <c r="B23" s="71"/>
      <c r="C23" s="71"/>
      <c r="D23" s="72" t="s">
        <v>389</v>
      </c>
      <c r="E23" s="72"/>
      <c r="F23" s="71"/>
      <c r="G23" s="73">
        <v>0</v>
      </c>
      <c r="H23" s="71"/>
      <c r="I23" s="71"/>
      <c r="J23" s="71"/>
      <c r="K23" s="71"/>
      <c r="L23" s="71"/>
      <c r="M23" s="71"/>
      <c r="N23" s="16"/>
      <c r="O23" s="18"/>
    </row>
    <row r="24" spans="1:15" ht="12.75">
      <c r="A24" s="18"/>
      <c r="B24" s="71"/>
      <c r="C24" s="71"/>
      <c r="D24" s="72" t="s">
        <v>390</v>
      </c>
      <c r="E24" s="72"/>
      <c r="F24" s="71"/>
      <c r="G24" s="73">
        <v>0.7</v>
      </c>
      <c r="H24" s="71"/>
      <c r="I24" s="71"/>
      <c r="J24" s="71"/>
      <c r="K24" s="71"/>
      <c r="L24" s="71"/>
      <c r="M24" s="71"/>
      <c r="N24" s="16"/>
      <c r="O24" s="18"/>
    </row>
    <row r="25" spans="1:47" ht="12.75">
      <c r="A25" s="63"/>
      <c r="B25" s="64"/>
      <c r="C25" s="64" t="s">
        <v>134</v>
      </c>
      <c r="D25" s="172" t="s">
        <v>391</v>
      </c>
      <c r="E25" s="173"/>
      <c r="F25" s="65" t="s">
        <v>73</v>
      </c>
      <c r="G25" s="65" t="s">
        <v>73</v>
      </c>
      <c r="H25" s="65" t="s">
        <v>73</v>
      </c>
      <c r="I25" s="66">
        <f>SUM(I26:I40)</f>
        <v>0</v>
      </c>
      <c r="J25" s="66">
        <f>SUM(J26:J40)</f>
        <v>0</v>
      </c>
      <c r="K25" s="66">
        <f>SUM(K26:K40)</f>
        <v>0</v>
      </c>
      <c r="L25" s="67"/>
      <c r="M25" s="66">
        <f>SUM(M26:M40)</f>
        <v>3.6530920000000004</v>
      </c>
      <c r="N25" s="68"/>
      <c r="O25" s="18"/>
      <c r="AI25" s="50"/>
      <c r="AS25" s="61">
        <f>SUM(AJ26:AJ40)</f>
        <v>0</v>
      </c>
      <c r="AT25" s="61">
        <f>SUM(AK26:AK40)</f>
        <v>0</v>
      </c>
      <c r="AU25" s="61">
        <f>SUM(AL26:AL40)</f>
        <v>0</v>
      </c>
    </row>
    <row r="26" spans="1:64" ht="12.75">
      <c r="A26" s="69" t="s">
        <v>79</v>
      </c>
      <c r="B26" s="17"/>
      <c r="C26" s="17" t="s">
        <v>223</v>
      </c>
      <c r="D26" s="113" t="s">
        <v>392</v>
      </c>
      <c r="E26" s="174"/>
      <c r="F26" s="17" t="s">
        <v>623</v>
      </c>
      <c r="G26" s="55">
        <v>5</v>
      </c>
      <c r="H26" s="92"/>
      <c r="I26" s="55">
        <f>G26*AO26</f>
        <v>0</v>
      </c>
      <c r="J26" s="55">
        <f>G26*AP26</f>
        <v>0</v>
      </c>
      <c r="K26" s="55">
        <f>G26*H26</f>
        <v>0</v>
      </c>
      <c r="L26" s="55">
        <v>0.05492</v>
      </c>
      <c r="M26" s="55">
        <f>G26*L26</f>
        <v>0.27459999999999996</v>
      </c>
      <c r="N26" s="70" t="s">
        <v>646</v>
      </c>
      <c r="O26" s="18"/>
      <c r="Z26" s="55">
        <f>IF(AQ26="5",BJ26,0)</f>
        <v>0</v>
      </c>
      <c r="AB26" s="55">
        <f>IF(AQ26="1",BH26,0)</f>
        <v>0</v>
      </c>
      <c r="AC26" s="55">
        <f>IF(AQ26="1",BI26,0)</f>
        <v>0</v>
      </c>
      <c r="AD26" s="55">
        <f>IF(AQ26="7",BH26,0)</f>
        <v>0</v>
      </c>
      <c r="AE26" s="55">
        <f>IF(AQ26="7",BI26,0)</f>
        <v>0</v>
      </c>
      <c r="AF26" s="55">
        <f>IF(AQ26="2",BH26,0)</f>
        <v>0</v>
      </c>
      <c r="AG26" s="55">
        <f>IF(AQ26="2",BI26,0)</f>
        <v>0</v>
      </c>
      <c r="AH26" s="55">
        <f>IF(AQ26="0",BJ26,0)</f>
        <v>0</v>
      </c>
      <c r="AI26" s="50"/>
      <c r="AJ26" s="42">
        <f>IF(AN26=0,K26,0)</f>
        <v>0</v>
      </c>
      <c r="AK26" s="42">
        <f>IF(AN26=15,K26,0)</f>
        <v>0</v>
      </c>
      <c r="AL26" s="42">
        <f>IF(AN26=21,K26,0)</f>
        <v>0</v>
      </c>
      <c r="AN26" s="55">
        <v>21</v>
      </c>
      <c r="AO26" s="55">
        <f>H26*0.281744367781039</f>
        <v>0</v>
      </c>
      <c r="AP26" s="55">
        <f>H26*(1-0.281744367781039)</f>
        <v>0</v>
      </c>
      <c r="AQ26" s="56" t="s">
        <v>74</v>
      </c>
      <c r="AV26" s="55">
        <f>AW26+AX26</f>
        <v>0</v>
      </c>
      <c r="AW26" s="55">
        <f>G26*AO26</f>
        <v>0</v>
      </c>
      <c r="AX26" s="55">
        <f>G26*AP26</f>
        <v>0</v>
      </c>
      <c r="AY26" s="58" t="s">
        <v>658</v>
      </c>
      <c r="AZ26" s="58" t="s">
        <v>682</v>
      </c>
      <c r="BA26" s="50" t="s">
        <v>690</v>
      </c>
      <c r="BC26" s="55">
        <f>AW26+AX26</f>
        <v>0</v>
      </c>
      <c r="BD26" s="55">
        <f>H26/(100-BE26)*100</f>
        <v>0</v>
      </c>
      <c r="BE26" s="55">
        <v>0</v>
      </c>
      <c r="BF26" s="55">
        <f>M26</f>
        <v>0.27459999999999996</v>
      </c>
      <c r="BH26" s="42">
        <f>G26*AO26</f>
        <v>0</v>
      </c>
      <c r="BI26" s="42">
        <f>G26*AP26</f>
        <v>0</v>
      </c>
      <c r="BJ26" s="42">
        <f>G26*H26</f>
        <v>0</v>
      </c>
      <c r="BK26" s="42" t="s">
        <v>695</v>
      </c>
      <c r="BL26" s="55">
        <v>61</v>
      </c>
    </row>
    <row r="27" spans="1:64" ht="12.75">
      <c r="A27" s="69" t="s">
        <v>80</v>
      </c>
      <c r="B27" s="17"/>
      <c r="C27" s="17" t="s">
        <v>224</v>
      </c>
      <c r="D27" s="113" t="s">
        <v>393</v>
      </c>
      <c r="E27" s="174"/>
      <c r="F27" s="17" t="s">
        <v>622</v>
      </c>
      <c r="G27" s="55">
        <v>92.758</v>
      </c>
      <c r="H27" s="92"/>
      <c r="I27" s="55">
        <f>G27*AO27</f>
        <v>0</v>
      </c>
      <c r="J27" s="55">
        <f>G27*AP27</f>
        <v>0</v>
      </c>
      <c r="K27" s="55">
        <f>G27*H27</f>
        <v>0</v>
      </c>
      <c r="L27" s="55">
        <v>0.02495</v>
      </c>
      <c r="M27" s="55">
        <f>G27*L27</f>
        <v>2.3143121</v>
      </c>
      <c r="N27" s="70" t="s">
        <v>646</v>
      </c>
      <c r="O27" s="18"/>
      <c r="Z27" s="55">
        <f>IF(AQ27="5",BJ27,0)</f>
        <v>0</v>
      </c>
      <c r="AB27" s="55">
        <f>IF(AQ27="1",BH27,0)</f>
        <v>0</v>
      </c>
      <c r="AC27" s="55">
        <f>IF(AQ27="1",BI27,0)</f>
        <v>0</v>
      </c>
      <c r="AD27" s="55">
        <f>IF(AQ27="7",BH27,0)</f>
        <v>0</v>
      </c>
      <c r="AE27" s="55">
        <f>IF(AQ27="7",BI27,0)</f>
        <v>0</v>
      </c>
      <c r="AF27" s="55">
        <f>IF(AQ27="2",BH27,0)</f>
        <v>0</v>
      </c>
      <c r="AG27" s="55">
        <f>IF(AQ27="2",BI27,0)</f>
        <v>0</v>
      </c>
      <c r="AH27" s="55">
        <f>IF(AQ27="0",BJ27,0)</f>
        <v>0</v>
      </c>
      <c r="AI27" s="50"/>
      <c r="AJ27" s="42">
        <f>IF(AN27=0,K27,0)</f>
        <v>0</v>
      </c>
      <c r="AK27" s="42">
        <f>IF(AN27=15,K27,0)</f>
        <v>0</v>
      </c>
      <c r="AL27" s="42">
        <f>IF(AN27=21,K27,0)</f>
        <v>0</v>
      </c>
      <c r="AN27" s="55">
        <v>21</v>
      </c>
      <c r="AO27" s="55">
        <f>H27*0.42745567583774</f>
        <v>0</v>
      </c>
      <c r="AP27" s="55">
        <f>H27*(1-0.42745567583774)</f>
        <v>0</v>
      </c>
      <c r="AQ27" s="56" t="s">
        <v>74</v>
      </c>
      <c r="AV27" s="55">
        <f>AW27+AX27</f>
        <v>0</v>
      </c>
      <c r="AW27" s="55">
        <f>G27*AO27</f>
        <v>0</v>
      </c>
      <c r="AX27" s="55">
        <f>G27*AP27</f>
        <v>0</v>
      </c>
      <c r="AY27" s="58" t="s">
        <v>658</v>
      </c>
      <c r="AZ27" s="58" t="s">
        <v>682</v>
      </c>
      <c r="BA27" s="50" t="s">
        <v>690</v>
      </c>
      <c r="BC27" s="55">
        <f>AW27+AX27</f>
        <v>0</v>
      </c>
      <c r="BD27" s="55">
        <f>H27/(100-BE27)*100</f>
        <v>0</v>
      </c>
      <c r="BE27" s="55">
        <v>0</v>
      </c>
      <c r="BF27" s="55">
        <f>M27</f>
        <v>2.3143121</v>
      </c>
      <c r="BH27" s="42">
        <f>G27*AO27</f>
        <v>0</v>
      </c>
      <c r="BI27" s="42">
        <f>G27*AP27</f>
        <v>0</v>
      </c>
      <c r="BJ27" s="42">
        <f>G27*H27</f>
        <v>0</v>
      </c>
      <c r="BK27" s="42" t="s">
        <v>695</v>
      </c>
      <c r="BL27" s="55">
        <v>61</v>
      </c>
    </row>
    <row r="28" spans="1:64" ht="12.75">
      <c r="A28" s="69" t="s">
        <v>81</v>
      </c>
      <c r="B28" s="17"/>
      <c r="C28" s="17" t="s">
        <v>225</v>
      </c>
      <c r="D28" s="113" t="s">
        <v>394</v>
      </c>
      <c r="E28" s="174"/>
      <c r="F28" s="17" t="s">
        <v>622</v>
      </c>
      <c r="G28" s="55">
        <v>16.337</v>
      </c>
      <c r="H28" s="92"/>
      <c r="I28" s="55">
        <f>G28*AO28</f>
        <v>0</v>
      </c>
      <c r="J28" s="55">
        <f>G28*AP28</f>
        <v>0</v>
      </c>
      <c r="K28" s="55">
        <f>G28*H28</f>
        <v>0</v>
      </c>
      <c r="L28" s="55">
        <v>0.04395</v>
      </c>
      <c r="M28" s="55">
        <f>G28*L28</f>
        <v>0.71801115</v>
      </c>
      <c r="N28" s="70" t="s">
        <v>646</v>
      </c>
      <c r="O28" s="18"/>
      <c r="Z28" s="55">
        <f>IF(AQ28="5",BJ28,0)</f>
        <v>0</v>
      </c>
      <c r="AB28" s="55">
        <f>IF(AQ28="1",BH28,0)</f>
        <v>0</v>
      </c>
      <c r="AC28" s="55">
        <f>IF(AQ28="1",BI28,0)</f>
        <v>0</v>
      </c>
      <c r="AD28" s="55">
        <f>IF(AQ28="7",BH28,0)</f>
        <v>0</v>
      </c>
      <c r="AE28" s="55">
        <f>IF(AQ28="7",BI28,0)</f>
        <v>0</v>
      </c>
      <c r="AF28" s="55">
        <f>IF(AQ28="2",BH28,0)</f>
        <v>0</v>
      </c>
      <c r="AG28" s="55">
        <f>IF(AQ28="2",BI28,0)</f>
        <v>0</v>
      </c>
      <c r="AH28" s="55">
        <f>IF(AQ28="0",BJ28,0)</f>
        <v>0</v>
      </c>
      <c r="AI28" s="50"/>
      <c r="AJ28" s="42">
        <f>IF(AN28=0,K28,0)</f>
        <v>0</v>
      </c>
      <c r="AK28" s="42">
        <f>IF(AN28=15,K28,0)</f>
        <v>0</v>
      </c>
      <c r="AL28" s="42">
        <f>IF(AN28=21,K28,0)</f>
        <v>0</v>
      </c>
      <c r="AN28" s="55">
        <v>21</v>
      </c>
      <c r="AO28" s="55">
        <f>H28*0.119459413853222</f>
        <v>0</v>
      </c>
      <c r="AP28" s="55">
        <f>H28*(1-0.119459413853222)</f>
        <v>0</v>
      </c>
      <c r="AQ28" s="56" t="s">
        <v>74</v>
      </c>
      <c r="AV28" s="55">
        <f>AW28+AX28</f>
        <v>0</v>
      </c>
      <c r="AW28" s="55">
        <f>G28*AO28</f>
        <v>0</v>
      </c>
      <c r="AX28" s="55">
        <f>G28*AP28</f>
        <v>0</v>
      </c>
      <c r="AY28" s="58" t="s">
        <v>658</v>
      </c>
      <c r="AZ28" s="58" t="s">
        <v>682</v>
      </c>
      <c r="BA28" s="50" t="s">
        <v>690</v>
      </c>
      <c r="BC28" s="55">
        <f>AW28+AX28</f>
        <v>0</v>
      </c>
      <c r="BD28" s="55">
        <f>H28/(100-BE28)*100</f>
        <v>0</v>
      </c>
      <c r="BE28" s="55">
        <v>0</v>
      </c>
      <c r="BF28" s="55">
        <f>M28</f>
        <v>0.71801115</v>
      </c>
      <c r="BH28" s="42">
        <f>G28*AO28</f>
        <v>0</v>
      </c>
      <c r="BI28" s="42">
        <f>G28*AP28</f>
        <v>0</v>
      </c>
      <c r="BJ28" s="42">
        <f>G28*H28</f>
        <v>0</v>
      </c>
      <c r="BK28" s="42" t="s">
        <v>695</v>
      </c>
      <c r="BL28" s="55">
        <v>61</v>
      </c>
    </row>
    <row r="29" spans="1:15" ht="12.75">
      <c r="A29" s="18"/>
      <c r="B29" s="71"/>
      <c r="C29" s="71"/>
      <c r="D29" s="72" t="s">
        <v>395</v>
      </c>
      <c r="E29" s="72"/>
      <c r="F29" s="71"/>
      <c r="G29" s="73">
        <v>6.69</v>
      </c>
      <c r="H29" s="71"/>
      <c r="I29" s="71"/>
      <c r="J29" s="71"/>
      <c r="K29" s="71"/>
      <c r="L29" s="71"/>
      <c r="M29" s="71"/>
      <c r="N29" s="16"/>
      <c r="O29" s="18"/>
    </row>
    <row r="30" spans="1:15" ht="12.75">
      <c r="A30" s="18"/>
      <c r="B30" s="71"/>
      <c r="C30" s="71"/>
      <c r="D30" s="72" t="s">
        <v>396</v>
      </c>
      <c r="E30" s="72"/>
      <c r="F30" s="71"/>
      <c r="G30" s="73">
        <v>5.237</v>
      </c>
      <c r="H30" s="71"/>
      <c r="I30" s="71"/>
      <c r="J30" s="71"/>
      <c r="K30" s="71"/>
      <c r="L30" s="71"/>
      <c r="M30" s="71"/>
      <c r="N30" s="16"/>
      <c r="O30" s="18"/>
    </row>
    <row r="31" spans="1:15" ht="12.75">
      <c r="A31" s="18"/>
      <c r="B31" s="71"/>
      <c r="C31" s="71"/>
      <c r="D31" s="72" t="s">
        <v>397</v>
      </c>
      <c r="E31" s="72"/>
      <c r="F31" s="71"/>
      <c r="G31" s="73">
        <v>4.41</v>
      </c>
      <c r="H31" s="94"/>
      <c r="I31" s="71"/>
      <c r="J31" s="71"/>
      <c r="K31" s="71"/>
      <c r="L31" s="71"/>
      <c r="M31" s="71"/>
      <c r="N31" s="16"/>
      <c r="O31" s="18"/>
    </row>
    <row r="32" spans="1:64" ht="12.75">
      <c r="A32" s="80" t="s">
        <v>82</v>
      </c>
      <c r="B32" s="80"/>
      <c r="C32" s="80" t="s">
        <v>226</v>
      </c>
      <c r="D32" s="175" t="s">
        <v>398</v>
      </c>
      <c r="E32" s="176"/>
      <c r="F32" s="80" t="s">
        <v>622</v>
      </c>
      <c r="G32" s="81">
        <v>60.685</v>
      </c>
      <c r="H32" s="95"/>
      <c r="I32" s="81">
        <f>G32*AO32</f>
        <v>0</v>
      </c>
      <c r="J32" s="81">
        <f>G32*AP32</f>
        <v>0</v>
      </c>
      <c r="K32" s="81">
        <f>G32*H32</f>
        <v>0</v>
      </c>
      <c r="L32" s="81">
        <v>0.00032</v>
      </c>
      <c r="M32" s="81">
        <f>G32*L32</f>
        <v>0.0194192</v>
      </c>
      <c r="N32" s="76" t="s">
        <v>646</v>
      </c>
      <c r="O32" s="78"/>
      <c r="Z32" s="55">
        <f>IF(AQ32="5",BJ32,0)</f>
        <v>0</v>
      </c>
      <c r="AB32" s="55">
        <f>IF(AQ32="1",BH32,0)</f>
        <v>0</v>
      </c>
      <c r="AC32" s="55">
        <f>IF(AQ32="1",BI32,0)</f>
        <v>0</v>
      </c>
      <c r="AD32" s="55">
        <f>IF(AQ32="7",BH32,0)</f>
        <v>0</v>
      </c>
      <c r="AE32" s="55">
        <f>IF(AQ32="7",BI32,0)</f>
        <v>0</v>
      </c>
      <c r="AF32" s="55">
        <f>IF(AQ32="2",BH32,0)</f>
        <v>0</v>
      </c>
      <c r="AG32" s="55">
        <f>IF(AQ32="2",BI32,0)</f>
        <v>0</v>
      </c>
      <c r="AH32" s="55">
        <f>IF(AQ32="0",BJ32,0)</f>
        <v>0</v>
      </c>
      <c r="AI32" s="50"/>
      <c r="AJ32" s="42">
        <f>IF(AN32=0,K32,0)</f>
        <v>0</v>
      </c>
      <c r="AK32" s="42">
        <f>IF(AN32=15,K32,0)</f>
        <v>0</v>
      </c>
      <c r="AL32" s="42">
        <f>IF(AN32=21,K32,0)</f>
        <v>0</v>
      </c>
      <c r="AN32" s="55">
        <v>21</v>
      </c>
      <c r="AO32" s="55">
        <f>H32*0.489402383236184</f>
        <v>0</v>
      </c>
      <c r="AP32" s="55">
        <f>H32*(1-0.489402383236184)</f>
        <v>0</v>
      </c>
      <c r="AQ32" s="56" t="s">
        <v>74</v>
      </c>
      <c r="AV32" s="55">
        <f>AW32+AX32</f>
        <v>0</v>
      </c>
      <c r="AW32" s="55">
        <f>G32*AO32</f>
        <v>0</v>
      </c>
      <c r="AX32" s="55">
        <f>G32*AP32</f>
        <v>0</v>
      </c>
      <c r="AY32" s="58" t="s">
        <v>658</v>
      </c>
      <c r="AZ32" s="58" t="s">
        <v>682</v>
      </c>
      <c r="BA32" s="50" t="s">
        <v>690</v>
      </c>
      <c r="BC32" s="55">
        <f>AW32+AX32</f>
        <v>0</v>
      </c>
      <c r="BD32" s="55">
        <f>H32/(100-BE32)*100</f>
        <v>0</v>
      </c>
      <c r="BE32" s="55">
        <v>0</v>
      </c>
      <c r="BF32" s="55">
        <f>M32</f>
        <v>0.0194192</v>
      </c>
      <c r="BH32" s="42">
        <f>G32*AO32</f>
        <v>0</v>
      </c>
      <c r="BI32" s="42">
        <f>G32*AP32</f>
        <v>0</v>
      </c>
      <c r="BJ32" s="42">
        <f>G32*H32</f>
        <v>0</v>
      </c>
      <c r="BK32" s="42" t="s">
        <v>695</v>
      </c>
      <c r="BL32" s="55">
        <v>61</v>
      </c>
    </row>
    <row r="33" spans="1:15" ht="12.75">
      <c r="A33" s="82"/>
      <c r="B33" s="83"/>
      <c r="C33" s="83"/>
      <c r="D33" s="84" t="s">
        <v>399</v>
      </c>
      <c r="E33" s="84"/>
      <c r="F33" s="83"/>
      <c r="G33" s="85">
        <v>60.685</v>
      </c>
      <c r="H33" s="83"/>
      <c r="I33" s="83"/>
      <c r="J33" s="83"/>
      <c r="K33" s="83"/>
      <c r="L33" s="83"/>
      <c r="M33" s="83"/>
      <c r="N33" s="79"/>
      <c r="O33" s="78"/>
    </row>
    <row r="34" spans="1:64" ht="12.75">
      <c r="A34" s="80" t="s">
        <v>83</v>
      </c>
      <c r="B34" s="80"/>
      <c r="C34" s="80" t="s">
        <v>227</v>
      </c>
      <c r="D34" s="175" t="s">
        <v>400</v>
      </c>
      <c r="E34" s="176"/>
      <c r="F34" s="80" t="s">
        <v>622</v>
      </c>
      <c r="G34" s="81">
        <v>35.7075</v>
      </c>
      <c r="H34" s="95"/>
      <c r="I34" s="81">
        <f>G34*AO34</f>
        <v>0</v>
      </c>
      <c r="J34" s="81">
        <f>G34*AP34</f>
        <v>0</v>
      </c>
      <c r="K34" s="81">
        <f>G34*H34</f>
        <v>0</v>
      </c>
      <c r="L34" s="81">
        <v>0.0025</v>
      </c>
      <c r="M34" s="81">
        <f>G34*L34</f>
        <v>0.08926875000000001</v>
      </c>
      <c r="N34" s="76" t="s">
        <v>646</v>
      </c>
      <c r="O34" s="78"/>
      <c r="Z34" s="55">
        <f>IF(AQ34="5",BJ34,0)</f>
        <v>0</v>
      </c>
      <c r="AB34" s="55">
        <f>IF(AQ34="1",BH34,0)</f>
        <v>0</v>
      </c>
      <c r="AC34" s="55">
        <f>IF(AQ34="1",BI34,0)</f>
        <v>0</v>
      </c>
      <c r="AD34" s="55">
        <f>IF(AQ34="7",BH34,0)</f>
        <v>0</v>
      </c>
      <c r="AE34" s="55">
        <f>IF(AQ34="7",BI34,0)</f>
        <v>0</v>
      </c>
      <c r="AF34" s="55">
        <f>IF(AQ34="2",BH34,0)</f>
        <v>0</v>
      </c>
      <c r="AG34" s="55">
        <f>IF(AQ34="2",BI34,0)</f>
        <v>0</v>
      </c>
      <c r="AH34" s="55">
        <f>IF(AQ34="0",BJ34,0)</f>
        <v>0</v>
      </c>
      <c r="AI34" s="50"/>
      <c r="AJ34" s="42">
        <f>IF(AN34=0,K34,0)</f>
        <v>0</v>
      </c>
      <c r="AK34" s="42">
        <f>IF(AN34=15,K34,0)</f>
        <v>0</v>
      </c>
      <c r="AL34" s="42">
        <f>IF(AN34=21,K34,0)</f>
        <v>0</v>
      </c>
      <c r="AN34" s="55">
        <v>21</v>
      </c>
      <c r="AO34" s="55">
        <f>H34*0.114178985163465</f>
        <v>0</v>
      </c>
      <c r="AP34" s="55">
        <f>H34*(1-0.114178985163465)</f>
        <v>0</v>
      </c>
      <c r="AQ34" s="56" t="s">
        <v>74</v>
      </c>
      <c r="AV34" s="55">
        <f>AW34+AX34</f>
        <v>0</v>
      </c>
      <c r="AW34" s="55">
        <f>G34*AO34</f>
        <v>0</v>
      </c>
      <c r="AX34" s="55">
        <f>G34*AP34</f>
        <v>0</v>
      </c>
      <c r="AY34" s="58" t="s">
        <v>658</v>
      </c>
      <c r="AZ34" s="58" t="s">
        <v>682</v>
      </c>
      <c r="BA34" s="50" t="s">
        <v>690</v>
      </c>
      <c r="BC34" s="55">
        <f>AW34+AX34</f>
        <v>0</v>
      </c>
      <c r="BD34" s="55">
        <f>H34/(100-BE34)*100</f>
        <v>0</v>
      </c>
      <c r="BE34" s="55">
        <v>0</v>
      </c>
      <c r="BF34" s="55">
        <f>M34</f>
        <v>0.08926875000000001</v>
      </c>
      <c r="BH34" s="42">
        <f>G34*AO34</f>
        <v>0</v>
      </c>
      <c r="BI34" s="42">
        <f>G34*AP34</f>
        <v>0</v>
      </c>
      <c r="BJ34" s="42">
        <f>G34*H34</f>
        <v>0</v>
      </c>
      <c r="BK34" s="42" t="s">
        <v>695</v>
      </c>
      <c r="BL34" s="55">
        <v>61</v>
      </c>
    </row>
    <row r="35" spans="1:15" ht="12.75">
      <c r="A35" s="82"/>
      <c r="B35" s="83"/>
      <c r="C35" s="83"/>
      <c r="D35" s="84" t="s">
        <v>401</v>
      </c>
      <c r="E35" s="84"/>
      <c r="F35" s="83"/>
      <c r="G35" s="85">
        <v>0</v>
      </c>
      <c r="H35" s="83"/>
      <c r="I35" s="83"/>
      <c r="J35" s="83"/>
      <c r="K35" s="83"/>
      <c r="L35" s="83"/>
      <c r="M35" s="83"/>
      <c r="N35" s="79"/>
      <c r="O35" s="78"/>
    </row>
    <row r="36" spans="1:15" ht="12.75">
      <c r="A36" s="82"/>
      <c r="B36" s="83"/>
      <c r="C36" s="83"/>
      <c r="D36" s="84" t="s">
        <v>402</v>
      </c>
      <c r="E36" s="84"/>
      <c r="F36" s="83"/>
      <c r="G36" s="85">
        <v>18.63</v>
      </c>
      <c r="H36" s="83"/>
      <c r="I36" s="83"/>
      <c r="J36" s="83"/>
      <c r="K36" s="83"/>
      <c r="L36" s="83"/>
      <c r="M36" s="83"/>
      <c r="N36" s="79"/>
      <c r="O36" s="78"/>
    </row>
    <row r="37" spans="1:15" ht="12.75">
      <c r="A37" s="82"/>
      <c r="B37" s="83"/>
      <c r="C37" s="83"/>
      <c r="D37" s="84" t="s">
        <v>403</v>
      </c>
      <c r="E37" s="84"/>
      <c r="F37" s="83"/>
      <c r="G37" s="85">
        <v>17.0775</v>
      </c>
      <c r="H37" s="83"/>
      <c r="I37" s="83"/>
      <c r="J37" s="83"/>
      <c r="K37" s="83"/>
      <c r="L37" s="83"/>
      <c r="M37" s="83"/>
      <c r="N37" s="79"/>
      <c r="O37" s="78"/>
    </row>
    <row r="38" spans="1:64" ht="12.75">
      <c r="A38" s="74" t="s">
        <v>84</v>
      </c>
      <c r="B38" s="74"/>
      <c r="C38" s="74" t="s">
        <v>228</v>
      </c>
      <c r="D38" s="177" t="s">
        <v>404</v>
      </c>
      <c r="E38" s="178"/>
      <c r="F38" s="74" t="s">
        <v>622</v>
      </c>
      <c r="G38" s="75">
        <v>2.4</v>
      </c>
      <c r="H38" s="96"/>
      <c r="I38" s="75">
        <f>G38*AO38</f>
        <v>0</v>
      </c>
      <c r="J38" s="75">
        <f>G38*AP38</f>
        <v>0</v>
      </c>
      <c r="K38" s="75">
        <f>G38*H38</f>
        <v>0</v>
      </c>
      <c r="L38" s="75">
        <v>0.068</v>
      </c>
      <c r="M38" s="75">
        <f>G38*L38</f>
        <v>0.1632</v>
      </c>
      <c r="N38" s="77" t="s">
        <v>646</v>
      </c>
      <c r="O38" s="78"/>
      <c r="Z38" s="55">
        <f>IF(AQ38="5",BJ38,0)</f>
        <v>0</v>
      </c>
      <c r="AB38" s="55">
        <f>IF(AQ38="1",BH38,0)</f>
        <v>0</v>
      </c>
      <c r="AC38" s="55">
        <f>IF(AQ38="1",BI38,0)</f>
        <v>0</v>
      </c>
      <c r="AD38" s="55">
        <f>IF(AQ38="7",BH38,0)</f>
        <v>0</v>
      </c>
      <c r="AE38" s="55">
        <f>IF(AQ38="7",BI38,0)</f>
        <v>0</v>
      </c>
      <c r="AF38" s="55">
        <f>IF(AQ38="2",BH38,0)</f>
        <v>0</v>
      </c>
      <c r="AG38" s="55">
        <f>IF(AQ38="2",BI38,0)</f>
        <v>0</v>
      </c>
      <c r="AH38" s="55">
        <f>IF(AQ38="0",BJ38,0)</f>
        <v>0</v>
      </c>
      <c r="AI38" s="50"/>
      <c r="AJ38" s="42">
        <f>IF(AN38=0,K38,0)</f>
        <v>0</v>
      </c>
      <c r="AK38" s="42">
        <f>IF(AN38=15,K38,0)</f>
        <v>0</v>
      </c>
      <c r="AL38" s="42">
        <f>IF(AN38=21,K38,0)</f>
        <v>0</v>
      </c>
      <c r="AN38" s="55">
        <v>21</v>
      </c>
      <c r="AO38" s="55">
        <f>H38*0.466101996414937</f>
        <v>0</v>
      </c>
      <c r="AP38" s="55">
        <f>H38*(1-0.466101996414937)</f>
        <v>0</v>
      </c>
      <c r="AQ38" s="56" t="s">
        <v>74</v>
      </c>
      <c r="AV38" s="55">
        <f>AW38+AX38</f>
        <v>0</v>
      </c>
      <c r="AW38" s="55">
        <f>G38*AO38</f>
        <v>0</v>
      </c>
      <c r="AX38" s="55">
        <f>G38*AP38</f>
        <v>0</v>
      </c>
      <c r="AY38" s="58" t="s">
        <v>658</v>
      </c>
      <c r="AZ38" s="58" t="s">
        <v>682</v>
      </c>
      <c r="BA38" s="50" t="s">
        <v>690</v>
      </c>
      <c r="BC38" s="55">
        <f>AW38+AX38</f>
        <v>0</v>
      </c>
      <c r="BD38" s="55">
        <f>H38/(100-BE38)*100</f>
        <v>0</v>
      </c>
      <c r="BE38" s="55">
        <v>0</v>
      </c>
      <c r="BF38" s="55">
        <f>M38</f>
        <v>0.1632</v>
      </c>
      <c r="BH38" s="42">
        <f>G38*AO38</f>
        <v>0</v>
      </c>
      <c r="BI38" s="42">
        <f>G38*AP38</f>
        <v>0</v>
      </c>
      <c r="BJ38" s="42">
        <f>G38*H38</f>
        <v>0</v>
      </c>
      <c r="BK38" s="42" t="s">
        <v>695</v>
      </c>
      <c r="BL38" s="55">
        <v>61</v>
      </c>
    </row>
    <row r="39" spans="1:64" ht="12.75">
      <c r="A39" s="69" t="s">
        <v>85</v>
      </c>
      <c r="B39" s="17"/>
      <c r="C39" s="17" t="s">
        <v>229</v>
      </c>
      <c r="D39" s="113" t="s">
        <v>405</v>
      </c>
      <c r="E39" s="179"/>
      <c r="F39" s="17" t="s">
        <v>624</v>
      </c>
      <c r="G39" s="55">
        <v>1</v>
      </c>
      <c r="H39" s="92"/>
      <c r="I39" s="55">
        <f>G39*AO39</f>
        <v>0</v>
      </c>
      <c r="J39" s="55">
        <f>G39*AP39</f>
        <v>0</v>
      </c>
      <c r="K39" s="55">
        <f>G39*H39</f>
        <v>0</v>
      </c>
      <c r="L39" s="55">
        <v>0</v>
      </c>
      <c r="M39" s="55">
        <f>G39*L39</f>
        <v>0</v>
      </c>
      <c r="N39" s="70"/>
      <c r="O39" s="18"/>
      <c r="Z39" s="55">
        <f>IF(AQ39="5",BJ39,0)</f>
        <v>0</v>
      </c>
      <c r="AB39" s="55">
        <f>IF(AQ39="1",BH39,0)</f>
        <v>0</v>
      </c>
      <c r="AC39" s="55">
        <f>IF(AQ39="1",BI39,0)</f>
        <v>0</v>
      </c>
      <c r="AD39" s="55">
        <f>IF(AQ39="7",BH39,0)</f>
        <v>0</v>
      </c>
      <c r="AE39" s="55">
        <f>IF(AQ39="7",BI39,0)</f>
        <v>0</v>
      </c>
      <c r="AF39" s="55">
        <f>IF(AQ39="2",BH39,0)</f>
        <v>0</v>
      </c>
      <c r="AG39" s="55">
        <f>IF(AQ39="2",BI39,0)</f>
        <v>0</v>
      </c>
      <c r="AH39" s="55">
        <f>IF(AQ39="0",BJ39,0)</f>
        <v>0</v>
      </c>
      <c r="AI39" s="50"/>
      <c r="AJ39" s="43">
        <f>IF(AN39=0,K39,0)</f>
        <v>0</v>
      </c>
      <c r="AK39" s="43">
        <f>IF(AN39=15,K39,0)</f>
        <v>0</v>
      </c>
      <c r="AL39" s="43">
        <f>IF(AN39=21,K39,0)</f>
        <v>0</v>
      </c>
      <c r="AN39" s="55">
        <v>21</v>
      </c>
      <c r="AO39" s="55">
        <f>H39*1</f>
        <v>0</v>
      </c>
      <c r="AP39" s="55">
        <f>H39*(1-1)</f>
        <v>0</v>
      </c>
      <c r="AQ39" s="57" t="s">
        <v>74</v>
      </c>
      <c r="AV39" s="55">
        <f>AW39+AX39</f>
        <v>0</v>
      </c>
      <c r="AW39" s="55">
        <f>G39*AO39</f>
        <v>0</v>
      </c>
      <c r="AX39" s="55">
        <f>G39*AP39</f>
        <v>0</v>
      </c>
      <c r="AY39" s="58" t="s">
        <v>658</v>
      </c>
      <c r="AZ39" s="58" t="s">
        <v>682</v>
      </c>
      <c r="BA39" s="50" t="s">
        <v>690</v>
      </c>
      <c r="BC39" s="55">
        <f>AW39+AX39</f>
        <v>0</v>
      </c>
      <c r="BD39" s="55">
        <f>H39/(100-BE39)*100</f>
        <v>0</v>
      </c>
      <c r="BE39" s="55">
        <v>0</v>
      </c>
      <c r="BF39" s="55">
        <f>M39</f>
        <v>0</v>
      </c>
      <c r="BH39" s="43">
        <f>G39*AO39</f>
        <v>0</v>
      </c>
      <c r="BI39" s="43">
        <f>G39*AP39</f>
        <v>0</v>
      </c>
      <c r="BJ39" s="43">
        <f>G39*H39</f>
        <v>0</v>
      </c>
      <c r="BK39" s="43" t="s">
        <v>696</v>
      </c>
      <c r="BL39" s="55">
        <v>61</v>
      </c>
    </row>
    <row r="40" spans="1:64" ht="12.75">
      <c r="A40" s="69" t="s">
        <v>86</v>
      </c>
      <c r="B40" s="17"/>
      <c r="C40" s="17" t="s">
        <v>230</v>
      </c>
      <c r="D40" s="113" t="s">
        <v>406</v>
      </c>
      <c r="E40" s="174"/>
      <c r="F40" s="17" t="s">
        <v>622</v>
      </c>
      <c r="G40" s="55">
        <v>20.24</v>
      </c>
      <c r="H40" s="92"/>
      <c r="I40" s="55">
        <f>G40*AO40</f>
        <v>0</v>
      </c>
      <c r="J40" s="55">
        <f>G40*AP40</f>
        <v>0</v>
      </c>
      <c r="K40" s="55">
        <f>G40*H40</f>
        <v>0</v>
      </c>
      <c r="L40" s="55">
        <v>0.00367</v>
      </c>
      <c r="M40" s="55">
        <f>G40*L40</f>
        <v>0.0742808</v>
      </c>
      <c r="N40" s="70" t="s">
        <v>646</v>
      </c>
      <c r="O40" s="18"/>
      <c r="Z40" s="55">
        <f>IF(AQ40="5",BJ40,0)</f>
        <v>0</v>
      </c>
      <c r="AB40" s="55">
        <f>IF(AQ40="1",BH40,0)</f>
        <v>0</v>
      </c>
      <c r="AC40" s="55">
        <f>IF(AQ40="1",BI40,0)</f>
        <v>0</v>
      </c>
      <c r="AD40" s="55">
        <f>IF(AQ40="7",BH40,0)</f>
        <v>0</v>
      </c>
      <c r="AE40" s="55">
        <f>IF(AQ40="7",BI40,0)</f>
        <v>0</v>
      </c>
      <c r="AF40" s="55">
        <f>IF(AQ40="2",BH40,0)</f>
        <v>0</v>
      </c>
      <c r="AG40" s="55">
        <f>IF(AQ40="2",BI40,0)</f>
        <v>0</v>
      </c>
      <c r="AH40" s="55">
        <f>IF(AQ40="0",BJ40,0)</f>
        <v>0</v>
      </c>
      <c r="AI40" s="50"/>
      <c r="AJ40" s="42">
        <f>IF(AN40=0,K40,0)</f>
        <v>0</v>
      </c>
      <c r="AK40" s="42">
        <f>IF(AN40=15,K40,0)</f>
        <v>0</v>
      </c>
      <c r="AL40" s="42">
        <f>IF(AN40=21,K40,0)</f>
        <v>0</v>
      </c>
      <c r="AN40" s="55">
        <v>21</v>
      </c>
      <c r="AO40" s="55">
        <f>H40*0.264961307094707</f>
        <v>0</v>
      </c>
      <c r="AP40" s="55">
        <f>H40*(1-0.264961307094707)</f>
        <v>0</v>
      </c>
      <c r="AQ40" s="56" t="s">
        <v>74</v>
      </c>
      <c r="AV40" s="55">
        <f>AW40+AX40</f>
        <v>0</v>
      </c>
      <c r="AW40" s="55">
        <f>G40*AO40</f>
        <v>0</v>
      </c>
      <c r="AX40" s="55">
        <f>G40*AP40</f>
        <v>0</v>
      </c>
      <c r="AY40" s="58" t="s">
        <v>658</v>
      </c>
      <c r="AZ40" s="58" t="s">
        <v>682</v>
      </c>
      <c r="BA40" s="50" t="s">
        <v>690</v>
      </c>
      <c r="BC40" s="55">
        <f>AW40+AX40</f>
        <v>0</v>
      </c>
      <c r="BD40" s="55">
        <f>H40/(100-BE40)*100</f>
        <v>0</v>
      </c>
      <c r="BE40" s="55">
        <v>0</v>
      </c>
      <c r="BF40" s="55">
        <f>M40</f>
        <v>0.0742808</v>
      </c>
      <c r="BH40" s="42">
        <f>G40*AO40</f>
        <v>0</v>
      </c>
      <c r="BI40" s="42">
        <f>G40*AP40</f>
        <v>0</v>
      </c>
      <c r="BJ40" s="42">
        <f>G40*H40</f>
        <v>0</v>
      </c>
      <c r="BK40" s="42" t="s">
        <v>695</v>
      </c>
      <c r="BL40" s="55">
        <v>61</v>
      </c>
    </row>
    <row r="41" spans="1:15" ht="12.75">
      <c r="A41" s="18"/>
      <c r="B41" s="71"/>
      <c r="C41" s="71"/>
      <c r="D41" s="72" t="s">
        <v>407</v>
      </c>
      <c r="E41" s="72"/>
      <c r="F41" s="71"/>
      <c r="G41" s="73">
        <v>0</v>
      </c>
      <c r="H41" s="71"/>
      <c r="I41" s="71"/>
      <c r="J41" s="71"/>
      <c r="K41" s="71"/>
      <c r="L41" s="71"/>
      <c r="M41" s="71"/>
      <c r="N41" s="16"/>
      <c r="O41" s="18"/>
    </row>
    <row r="42" spans="1:15" ht="12.75">
      <c r="A42" s="18"/>
      <c r="B42" s="71"/>
      <c r="C42" s="71"/>
      <c r="D42" s="72" t="s">
        <v>408</v>
      </c>
      <c r="E42" s="72"/>
      <c r="F42" s="71"/>
      <c r="G42" s="73">
        <v>20.24</v>
      </c>
      <c r="H42" s="71"/>
      <c r="I42" s="71"/>
      <c r="J42" s="71"/>
      <c r="K42" s="71"/>
      <c r="L42" s="71"/>
      <c r="M42" s="71"/>
      <c r="N42" s="16"/>
      <c r="O42" s="18"/>
    </row>
    <row r="43" spans="1:47" ht="12.75">
      <c r="A43" s="63"/>
      <c r="B43" s="64"/>
      <c r="C43" s="64" t="s">
        <v>136</v>
      </c>
      <c r="D43" s="172" t="s">
        <v>409</v>
      </c>
      <c r="E43" s="173"/>
      <c r="F43" s="65" t="s">
        <v>73</v>
      </c>
      <c r="G43" s="65" t="s">
        <v>73</v>
      </c>
      <c r="H43" s="65" t="s">
        <v>73</v>
      </c>
      <c r="I43" s="66">
        <f>SUM(I44:I44)</f>
        <v>0</v>
      </c>
      <c r="J43" s="66">
        <f>SUM(J44:J44)</f>
        <v>0</v>
      </c>
      <c r="K43" s="66">
        <f>SUM(K44:K44)</f>
        <v>0</v>
      </c>
      <c r="L43" s="67"/>
      <c r="M43" s="66">
        <f>SUM(M44:M44)</f>
        <v>2.2117425</v>
      </c>
      <c r="N43" s="68"/>
      <c r="O43" s="18"/>
      <c r="AI43" s="50"/>
      <c r="AS43" s="61">
        <f>SUM(AJ44:AJ44)</f>
        <v>0</v>
      </c>
      <c r="AT43" s="61">
        <f>SUM(AK44:AK44)</f>
        <v>0</v>
      </c>
      <c r="AU43" s="61">
        <f>SUM(AL44:AL44)</f>
        <v>0</v>
      </c>
    </row>
    <row r="44" spans="1:64" ht="12.75">
      <c r="A44" s="69" t="s">
        <v>87</v>
      </c>
      <c r="B44" s="17"/>
      <c r="C44" s="17" t="s">
        <v>231</v>
      </c>
      <c r="D44" s="113" t="s">
        <v>410</v>
      </c>
      <c r="E44" s="174"/>
      <c r="F44" s="17" t="s">
        <v>622</v>
      </c>
      <c r="G44" s="55">
        <v>23.2815</v>
      </c>
      <c r="H44" s="92"/>
      <c r="I44" s="55">
        <f>G44*AO44</f>
        <v>0</v>
      </c>
      <c r="J44" s="55">
        <f>G44*AP44</f>
        <v>0</v>
      </c>
      <c r="K44" s="55">
        <f>G44*H44</f>
        <v>0</v>
      </c>
      <c r="L44" s="55">
        <v>0.095</v>
      </c>
      <c r="M44" s="55">
        <f>G44*L44</f>
        <v>2.2117425</v>
      </c>
      <c r="N44" s="70" t="s">
        <v>646</v>
      </c>
      <c r="O44" s="18"/>
      <c r="Z44" s="55">
        <f>IF(AQ44="5",BJ44,0)</f>
        <v>0</v>
      </c>
      <c r="AB44" s="55">
        <f>IF(AQ44="1",BH44,0)</f>
        <v>0</v>
      </c>
      <c r="AC44" s="55">
        <f>IF(AQ44="1",BI44,0)</f>
        <v>0</v>
      </c>
      <c r="AD44" s="55">
        <f>IF(AQ44="7",BH44,0)</f>
        <v>0</v>
      </c>
      <c r="AE44" s="55">
        <f>IF(AQ44="7",BI44,0)</f>
        <v>0</v>
      </c>
      <c r="AF44" s="55">
        <f>IF(AQ44="2",BH44,0)</f>
        <v>0</v>
      </c>
      <c r="AG44" s="55">
        <f>IF(AQ44="2",BI44,0)</f>
        <v>0</v>
      </c>
      <c r="AH44" s="55">
        <f>IF(AQ44="0",BJ44,0)</f>
        <v>0</v>
      </c>
      <c r="AI44" s="50"/>
      <c r="AJ44" s="42">
        <f>IF(AN44=0,K44,0)</f>
        <v>0</v>
      </c>
      <c r="AK44" s="42">
        <f>IF(AN44=15,K44,0)</f>
        <v>0</v>
      </c>
      <c r="AL44" s="42">
        <f>IF(AN44=21,K44,0)</f>
        <v>0</v>
      </c>
      <c r="AN44" s="55">
        <v>21</v>
      </c>
      <c r="AO44" s="55">
        <f>H44*0.679146955143705</f>
        <v>0</v>
      </c>
      <c r="AP44" s="55">
        <f>H44*(1-0.679146955143705)</f>
        <v>0</v>
      </c>
      <c r="AQ44" s="56" t="s">
        <v>74</v>
      </c>
      <c r="AV44" s="55">
        <f>AW44+AX44</f>
        <v>0</v>
      </c>
      <c r="AW44" s="55">
        <f>G44*AO44</f>
        <v>0</v>
      </c>
      <c r="AX44" s="55">
        <f>G44*AP44</f>
        <v>0</v>
      </c>
      <c r="AY44" s="58" t="s">
        <v>659</v>
      </c>
      <c r="AZ44" s="58" t="s">
        <v>682</v>
      </c>
      <c r="BA44" s="50" t="s">
        <v>690</v>
      </c>
      <c r="BC44" s="55">
        <f>AW44+AX44</f>
        <v>0</v>
      </c>
      <c r="BD44" s="55">
        <f>H44/(100-BE44)*100</f>
        <v>0</v>
      </c>
      <c r="BE44" s="55">
        <v>0</v>
      </c>
      <c r="BF44" s="55">
        <f>M44</f>
        <v>2.2117425</v>
      </c>
      <c r="BH44" s="42">
        <f>G44*AO44</f>
        <v>0</v>
      </c>
      <c r="BI44" s="42">
        <f>G44*AP44</f>
        <v>0</v>
      </c>
      <c r="BJ44" s="42">
        <f>G44*H44</f>
        <v>0</v>
      </c>
      <c r="BK44" s="42" t="s">
        <v>695</v>
      </c>
      <c r="BL44" s="55">
        <v>63</v>
      </c>
    </row>
    <row r="45" spans="1:15" ht="12.75">
      <c r="A45" s="18"/>
      <c r="B45" s="71"/>
      <c r="C45" s="71"/>
      <c r="D45" s="72" t="s">
        <v>411</v>
      </c>
      <c r="E45" s="72"/>
      <c r="F45" s="71"/>
      <c r="G45" s="73">
        <v>23.2815</v>
      </c>
      <c r="H45" s="71"/>
      <c r="I45" s="71"/>
      <c r="J45" s="71"/>
      <c r="K45" s="71"/>
      <c r="L45" s="71"/>
      <c r="M45" s="71"/>
      <c r="N45" s="16"/>
      <c r="O45" s="18"/>
    </row>
    <row r="46" spans="1:47" ht="12.75">
      <c r="A46" s="63"/>
      <c r="B46" s="64"/>
      <c r="C46" s="64" t="s">
        <v>137</v>
      </c>
      <c r="D46" s="172" t="s">
        <v>412</v>
      </c>
      <c r="E46" s="173"/>
      <c r="F46" s="65" t="s">
        <v>73</v>
      </c>
      <c r="G46" s="65" t="s">
        <v>73</v>
      </c>
      <c r="H46" s="65" t="s">
        <v>73</v>
      </c>
      <c r="I46" s="66">
        <f>SUM(I47:I48)</f>
        <v>0</v>
      </c>
      <c r="J46" s="66">
        <f>SUM(J47:J48)</f>
        <v>0</v>
      </c>
      <c r="K46" s="66">
        <f>SUM(K47:K48)</f>
        <v>0</v>
      </c>
      <c r="L46" s="67"/>
      <c r="M46" s="66">
        <f>SUM(M47:M48)</f>
        <v>0.14605</v>
      </c>
      <c r="N46" s="68"/>
      <c r="O46" s="18"/>
      <c r="AI46" s="50"/>
      <c r="AS46" s="61">
        <f>SUM(AJ47:AJ48)</f>
        <v>0</v>
      </c>
      <c r="AT46" s="61">
        <f>SUM(AK47:AK48)</f>
        <v>0</v>
      </c>
      <c r="AU46" s="61">
        <f>SUM(AL47:AL48)</f>
        <v>0</v>
      </c>
    </row>
    <row r="47" spans="1:64" ht="12.75">
      <c r="A47" s="69" t="s">
        <v>88</v>
      </c>
      <c r="B47" s="17"/>
      <c r="C47" s="17" t="s">
        <v>232</v>
      </c>
      <c r="D47" s="113" t="s">
        <v>413</v>
      </c>
      <c r="E47" s="174"/>
      <c r="F47" s="17" t="s">
        <v>623</v>
      </c>
      <c r="G47" s="55">
        <v>4</v>
      </c>
      <c r="H47" s="92"/>
      <c r="I47" s="55">
        <f>G47*AO47</f>
        <v>0</v>
      </c>
      <c r="J47" s="55">
        <f>G47*AP47</f>
        <v>0</v>
      </c>
      <c r="K47" s="55">
        <f>G47*H47</f>
        <v>0</v>
      </c>
      <c r="L47" s="55">
        <v>0.02917</v>
      </c>
      <c r="M47" s="55">
        <f>G47*L47</f>
        <v>0.11668</v>
      </c>
      <c r="N47" s="70" t="s">
        <v>646</v>
      </c>
      <c r="O47" s="18"/>
      <c r="Z47" s="55">
        <f>IF(AQ47="5",BJ47,0)</f>
        <v>0</v>
      </c>
      <c r="AB47" s="55">
        <f>IF(AQ47="1",BH47,0)</f>
        <v>0</v>
      </c>
      <c r="AC47" s="55">
        <f>IF(AQ47="1",BI47,0)</f>
        <v>0</v>
      </c>
      <c r="AD47" s="55">
        <f>IF(AQ47="7",BH47,0)</f>
        <v>0</v>
      </c>
      <c r="AE47" s="55">
        <f>IF(AQ47="7",BI47,0)</f>
        <v>0</v>
      </c>
      <c r="AF47" s="55">
        <f>IF(AQ47="2",BH47,0)</f>
        <v>0</v>
      </c>
      <c r="AG47" s="55">
        <f>IF(AQ47="2",BI47,0)</f>
        <v>0</v>
      </c>
      <c r="AH47" s="55">
        <f>IF(AQ47="0",BJ47,0)</f>
        <v>0</v>
      </c>
      <c r="AI47" s="50"/>
      <c r="AJ47" s="42">
        <f>IF(AN47=0,K47,0)</f>
        <v>0</v>
      </c>
      <c r="AK47" s="42">
        <f>IF(AN47=15,K47,0)</f>
        <v>0</v>
      </c>
      <c r="AL47" s="42">
        <f>IF(AN47=21,K47,0)</f>
        <v>0</v>
      </c>
      <c r="AN47" s="55">
        <v>21</v>
      </c>
      <c r="AO47" s="55">
        <f>H47*0.639887814313346</f>
        <v>0</v>
      </c>
      <c r="AP47" s="55">
        <f>H47*(1-0.639887814313346)</f>
        <v>0</v>
      </c>
      <c r="AQ47" s="56" t="s">
        <v>74</v>
      </c>
      <c r="AV47" s="55">
        <f>AW47+AX47</f>
        <v>0</v>
      </c>
      <c r="AW47" s="55">
        <f>G47*AO47</f>
        <v>0</v>
      </c>
      <c r="AX47" s="55">
        <f>G47*AP47</f>
        <v>0</v>
      </c>
      <c r="AY47" s="58" t="s">
        <v>660</v>
      </c>
      <c r="AZ47" s="58" t="s">
        <v>682</v>
      </c>
      <c r="BA47" s="50" t="s">
        <v>690</v>
      </c>
      <c r="BC47" s="55">
        <f>AW47+AX47</f>
        <v>0</v>
      </c>
      <c r="BD47" s="55">
        <f>H47/(100-BE47)*100</f>
        <v>0</v>
      </c>
      <c r="BE47" s="55">
        <v>0</v>
      </c>
      <c r="BF47" s="55">
        <f>M47</f>
        <v>0.11668</v>
      </c>
      <c r="BH47" s="42">
        <f>G47*AO47</f>
        <v>0</v>
      </c>
      <c r="BI47" s="42">
        <f>G47*AP47</f>
        <v>0</v>
      </c>
      <c r="BJ47" s="42">
        <f>G47*H47</f>
        <v>0</v>
      </c>
      <c r="BK47" s="42" t="s">
        <v>695</v>
      </c>
      <c r="BL47" s="55">
        <v>64</v>
      </c>
    </row>
    <row r="48" spans="1:64" ht="12.75">
      <c r="A48" s="69" t="s">
        <v>89</v>
      </c>
      <c r="B48" s="17"/>
      <c r="C48" s="17" t="s">
        <v>233</v>
      </c>
      <c r="D48" s="113" t="s">
        <v>414</v>
      </c>
      <c r="E48" s="174"/>
      <c r="F48" s="17" t="s">
        <v>623</v>
      </c>
      <c r="G48" s="55">
        <v>1</v>
      </c>
      <c r="H48" s="92"/>
      <c r="I48" s="55">
        <f>G48*AO48</f>
        <v>0</v>
      </c>
      <c r="J48" s="55">
        <f>G48*AP48</f>
        <v>0</v>
      </c>
      <c r="K48" s="55">
        <f>G48*H48</f>
        <v>0</v>
      </c>
      <c r="L48" s="55">
        <v>0.02937</v>
      </c>
      <c r="M48" s="55">
        <f>G48*L48</f>
        <v>0.02937</v>
      </c>
      <c r="N48" s="70" t="s">
        <v>646</v>
      </c>
      <c r="O48" s="18"/>
      <c r="Z48" s="55">
        <f>IF(AQ48="5",BJ48,0)</f>
        <v>0</v>
      </c>
      <c r="AB48" s="55">
        <f>IF(AQ48="1",BH48,0)</f>
        <v>0</v>
      </c>
      <c r="AC48" s="55">
        <f>IF(AQ48="1",BI48,0)</f>
        <v>0</v>
      </c>
      <c r="AD48" s="55">
        <f>IF(AQ48="7",BH48,0)</f>
        <v>0</v>
      </c>
      <c r="AE48" s="55">
        <f>IF(AQ48="7",BI48,0)</f>
        <v>0</v>
      </c>
      <c r="AF48" s="55">
        <f>IF(AQ48="2",BH48,0)</f>
        <v>0</v>
      </c>
      <c r="AG48" s="55">
        <f>IF(AQ48="2",BI48,0)</f>
        <v>0</v>
      </c>
      <c r="AH48" s="55">
        <f>IF(AQ48="0",BJ48,0)</f>
        <v>0</v>
      </c>
      <c r="AI48" s="50"/>
      <c r="AJ48" s="42">
        <f>IF(AN48=0,K48,0)</f>
        <v>0</v>
      </c>
      <c r="AK48" s="42">
        <f>IF(AN48=15,K48,0)</f>
        <v>0</v>
      </c>
      <c r="AL48" s="42">
        <f>IF(AN48=21,K48,0)</f>
        <v>0</v>
      </c>
      <c r="AN48" s="55">
        <v>21</v>
      </c>
      <c r="AO48" s="55">
        <f>H48*0.644019120458891</f>
        <v>0</v>
      </c>
      <c r="AP48" s="55">
        <f>H48*(1-0.644019120458891)</f>
        <v>0</v>
      </c>
      <c r="AQ48" s="56" t="s">
        <v>74</v>
      </c>
      <c r="AV48" s="55">
        <f>AW48+AX48</f>
        <v>0</v>
      </c>
      <c r="AW48" s="55">
        <f>G48*AO48</f>
        <v>0</v>
      </c>
      <c r="AX48" s="55">
        <f>G48*AP48</f>
        <v>0</v>
      </c>
      <c r="AY48" s="58" t="s">
        <v>660</v>
      </c>
      <c r="AZ48" s="58" t="s">
        <v>682</v>
      </c>
      <c r="BA48" s="50" t="s">
        <v>690</v>
      </c>
      <c r="BC48" s="55">
        <f>AW48+AX48</f>
        <v>0</v>
      </c>
      <c r="BD48" s="55">
        <f>H48/(100-BE48)*100</f>
        <v>0</v>
      </c>
      <c r="BE48" s="55">
        <v>0</v>
      </c>
      <c r="BF48" s="55">
        <f>M48</f>
        <v>0.02937</v>
      </c>
      <c r="BH48" s="42">
        <f>G48*AO48</f>
        <v>0</v>
      </c>
      <c r="BI48" s="42">
        <f>G48*AP48</f>
        <v>0</v>
      </c>
      <c r="BJ48" s="42">
        <f>G48*H48</f>
        <v>0</v>
      </c>
      <c r="BK48" s="42" t="s">
        <v>695</v>
      </c>
      <c r="BL48" s="55">
        <v>64</v>
      </c>
    </row>
    <row r="49" spans="1:47" ht="12.75">
      <c r="A49" s="63"/>
      <c r="B49" s="64"/>
      <c r="C49" s="64" t="s">
        <v>234</v>
      </c>
      <c r="D49" s="172" t="s">
        <v>415</v>
      </c>
      <c r="E49" s="173"/>
      <c r="F49" s="65" t="s">
        <v>73</v>
      </c>
      <c r="G49" s="65" t="s">
        <v>73</v>
      </c>
      <c r="H49" s="65" t="s">
        <v>73</v>
      </c>
      <c r="I49" s="66">
        <f>SUM(I50:I60)</f>
        <v>0</v>
      </c>
      <c r="J49" s="66">
        <f>SUM(J50:J60)</f>
        <v>0</v>
      </c>
      <c r="K49" s="66">
        <f>SUM(K50:K60)</f>
        <v>0</v>
      </c>
      <c r="L49" s="67"/>
      <c r="M49" s="66">
        <f>SUM(M50:M60)</f>
        <v>0.03751979999999999</v>
      </c>
      <c r="N49" s="68"/>
      <c r="O49" s="18"/>
      <c r="AI49" s="50"/>
      <c r="AS49" s="61">
        <f>SUM(AJ50:AJ60)</f>
        <v>0</v>
      </c>
      <c r="AT49" s="61">
        <f>SUM(AK50:AK60)</f>
        <v>0</v>
      </c>
      <c r="AU49" s="61">
        <f>SUM(AL50:AL60)</f>
        <v>0</v>
      </c>
    </row>
    <row r="50" spans="1:64" ht="12.75">
      <c r="A50" s="69" t="s">
        <v>90</v>
      </c>
      <c r="B50" s="17"/>
      <c r="C50" s="17" t="s">
        <v>235</v>
      </c>
      <c r="D50" s="113" t="s">
        <v>416</v>
      </c>
      <c r="E50" s="174"/>
      <c r="F50" s="17" t="s">
        <v>622</v>
      </c>
      <c r="G50" s="55">
        <v>8.34</v>
      </c>
      <c r="H50" s="92"/>
      <c r="I50" s="55">
        <f>G50*AO50</f>
        <v>0</v>
      </c>
      <c r="J50" s="55">
        <f>G50*AP50</f>
        <v>0</v>
      </c>
      <c r="K50" s="55">
        <f>G50*H50</f>
        <v>0</v>
      </c>
      <c r="L50" s="55">
        <v>0.00358</v>
      </c>
      <c r="M50" s="55">
        <f>G50*L50</f>
        <v>0.029857199999999997</v>
      </c>
      <c r="N50" s="70" t="s">
        <v>646</v>
      </c>
      <c r="O50" s="18"/>
      <c r="Z50" s="55">
        <f>IF(AQ50="5",BJ50,0)</f>
        <v>0</v>
      </c>
      <c r="AB50" s="55">
        <f>IF(AQ50="1",BH50,0)</f>
        <v>0</v>
      </c>
      <c r="AC50" s="55">
        <f>IF(AQ50="1",BI50,0)</f>
        <v>0</v>
      </c>
      <c r="AD50" s="55">
        <f>IF(AQ50="7",BH50,0)</f>
        <v>0</v>
      </c>
      <c r="AE50" s="55">
        <f>IF(AQ50="7",BI50,0)</f>
        <v>0</v>
      </c>
      <c r="AF50" s="55">
        <f>IF(AQ50="2",BH50,0)</f>
        <v>0</v>
      </c>
      <c r="AG50" s="55">
        <f>IF(AQ50="2",BI50,0)</f>
        <v>0</v>
      </c>
      <c r="AH50" s="55">
        <f>IF(AQ50="0",BJ50,0)</f>
        <v>0</v>
      </c>
      <c r="AI50" s="50"/>
      <c r="AJ50" s="42">
        <f>IF(AN50=0,K50,0)</f>
        <v>0</v>
      </c>
      <c r="AK50" s="42">
        <f>IF(AN50=15,K50,0)</f>
        <v>0</v>
      </c>
      <c r="AL50" s="42">
        <f>IF(AN50=21,K50,0)</f>
        <v>0</v>
      </c>
      <c r="AN50" s="55">
        <v>21</v>
      </c>
      <c r="AO50" s="55">
        <f>H50*0.61828054763465</f>
        <v>0</v>
      </c>
      <c r="AP50" s="55">
        <f>H50*(1-0.61828054763465)</f>
        <v>0</v>
      </c>
      <c r="AQ50" s="56" t="s">
        <v>80</v>
      </c>
      <c r="AV50" s="55">
        <f>AW50+AX50</f>
        <v>0</v>
      </c>
      <c r="AW50" s="55">
        <f>G50*AO50</f>
        <v>0</v>
      </c>
      <c r="AX50" s="55">
        <f>G50*AP50</f>
        <v>0</v>
      </c>
      <c r="AY50" s="58" t="s">
        <v>661</v>
      </c>
      <c r="AZ50" s="58" t="s">
        <v>683</v>
      </c>
      <c r="BA50" s="50" t="s">
        <v>690</v>
      </c>
      <c r="BC50" s="55">
        <f>AW50+AX50</f>
        <v>0</v>
      </c>
      <c r="BD50" s="55">
        <f>H50/(100-BE50)*100</f>
        <v>0</v>
      </c>
      <c r="BE50" s="55">
        <v>0</v>
      </c>
      <c r="BF50" s="55">
        <f>M50</f>
        <v>0.029857199999999997</v>
      </c>
      <c r="BH50" s="42">
        <f>G50*AO50</f>
        <v>0</v>
      </c>
      <c r="BI50" s="42">
        <f>G50*AP50</f>
        <v>0</v>
      </c>
      <c r="BJ50" s="42">
        <f>G50*H50</f>
        <v>0</v>
      </c>
      <c r="BK50" s="42" t="s">
        <v>695</v>
      </c>
      <c r="BL50" s="55">
        <v>711</v>
      </c>
    </row>
    <row r="51" spans="1:15" ht="12.75">
      <c r="A51" s="18"/>
      <c r="B51" s="71"/>
      <c r="C51" s="71"/>
      <c r="D51" s="72" t="s">
        <v>417</v>
      </c>
      <c r="E51" s="72"/>
      <c r="F51" s="71"/>
      <c r="G51" s="73">
        <v>0</v>
      </c>
      <c r="H51" s="94"/>
      <c r="I51" s="71"/>
      <c r="J51" s="71"/>
      <c r="K51" s="71"/>
      <c r="L51" s="71"/>
      <c r="M51" s="71"/>
      <c r="N51" s="16"/>
      <c r="O51" s="18"/>
    </row>
    <row r="52" spans="1:15" ht="12.75">
      <c r="A52" s="18"/>
      <c r="B52" s="71"/>
      <c r="C52" s="71"/>
      <c r="D52" s="72" t="s">
        <v>418</v>
      </c>
      <c r="E52" s="72"/>
      <c r="F52" s="71"/>
      <c r="G52" s="73">
        <v>2.145</v>
      </c>
      <c r="H52" s="71"/>
      <c r="I52" s="71"/>
      <c r="J52" s="71"/>
      <c r="K52" s="71"/>
      <c r="L52" s="71"/>
      <c r="M52" s="71"/>
      <c r="N52" s="16"/>
      <c r="O52" s="18"/>
    </row>
    <row r="53" spans="1:15" ht="12.75">
      <c r="A53" s="18"/>
      <c r="B53" s="71"/>
      <c r="C53" s="71"/>
      <c r="D53" s="72" t="s">
        <v>419</v>
      </c>
      <c r="E53" s="72"/>
      <c r="F53" s="71"/>
      <c r="G53" s="73">
        <v>0</v>
      </c>
      <c r="H53" s="71"/>
      <c r="I53" s="71"/>
      <c r="J53" s="71"/>
      <c r="K53" s="71"/>
      <c r="L53" s="71"/>
      <c r="M53" s="71"/>
      <c r="N53" s="16"/>
      <c r="O53" s="18"/>
    </row>
    <row r="54" spans="1:15" ht="12.75">
      <c r="A54" s="18"/>
      <c r="B54" s="71"/>
      <c r="C54" s="71"/>
      <c r="D54" s="72" t="s">
        <v>420</v>
      </c>
      <c r="E54" s="72"/>
      <c r="F54" s="71"/>
      <c r="G54" s="73">
        <v>6.195</v>
      </c>
      <c r="H54" s="71"/>
      <c r="I54" s="71"/>
      <c r="J54" s="71"/>
      <c r="K54" s="71"/>
      <c r="L54" s="71"/>
      <c r="M54" s="71"/>
      <c r="N54" s="16"/>
      <c r="O54" s="18"/>
    </row>
    <row r="55" spans="1:64" ht="12.75">
      <c r="A55" s="69" t="s">
        <v>91</v>
      </c>
      <c r="B55" s="17"/>
      <c r="C55" s="17" t="s">
        <v>236</v>
      </c>
      <c r="D55" s="113" t="s">
        <v>421</v>
      </c>
      <c r="E55" s="174"/>
      <c r="F55" s="17" t="s">
        <v>622</v>
      </c>
      <c r="G55" s="55">
        <v>8.34</v>
      </c>
      <c r="H55" s="92"/>
      <c r="I55" s="55">
        <f>G55*AO55</f>
        <v>0</v>
      </c>
      <c r="J55" s="55">
        <f>G55*AP55</f>
        <v>0</v>
      </c>
      <c r="K55" s="55">
        <f>G55*H55</f>
        <v>0</v>
      </c>
      <c r="L55" s="55">
        <v>0.00039</v>
      </c>
      <c r="M55" s="55">
        <f>G55*L55</f>
        <v>0.0032526</v>
      </c>
      <c r="N55" s="70" t="s">
        <v>646</v>
      </c>
      <c r="O55" s="18"/>
      <c r="Z55" s="55">
        <f>IF(AQ55="5",BJ55,0)</f>
        <v>0</v>
      </c>
      <c r="AB55" s="55">
        <f>IF(AQ55="1",BH55,0)</f>
        <v>0</v>
      </c>
      <c r="AC55" s="55">
        <f>IF(AQ55="1",BI55,0)</f>
        <v>0</v>
      </c>
      <c r="AD55" s="55">
        <f>IF(AQ55="7",BH55,0)</f>
        <v>0</v>
      </c>
      <c r="AE55" s="55">
        <f>IF(AQ55="7",BI55,0)</f>
        <v>0</v>
      </c>
      <c r="AF55" s="55">
        <f>IF(AQ55="2",BH55,0)</f>
        <v>0</v>
      </c>
      <c r="AG55" s="55">
        <f>IF(AQ55="2",BI55,0)</f>
        <v>0</v>
      </c>
      <c r="AH55" s="55">
        <f>IF(AQ55="0",BJ55,0)</f>
        <v>0</v>
      </c>
      <c r="AI55" s="50"/>
      <c r="AJ55" s="42">
        <f>IF(AN55=0,K55,0)</f>
        <v>0</v>
      </c>
      <c r="AK55" s="42">
        <f>IF(AN55=15,K55,0)</f>
        <v>0</v>
      </c>
      <c r="AL55" s="42">
        <f>IF(AN55=21,K55,0)</f>
        <v>0</v>
      </c>
      <c r="AN55" s="55">
        <v>21</v>
      </c>
      <c r="AO55" s="55">
        <f>H55*0.46851547587065</f>
        <v>0</v>
      </c>
      <c r="AP55" s="55">
        <f>H55*(1-0.46851547587065)</f>
        <v>0</v>
      </c>
      <c r="AQ55" s="56" t="s">
        <v>80</v>
      </c>
      <c r="AV55" s="55">
        <f>AW55+AX55</f>
        <v>0</v>
      </c>
      <c r="AW55" s="55">
        <f>G55*AO55</f>
        <v>0</v>
      </c>
      <c r="AX55" s="55">
        <f>G55*AP55</f>
        <v>0</v>
      </c>
      <c r="AY55" s="58" t="s">
        <v>661</v>
      </c>
      <c r="AZ55" s="58" t="s">
        <v>683</v>
      </c>
      <c r="BA55" s="50" t="s">
        <v>690</v>
      </c>
      <c r="BC55" s="55">
        <f>AW55+AX55</f>
        <v>0</v>
      </c>
      <c r="BD55" s="55">
        <f>H55/(100-BE55)*100</f>
        <v>0</v>
      </c>
      <c r="BE55" s="55">
        <v>0</v>
      </c>
      <c r="BF55" s="55">
        <f>M55</f>
        <v>0.0032526</v>
      </c>
      <c r="BH55" s="42">
        <f>G55*AO55</f>
        <v>0</v>
      </c>
      <c r="BI55" s="42">
        <f>G55*AP55</f>
        <v>0</v>
      </c>
      <c r="BJ55" s="42">
        <f>G55*H55</f>
        <v>0</v>
      </c>
      <c r="BK55" s="42" t="s">
        <v>695</v>
      </c>
      <c r="BL55" s="55">
        <v>711</v>
      </c>
    </row>
    <row r="56" spans="1:64" ht="12.75">
      <c r="A56" s="69" t="s">
        <v>92</v>
      </c>
      <c r="B56" s="17"/>
      <c r="C56" s="17" t="s">
        <v>237</v>
      </c>
      <c r="D56" s="113" t="s">
        <v>422</v>
      </c>
      <c r="E56" s="174"/>
      <c r="F56" s="17" t="s">
        <v>621</v>
      </c>
      <c r="G56" s="55">
        <v>5.25</v>
      </c>
      <c r="H56" s="92"/>
      <c r="I56" s="55">
        <f>G56*AO56</f>
        <v>0</v>
      </c>
      <c r="J56" s="55">
        <f>G56*AP56</f>
        <v>0</v>
      </c>
      <c r="K56" s="55">
        <f>G56*H56</f>
        <v>0</v>
      </c>
      <c r="L56" s="55">
        <v>0.00024</v>
      </c>
      <c r="M56" s="55">
        <f>G56*L56</f>
        <v>0.00126</v>
      </c>
      <c r="N56" s="70" t="s">
        <v>646</v>
      </c>
      <c r="O56" s="18"/>
      <c r="Z56" s="55">
        <f>IF(AQ56="5",BJ56,0)</f>
        <v>0</v>
      </c>
      <c r="AB56" s="55">
        <f>IF(AQ56="1",BH56,0)</f>
        <v>0</v>
      </c>
      <c r="AC56" s="55">
        <f>IF(AQ56="1",BI56,0)</f>
        <v>0</v>
      </c>
      <c r="AD56" s="55">
        <f>IF(AQ56="7",BH56,0)</f>
        <v>0</v>
      </c>
      <c r="AE56" s="55">
        <f>IF(AQ56="7",BI56,0)</f>
        <v>0</v>
      </c>
      <c r="AF56" s="55">
        <f>IF(AQ56="2",BH56,0)</f>
        <v>0</v>
      </c>
      <c r="AG56" s="55">
        <f>IF(AQ56="2",BI56,0)</f>
        <v>0</v>
      </c>
      <c r="AH56" s="55">
        <f>IF(AQ56="0",BJ56,0)</f>
        <v>0</v>
      </c>
      <c r="AI56" s="50"/>
      <c r="AJ56" s="42">
        <f>IF(AN56=0,K56,0)</f>
        <v>0</v>
      </c>
      <c r="AK56" s="42">
        <f>IF(AN56=15,K56,0)</f>
        <v>0</v>
      </c>
      <c r="AL56" s="42">
        <f>IF(AN56=21,K56,0)</f>
        <v>0</v>
      </c>
      <c r="AN56" s="55">
        <v>21</v>
      </c>
      <c r="AO56" s="55">
        <f>H56*0.593732630180443</f>
        <v>0</v>
      </c>
      <c r="AP56" s="55">
        <f>H56*(1-0.593732630180443)</f>
        <v>0</v>
      </c>
      <c r="AQ56" s="56" t="s">
        <v>80</v>
      </c>
      <c r="AV56" s="55">
        <f>AW56+AX56</f>
        <v>0</v>
      </c>
      <c r="AW56" s="55">
        <f>G56*AO56</f>
        <v>0</v>
      </c>
      <c r="AX56" s="55">
        <f>G56*AP56</f>
        <v>0</v>
      </c>
      <c r="AY56" s="58" t="s">
        <v>661</v>
      </c>
      <c r="AZ56" s="58" t="s">
        <v>683</v>
      </c>
      <c r="BA56" s="50" t="s">
        <v>690</v>
      </c>
      <c r="BC56" s="55">
        <f>AW56+AX56</f>
        <v>0</v>
      </c>
      <c r="BD56" s="55">
        <f>H56/(100-BE56)*100</f>
        <v>0</v>
      </c>
      <c r="BE56" s="55">
        <v>0</v>
      </c>
      <c r="BF56" s="55">
        <f>M56</f>
        <v>0.00126</v>
      </c>
      <c r="BH56" s="42">
        <f>G56*AO56</f>
        <v>0</v>
      </c>
      <c r="BI56" s="42">
        <f>G56*AP56</f>
        <v>0</v>
      </c>
      <c r="BJ56" s="42">
        <f>G56*H56</f>
        <v>0</v>
      </c>
      <c r="BK56" s="42" t="s">
        <v>695</v>
      </c>
      <c r="BL56" s="55">
        <v>711</v>
      </c>
    </row>
    <row r="57" spans="1:15" ht="12.75">
      <c r="A57" s="18"/>
      <c r="B57" s="71"/>
      <c r="C57" s="71"/>
      <c r="D57" s="72" t="s">
        <v>423</v>
      </c>
      <c r="E57" s="72"/>
      <c r="F57" s="71"/>
      <c r="G57" s="73">
        <v>5.25</v>
      </c>
      <c r="H57" s="71"/>
      <c r="I57" s="71"/>
      <c r="J57" s="71"/>
      <c r="K57" s="71"/>
      <c r="L57" s="71"/>
      <c r="M57" s="71"/>
      <c r="N57" s="16"/>
      <c r="O57" s="18"/>
    </row>
    <row r="58" spans="1:64" ht="12.75">
      <c r="A58" s="69" t="s">
        <v>93</v>
      </c>
      <c r="B58" s="17"/>
      <c r="C58" s="17" t="s">
        <v>238</v>
      </c>
      <c r="D58" s="113" t="s">
        <v>424</v>
      </c>
      <c r="E58" s="174"/>
      <c r="F58" s="17" t="s">
        <v>621</v>
      </c>
      <c r="G58" s="55">
        <v>6.3</v>
      </c>
      <c r="H58" s="92"/>
      <c r="I58" s="55">
        <f>G58*AO58</f>
        <v>0</v>
      </c>
      <c r="J58" s="55">
        <f>G58*AP58</f>
        <v>0</v>
      </c>
      <c r="K58" s="55">
        <f>G58*H58</f>
        <v>0</v>
      </c>
      <c r="L58" s="55">
        <v>0.0005</v>
      </c>
      <c r="M58" s="55">
        <f>G58*L58</f>
        <v>0.00315</v>
      </c>
      <c r="N58" s="70" t="s">
        <v>646</v>
      </c>
      <c r="O58" s="18"/>
      <c r="Z58" s="55">
        <f>IF(AQ58="5",BJ58,0)</f>
        <v>0</v>
      </c>
      <c r="AB58" s="55">
        <f>IF(AQ58="1",BH58,0)</f>
        <v>0</v>
      </c>
      <c r="AC58" s="55">
        <f>IF(AQ58="1",BI58,0)</f>
        <v>0</v>
      </c>
      <c r="AD58" s="55">
        <f>IF(AQ58="7",BH58,0)</f>
        <v>0</v>
      </c>
      <c r="AE58" s="55">
        <f>IF(AQ58="7",BI58,0)</f>
        <v>0</v>
      </c>
      <c r="AF58" s="55">
        <f>IF(AQ58="2",BH58,0)</f>
        <v>0</v>
      </c>
      <c r="AG58" s="55">
        <f>IF(AQ58="2",BI58,0)</f>
        <v>0</v>
      </c>
      <c r="AH58" s="55">
        <f>IF(AQ58="0",BJ58,0)</f>
        <v>0</v>
      </c>
      <c r="AI58" s="50"/>
      <c r="AJ58" s="42">
        <f>IF(AN58=0,K58,0)</f>
        <v>0</v>
      </c>
      <c r="AK58" s="42">
        <f>IF(AN58=15,K58,0)</f>
        <v>0</v>
      </c>
      <c r="AL58" s="42">
        <f>IF(AN58=21,K58,0)</f>
        <v>0</v>
      </c>
      <c r="AN58" s="55">
        <v>21</v>
      </c>
      <c r="AO58" s="55">
        <f>H58*0.603505617977528</f>
        <v>0</v>
      </c>
      <c r="AP58" s="55">
        <f>H58*(1-0.603505617977528)</f>
        <v>0</v>
      </c>
      <c r="AQ58" s="56" t="s">
        <v>80</v>
      </c>
      <c r="AV58" s="55">
        <f>AW58+AX58</f>
        <v>0</v>
      </c>
      <c r="AW58" s="55">
        <f>G58*AO58</f>
        <v>0</v>
      </c>
      <c r="AX58" s="55">
        <f>G58*AP58</f>
        <v>0</v>
      </c>
      <c r="AY58" s="58" t="s">
        <v>661</v>
      </c>
      <c r="AZ58" s="58" t="s">
        <v>683</v>
      </c>
      <c r="BA58" s="50" t="s">
        <v>690</v>
      </c>
      <c r="BC58" s="55">
        <f>AW58+AX58</f>
        <v>0</v>
      </c>
      <c r="BD58" s="55">
        <f>H58/(100-BE58)*100</f>
        <v>0</v>
      </c>
      <c r="BE58" s="55">
        <v>0</v>
      </c>
      <c r="BF58" s="55">
        <f>M58</f>
        <v>0.00315</v>
      </c>
      <c r="BH58" s="42">
        <f>G58*AO58</f>
        <v>0</v>
      </c>
      <c r="BI58" s="42">
        <f>G58*AP58</f>
        <v>0</v>
      </c>
      <c r="BJ58" s="42">
        <f>G58*H58</f>
        <v>0</v>
      </c>
      <c r="BK58" s="42" t="s">
        <v>695</v>
      </c>
      <c r="BL58" s="55">
        <v>711</v>
      </c>
    </row>
    <row r="59" spans="1:15" ht="12.75">
      <c r="A59" s="18"/>
      <c r="B59" s="71"/>
      <c r="C59" s="71"/>
      <c r="D59" s="72" t="s">
        <v>425</v>
      </c>
      <c r="E59" s="72"/>
      <c r="F59" s="71"/>
      <c r="G59" s="73">
        <v>6.3</v>
      </c>
      <c r="H59" s="71"/>
      <c r="I59" s="71"/>
      <c r="J59" s="71"/>
      <c r="K59" s="71"/>
      <c r="L59" s="71"/>
      <c r="M59" s="71"/>
      <c r="N59" s="16"/>
      <c r="O59" s="18"/>
    </row>
    <row r="60" spans="1:64" ht="12.75">
      <c r="A60" s="69" t="s">
        <v>94</v>
      </c>
      <c r="B60" s="17"/>
      <c r="C60" s="17" t="s">
        <v>239</v>
      </c>
      <c r="D60" s="113" t="s">
        <v>426</v>
      </c>
      <c r="E60" s="174"/>
      <c r="F60" s="17" t="s">
        <v>625</v>
      </c>
      <c r="G60" s="55">
        <v>0.0375</v>
      </c>
      <c r="H60" s="92"/>
      <c r="I60" s="55">
        <f>G60*AO60</f>
        <v>0</v>
      </c>
      <c r="J60" s="55">
        <f>G60*AP60</f>
        <v>0</v>
      </c>
      <c r="K60" s="55">
        <f>G60*H60</f>
        <v>0</v>
      </c>
      <c r="L60" s="55">
        <v>0</v>
      </c>
      <c r="M60" s="55">
        <f>G60*L60</f>
        <v>0</v>
      </c>
      <c r="N60" s="70" t="s">
        <v>646</v>
      </c>
      <c r="O60" s="18"/>
      <c r="Z60" s="55">
        <f>IF(AQ60="5",BJ60,0)</f>
        <v>0</v>
      </c>
      <c r="AB60" s="55">
        <f>IF(AQ60="1",BH60,0)</f>
        <v>0</v>
      </c>
      <c r="AC60" s="55">
        <f>IF(AQ60="1",BI60,0)</f>
        <v>0</v>
      </c>
      <c r="AD60" s="55">
        <f>IF(AQ60="7",BH60,0)</f>
        <v>0</v>
      </c>
      <c r="AE60" s="55">
        <f>IF(AQ60="7",BI60,0)</f>
        <v>0</v>
      </c>
      <c r="AF60" s="55">
        <f>IF(AQ60="2",BH60,0)</f>
        <v>0</v>
      </c>
      <c r="AG60" s="55">
        <f>IF(AQ60="2",BI60,0)</f>
        <v>0</v>
      </c>
      <c r="AH60" s="55">
        <f>IF(AQ60="0",BJ60,0)</f>
        <v>0</v>
      </c>
      <c r="AI60" s="50"/>
      <c r="AJ60" s="42">
        <f>IF(AN60=0,K60,0)</f>
        <v>0</v>
      </c>
      <c r="AK60" s="42">
        <f>IF(AN60=15,K60,0)</f>
        <v>0</v>
      </c>
      <c r="AL60" s="42">
        <f>IF(AN60=21,K60,0)</f>
        <v>0</v>
      </c>
      <c r="AN60" s="55">
        <v>21</v>
      </c>
      <c r="AO60" s="55">
        <f>H60*0</f>
        <v>0</v>
      </c>
      <c r="AP60" s="55">
        <f>H60*(1-0)</f>
        <v>0</v>
      </c>
      <c r="AQ60" s="56" t="s">
        <v>78</v>
      </c>
      <c r="AV60" s="55">
        <f>AW60+AX60</f>
        <v>0</v>
      </c>
      <c r="AW60" s="55">
        <f>G60*AO60</f>
        <v>0</v>
      </c>
      <c r="AX60" s="55">
        <f>G60*AP60</f>
        <v>0</v>
      </c>
      <c r="AY60" s="58" t="s">
        <v>661</v>
      </c>
      <c r="AZ60" s="58" t="s">
        <v>683</v>
      </c>
      <c r="BA60" s="50" t="s">
        <v>690</v>
      </c>
      <c r="BC60" s="55">
        <f>AW60+AX60</f>
        <v>0</v>
      </c>
      <c r="BD60" s="55">
        <f>H60/(100-BE60)*100</f>
        <v>0</v>
      </c>
      <c r="BE60" s="55">
        <v>0</v>
      </c>
      <c r="BF60" s="55">
        <f>M60</f>
        <v>0</v>
      </c>
      <c r="BH60" s="42">
        <f>G60*AO60</f>
        <v>0</v>
      </c>
      <c r="BI60" s="42">
        <f>G60*AP60</f>
        <v>0</v>
      </c>
      <c r="BJ60" s="42">
        <f>G60*H60</f>
        <v>0</v>
      </c>
      <c r="BK60" s="42" t="s">
        <v>695</v>
      </c>
      <c r="BL60" s="55">
        <v>711</v>
      </c>
    </row>
    <row r="61" spans="1:47" ht="12.75">
      <c r="A61" s="63"/>
      <c r="B61" s="64"/>
      <c r="C61" s="64" t="s">
        <v>240</v>
      </c>
      <c r="D61" s="172" t="s">
        <v>427</v>
      </c>
      <c r="E61" s="173"/>
      <c r="F61" s="65" t="s">
        <v>73</v>
      </c>
      <c r="G61" s="65" t="s">
        <v>73</v>
      </c>
      <c r="H61" s="65" t="s">
        <v>73</v>
      </c>
      <c r="I61" s="66">
        <f>SUM(I62:I76)</f>
        <v>0</v>
      </c>
      <c r="J61" s="66">
        <f>SUM(J62:J76)</f>
        <v>0</v>
      </c>
      <c r="K61" s="66">
        <f>SUM(K62:K76)</f>
        <v>0</v>
      </c>
      <c r="L61" s="67"/>
      <c r="M61" s="66">
        <f>SUM(M62:M76)</f>
        <v>0.11112</v>
      </c>
      <c r="N61" s="68"/>
      <c r="O61" s="18"/>
      <c r="AI61" s="50"/>
      <c r="AS61" s="61">
        <f>SUM(AJ62:AJ76)</f>
        <v>0</v>
      </c>
      <c r="AT61" s="61">
        <f>SUM(AK62:AK76)</f>
        <v>0</v>
      </c>
      <c r="AU61" s="61">
        <f>SUM(AL62:AL76)</f>
        <v>0</v>
      </c>
    </row>
    <row r="62" spans="1:64" ht="12.75">
      <c r="A62" s="69" t="s">
        <v>95</v>
      </c>
      <c r="B62" s="17"/>
      <c r="C62" s="17" t="s">
        <v>241</v>
      </c>
      <c r="D62" s="113" t="s">
        <v>428</v>
      </c>
      <c r="E62" s="174"/>
      <c r="F62" s="17" t="s">
        <v>623</v>
      </c>
      <c r="G62" s="55">
        <v>4</v>
      </c>
      <c r="H62" s="92"/>
      <c r="I62" s="55">
        <f aca="true" t="shared" si="0" ref="I62:I72">G62*AO62</f>
        <v>0</v>
      </c>
      <c r="J62" s="55">
        <f aca="true" t="shared" si="1" ref="J62:J72">G62*AP62</f>
        <v>0</v>
      </c>
      <c r="K62" s="55">
        <f aca="true" t="shared" si="2" ref="K62:K72">G62*H62</f>
        <v>0</v>
      </c>
      <c r="L62" s="55">
        <v>0.00038</v>
      </c>
      <c r="M62" s="55">
        <f aca="true" t="shared" si="3" ref="M62:M72">G62*L62</f>
        <v>0.00152</v>
      </c>
      <c r="N62" s="70" t="s">
        <v>646</v>
      </c>
      <c r="O62" s="18"/>
      <c r="Z62" s="55">
        <f aca="true" t="shared" si="4" ref="Z62:Z72">IF(AQ62="5",BJ62,0)</f>
        <v>0</v>
      </c>
      <c r="AB62" s="55">
        <f aca="true" t="shared" si="5" ref="AB62:AB72">IF(AQ62="1",BH62,0)</f>
        <v>0</v>
      </c>
      <c r="AC62" s="55">
        <f aca="true" t="shared" si="6" ref="AC62:AC72">IF(AQ62="1",BI62,0)</f>
        <v>0</v>
      </c>
      <c r="AD62" s="55">
        <f aca="true" t="shared" si="7" ref="AD62:AD72">IF(AQ62="7",BH62,0)</f>
        <v>0</v>
      </c>
      <c r="AE62" s="55">
        <f aca="true" t="shared" si="8" ref="AE62:AE72">IF(AQ62="7",BI62,0)</f>
        <v>0</v>
      </c>
      <c r="AF62" s="55">
        <f aca="true" t="shared" si="9" ref="AF62:AF72">IF(AQ62="2",BH62,0)</f>
        <v>0</v>
      </c>
      <c r="AG62" s="55">
        <f aca="true" t="shared" si="10" ref="AG62:AG72">IF(AQ62="2",BI62,0)</f>
        <v>0</v>
      </c>
      <c r="AH62" s="55">
        <f aca="true" t="shared" si="11" ref="AH62:AH72">IF(AQ62="0",BJ62,0)</f>
        <v>0</v>
      </c>
      <c r="AI62" s="50"/>
      <c r="AJ62" s="42">
        <f aca="true" t="shared" si="12" ref="AJ62:AJ72">IF(AN62=0,K62,0)</f>
        <v>0</v>
      </c>
      <c r="AK62" s="42">
        <f aca="true" t="shared" si="13" ref="AK62:AK72">IF(AN62=15,K62,0)</f>
        <v>0</v>
      </c>
      <c r="AL62" s="42">
        <f aca="true" t="shared" si="14" ref="AL62:AL72">IF(AN62=21,K62,0)</f>
        <v>0</v>
      </c>
      <c r="AN62" s="55">
        <v>21</v>
      </c>
      <c r="AO62" s="55">
        <f>H62*0.810294117647059</f>
        <v>0</v>
      </c>
      <c r="AP62" s="55">
        <f>H62*(1-0.810294117647059)</f>
        <v>0</v>
      </c>
      <c r="AQ62" s="56" t="s">
        <v>80</v>
      </c>
      <c r="AV62" s="55">
        <f aca="true" t="shared" si="15" ref="AV62:AV72">AW62+AX62</f>
        <v>0</v>
      </c>
      <c r="AW62" s="55">
        <f aca="true" t="shared" si="16" ref="AW62:AW72">G62*AO62</f>
        <v>0</v>
      </c>
      <c r="AX62" s="55">
        <f aca="true" t="shared" si="17" ref="AX62:AX72">G62*AP62</f>
        <v>0</v>
      </c>
      <c r="AY62" s="58" t="s">
        <v>662</v>
      </c>
      <c r="AZ62" s="58" t="s">
        <v>684</v>
      </c>
      <c r="BA62" s="50" t="s">
        <v>690</v>
      </c>
      <c r="BC62" s="55">
        <f aca="true" t="shared" si="18" ref="BC62:BC72">AW62+AX62</f>
        <v>0</v>
      </c>
      <c r="BD62" s="55">
        <f aca="true" t="shared" si="19" ref="BD62:BD72">H62/(100-BE62)*100</f>
        <v>0</v>
      </c>
      <c r="BE62" s="55">
        <v>0</v>
      </c>
      <c r="BF62" s="55">
        <f aca="true" t="shared" si="20" ref="BF62:BF72">M62</f>
        <v>0.00152</v>
      </c>
      <c r="BH62" s="42">
        <f aca="true" t="shared" si="21" ref="BH62:BH72">G62*AO62</f>
        <v>0</v>
      </c>
      <c r="BI62" s="42">
        <f aca="true" t="shared" si="22" ref="BI62:BI72">G62*AP62</f>
        <v>0</v>
      </c>
      <c r="BJ62" s="42">
        <f aca="true" t="shared" si="23" ref="BJ62:BJ72">G62*H62</f>
        <v>0</v>
      </c>
      <c r="BK62" s="42" t="s">
        <v>695</v>
      </c>
      <c r="BL62" s="55">
        <v>721</v>
      </c>
    </row>
    <row r="63" spans="1:64" ht="12.75">
      <c r="A63" s="69" t="s">
        <v>96</v>
      </c>
      <c r="B63" s="17"/>
      <c r="C63" s="17" t="s">
        <v>242</v>
      </c>
      <c r="D63" s="113" t="s">
        <v>429</v>
      </c>
      <c r="E63" s="174"/>
      <c r="F63" s="17" t="s">
        <v>621</v>
      </c>
      <c r="G63" s="55">
        <v>5</v>
      </c>
      <c r="H63" s="92"/>
      <c r="I63" s="55">
        <f t="shared" si="0"/>
        <v>0</v>
      </c>
      <c r="J63" s="55">
        <f t="shared" si="1"/>
        <v>0</v>
      </c>
      <c r="K63" s="55">
        <f t="shared" si="2"/>
        <v>0</v>
      </c>
      <c r="L63" s="55">
        <v>0.01492</v>
      </c>
      <c r="M63" s="55">
        <f t="shared" si="3"/>
        <v>0.0746</v>
      </c>
      <c r="N63" s="70" t="s">
        <v>646</v>
      </c>
      <c r="O63" s="18"/>
      <c r="Z63" s="55">
        <f t="shared" si="4"/>
        <v>0</v>
      </c>
      <c r="AB63" s="55">
        <f t="shared" si="5"/>
        <v>0</v>
      </c>
      <c r="AC63" s="55">
        <f t="shared" si="6"/>
        <v>0</v>
      </c>
      <c r="AD63" s="55">
        <f t="shared" si="7"/>
        <v>0</v>
      </c>
      <c r="AE63" s="55">
        <f t="shared" si="8"/>
        <v>0</v>
      </c>
      <c r="AF63" s="55">
        <f t="shared" si="9"/>
        <v>0</v>
      </c>
      <c r="AG63" s="55">
        <f t="shared" si="10"/>
        <v>0</v>
      </c>
      <c r="AH63" s="55">
        <f t="shared" si="11"/>
        <v>0</v>
      </c>
      <c r="AI63" s="50"/>
      <c r="AJ63" s="42">
        <f t="shared" si="12"/>
        <v>0</v>
      </c>
      <c r="AK63" s="42">
        <f t="shared" si="13"/>
        <v>0</v>
      </c>
      <c r="AL63" s="42">
        <f t="shared" si="14"/>
        <v>0</v>
      </c>
      <c r="AN63" s="55">
        <v>21</v>
      </c>
      <c r="AO63" s="55">
        <f>H63*0</f>
        <v>0</v>
      </c>
      <c r="AP63" s="55">
        <f>H63*(1-0)</f>
        <v>0</v>
      </c>
      <c r="AQ63" s="56" t="s">
        <v>80</v>
      </c>
      <c r="AV63" s="55">
        <f t="shared" si="15"/>
        <v>0</v>
      </c>
      <c r="AW63" s="55">
        <f t="shared" si="16"/>
        <v>0</v>
      </c>
      <c r="AX63" s="55">
        <f t="shared" si="17"/>
        <v>0</v>
      </c>
      <c r="AY63" s="58" t="s">
        <v>662</v>
      </c>
      <c r="AZ63" s="58" t="s">
        <v>684</v>
      </c>
      <c r="BA63" s="50" t="s">
        <v>690</v>
      </c>
      <c r="BC63" s="55">
        <f t="shared" si="18"/>
        <v>0</v>
      </c>
      <c r="BD63" s="55">
        <f t="shared" si="19"/>
        <v>0</v>
      </c>
      <c r="BE63" s="55">
        <v>0</v>
      </c>
      <c r="BF63" s="55">
        <f t="shared" si="20"/>
        <v>0.0746</v>
      </c>
      <c r="BH63" s="42">
        <f t="shared" si="21"/>
        <v>0</v>
      </c>
      <c r="BI63" s="42">
        <f t="shared" si="22"/>
        <v>0</v>
      </c>
      <c r="BJ63" s="42">
        <f t="shared" si="23"/>
        <v>0</v>
      </c>
      <c r="BK63" s="42" t="s">
        <v>695</v>
      </c>
      <c r="BL63" s="55">
        <v>721</v>
      </c>
    </row>
    <row r="64" spans="1:64" ht="12.75">
      <c r="A64" s="69" t="s">
        <v>97</v>
      </c>
      <c r="B64" s="17"/>
      <c r="C64" s="17" t="s">
        <v>243</v>
      </c>
      <c r="D64" s="113" t="s">
        <v>430</v>
      </c>
      <c r="E64" s="174"/>
      <c r="F64" s="17" t="s">
        <v>621</v>
      </c>
      <c r="G64" s="55">
        <v>6</v>
      </c>
      <c r="H64" s="92"/>
      <c r="I64" s="55">
        <f t="shared" si="0"/>
        <v>0</v>
      </c>
      <c r="J64" s="55">
        <f t="shared" si="1"/>
        <v>0</v>
      </c>
      <c r="K64" s="55">
        <f t="shared" si="2"/>
        <v>0</v>
      </c>
      <c r="L64" s="55">
        <v>0.0021</v>
      </c>
      <c r="M64" s="55">
        <f t="shared" si="3"/>
        <v>0.0126</v>
      </c>
      <c r="N64" s="70" t="s">
        <v>646</v>
      </c>
      <c r="O64" s="18"/>
      <c r="Z64" s="55">
        <f t="shared" si="4"/>
        <v>0</v>
      </c>
      <c r="AB64" s="55">
        <f t="shared" si="5"/>
        <v>0</v>
      </c>
      <c r="AC64" s="55">
        <f t="shared" si="6"/>
        <v>0</v>
      </c>
      <c r="AD64" s="55">
        <f t="shared" si="7"/>
        <v>0</v>
      </c>
      <c r="AE64" s="55">
        <f t="shared" si="8"/>
        <v>0</v>
      </c>
      <c r="AF64" s="55">
        <f t="shared" si="9"/>
        <v>0</v>
      </c>
      <c r="AG64" s="55">
        <f t="shared" si="10"/>
        <v>0</v>
      </c>
      <c r="AH64" s="55">
        <f t="shared" si="11"/>
        <v>0</v>
      </c>
      <c r="AI64" s="50"/>
      <c r="AJ64" s="42">
        <f t="shared" si="12"/>
        <v>0</v>
      </c>
      <c r="AK64" s="42">
        <f t="shared" si="13"/>
        <v>0</v>
      </c>
      <c r="AL64" s="42">
        <f t="shared" si="14"/>
        <v>0</v>
      </c>
      <c r="AN64" s="55">
        <v>21</v>
      </c>
      <c r="AO64" s="55">
        <f>H64*0</f>
        <v>0</v>
      </c>
      <c r="AP64" s="55">
        <f>H64*(1-0)</f>
        <v>0</v>
      </c>
      <c r="AQ64" s="56" t="s">
        <v>80</v>
      </c>
      <c r="AV64" s="55">
        <f t="shared" si="15"/>
        <v>0</v>
      </c>
      <c r="AW64" s="55">
        <f t="shared" si="16"/>
        <v>0</v>
      </c>
      <c r="AX64" s="55">
        <f t="shared" si="17"/>
        <v>0</v>
      </c>
      <c r="AY64" s="58" t="s">
        <v>662</v>
      </c>
      <c r="AZ64" s="58" t="s">
        <v>684</v>
      </c>
      <c r="BA64" s="50" t="s">
        <v>690</v>
      </c>
      <c r="BC64" s="55">
        <f t="shared" si="18"/>
        <v>0</v>
      </c>
      <c r="BD64" s="55">
        <f t="shared" si="19"/>
        <v>0</v>
      </c>
      <c r="BE64" s="55">
        <v>0</v>
      </c>
      <c r="BF64" s="55">
        <f t="shared" si="20"/>
        <v>0.0126</v>
      </c>
      <c r="BH64" s="42">
        <f t="shared" si="21"/>
        <v>0</v>
      </c>
      <c r="BI64" s="42">
        <f t="shared" si="22"/>
        <v>0</v>
      </c>
      <c r="BJ64" s="42">
        <f t="shared" si="23"/>
        <v>0</v>
      </c>
      <c r="BK64" s="42" t="s">
        <v>695</v>
      </c>
      <c r="BL64" s="55">
        <v>721</v>
      </c>
    </row>
    <row r="65" spans="1:64" ht="12.75">
      <c r="A65" s="69" t="s">
        <v>98</v>
      </c>
      <c r="B65" s="17"/>
      <c r="C65" s="17" t="s">
        <v>244</v>
      </c>
      <c r="D65" s="113" t="s">
        <v>431</v>
      </c>
      <c r="E65" s="174"/>
      <c r="F65" s="17" t="s">
        <v>621</v>
      </c>
      <c r="G65" s="55">
        <v>6.5</v>
      </c>
      <c r="H65" s="92"/>
      <c r="I65" s="55">
        <f t="shared" si="0"/>
        <v>0</v>
      </c>
      <c r="J65" s="55">
        <f t="shared" si="1"/>
        <v>0</v>
      </c>
      <c r="K65" s="55">
        <f t="shared" si="2"/>
        <v>0</v>
      </c>
      <c r="L65" s="55">
        <v>0.00038</v>
      </c>
      <c r="M65" s="55">
        <f t="shared" si="3"/>
        <v>0.00247</v>
      </c>
      <c r="N65" s="70" t="s">
        <v>646</v>
      </c>
      <c r="O65" s="18"/>
      <c r="Z65" s="55">
        <f t="shared" si="4"/>
        <v>0</v>
      </c>
      <c r="AB65" s="55">
        <f t="shared" si="5"/>
        <v>0</v>
      </c>
      <c r="AC65" s="55">
        <f t="shared" si="6"/>
        <v>0</v>
      </c>
      <c r="AD65" s="55">
        <f t="shared" si="7"/>
        <v>0</v>
      </c>
      <c r="AE65" s="55">
        <f t="shared" si="8"/>
        <v>0</v>
      </c>
      <c r="AF65" s="55">
        <f t="shared" si="9"/>
        <v>0</v>
      </c>
      <c r="AG65" s="55">
        <f t="shared" si="10"/>
        <v>0</v>
      </c>
      <c r="AH65" s="55">
        <f t="shared" si="11"/>
        <v>0</v>
      </c>
      <c r="AI65" s="50"/>
      <c r="AJ65" s="42">
        <f t="shared" si="12"/>
        <v>0</v>
      </c>
      <c r="AK65" s="42">
        <f t="shared" si="13"/>
        <v>0</v>
      </c>
      <c r="AL65" s="42">
        <f t="shared" si="14"/>
        <v>0</v>
      </c>
      <c r="AN65" s="55">
        <v>21</v>
      </c>
      <c r="AO65" s="55">
        <f>H65*0.387232472324723</f>
        <v>0</v>
      </c>
      <c r="AP65" s="55">
        <f>H65*(1-0.387232472324723)</f>
        <v>0</v>
      </c>
      <c r="AQ65" s="56" t="s">
        <v>80</v>
      </c>
      <c r="AV65" s="55">
        <f t="shared" si="15"/>
        <v>0</v>
      </c>
      <c r="AW65" s="55">
        <f t="shared" si="16"/>
        <v>0</v>
      </c>
      <c r="AX65" s="55">
        <f t="shared" si="17"/>
        <v>0</v>
      </c>
      <c r="AY65" s="58" t="s">
        <v>662</v>
      </c>
      <c r="AZ65" s="58" t="s">
        <v>684</v>
      </c>
      <c r="BA65" s="50" t="s">
        <v>690</v>
      </c>
      <c r="BC65" s="55">
        <f t="shared" si="18"/>
        <v>0</v>
      </c>
      <c r="BD65" s="55">
        <f t="shared" si="19"/>
        <v>0</v>
      </c>
      <c r="BE65" s="55">
        <v>0</v>
      </c>
      <c r="BF65" s="55">
        <f t="shared" si="20"/>
        <v>0.00247</v>
      </c>
      <c r="BH65" s="42">
        <f t="shared" si="21"/>
        <v>0</v>
      </c>
      <c r="BI65" s="42">
        <f t="shared" si="22"/>
        <v>0</v>
      </c>
      <c r="BJ65" s="42">
        <f t="shared" si="23"/>
        <v>0</v>
      </c>
      <c r="BK65" s="42" t="s">
        <v>695</v>
      </c>
      <c r="BL65" s="55">
        <v>721</v>
      </c>
    </row>
    <row r="66" spans="1:64" ht="12.75">
      <c r="A66" s="69" t="s">
        <v>99</v>
      </c>
      <c r="B66" s="17"/>
      <c r="C66" s="17" t="s">
        <v>245</v>
      </c>
      <c r="D66" s="113" t="s">
        <v>432</v>
      </c>
      <c r="E66" s="174"/>
      <c r="F66" s="17" t="s">
        <v>621</v>
      </c>
      <c r="G66" s="55">
        <v>7.3</v>
      </c>
      <c r="H66" s="92"/>
      <c r="I66" s="55">
        <f t="shared" si="0"/>
        <v>0</v>
      </c>
      <c r="J66" s="55">
        <f t="shared" si="1"/>
        <v>0</v>
      </c>
      <c r="K66" s="55">
        <f t="shared" si="2"/>
        <v>0</v>
      </c>
      <c r="L66" s="55">
        <v>0.00047</v>
      </c>
      <c r="M66" s="55">
        <f t="shared" si="3"/>
        <v>0.003431</v>
      </c>
      <c r="N66" s="70" t="s">
        <v>646</v>
      </c>
      <c r="O66" s="18"/>
      <c r="Z66" s="55">
        <f t="shared" si="4"/>
        <v>0</v>
      </c>
      <c r="AB66" s="55">
        <f t="shared" si="5"/>
        <v>0</v>
      </c>
      <c r="AC66" s="55">
        <f t="shared" si="6"/>
        <v>0</v>
      </c>
      <c r="AD66" s="55">
        <f t="shared" si="7"/>
        <v>0</v>
      </c>
      <c r="AE66" s="55">
        <f t="shared" si="8"/>
        <v>0</v>
      </c>
      <c r="AF66" s="55">
        <f t="shared" si="9"/>
        <v>0</v>
      </c>
      <c r="AG66" s="55">
        <f t="shared" si="10"/>
        <v>0</v>
      </c>
      <c r="AH66" s="55">
        <f t="shared" si="11"/>
        <v>0</v>
      </c>
      <c r="AI66" s="50"/>
      <c r="AJ66" s="42">
        <f t="shared" si="12"/>
        <v>0</v>
      </c>
      <c r="AK66" s="42">
        <f t="shared" si="13"/>
        <v>0</v>
      </c>
      <c r="AL66" s="42">
        <f t="shared" si="14"/>
        <v>0</v>
      </c>
      <c r="AN66" s="55">
        <v>21</v>
      </c>
      <c r="AO66" s="55">
        <f>H66*0.378966666666667</f>
        <v>0</v>
      </c>
      <c r="AP66" s="55">
        <f>H66*(1-0.378966666666667)</f>
        <v>0</v>
      </c>
      <c r="AQ66" s="56" t="s">
        <v>80</v>
      </c>
      <c r="AV66" s="55">
        <f t="shared" si="15"/>
        <v>0</v>
      </c>
      <c r="AW66" s="55">
        <f t="shared" si="16"/>
        <v>0</v>
      </c>
      <c r="AX66" s="55">
        <f t="shared" si="17"/>
        <v>0</v>
      </c>
      <c r="AY66" s="58" t="s">
        <v>662</v>
      </c>
      <c r="AZ66" s="58" t="s">
        <v>684</v>
      </c>
      <c r="BA66" s="50" t="s">
        <v>690</v>
      </c>
      <c r="BC66" s="55">
        <f t="shared" si="18"/>
        <v>0</v>
      </c>
      <c r="BD66" s="55">
        <f t="shared" si="19"/>
        <v>0</v>
      </c>
      <c r="BE66" s="55">
        <v>0</v>
      </c>
      <c r="BF66" s="55">
        <f t="shared" si="20"/>
        <v>0.003431</v>
      </c>
      <c r="BH66" s="42">
        <f t="shared" si="21"/>
        <v>0</v>
      </c>
      <c r="BI66" s="42">
        <f t="shared" si="22"/>
        <v>0</v>
      </c>
      <c r="BJ66" s="42">
        <f t="shared" si="23"/>
        <v>0</v>
      </c>
      <c r="BK66" s="42" t="s">
        <v>695</v>
      </c>
      <c r="BL66" s="55">
        <v>721</v>
      </c>
    </row>
    <row r="67" spans="1:64" ht="12.75">
      <c r="A67" s="69" t="s">
        <v>100</v>
      </c>
      <c r="B67" s="17"/>
      <c r="C67" s="17" t="s">
        <v>246</v>
      </c>
      <c r="D67" s="113" t="s">
        <v>433</v>
      </c>
      <c r="E67" s="174"/>
      <c r="F67" s="17" t="s">
        <v>621</v>
      </c>
      <c r="G67" s="55">
        <v>4.2</v>
      </c>
      <c r="H67" s="92"/>
      <c r="I67" s="55">
        <f t="shared" si="0"/>
        <v>0</v>
      </c>
      <c r="J67" s="55">
        <f t="shared" si="1"/>
        <v>0</v>
      </c>
      <c r="K67" s="55">
        <f t="shared" si="2"/>
        <v>0</v>
      </c>
      <c r="L67" s="55">
        <v>0.00152</v>
      </c>
      <c r="M67" s="55">
        <f t="shared" si="3"/>
        <v>0.006384000000000001</v>
      </c>
      <c r="N67" s="70" t="s">
        <v>646</v>
      </c>
      <c r="O67" s="18"/>
      <c r="Z67" s="55">
        <f t="shared" si="4"/>
        <v>0</v>
      </c>
      <c r="AB67" s="55">
        <f t="shared" si="5"/>
        <v>0</v>
      </c>
      <c r="AC67" s="55">
        <f t="shared" si="6"/>
        <v>0</v>
      </c>
      <c r="AD67" s="55">
        <f t="shared" si="7"/>
        <v>0</v>
      </c>
      <c r="AE67" s="55">
        <f t="shared" si="8"/>
        <v>0</v>
      </c>
      <c r="AF67" s="55">
        <f t="shared" si="9"/>
        <v>0</v>
      </c>
      <c r="AG67" s="55">
        <f t="shared" si="10"/>
        <v>0</v>
      </c>
      <c r="AH67" s="55">
        <f t="shared" si="11"/>
        <v>0</v>
      </c>
      <c r="AI67" s="50"/>
      <c r="AJ67" s="42">
        <f t="shared" si="12"/>
        <v>0</v>
      </c>
      <c r="AK67" s="42">
        <f t="shared" si="13"/>
        <v>0</v>
      </c>
      <c r="AL67" s="42">
        <f t="shared" si="14"/>
        <v>0</v>
      </c>
      <c r="AN67" s="55">
        <v>21</v>
      </c>
      <c r="AO67" s="55">
        <f>H67*0.36059513210152</f>
        <v>0</v>
      </c>
      <c r="AP67" s="55">
        <f>H67*(1-0.36059513210152)</f>
        <v>0</v>
      </c>
      <c r="AQ67" s="56" t="s">
        <v>80</v>
      </c>
      <c r="AV67" s="55">
        <f t="shared" si="15"/>
        <v>0</v>
      </c>
      <c r="AW67" s="55">
        <f t="shared" si="16"/>
        <v>0</v>
      </c>
      <c r="AX67" s="55">
        <f t="shared" si="17"/>
        <v>0</v>
      </c>
      <c r="AY67" s="58" t="s">
        <v>662</v>
      </c>
      <c r="AZ67" s="58" t="s">
        <v>684</v>
      </c>
      <c r="BA67" s="50" t="s">
        <v>690</v>
      </c>
      <c r="BC67" s="55">
        <f t="shared" si="18"/>
        <v>0</v>
      </c>
      <c r="BD67" s="55">
        <f t="shared" si="19"/>
        <v>0</v>
      </c>
      <c r="BE67" s="55">
        <v>0</v>
      </c>
      <c r="BF67" s="55">
        <f t="shared" si="20"/>
        <v>0.006384000000000001</v>
      </c>
      <c r="BH67" s="42">
        <f t="shared" si="21"/>
        <v>0</v>
      </c>
      <c r="BI67" s="42">
        <f t="shared" si="22"/>
        <v>0</v>
      </c>
      <c r="BJ67" s="42">
        <f t="shared" si="23"/>
        <v>0</v>
      </c>
      <c r="BK67" s="42" t="s">
        <v>695</v>
      </c>
      <c r="BL67" s="55">
        <v>721</v>
      </c>
    </row>
    <row r="68" spans="1:64" ht="12.75">
      <c r="A68" s="69" t="s">
        <v>101</v>
      </c>
      <c r="B68" s="17"/>
      <c r="C68" s="17" t="s">
        <v>247</v>
      </c>
      <c r="D68" s="113" t="s">
        <v>434</v>
      </c>
      <c r="E68" s="174"/>
      <c r="F68" s="17" t="s">
        <v>621</v>
      </c>
      <c r="G68" s="55">
        <v>2.5</v>
      </c>
      <c r="H68" s="92"/>
      <c r="I68" s="55">
        <f t="shared" si="0"/>
        <v>0</v>
      </c>
      <c r="J68" s="55">
        <f t="shared" si="1"/>
        <v>0</v>
      </c>
      <c r="K68" s="55">
        <f t="shared" si="2"/>
        <v>0</v>
      </c>
      <c r="L68" s="55">
        <v>0.00131</v>
      </c>
      <c r="M68" s="55">
        <f t="shared" si="3"/>
        <v>0.003275</v>
      </c>
      <c r="N68" s="70" t="s">
        <v>646</v>
      </c>
      <c r="O68" s="18"/>
      <c r="Z68" s="55">
        <f t="shared" si="4"/>
        <v>0</v>
      </c>
      <c r="AB68" s="55">
        <f t="shared" si="5"/>
        <v>0</v>
      </c>
      <c r="AC68" s="55">
        <f t="shared" si="6"/>
        <v>0</v>
      </c>
      <c r="AD68" s="55">
        <f t="shared" si="7"/>
        <v>0</v>
      </c>
      <c r="AE68" s="55">
        <f t="shared" si="8"/>
        <v>0</v>
      </c>
      <c r="AF68" s="55">
        <f t="shared" si="9"/>
        <v>0</v>
      </c>
      <c r="AG68" s="55">
        <f t="shared" si="10"/>
        <v>0</v>
      </c>
      <c r="AH68" s="55">
        <f t="shared" si="11"/>
        <v>0</v>
      </c>
      <c r="AI68" s="50"/>
      <c r="AJ68" s="42">
        <f t="shared" si="12"/>
        <v>0</v>
      </c>
      <c r="AK68" s="42">
        <f t="shared" si="13"/>
        <v>0</v>
      </c>
      <c r="AL68" s="42">
        <f t="shared" si="14"/>
        <v>0</v>
      </c>
      <c r="AN68" s="55">
        <v>21</v>
      </c>
      <c r="AO68" s="55">
        <f>H68*0.460097357949941</f>
        <v>0</v>
      </c>
      <c r="AP68" s="55">
        <f>H68*(1-0.460097357949941)</f>
        <v>0</v>
      </c>
      <c r="AQ68" s="56" t="s">
        <v>80</v>
      </c>
      <c r="AV68" s="55">
        <f t="shared" si="15"/>
        <v>0</v>
      </c>
      <c r="AW68" s="55">
        <f t="shared" si="16"/>
        <v>0</v>
      </c>
      <c r="AX68" s="55">
        <f t="shared" si="17"/>
        <v>0</v>
      </c>
      <c r="AY68" s="58" t="s">
        <v>662</v>
      </c>
      <c r="AZ68" s="58" t="s">
        <v>684</v>
      </c>
      <c r="BA68" s="50" t="s">
        <v>690</v>
      </c>
      <c r="BC68" s="55">
        <f t="shared" si="18"/>
        <v>0</v>
      </c>
      <c r="BD68" s="55">
        <f t="shared" si="19"/>
        <v>0</v>
      </c>
      <c r="BE68" s="55">
        <v>0</v>
      </c>
      <c r="BF68" s="55">
        <f t="shared" si="20"/>
        <v>0.003275</v>
      </c>
      <c r="BH68" s="42">
        <f t="shared" si="21"/>
        <v>0</v>
      </c>
      <c r="BI68" s="42">
        <f t="shared" si="22"/>
        <v>0</v>
      </c>
      <c r="BJ68" s="42">
        <f t="shared" si="23"/>
        <v>0</v>
      </c>
      <c r="BK68" s="42" t="s">
        <v>695</v>
      </c>
      <c r="BL68" s="55">
        <v>721</v>
      </c>
    </row>
    <row r="69" spans="1:64" ht="12.75">
      <c r="A69" s="69" t="s">
        <v>102</v>
      </c>
      <c r="B69" s="17"/>
      <c r="C69" s="17" t="s">
        <v>248</v>
      </c>
      <c r="D69" s="113" t="s">
        <v>435</v>
      </c>
      <c r="E69" s="174"/>
      <c r="F69" s="17" t="s">
        <v>623</v>
      </c>
      <c r="G69" s="55">
        <v>2</v>
      </c>
      <c r="H69" s="92"/>
      <c r="I69" s="55">
        <f t="shared" si="0"/>
        <v>0</v>
      </c>
      <c r="J69" s="55">
        <f t="shared" si="1"/>
        <v>0</v>
      </c>
      <c r="K69" s="55">
        <f t="shared" si="2"/>
        <v>0</v>
      </c>
      <c r="L69" s="55">
        <v>0</v>
      </c>
      <c r="M69" s="55">
        <f t="shared" si="3"/>
        <v>0</v>
      </c>
      <c r="N69" s="70" t="s">
        <v>646</v>
      </c>
      <c r="O69" s="18"/>
      <c r="Z69" s="55">
        <f t="shared" si="4"/>
        <v>0</v>
      </c>
      <c r="AB69" s="55">
        <f t="shared" si="5"/>
        <v>0</v>
      </c>
      <c r="AC69" s="55">
        <f t="shared" si="6"/>
        <v>0</v>
      </c>
      <c r="AD69" s="55">
        <f t="shared" si="7"/>
        <v>0</v>
      </c>
      <c r="AE69" s="55">
        <f t="shared" si="8"/>
        <v>0</v>
      </c>
      <c r="AF69" s="55">
        <f t="shared" si="9"/>
        <v>0</v>
      </c>
      <c r="AG69" s="55">
        <f t="shared" si="10"/>
        <v>0</v>
      </c>
      <c r="AH69" s="55">
        <f t="shared" si="11"/>
        <v>0</v>
      </c>
      <c r="AI69" s="50"/>
      <c r="AJ69" s="42">
        <f t="shared" si="12"/>
        <v>0</v>
      </c>
      <c r="AK69" s="42">
        <f t="shared" si="13"/>
        <v>0</v>
      </c>
      <c r="AL69" s="42">
        <f t="shared" si="14"/>
        <v>0</v>
      </c>
      <c r="AN69" s="55">
        <v>21</v>
      </c>
      <c r="AO69" s="55">
        <f>H69*0</f>
        <v>0</v>
      </c>
      <c r="AP69" s="55">
        <f>H69*(1-0)</f>
        <v>0</v>
      </c>
      <c r="AQ69" s="56" t="s">
        <v>80</v>
      </c>
      <c r="AV69" s="55">
        <f t="shared" si="15"/>
        <v>0</v>
      </c>
      <c r="AW69" s="55">
        <f t="shared" si="16"/>
        <v>0</v>
      </c>
      <c r="AX69" s="55">
        <f t="shared" si="17"/>
        <v>0</v>
      </c>
      <c r="AY69" s="58" t="s">
        <v>662</v>
      </c>
      <c r="AZ69" s="58" t="s">
        <v>684</v>
      </c>
      <c r="BA69" s="50" t="s">
        <v>690</v>
      </c>
      <c r="BC69" s="55">
        <f t="shared" si="18"/>
        <v>0</v>
      </c>
      <c r="BD69" s="55">
        <f t="shared" si="19"/>
        <v>0</v>
      </c>
      <c r="BE69" s="55">
        <v>0</v>
      </c>
      <c r="BF69" s="55">
        <f t="shared" si="20"/>
        <v>0</v>
      </c>
      <c r="BH69" s="42">
        <f t="shared" si="21"/>
        <v>0</v>
      </c>
      <c r="BI69" s="42">
        <f t="shared" si="22"/>
        <v>0</v>
      </c>
      <c r="BJ69" s="42">
        <f t="shared" si="23"/>
        <v>0</v>
      </c>
      <c r="BK69" s="42" t="s">
        <v>695</v>
      </c>
      <c r="BL69" s="55">
        <v>721</v>
      </c>
    </row>
    <row r="70" spans="1:64" ht="12.75">
      <c r="A70" s="69" t="s">
        <v>103</v>
      </c>
      <c r="B70" s="17"/>
      <c r="C70" s="17" t="s">
        <v>249</v>
      </c>
      <c r="D70" s="113" t="s">
        <v>436</v>
      </c>
      <c r="E70" s="174"/>
      <c r="F70" s="17" t="s">
        <v>623</v>
      </c>
      <c r="G70" s="55">
        <v>7</v>
      </c>
      <c r="H70" s="92"/>
      <c r="I70" s="55">
        <f t="shared" si="0"/>
        <v>0</v>
      </c>
      <c r="J70" s="55">
        <f t="shared" si="1"/>
        <v>0</v>
      </c>
      <c r="K70" s="55">
        <f t="shared" si="2"/>
        <v>0</v>
      </c>
      <c r="L70" s="55">
        <v>0</v>
      </c>
      <c r="M70" s="55">
        <f t="shared" si="3"/>
        <v>0</v>
      </c>
      <c r="N70" s="70" t="s">
        <v>646</v>
      </c>
      <c r="O70" s="18"/>
      <c r="Z70" s="55">
        <f t="shared" si="4"/>
        <v>0</v>
      </c>
      <c r="AB70" s="55">
        <f t="shared" si="5"/>
        <v>0</v>
      </c>
      <c r="AC70" s="55">
        <f t="shared" si="6"/>
        <v>0</v>
      </c>
      <c r="AD70" s="55">
        <f t="shared" si="7"/>
        <v>0</v>
      </c>
      <c r="AE70" s="55">
        <f t="shared" si="8"/>
        <v>0</v>
      </c>
      <c r="AF70" s="55">
        <f t="shared" si="9"/>
        <v>0</v>
      </c>
      <c r="AG70" s="55">
        <f t="shared" si="10"/>
        <v>0</v>
      </c>
      <c r="AH70" s="55">
        <f t="shared" si="11"/>
        <v>0</v>
      </c>
      <c r="AI70" s="50"/>
      <c r="AJ70" s="42">
        <f t="shared" si="12"/>
        <v>0</v>
      </c>
      <c r="AK70" s="42">
        <f t="shared" si="13"/>
        <v>0</v>
      </c>
      <c r="AL70" s="42">
        <f t="shared" si="14"/>
        <v>0</v>
      </c>
      <c r="AN70" s="55">
        <v>21</v>
      </c>
      <c r="AO70" s="55">
        <f>H70*0</f>
        <v>0</v>
      </c>
      <c r="AP70" s="55">
        <f>H70*(1-0)</f>
        <v>0</v>
      </c>
      <c r="AQ70" s="56" t="s">
        <v>80</v>
      </c>
      <c r="AV70" s="55">
        <f t="shared" si="15"/>
        <v>0</v>
      </c>
      <c r="AW70" s="55">
        <f t="shared" si="16"/>
        <v>0</v>
      </c>
      <c r="AX70" s="55">
        <f t="shared" si="17"/>
        <v>0</v>
      </c>
      <c r="AY70" s="58" t="s">
        <v>662</v>
      </c>
      <c r="AZ70" s="58" t="s">
        <v>684</v>
      </c>
      <c r="BA70" s="50" t="s">
        <v>690</v>
      </c>
      <c r="BC70" s="55">
        <f t="shared" si="18"/>
        <v>0</v>
      </c>
      <c r="BD70" s="55">
        <f t="shared" si="19"/>
        <v>0</v>
      </c>
      <c r="BE70" s="55">
        <v>0</v>
      </c>
      <c r="BF70" s="55">
        <f t="shared" si="20"/>
        <v>0</v>
      </c>
      <c r="BH70" s="42">
        <f t="shared" si="21"/>
        <v>0</v>
      </c>
      <c r="BI70" s="42">
        <f t="shared" si="22"/>
        <v>0</v>
      </c>
      <c r="BJ70" s="42">
        <f t="shared" si="23"/>
        <v>0</v>
      </c>
      <c r="BK70" s="42" t="s">
        <v>695</v>
      </c>
      <c r="BL70" s="55">
        <v>721</v>
      </c>
    </row>
    <row r="71" spans="1:64" ht="12.75">
      <c r="A71" s="69" t="s">
        <v>104</v>
      </c>
      <c r="B71" s="17"/>
      <c r="C71" s="17" t="s">
        <v>250</v>
      </c>
      <c r="D71" s="113" t="s">
        <v>437</v>
      </c>
      <c r="E71" s="174"/>
      <c r="F71" s="17" t="s">
        <v>623</v>
      </c>
      <c r="G71" s="55">
        <v>5</v>
      </c>
      <c r="H71" s="92"/>
      <c r="I71" s="55">
        <f t="shared" si="0"/>
        <v>0</v>
      </c>
      <c r="J71" s="55">
        <f t="shared" si="1"/>
        <v>0</v>
      </c>
      <c r="K71" s="55">
        <f t="shared" si="2"/>
        <v>0</v>
      </c>
      <c r="L71" s="55">
        <v>0</v>
      </c>
      <c r="M71" s="55">
        <f t="shared" si="3"/>
        <v>0</v>
      </c>
      <c r="N71" s="70" t="s">
        <v>646</v>
      </c>
      <c r="O71" s="18"/>
      <c r="Z71" s="55">
        <f t="shared" si="4"/>
        <v>0</v>
      </c>
      <c r="AB71" s="55">
        <f t="shared" si="5"/>
        <v>0</v>
      </c>
      <c r="AC71" s="55">
        <f t="shared" si="6"/>
        <v>0</v>
      </c>
      <c r="AD71" s="55">
        <f t="shared" si="7"/>
        <v>0</v>
      </c>
      <c r="AE71" s="55">
        <f t="shared" si="8"/>
        <v>0</v>
      </c>
      <c r="AF71" s="55">
        <f t="shared" si="9"/>
        <v>0</v>
      </c>
      <c r="AG71" s="55">
        <f t="shared" si="10"/>
        <v>0</v>
      </c>
      <c r="AH71" s="55">
        <f t="shared" si="11"/>
        <v>0</v>
      </c>
      <c r="AI71" s="50"/>
      <c r="AJ71" s="42">
        <f t="shared" si="12"/>
        <v>0</v>
      </c>
      <c r="AK71" s="42">
        <f t="shared" si="13"/>
        <v>0</v>
      </c>
      <c r="AL71" s="42">
        <f t="shared" si="14"/>
        <v>0</v>
      </c>
      <c r="AN71" s="55">
        <v>21</v>
      </c>
      <c r="AO71" s="55">
        <f>H71*0</f>
        <v>0</v>
      </c>
      <c r="AP71" s="55">
        <f>H71*(1-0)</f>
        <v>0</v>
      </c>
      <c r="AQ71" s="56" t="s">
        <v>80</v>
      </c>
      <c r="AV71" s="55">
        <f t="shared" si="15"/>
        <v>0</v>
      </c>
      <c r="AW71" s="55">
        <f t="shared" si="16"/>
        <v>0</v>
      </c>
      <c r="AX71" s="55">
        <f t="shared" si="17"/>
        <v>0</v>
      </c>
      <c r="AY71" s="58" t="s">
        <v>662</v>
      </c>
      <c r="AZ71" s="58" t="s">
        <v>684</v>
      </c>
      <c r="BA71" s="50" t="s">
        <v>690</v>
      </c>
      <c r="BC71" s="55">
        <f t="shared" si="18"/>
        <v>0</v>
      </c>
      <c r="BD71" s="55">
        <f t="shared" si="19"/>
        <v>0</v>
      </c>
      <c r="BE71" s="55">
        <v>0</v>
      </c>
      <c r="BF71" s="55">
        <f t="shared" si="20"/>
        <v>0</v>
      </c>
      <c r="BH71" s="42">
        <f t="shared" si="21"/>
        <v>0</v>
      </c>
      <c r="BI71" s="42">
        <f t="shared" si="22"/>
        <v>0</v>
      </c>
      <c r="BJ71" s="42">
        <f t="shared" si="23"/>
        <v>0</v>
      </c>
      <c r="BK71" s="42" t="s">
        <v>695</v>
      </c>
      <c r="BL71" s="55">
        <v>721</v>
      </c>
    </row>
    <row r="72" spans="1:64" ht="12.75">
      <c r="A72" s="69" t="s">
        <v>105</v>
      </c>
      <c r="B72" s="17"/>
      <c r="C72" s="17" t="s">
        <v>251</v>
      </c>
      <c r="D72" s="113" t="s">
        <v>438</v>
      </c>
      <c r="E72" s="174"/>
      <c r="F72" s="17" t="s">
        <v>621</v>
      </c>
      <c r="G72" s="55">
        <v>18</v>
      </c>
      <c r="H72" s="92"/>
      <c r="I72" s="55">
        <f t="shared" si="0"/>
        <v>0</v>
      </c>
      <c r="J72" s="55">
        <f t="shared" si="1"/>
        <v>0</v>
      </c>
      <c r="K72" s="55">
        <f t="shared" si="2"/>
        <v>0</v>
      </c>
      <c r="L72" s="55">
        <v>0</v>
      </c>
      <c r="M72" s="55">
        <f t="shared" si="3"/>
        <v>0</v>
      </c>
      <c r="N72" s="70" t="s">
        <v>646</v>
      </c>
      <c r="O72" s="18"/>
      <c r="Z72" s="55">
        <f t="shared" si="4"/>
        <v>0</v>
      </c>
      <c r="AB72" s="55">
        <f t="shared" si="5"/>
        <v>0</v>
      </c>
      <c r="AC72" s="55">
        <f t="shared" si="6"/>
        <v>0</v>
      </c>
      <c r="AD72" s="55">
        <f t="shared" si="7"/>
        <v>0</v>
      </c>
      <c r="AE72" s="55">
        <f t="shared" si="8"/>
        <v>0</v>
      </c>
      <c r="AF72" s="55">
        <f t="shared" si="9"/>
        <v>0</v>
      </c>
      <c r="AG72" s="55">
        <f t="shared" si="10"/>
        <v>0</v>
      </c>
      <c r="AH72" s="55">
        <f t="shared" si="11"/>
        <v>0</v>
      </c>
      <c r="AI72" s="50"/>
      <c r="AJ72" s="42">
        <f t="shared" si="12"/>
        <v>0</v>
      </c>
      <c r="AK72" s="42">
        <f t="shared" si="13"/>
        <v>0</v>
      </c>
      <c r="AL72" s="42">
        <f t="shared" si="14"/>
        <v>0</v>
      </c>
      <c r="AN72" s="55">
        <v>21</v>
      </c>
      <c r="AO72" s="55">
        <f>H72*0</f>
        <v>0</v>
      </c>
      <c r="AP72" s="55">
        <f>H72*(1-0)</f>
        <v>0</v>
      </c>
      <c r="AQ72" s="56" t="s">
        <v>75</v>
      </c>
      <c r="AV72" s="55">
        <f t="shared" si="15"/>
        <v>0</v>
      </c>
      <c r="AW72" s="55">
        <f t="shared" si="16"/>
        <v>0</v>
      </c>
      <c r="AX72" s="55">
        <f t="shared" si="17"/>
        <v>0</v>
      </c>
      <c r="AY72" s="58" t="s">
        <v>662</v>
      </c>
      <c r="AZ72" s="58" t="s">
        <v>684</v>
      </c>
      <c r="BA72" s="50" t="s">
        <v>690</v>
      </c>
      <c r="BC72" s="55">
        <f t="shared" si="18"/>
        <v>0</v>
      </c>
      <c r="BD72" s="55">
        <f t="shared" si="19"/>
        <v>0</v>
      </c>
      <c r="BE72" s="55">
        <v>0</v>
      </c>
      <c r="BF72" s="55">
        <f t="shared" si="20"/>
        <v>0</v>
      </c>
      <c r="BH72" s="42">
        <f t="shared" si="21"/>
        <v>0</v>
      </c>
      <c r="BI72" s="42">
        <f t="shared" si="22"/>
        <v>0</v>
      </c>
      <c r="BJ72" s="42">
        <f t="shared" si="23"/>
        <v>0</v>
      </c>
      <c r="BK72" s="42" t="s">
        <v>695</v>
      </c>
      <c r="BL72" s="55">
        <v>721</v>
      </c>
    </row>
    <row r="73" spans="1:15" ht="12.75">
      <c r="A73" s="18"/>
      <c r="B73" s="71"/>
      <c r="C73" s="71"/>
      <c r="D73" s="72" t="s">
        <v>439</v>
      </c>
      <c r="E73" s="72"/>
      <c r="F73" s="71"/>
      <c r="G73" s="73">
        <v>18</v>
      </c>
      <c r="H73" s="71"/>
      <c r="I73" s="71"/>
      <c r="J73" s="71"/>
      <c r="K73" s="71"/>
      <c r="L73" s="71"/>
      <c r="M73" s="71"/>
      <c r="N73" s="16"/>
      <c r="O73" s="18"/>
    </row>
    <row r="74" spans="1:64" ht="12.75">
      <c r="A74" s="69" t="s">
        <v>106</v>
      </c>
      <c r="B74" s="17"/>
      <c r="C74" s="17" t="s">
        <v>252</v>
      </c>
      <c r="D74" s="113" t="s">
        <v>440</v>
      </c>
      <c r="E74" s="174"/>
      <c r="F74" s="17" t="s">
        <v>621</v>
      </c>
      <c r="G74" s="55">
        <v>18</v>
      </c>
      <c r="H74" s="92"/>
      <c r="I74" s="55">
        <f>G74*AO74</f>
        <v>0</v>
      </c>
      <c r="J74" s="55">
        <f>G74*AP74</f>
        <v>0</v>
      </c>
      <c r="K74" s="55">
        <f>G74*H74</f>
        <v>0</v>
      </c>
      <c r="L74" s="55">
        <v>0</v>
      </c>
      <c r="M74" s="55">
        <f>G74*L74</f>
        <v>0</v>
      </c>
      <c r="N74" s="70" t="s">
        <v>646</v>
      </c>
      <c r="O74" s="18"/>
      <c r="Z74" s="55">
        <f>IF(AQ74="5",BJ74,0)</f>
        <v>0</v>
      </c>
      <c r="AB74" s="55">
        <f>IF(AQ74="1",BH74,0)</f>
        <v>0</v>
      </c>
      <c r="AC74" s="55">
        <f>IF(AQ74="1",BI74,0)</f>
        <v>0</v>
      </c>
      <c r="AD74" s="55">
        <f>IF(AQ74="7",BH74,0)</f>
        <v>0</v>
      </c>
      <c r="AE74" s="55">
        <f>IF(AQ74="7",BI74,0)</f>
        <v>0</v>
      </c>
      <c r="AF74" s="55">
        <f>IF(AQ74="2",BH74,0)</f>
        <v>0</v>
      </c>
      <c r="AG74" s="55">
        <f>IF(AQ74="2",BI74,0)</f>
        <v>0</v>
      </c>
      <c r="AH74" s="55">
        <f>IF(AQ74="0",BJ74,0)</f>
        <v>0</v>
      </c>
      <c r="AI74" s="50"/>
      <c r="AJ74" s="42">
        <f>IF(AN74=0,K74,0)</f>
        <v>0</v>
      </c>
      <c r="AK74" s="42">
        <f>IF(AN74=15,K74,0)</f>
        <v>0</v>
      </c>
      <c r="AL74" s="42">
        <f>IF(AN74=21,K74,0)</f>
        <v>0</v>
      </c>
      <c r="AN74" s="55">
        <v>21</v>
      </c>
      <c r="AO74" s="55">
        <f>H74*0.0265728800312622</f>
        <v>0</v>
      </c>
      <c r="AP74" s="55">
        <f>H74*(1-0.0265728800312622)</f>
        <v>0</v>
      </c>
      <c r="AQ74" s="56" t="s">
        <v>80</v>
      </c>
      <c r="AV74" s="55">
        <f>AW74+AX74</f>
        <v>0</v>
      </c>
      <c r="AW74" s="55">
        <f>G74*AO74</f>
        <v>0</v>
      </c>
      <c r="AX74" s="55">
        <f>G74*AP74</f>
        <v>0</v>
      </c>
      <c r="AY74" s="58" t="s">
        <v>662</v>
      </c>
      <c r="AZ74" s="58" t="s">
        <v>684</v>
      </c>
      <c r="BA74" s="50" t="s">
        <v>690</v>
      </c>
      <c r="BC74" s="55">
        <f>AW74+AX74</f>
        <v>0</v>
      </c>
      <c r="BD74" s="55">
        <f>H74/(100-BE74)*100</f>
        <v>0</v>
      </c>
      <c r="BE74" s="55">
        <v>0</v>
      </c>
      <c r="BF74" s="55">
        <f>M74</f>
        <v>0</v>
      </c>
      <c r="BH74" s="42">
        <f>G74*AO74</f>
        <v>0</v>
      </c>
      <c r="BI74" s="42">
        <f>G74*AP74</f>
        <v>0</v>
      </c>
      <c r="BJ74" s="42">
        <f>G74*H74</f>
        <v>0</v>
      </c>
      <c r="BK74" s="42" t="s">
        <v>695</v>
      </c>
      <c r="BL74" s="55">
        <v>721</v>
      </c>
    </row>
    <row r="75" spans="1:64" ht="12.75">
      <c r="A75" s="69" t="s">
        <v>107</v>
      </c>
      <c r="B75" s="17"/>
      <c r="C75" s="17" t="s">
        <v>253</v>
      </c>
      <c r="D75" s="113" t="s">
        <v>441</v>
      </c>
      <c r="E75" s="174"/>
      <c r="F75" s="17" t="s">
        <v>621</v>
      </c>
      <c r="G75" s="55">
        <v>4</v>
      </c>
      <c r="H75" s="92"/>
      <c r="I75" s="55">
        <f>G75*AO75</f>
        <v>0</v>
      </c>
      <c r="J75" s="55">
        <f>G75*AP75</f>
        <v>0</v>
      </c>
      <c r="K75" s="55">
        <f>G75*H75</f>
        <v>0</v>
      </c>
      <c r="L75" s="55">
        <v>0.00171</v>
      </c>
      <c r="M75" s="55">
        <f>G75*L75</f>
        <v>0.00684</v>
      </c>
      <c r="N75" s="70" t="s">
        <v>646</v>
      </c>
      <c r="O75" s="18"/>
      <c r="Z75" s="55">
        <f>IF(AQ75="5",BJ75,0)</f>
        <v>0</v>
      </c>
      <c r="AB75" s="55">
        <f>IF(AQ75="1",BH75,0)</f>
        <v>0</v>
      </c>
      <c r="AC75" s="55">
        <f>IF(AQ75="1",BI75,0)</f>
        <v>0</v>
      </c>
      <c r="AD75" s="55">
        <f>IF(AQ75="7",BH75,0)</f>
        <v>0</v>
      </c>
      <c r="AE75" s="55">
        <f>IF(AQ75="7",BI75,0)</f>
        <v>0</v>
      </c>
      <c r="AF75" s="55">
        <f>IF(AQ75="2",BH75,0)</f>
        <v>0</v>
      </c>
      <c r="AG75" s="55">
        <f>IF(AQ75="2",BI75,0)</f>
        <v>0</v>
      </c>
      <c r="AH75" s="55">
        <f>IF(AQ75="0",BJ75,0)</f>
        <v>0</v>
      </c>
      <c r="AI75" s="50"/>
      <c r="AJ75" s="42">
        <f>IF(AN75=0,K75,0)</f>
        <v>0</v>
      </c>
      <c r="AK75" s="42">
        <f>IF(AN75=15,K75,0)</f>
        <v>0</v>
      </c>
      <c r="AL75" s="42">
        <f>IF(AN75=21,K75,0)</f>
        <v>0</v>
      </c>
      <c r="AN75" s="55">
        <v>21</v>
      </c>
      <c r="AO75" s="55">
        <f>H75*0.437296494598166</f>
        <v>0</v>
      </c>
      <c r="AP75" s="55">
        <f>H75*(1-0.437296494598166)</f>
        <v>0</v>
      </c>
      <c r="AQ75" s="56" t="s">
        <v>80</v>
      </c>
      <c r="AV75" s="55">
        <f>AW75+AX75</f>
        <v>0</v>
      </c>
      <c r="AW75" s="55">
        <f>G75*AO75</f>
        <v>0</v>
      </c>
      <c r="AX75" s="55">
        <f>G75*AP75</f>
        <v>0</v>
      </c>
      <c r="AY75" s="58" t="s">
        <v>662</v>
      </c>
      <c r="AZ75" s="58" t="s">
        <v>684</v>
      </c>
      <c r="BA75" s="50" t="s">
        <v>690</v>
      </c>
      <c r="BC75" s="55">
        <f>AW75+AX75</f>
        <v>0</v>
      </c>
      <c r="BD75" s="55">
        <f>H75/(100-BE75)*100</f>
        <v>0</v>
      </c>
      <c r="BE75" s="55">
        <v>0</v>
      </c>
      <c r="BF75" s="55">
        <f>M75</f>
        <v>0.00684</v>
      </c>
      <c r="BH75" s="42">
        <f>G75*AO75</f>
        <v>0</v>
      </c>
      <c r="BI75" s="42">
        <f>G75*AP75</f>
        <v>0</v>
      </c>
      <c r="BJ75" s="42">
        <f>G75*H75</f>
        <v>0</v>
      </c>
      <c r="BK75" s="42" t="s">
        <v>695</v>
      </c>
      <c r="BL75" s="55">
        <v>721</v>
      </c>
    </row>
    <row r="76" spans="1:64" ht="12.75">
      <c r="A76" s="69" t="s">
        <v>108</v>
      </c>
      <c r="B76" s="17"/>
      <c r="C76" s="17" t="s">
        <v>254</v>
      </c>
      <c r="D76" s="113" t="s">
        <v>442</v>
      </c>
      <c r="E76" s="174"/>
      <c r="F76" s="17" t="s">
        <v>625</v>
      </c>
      <c r="G76" s="55">
        <v>0.6172</v>
      </c>
      <c r="H76" s="92"/>
      <c r="I76" s="55">
        <f>G76*AO76</f>
        <v>0</v>
      </c>
      <c r="J76" s="55">
        <f>G76*AP76</f>
        <v>0</v>
      </c>
      <c r="K76" s="55">
        <f>G76*H76</f>
        <v>0</v>
      </c>
      <c r="L76" s="55">
        <v>0</v>
      </c>
      <c r="M76" s="55">
        <f>G76*L76</f>
        <v>0</v>
      </c>
      <c r="N76" s="70" t="s">
        <v>646</v>
      </c>
      <c r="O76" s="18"/>
      <c r="Z76" s="55">
        <f>IF(AQ76="5",BJ76,0)</f>
        <v>0</v>
      </c>
      <c r="AB76" s="55">
        <f>IF(AQ76="1",BH76,0)</f>
        <v>0</v>
      </c>
      <c r="AC76" s="55">
        <f>IF(AQ76="1",BI76,0)</f>
        <v>0</v>
      </c>
      <c r="AD76" s="55">
        <f>IF(AQ76="7",BH76,0)</f>
        <v>0</v>
      </c>
      <c r="AE76" s="55">
        <f>IF(AQ76="7",BI76,0)</f>
        <v>0</v>
      </c>
      <c r="AF76" s="55">
        <f>IF(AQ76="2",BH76,0)</f>
        <v>0</v>
      </c>
      <c r="AG76" s="55">
        <f>IF(AQ76="2",BI76,0)</f>
        <v>0</v>
      </c>
      <c r="AH76" s="55">
        <f>IF(AQ76="0",BJ76,0)</f>
        <v>0</v>
      </c>
      <c r="AI76" s="50"/>
      <c r="AJ76" s="42">
        <f>IF(AN76=0,K76,0)</f>
        <v>0</v>
      </c>
      <c r="AK76" s="42">
        <f>IF(AN76=15,K76,0)</f>
        <v>0</v>
      </c>
      <c r="AL76" s="42">
        <f>IF(AN76=21,K76,0)</f>
        <v>0</v>
      </c>
      <c r="AN76" s="55">
        <v>21</v>
      </c>
      <c r="AO76" s="55">
        <f>H76*0</f>
        <v>0</v>
      </c>
      <c r="AP76" s="55">
        <f>H76*(1-0)</f>
        <v>0</v>
      </c>
      <c r="AQ76" s="56" t="s">
        <v>78</v>
      </c>
      <c r="AV76" s="55">
        <f>AW76+AX76</f>
        <v>0</v>
      </c>
      <c r="AW76" s="55">
        <f>G76*AO76</f>
        <v>0</v>
      </c>
      <c r="AX76" s="55">
        <f>G76*AP76</f>
        <v>0</v>
      </c>
      <c r="AY76" s="58" t="s">
        <v>662</v>
      </c>
      <c r="AZ76" s="58" t="s">
        <v>684</v>
      </c>
      <c r="BA76" s="50" t="s">
        <v>690</v>
      </c>
      <c r="BC76" s="55">
        <f>AW76+AX76</f>
        <v>0</v>
      </c>
      <c r="BD76" s="55">
        <f>H76/(100-BE76)*100</f>
        <v>0</v>
      </c>
      <c r="BE76" s="55">
        <v>0</v>
      </c>
      <c r="BF76" s="55">
        <f>M76</f>
        <v>0</v>
      </c>
      <c r="BH76" s="42">
        <f>G76*AO76</f>
        <v>0</v>
      </c>
      <c r="BI76" s="42">
        <f>G76*AP76</f>
        <v>0</v>
      </c>
      <c r="BJ76" s="42">
        <f>G76*H76</f>
        <v>0</v>
      </c>
      <c r="BK76" s="42" t="s">
        <v>695</v>
      </c>
      <c r="BL76" s="55">
        <v>721</v>
      </c>
    </row>
    <row r="77" spans="1:47" ht="12.75">
      <c r="A77" s="63"/>
      <c r="B77" s="64"/>
      <c r="C77" s="64" t="s">
        <v>255</v>
      </c>
      <c r="D77" s="172" t="s">
        <v>443</v>
      </c>
      <c r="E77" s="173"/>
      <c r="F77" s="65" t="s">
        <v>73</v>
      </c>
      <c r="G77" s="65" t="s">
        <v>73</v>
      </c>
      <c r="H77" s="65" t="s">
        <v>73</v>
      </c>
      <c r="I77" s="66">
        <f>SUM(I78:I89)</f>
        <v>0</v>
      </c>
      <c r="J77" s="66">
        <f>SUM(J78:J89)</f>
        <v>0</v>
      </c>
      <c r="K77" s="66">
        <f>SUM(K78:K89)</f>
        <v>0</v>
      </c>
      <c r="L77" s="67"/>
      <c r="M77" s="66">
        <f>SUM(M78:M89)</f>
        <v>0.10537000000000002</v>
      </c>
      <c r="N77" s="68"/>
      <c r="O77" s="18"/>
      <c r="AI77" s="50"/>
      <c r="AS77" s="61">
        <f>SUM(AJ78:AJ89)</f>
        <v>0</v>
      </c>
      <c r="AT77" s="61">
        <f>SUM(AK78:AK89)</f>
        <v>0</v>
      </c>
      <c r="AU77" s="61">
        <f>SUM(AL78:AL89)</f>
        <v>0</v>
      </c>
    </row>
    <row r="78" spans="1:64" ht="12.75">
      <c r="A78" s="69" t="s">
        <v>109</v>
      </c>
      <c r="B78" s="17"/>
      <c r="C78" s="17" t="s">
        <v>256</v>
      </c>
      <c r="D78" s="113" t="s">
        <v>444</v>
      </c>
      <c r="E78" s="174"/>
      <c r="F78" s="17" t="s">
        <v>621</v>
      </c>
      <c r="G78" s="55">
        <v>22</v>
      </c>
      <c r="H78" s="92"/>
      <c r="I78" s="55">
        <f aca="true" t="shared" si="24" ref="I78:I89">G78*AO78</f>
        <v>0</v>
      </c>
      <c r="J78" s="55">
        <f aca="true" t="shared" si="25" ref="J78:J89">G78*AP78</f>
        <v>0</v>
      </c>
      <c r="K78" s="55">
        <f aca="true" t="shared" si="26" ref="K78:K89">G78*H78</f>
        <v>0</v>
      </c>
      <c r="L78" s="55">
        <v>0.00213</v>
      </c>
      <c r="M78" s="55">
        <f aca="true" t="shared" si="27" ref="M78:M89">G78*L78</f>
        <v>0.04686</v>
      </c>
      <c r="N78" s="70" t="s">
        <v>646</v>
      </c>
      <c r="O78" s="18"/>
      <c r="Z78" s="55">
        <f aca="true" t="shared" si="28" ref="Z78:Z89">IF(AQ78="5",BJ78,0)</f>
        <v>0</v>
      </c>
      <c r="AB78" s="55">
        <f aca="true" t="shared" si="29" ref="AB78:AB89">IF(AQ78="1",BH78,0)</f>
        <v>0</v>
      </c>
      <c r="AC78" s="55">
        <f aca="true" t="shared" si="30" ref="AC78:AC89">IF(AQ78="1",BI78,0)</f>
        <v>0</v>
      </c>
      <c r="AD78" s="55">
        <f aca="true" t="shared" si="31" ref="AD78:AD89">IF(AQ78="7",BH78,0)</f>
        <v>0</v>
      </c>
      <c r="AE78" s="55">
        <f aca="true" t="shared" si="32" ref="AE78:AE89">IF(AQ78="7",BI78,0)</f>
        <v>0</v>
      </c>
      <c r="AF78" s="55">
        <f aca="true" t="shared" si="33" ref="AF78:AF89">IF(AQ78="2",BH78,0)</f>
        <v>0</v>
      </c>
      <c r="AG78" s="55">
        <f aca="true" t="shared" si="34" ref="AG78:AG89">IF(AQ78="2",BI78,0)</f>
        <v>0</v>
      </c>
      <c r="AH78" s="55">
        <f aca="true" t="shared" si="35" ref="AH78:AH89">IF(AQ78="0",BJ78,0)</f>
        <v>0</v>
      </c>
      <c r="AI78" s="50"/>
      <c r="AJ78" s="42">
        <f aca="true" t="shared" si="36" ref="AJ78:AJ89">IF(AN78=0,K78,0)</f>
        <v>0</v>
      </c>
      <c r="AK78" s="42">
        <f aca="true" t="shared" si="37" ref="AK78:AK89">IF(AN78=15,K78,0)</f>
        <v>0</v>
      </c>
      <c r="AL78" s="42">
        <f aca="true" t="shared" si="38" ref="AL78:AL89">IF(AN78=21,K78,0)</f>
        <v>0</v>
      </c>
      <c r="AN78" s="55">
        <v>21</v>
      </c>
      <c r="AO78" s="55">
        <f>H78*0</f>
        <v>0</v>
      </c>
      <c r="AP78" s="55">
        <f>H78*(1-0)</f>
        <v>0</v>
      </c>
      <c r="AQ78" s="56" t="s">
        <v>80</v>
      </c>
      <c r="AV78" s="55">
        <f aca="true" t="shared" si="39" ref="AV78:AV89">AW78+AX78</f>
        <v>0</v>
      </c>
      <c r="AW78" s="55">
        <f aca="true" t="shared" si="40" ref="AW78:AW89">G78*AO78</f>
        <v>0</v>
      </c>
      <c r="AX78" s="55">
        <f aca="true" t="shared" si="41" ref="AX78:AX89">G78*AP78</f>
        <v>0</v>
      </c>
      <c r="AY78" s="58" t="s">
        <v>663</v>
      </c>
      <c r="AZ78" s="58" t="s">
        <v>684</v>
      </c>
      <c r="BA78" s="50" t="s">
        <v>690</v>
      </c>
      <c r="BC78" s="55">
        <f aca="true" t="shared" si="42" ref="BC78:BC89">AW78+AX78</f>
        <v>0</v>
      </c>
      <c r="BD78" s="55">
        <f aca="true" t="shared" si="43" ref="BD78:BD89">H78/(100-BE78)*100</f>
        <v>0</v>
      </c>
      <c r="BE78" s="55">
        <v>0</v>
      </c>
      <c r="BF78" s="55">
        <f aca="true" t="shared" si="44" ref="BF78:BF89">M78</f>
        <v>0.04686</v>
      </c>
      <c r="BH78" s="42">
        <f aca="true" t="shared" si="45" ref="BH78:BH89">G78*AO78</f>
        <v>0</v>
      </c>
      <c r="BI78" s="42">
        <f aca="true" t="shared" si="46" ref="BI78:BI89">G78*AP78</f>
        <v>0</v>
      </c>
      <c r="BJ78" s="42">
        <f aca="true" t="shared" si="47" ref="BJ78:BJ89">G78*H78</f>
        <v>0</v>
      </c>
      <c r="BK78" s="42" t="s">
        <v>695</v>
      </c>
      <c r="BL78" s="55">
        <v>722</v>
      </c>
    </row>
    <row r="79" spans="1:64" ht="12.75">
      <c r="A79" s="69" t="s">
        <v>110</v>
      </c>
      <c r="B79" s="17"/>
      <c r="C79" s="17" t="s">
        <v>257</v>
      </c>
      <c r="D79" s="113" t="s">
        <v>445</v>
      </c>
      <c r="E79" s="174"/>
      <c r="F79" s="17" t="s">
        <v>623</v>
      </c>
      <c r="G79" s="55">
        <v>6</v>
      </c>
      <c r="H79" s="92"/>
      <c r="I79" s="55">
        <f t="shared" si="24"/>
        <v>0</v>
      </c>
      <c r="J79" s="55">
        <f t="shared" si="25"/>
        <v>0</v>
      </c>
      <c r="K79" s="55">
        <f t="shared" si="26"/>
        <v>0</v>
      </c>
      <c r="L79" s="55">
        <v>0</v>
      </c>
      <c r="M79" s="55">
        <f t="shared" si="27"/>
        <v>0</v>
      </c>
      <c r="N79" s="70" t="s">
        <v>646</v>
      </c>
      <c r="O79" s="18"/>
      <c r="Z79" s="55">
        <f t="shared" si="28"/>
        <v>0</v>
      </c>
      <c r="AB79" s="55">
        <f t="shared" si="29"/>
        <v>0</v>
      </c>
      <c r="AC79" s="55">
        <f t="shared" si="30"/>
        <v>0</v>
      </c>
      <c r="AD79" s="55">
        <f t="shared" si="31"/>
        <v>0</v>
      </c>
      <c r="AE79" s="55">
        <f t="shared" si="32"/>
        <v>0</v>
      </c>
      <c r="AF79" s="55">
        <f t="shared" si="33"/>
        <v>0</v>
      </c>
      <c r="AG79" s="55">
        <f t="shared" si="34"/>
        <v>0</v>
      </c>
      <c r="AH79" s="55">
        <f t="shared" si="35"/>
        <v>0</v>
      </c>
      <c r="AI79" s="50"/>
      <c r="AJ79" s="42">
        <f t="shared" si="36"/>
        <v>0</v>
      </c>
      <c r="AK79" s="42">
        <f t="shared" si="37"/>
        <v>0</v>
      </c>
      <c r="AL79" s="42">
        <f t="shared" si="38"/>
        <v>0</v>
      </c>
      <c r="AN79" s="55">
        <v>21</v>
      </c>
      <c r="AO79" s="55">
        <f>H79*0</f>
        <v>0</v>
      </c>
      <c r="AP79" s="55">
        <f>H79*(1-0)</f>
        <v>0</v>
      </c>
      <c r="AQ79" s="56" t="s">
        <v>80</v>
      </c>
      <c r="AV79" s="55">
        <f t="shared" si="39"/>
        <v>0</v>
      </c>
      <c r="AW79" s="55">
        <f t="shared" si="40"/>
        <v>0</v>
      </c>
      <c r="AX79" s="55">
        <f t="shared" si="41"/>
        <v>0</v>
      </c>
      <c r="AY79" s="58" t="s">
        <v>663</v>
      </c>
      <c r="AZ79" s="58" t="s">
        <v>684</v>
      </c>
      <c r="BA79" s="50" t="s">
        <v>690</v>
      </c>
      <c r="BC79" s="55">
        <f t="shared" si="42"/>
        <v>0</v>
      </c>
      <c r="BD79" s="55">
        <f t="shared" si="43"/>
        <v>0</v>
      </c>
      <c r="BE79" s="55">
        <v>0</v>
      </c>
      <c r="BF79" s="55">
        <f t="shared" si="44"/>
        <v>0</v>
      </c>
      <c r="BH79" s="42">
        <f t="shared" si="45"/>
        <v>0</v>
      </c>
      <c r="BI79" s="42">
        <f t="shared" si="46"/>
        <v>0</v>
      </c>
      <c r="BJ79" s="42">
        <f t="shared" si="47"/>
        <v>0</v>
      </c>
      <c r="BK79" s="42" t="s">
        <v>695</v>
      </c>
      <c r="BL79" s="55">
        <v>722</v>
      </c>
    </row>
    <row r="80" spans="1:64" ht="12.75">
      <c r="A80" s="69" t="s">
        <v>111</v>
      </c>
      <c r="B80" s="17"/>
      <c r="C80" s="17" t="s">
        <v>258</v>
      </c>
      <c r="D80" s="113" t="s">
        <v>446</v>
      </c>
      <c r="E80" s="174"/>
      <c r="F80" s="17" t="s">
        <v>621</v>
      </c>
      <c r="G80" s="55">
        <v>42.5</v>
      </c>
      <c r="H80" s="92"/>
      <c r="I80" s="55">
        <f t="shared" si="24"/>
        <v>0</v>
      </c>
      <c r="J80" s="55">
        <f t="shared" si="25"/>
        <v>0</v>
      </c>
      <c r="K80" s="55">
        <f t="shared" si="26"/>
        <v>0</v>
      </c>
      <c r="L80" s="55">
        <v>0.0005</v>
      </c>
      <c r="M80" s="55">
        <f t="shared" si="27"/>
        <v>0.02125</v>
      </c>
      <c r="N80" s="70" t="s">
        <v>646</v>
      </c>
      <c r="O80" s="18"/>
      <c r="Z80" s="55">
        <f t="shared" si="28"/>
        <v>0</v>
      </c>
      <c r="AB80" s="55">
        <f t="shared" si="29"/>
        <v>0</v>
      </c>
      <c r="AC80" s="55">
        <f t="shared" si="30"/>
        <v>0</v>
      </c>
      <c r="AD80" s="55">
        <f t="shared" si="31"/>
        <v>0</v>
      </c>
      <c r="AE80" s="55">
        <f t="shared" si="32"/>
        <v>0</v>
      </c>
      <c r="AF80" s="55">
        <f t="shared" si="33"/>
        <v>0</v>
      </c>
      <c r="AG80" s="55">
        <f t="shared" si="34"/>
        <v>0</v>
      </c>
      <c r="AH80" s="55">
        <f t="shared" si="35"/>
        <v>0</v>
      </c>
      <c r="AI80" s="50"/>
      <c r="AJ80" s="42">
        <f t="shared" si="36"/>
        <v>0</v>
      </c>
      <c r="AK80" s="42">
        <f t="shared" si="37"/>
        <v>0</v>
      </c>
      <c r="AL80" s="42">
        <f t="shared" si="38"/>
        <v>0</v>
      </c>
      <c r="AN80" s="55">
        <v>21</v>
      </c>
      <c r="AO80" s="55">
        <f>H80*0.352889749319775</f>
        <v>0</v>
      </c>
      <c r="AP80" s="55">
        <f>H80*(1-0.352889749319775)</f>
        <v>0</v>
      </c>
      <c r="AQ80" s="56" t="s">
        <v>80</v>
      </c>
      <c r="AV80" s="55">
        <f t="shared" si="39"/>
        <v>0</v>
      </c>
      <c r="AW80" s="55">
        <f t="shared" si="40"/>
        <v>0</v>
      </c>
      <c r="AX80" s="55">
        <f t="shared" si="41"/>
        <v>0</v>
      </c>
      <c r="AY80" s="58" t="s">
        <v>663</v>
      </c>
      <c r="AZ80" s="58" t="s">
        <v>684</v>
      </c>
      <c r="BA80" s="50" t="s">
        <v>690</v>
      </c>
      <c r="BC80" s="55">
        <f t="shared" si="42"/>
        <v>0</v>
      </c>
      <c r="BD80" s="55">
        <f t="shared" si="43"/>
        <v>0</v>
      </c>
      <c r="BE80" s="55">
        <v>0</v>
      </c>
      <c r="BF80" s="55">
        <f t="shared" si="44"/>
        <v>0.02125</v>
      </c>
      <c r="BH80" s="42">
        <f t="shared" si="45"/>
        <v>0</v>
      </c>
      <c r="BI80" s="42">
        <f t="shared" si="46"/>
        <v>0</v>
      </c>
      <c r="BJ80" s="42">
        <f t="shared" si="47"/>
        <v>0</v>
      </c>
      <c r="BK80" s="42" t="s">
        <v>695</v>
      </c>
      <c r="BL80" s="55">
        <v>722</v>
      </c>
    </row>
    <row r="81" spans="1:64" ht="12.75">
      <c r="A81" s="69" t="s">
        <v>112</v>
      </c>
      <c r="B81" s="17"/>
      <c r="C81" s="17" t="s">
        <v>259</v>
      </c>
      <c r="D81" s="113" t="s">
        <v>447</v>
      </c>
      <c r="E81" s="174"/>
      <c r="F81" s="17" t="s">
        <v>621</v>
      </c>
      <c r="G81" s="55">
        <v>12</v>
      </c>
      <c r="H81" s="92"/>
      <c r="I81" s="55">
        <f t="shared" si="24"/>
        <v>0</v>
      </c>
      <c r="J81" s="55">
        <f t="shared" si="25"/>
        <v>0</v>
      </c>
      <c r="K81" s="55">
        <f t="shared" si="26"/>
        <v>0</v>
      </c>
      <c r="L81" s="55">
        <v>0.00064</v>
      </c>
      <c r="M81" s="55">
        <f t="shared" si="27"/>
        <v>0.007680000000000001</v>
      </c>
      <c r="N81" s="70" t="s">
        <v>646</v>
      </c>
      <c r="O81" s="18"/>
      <c r="Z81" s="55">
        <f t="shared" si="28"/>
        <v>0</v>
      </c>
      <c r="AB81" s="55">
        <f t="shared" si="29"/>
        <v>0</v>
      </c>
      <c r="AC81" s="55">
        <f t="shared" si="30"/>
        <v>0</v>
      </c>
      <c r="AD81" s="55">
        <f t="shared" si="31"/>
        <v>0</v>
      </c>
      <c r="AE81" s="55">
        <f t="shared" si="32"/>
        <v>0</v>
      </c>
      <c r="AF81" s="55">
        <f t="shared" si="33"/>
        <v>0</v>
      </c>
      <c r="AG81" s="55">
        <f t="shared" si="34"/>
        <v>0</v>
      </c>
      <c r="AH81" s="55">
        <f t="shared" si="35"/>
        <v>0</v>
      </c>
      <c r="AI81" s="50"/>
      <c r="AJ81" s="42">
        <f t="shared" si="36"/>
        <v>0</v>
      </c>
      <c r="AK81" s="42">
        <f t="shared" si="37"/>
        <v>0</v>
      </c>
      <c r="AL81" s="42">
        <f t="shared" si="38"/>
        <v>0</v>
      </c>
      <c r="AN81" s="55">
        <v>21</v>
      </c>
      <c r="AO81" s="55">
        <f>H81*0.413298059964727</f>
        <v>0</v>
      </c>
      <c r="AP81" s="55">
        <f>H81*(1-0.413298059964727)</f>
        <v>0</v>
      </c>
      <c r="AQ81" s="56" t="s">
        <v>80</v>
      </c>
      <c r="AV81" s="55">
        <f t="shared" si="39"/>
        <v>0</v>
      </c>
      <c r="AW81" s="55">
        <f t="shared" si="40"/>
        <v>0</v>
      </c>
      <c r="AX81" s="55">
        <f t="shared" si="41"/>
        <v>0</v>
      </c>
      <c r="AY81" s="58" t="s">
        <v>663</v>
      </c>
      <c r="AZ81" s="58" t="s">
        <v>684</v>
      </c>
      <c r="BA81" s="50" t="s">
        <v>690</v>
      </c>
      <c r="BC81" s="55">
        <f t="shared" si="42"/>
        <v>0</v>
      </c>
      <c r="BD81" s="55">
        <f t="shared" si="43"/>
        <v>0</v>
      </c>
      <c r="BE81" s="55">
        <v>0</v>
      </c>
      <c r="BF81" s="55">
        <f t="shared" si="44"/>
        <v>0.007680000000000001</v>
      </c>
      <c r="BH81" s="42">
        <f t="shared" si="45"/>
        <v>0</v>
      </c>
      <c r="BI81" s="42">
        <f t="shared" si="46"/>
        <v>0</v>
      </c>
      <c r="BJ81" s="42">
        <f t="shared" si="47"/>
        <v>0</v>
      </c>
      <c r="BK81" s="42" t="s">
        <v>695</v>
      </c>
      <c r="BL81" s="55">
        <v>722</v>
      </c>
    </row>
    <row r="82" spans="1:64" ht="12.75">
      <c r="A82" s="69" t="s">
        <v>113</v>
      </c>
      <c r="B82" s="17"/>
      <c r="C82" s="17" t="s">
        <v>260</v>
      </c>
      <c r="D82" s="113" t="s">
        <v>448</v>
      </c>
      <c r="E82" s="174"/>
      <c r="F82" s="17" t="s">
        <v>623</v>
      </c>
      <c r="G82" s="55">
        <v>10</v>
      </c>
      <c r="H82" s="92"/>
      <c r="I82" s="55">
        <f t="shared" si="24"/>
        <v>0</v>
      </c>
      <c r="J82" s="55">
        <f t="shared" si="25"/>
        <v>0</v>
      </c>
      <c r="K82" s="55">
        <f t="shared" si="26"/>
        <v>0</v>
      </c>
      <c r="L82" s="55">
        <v>0.00063</v>
      </c>
      <c r="M82" s="55">
        <f t="shared" si="27"/>
        <v>0.0063</v>
      </c>
      <c r="N82" s="70" t="s">
        <v>646</v>
      </c>
      <c r="O82" s="18"/>
      <c r="Z82" s="55">
        <f t="shared" si="28"/>
        <v>0</v>
      </c>
      <c r="AB82" s="55">
        <f t="shared" si="29"/>
        <v>0</v>
      </c>
      <c r="AC82" s="55">
        <f t="shared" si="30"/>
        <v>0</v>
      </c>
      <c r="AD82" s="55">
        <f t="shared" si="31"/>
        <v>0</v>
      </c>
      <c r="AE82" s="55">
        <f t="shared" si="32"/>
        <v>0</v>
      </c>
      <c r="AF82" s="55">
        <f t="shared" si="33"/>
        <v>0</v>
      </c>
      <c r="AG82" s="55">
        <f t="shared" si="34"/>
        <v>0</v>
      </c>
      <c r="AH82" s="55">
        <f t="shared" si="35"/>
        <v>0</v>
      </c>
      <c r="AI82" s="50"/>
      <c r="AJ82" s="42">
        <f t="shared" si="36"/>
        <v>0</v>
      </c>
      <c r="AK82" s="42">
        <f t="shared" si="37"/>
        <v>0</v>
      </c>
      <c r="AL82" s="42">
        <f t="shared" si="38"/>
        <v>0</v>
      </c>
      <c r="AN82" s="55">
        <v>21</v>
      </c>
      <c r="AO82" s="55">
        <f>H82*0.493581780538302</f>
        <v>0</v>
      </c>
      <c r="AP82" s="55">
        <f>H82*(1-0.493581780538302)</f>
        <v>0</v>
      </c>
      <c r="AQ82" s="56" t="s">
        <v>80</v>
      </c>
      <c r="AV82" s="55">
        <f t="shared" si="39"/>
        <v>0</v>
      </c>
      <c r="AW82" s="55">
        <f t="shared" si="40"/>
        <v>0</v>
      </c>
      <c r="AX82" s="55">
        <f t="shared" si="41"/>
        <v>0</v>
      </c>
      <c r="AY82" s="58" t="s">
        <v>663</v>
      </c>
      <c r="AZ82" s="58" t="s">
        <v>684</v>
      </c>
      <c r="BA82" s="50" t="s">
        <v>690</v>
      </c>
      <c r="BC82" s="55">
        <f t="shared" si="42"/>
        <v>0</v>
      </c>
      <c r="BD82" s="55">
        <f t="shared" si="43"/>
        <v>0</v>
      </c>
      <c r="BE82" s="55">
        <v>0</v>
      </c>
      <c r="BF82" s="55">
        <f t="shared" si="44"/>
        <v>0.0063</v>
      </c>
      <c r="BH82" s="42">
        <f t="shared" si="45"/>
        <v>0</v>
      </c>
      <c r="BI82" s="42">
        <f t="shared" si="46"/>
        <v>0</v>
      </c>
      <c r="BJ82" s="42">
        <f t="shared" si="47"/>
        <v>0</v>
      </c>
      <c r="BK82" s="42" t="s">
        <v>695</v>
      </c>
      <c r="BL82" s="55">
        <v>722</v>
      </c>
    </row>
    <row r="83" spans="1:64" ht="12.75">
      <c r="A83" s="69" t="s">
        <v>114</v>
      </c>
      <c r="B83" s="17"/>
      <c r="C83" s="17" t="s">
        <v>261</v>
      </c>
      <c r="D83" s="113" t="s">
        <v>449</v>
      </c>
      <c r="E83" s="174"/>
      <c r="F83" s="17" t="s">
        <v>626</v>
      </c>
      <c r="G83" s="55">
        <v>12</v>
      </c>
      <c r="H83" s="92"/>
      <c r="I83" s="55">
        <f t="shared" si="24"/>
        <v>0</v>
      </c>
      <c r="J83" s="55">
        <f t="shared" si="25"/>
        <v>0</v>
      </c>
      <c r="K83" s="55">
        <f t="shared" si="26"/>
        <v>0</v>
      </c>
      <c r="L83" s="55">
        <v>0.00148</v>
      </c>
      <c r="M83" s="55">
        <f t="shared" si="27"/>
        <v>0.017759999999999998</v>
      </c>
      <c r="N83" s="70" t="s">
        <v>646</v>
      </c>
      <c r="O83" s="18"/>
      <c r="Z83" s="55">
        <f t="shared" si="28"/>
        <v>0</v>
      </c>
      <c r="AB83" s="55">
        <f t="shared" si="29"/>
        <v>0</v>
      </c>
      <c r="AC83" s="55">
        <f t="shared" si="30"/>
        <v>0</v>
      </c>
      <c r="AD83" s="55">
        <f t="shared" si="31"/>
        <v>0</v>
      </c>
      <c r="AE83" s="55">
        <f t="shared" si="32"/>
        <v>0</v>
      </c>
      <c r="AF83" s="55">
        <f t="shared" si="33"/>
        <v>0</v>
      </c>
      <c r="AG83" s="55">
        <f t="shared" si="34"/>
        <v>0</v>
      </c>
      <c r="AH83" s="55">
        <f t="shared" si="35"/>
        <v>0</v>
      </c>
      <c r="AI83" s="50"/>
      <c r="AJ83" s="42">
        <f t="shared" si="36"/>
        <v>0</v>
      </c>
      <c r="AK83" s="42">
        <f t="shared" si="37"/>
        <v>0</v>
      </c>
      <c r="AL83" s="42">
        <f t="shared" si="38"/>
        <v>0</v>
      </c>
      <c r="AN83" s="55">
        <v>21</v>
      </c>
      <c r="AO83" s="55">
        <f>H83*0.500380666268853</f>
        <v>0</v>
      </c>
      <c r="AP83" s="55">
        <f>H83*(1-0.500380666268853)</f>
        <v>0</v>
      </c>
      <c r="AQ83" s="56" t="s">
        <v>80</v>
      </c>
      <c r="AV83" s="55">
        <f t="shared" si="39"/>
        <v>0</v>
      </c>
      <c r="AW83" s="55">
        <f t="shared" si="40"/>
        <v>0</v>
      </c>
      <c r="AX83" s="55">
        <f t="shared" si="41"/>
        <v>0</v>
      </c>
      <c r="AY83" s="58" t="s">
        <v>663</v>
      </c>
      <c r="AZ83" s="58" t="s">
        <v>684</v>
      </c>
      <c r="BA83" s="50" t="s">
        <v>690</v>
      </c>
      <c r="BC83" s="55">
        <f t="shared" si="42"/>
        <v>0</v>
      </c>
      <c r="BD83" s="55">
        <f t="shared" si="43"/>
        <v>0</v>
      </c>
      <c r="BE83" s="55">
        <v>0</v>
      </c>
      <c r="BF83" s="55">
        <f t="shared" si="44"/>
        <v>0.017759999999999998</v>
      </c>
      <c r="BH83" s="42">
        <f t="shared" si="45"/>
        <v>0</v>
      </c>
      <c r="BI83" s="42">
        <f t="shared" si="46"/>
        <v>0</v>
      </c>
      <c r="BJ83" s="42">
        <f t="shared" si="47"/>
        <v>0</v>
      </c>
      <c r="BK83" s="42" t="s">
        <v>695</v>
      </c>
      <c r="BL83" s="55">
        <v>722</v>
      </c>
    </row>
    <row r="84" spans="1:64" ht="12.75">
      <c r="A84" s="69" t="s">
        <v>115</v>
      </c>
      <c r="B84" s="17"/>
      <c r="C84" s="17" t="s">
        <v>262</v>
      </c>
      <c r="D84" s="113" t="s">
        <v>450</v>
      </c>
      <c r="E84" s="174"/>
      <c r="F84" s="17" t="s">
        <v>621</v>
      </c>
      <c r="G84" s="55">
        <v>42.5</v>
      </c>
      <c r="H84" s="92"/>
      <c r="I84" s="55">
        <f t="shared" si="24"/>
        <v>0</v>
      </c>
      <c r="J84" s="55">
        <f t="shared" si="25"/>
        <v>0</v>
      </c>
      <c r="K84" s="55">
        <f t="shared" si="26"/>
        <v>0</v>
      </c>
      <c r="L84" s="55">
        <v>7E-05</v>
      </c>
      <c r="M84" s="55">
        <f t="shared" si="27"/>
        <v>0.0029749999999999998</v>
      </c>
      <c r="N84" s="70" t="s">
        <v>646</v>
      </c>
      <c r="O84" s="18"/>
      <c r="Z84" s="55">
        <f t="shared" si="28"/>
        <v>0</v>
      </c>
      <c r="AB84" s="55">
        <f t="shared" si="29"/>
        <v>0</v>
      </c>
      <c r="AC84" s="55">
        <f t="shared" si="30"/>
        <v>0</v>
      </c>
      <c r="AD84" s="55">
        <f t="shared" si="31"/>
        <v>0</v>
      </c>
      <c r="AE84" s="55">
        <f t="shared" si="32"/>
        <v>0</v>
      </c>
      <c r="AF84" s="55">
        <f t="shared" si="33"/>
        <v>0</v>
      </c>
      <c r="AG84" s="55">
        <f t="shared" si="34"/>
        <v>0</v>
      </c>
      <c r="AH84" s="55">
        <f t="shared" si="35"/>
        <v>0</v>
      </c>
      <c r="AI84" s="50"/>
      <c r="AJ84" s="42">
        <f t="shared" si="36"/>
        <v>0</v>
      </c>
      <c r="AK84" s="42">
        <f t="shared" si="37"/>
        <v>0</v>
      </c>
      <c r="AL84" s="42">
        <f t="shared" si="38"/>
        <v>0</v>
      </c>
      <c r="AN84" s="55">
        <v>21</v>
      </c>
      <c r="AO84" s="55">
        <f>H84*0.448558558558559</f>
        <v>0</v>
      </c>
      <c r="AP84" s="55">
        <f>H84*(1-0.448558558558559)</f>
        <v>0</v>
      </c>
      <c r="AQ84" s="56" t="s">
        <v>80</v>
      </c>
      <c r="AV84" s="55">
        <f t="shared" si="39"/>
        <v>0</v>
      </c>
      <c r="AW84" s="55">
        <f t="shared" si="40"/>
        <v>0</v>
      </c>
      <c r="AX84" s="55">
        <f t="shared" si="41"/>
        <v>0</v>
      </c>
      <c r="AY84" s="58" t="s">
        <v>663</v>
      </c>
      <c r="AZ84" s="58" t="s">
        <v>684</v>
      </c>
      <c r="BA84" s="50" t="s">
        <v>690</v>
      </c>
      <c r="BC84" s="55">
        <f t="shared" si="42"/>
        <v>0</v>
      </c>
      <c r="BD84" s="55">
        <f t="shared" si="43"/>
        <v>0</v>
      </c>
      <c r="BE84" s="55">
        <v>0</v>
      </c>
      <c r="BF84" s="55">
        <f t="shared" si="44"/>
        <v>0.0029749999999999998</v>
      </c>
      <c r="BH84" s="42">
        <f t="shared" si="45"/>
        <v>0</v>
      </c>
      <c r="BI84" s="42">
        <f t="shared" si="46"/>
        <v>0</v>
      </c>
      <c r="BJ84" s="42">
        <f t="shared" si="47"/>
        <v>0</v>
      </c>
      <c r="BK84" s="42" t="s">
        <v>695</v>
      </c>
      <c r="BL84" s="55">
        <v>722</v>
      </c>
    </row>
    <row r="85" spans="1:64" ht="12.75">
      <c r="A85" s="69" t="s">
        <v>116</v>
      </c>
      <c r="B85" s="17"/>
      <c r="C85" s="17" t="s">
        <v>263</v>
      </c>
      <c r="D85" s="113" t="s">
        <v>451</v>
      </c>
      <c r="E85" s="174"/>
      <c r="F85" s="17" t="s">
        <v>621</v>
      </c>
      <c r="G85" s="55">
        <v>12</v>
      </c>
      <c r="H85" s="92"/>
      <c r="I85" s="55">
        <f t="shared" si="24"/>
        <v>0</v>
      </c>
      <c r="J85" s="55">
        <f t="shared" si="25"/>
        <v>0</v>
      </c>
      <c r="K85" s="55">
        <f t="shared" si="26"/>
        <v>0</v>
      </c>
      <c r="L85" s="55">
        <v>8E-05</v>
      </c>
      <c r="M85" s="55">
        <f t="shared" si="27"/>
        <v>0.0009600000000000001</v>
      </c>
      <c r="N85" s="70" t="s">
        <v>646</v>
      </c>
      <c r="O85" s="18"/>
      <c r="Z85" s="55">
        <f t="shared" si="28"/>
        <v>0</v>
      </c>
      <c r="AB85" s="55">
        <f t="shared" si="29"/>
        <v>0</v>
      </c>
      <c r="AC85" s="55">
        <f t="shared" si="30"/>
        <v>0</v>
      </c>
      <c r="AD85" s="55">
        <f t="shared" si="31"/>
        <v>0</v>
      </c>
      <c r="AE85" s="55">
        <f t="shared" si="32"/>
        <v>0</v>
      </c>
      <c r="AF85" s="55">
        <f t="shared" si="33"/>
        <v>0</v>
      </c>
      <c r="AG85" s="55">
        <f t="shared" si="34"/>
        <v>0</v>
      </c>
      <c r="AH85" s="55">
        <f t="shared" si="35"/>
        <v>0</v>
      </c>
      <c r="AI85" s="50"/>
      <c r="AJ85" s="42">
        <f t="shared" si="36"/>
        <v>0</v>
      </c>
      <c r="AK85" s="42">
        <f t="shared" si="37"/>
        <v>0</v>
      </c>
      <c r="AL85" s="42">
        <f t="shared" si="38"/>
        <v>0</v>
      </c>
      <c r="AN85" s="55">
        <v>21</v>
      </c>
      <c r="AO85" s="55">
        <f>H85*0.546262626262626</f>
        <v>0</v>
      </c>
      <c r="AP85" s="55">
        <f>H85*(1-0.546262626262626)</f>
        <v>0</v>
      </c>
      <c r="AQ85" s="56" t="s">
        <v>80</v>
      </c>
      <c r="AV85" s="55">
        <f t="shared" si="39"/>
        <v>0</v>
      </c>
      <c r="AW85" s="55">
        <f t="shared" si="40"/>
        <v>0</v>
      </c>
      <c r="AX85" s="55">
        <f t="shared" si="41"/>
        <v>0</v>
      </c>
      <c r="AY85" s="58" t="s">
        <v>663</v>
      </c>
      <c r="AZ85" s="58" t="s">
        <v>684</v>
      </c>
      <c r="BA85" s="50" t="s">
        <v>690</v>
      </c>
      <c r="BC85" s="55">
        <f t="shared" si="42"/>
        <v>0</v>
      </c>
      <c r="BD85" s="55">
        <f t="shared" si="43"/>
        <v>0</v>
      </c>
      <c r="BE85" s="55">
        <v>0</v>
      </c>
      <c r="BF85" s="55">
        <f t="shared" si="44"/>
        <v>0.0009600000000000001</v>
      </c>
      <c r="BH85" s="42">
        <f t="shared" si="45"/>
        <v>0</v>
      </c>
      <c r="BI85" s="42">
        <f t="shared" si="46"/>
        <v>0</v>
      </c>
      <c r="BJ85" s="42">
        <f t="shared" si="47"/>
        <v>0</v>
      </c>
      <c r="BK85" s="42" t="s">
        <v>695</v>
      </c>
      <c r="BL85" s="55">
        <v>722</v>
      </c>
    </row>
    <row r="86" spans="1:64" ht="12.75">
      <c r="A86" s="69" t="s">
        <v>117</v>
      </c>
      <c r="B86" s="17"/>
      <c r="C86" s="17" t="s">
        <v>264</v>
      </c>
      <c r="D86" s="113" t="s">
        <v>452</v>
      </c>
      <c r="E86" s="174"/>
      <c r="F86" s="17" t="s">
        <v>621</v>
      </c>
      <c r="G86" s="55">
        <v>54.5</v>
      </c>
      <c r="H86" s="92"/>
      <c r="I86" s="55">
        <f t="shared" si="24"/>
        <v>0</v>
      </c>
      <c r="J86" s="55">
        <f t="shared" si="25"/>
        <v>0</v>
      </c>
      <c r="K86" s="55">
        <f t="shared" si="26"/>
        <v>0</v>
      </c>
      <c r="L86" s="55">
        <v>1E-05</v>
      </c>
      <c r="M86" s="55">
        <f t="shared" si="27"/>
        <v>0.000545</v>
      </c>
      <c r="N86" s="70" t="s">
        <v>646</v>
      </c>
      <c r="O86" s="18"/>
      <c r="Z86" s="55">
        <f t="shared" si="28"/>
        <v>0</v>
      </c>
      <c r="AB86" s="55">
        <f t="shared" si="29"/>
        <v>0</v>
      </c>
      <c r="AC86" s="55">
        <f t="shared" si="30"/>
        <v>0</v>
      </c>
      <c r="AD86" s="55">
        <f t="shared" si="31"/>
        <v>0</v>
      </c>
      <c r="AE86" s="55">
        <f t="shared" si="32"/>
        <v>0</v>
      </c>
      <c r="AF86" s="55">
        <f t="shared" si="33"/>
        <v>0</v>
      </c>
      <c r="AG86" s="55">
        <f t="shared" si="34"/>
        <v>0</v>
      </c>
      <c r="AH86" s="55">
        <f t="shared" si="35"/>
        <v>0</v>
      </c>
      <c r="AI86" s="50"/>
      <c r="AJ86" s="42">
        <f t="shared" si="36"/>
        <v>0</v>
      </c>
      <c r="AK86" s="42">
        <f t="shared" si="37"/>
        <v>0</v>
      </c>
      <c r="AL86" s="42">
        <f t="shared" si="38"/>
        <v>0</v>
      </c>
      <c r="AN86" s="55">
        <v>21</v>
      </c>
      <c r="AO86" s="55">
        <f>H86*0.0501621539677641</f>
        <v>0</v>
      </c>
      <c r="AP86" s="55">
        <f>H86*(1-0.0501621539677641)</f>
        <v>0</v>
      </c>
      <c r="AQ86" s="56" t="s">
        <v>80</v>
      </c>
      <c r="AV86" s="55">
        <f t="shared" si="39"/>
        <v>0</v>
      </c>
      <c r="AW86" s="55">
        <f t="shared" si="40"/>
        <v>0</v>
      </c>
      <c r="AX86" s="55">
        <f t="shared" si="41"/>
        <v>0</v>
      </c>
      <c r="AY86" s="58" t="s">
        <v>663</v>
      </c>
      <c r="AZ86" s="58" t="s">
        <v>684</v>
      </c>
      <c r="BA86" s="50" t="s">
        <v>690</v>
      </c>
      <c r="BC86" s="55">
        <f t="shared" si="42"/>
        <v>0</v>
      </c>
      <c r="BD86" s="55">
        <f t="shared" si="43"/>
        <v>0</v>
      </c>
      <c r="BE86" s="55">
        <v>0</v>
      </c>
      <c r="BF86" s="55">
        <f t="shared" si="44"/>
        <v>0.000545</v>
      </c>
      <c r="BH86" s="42">
        <f t="shared" si="45"/>
        <v>0</v>
      </c>
      <c r="BI86" s="42">
        <f t="shared" si="46"/>
        <v>0</v>
      </c>
      <c r="BJ86" s="42">
        <f t="shared" si="47"/>
        <v>0</v>
      </c>
      <c r="BK86" s="42" t="s">
        <v>695</v>
      </c>
      <c r="BL86" s="55">
        <v>722</v>
      </c>
    </row>
    <row r="87" spans="1:64" ht="12.75">
      <c r="A87" s="69" t="s">
        <v>118</v>
      </c>
      <c r="B87" s="17"/>
      <c r="C87" s="17" t="s">
        <v>265</v>
      </c>
      <c r="D87" s="113" t="s">
        <v>453</v>
      </c>
      <c r="E87" s="174"/>
      <c r="F87" s="17" t="s">
        <v>621</v>
      </c>
      <c r="G87" s="55">
        <v>54.5</v>
      </c>
      <c r="H87" s="92"/>
      <c r="I87" s="55">
        <f t="shared" si="24"/>
        <v>0</v>
      </c>
      <c r="J87" s="55">
        <f t="shared" si="25"/>
        <v>0</v>
      </c>
      <c r="K87" s="55">
        <f t="shared" si="26"/>
        <v>0</v>
      </c>
      <c r="L87" s="55">
        <v>0</v>
      </c>
      <c r="M87" s="55">
        <f t="shared" si="27"/>
        <v>0</v>
      </c>
      <c r="N87" s="70" t="s">
        <v>646</v>
      </c>
      <c r="O87" s="18"/>
      <c r="Z87" s="55">
        <f t="shared" si="28"/>
        <v>0</v>
      </c>
      <c r="AB87" s="55">
        <f t="shared" si="29"/>
        <v>0</v>
      </c>
      <c r="AC87" s="55">
        <f t="shared" si="30"/>
        <v>0</v>
      </c>
      <c r="AD87" s="55">
        <f t="shared" si="31"/>
        <v>0</v>
      </c>
      <c r="AE87" s="55">
        <f t="shared" si="32"/>
        <v>0</v>
      </c>
      <c r="AF87" s="55">
        <f t="shared" si="33"/>
        <v>0</v>
      </c>
      <c r="AG87" s="55">
        <f t="shared" si="34"/>
        <v>0</v>
      </c>
      <c r="AH87" s="55">
        <f t="shared" si="35"/>
        <v>0</v>
      </c>
      <c r="AI87" s="50"/>
      <c r="AJ87" s="42">
        <f t="shared" si="36"/>
        <v>0</v>
      </c>
      <c r="AK87" s="42">
        <f t="shared" si="37"/>
        <v>0</v>
      </c>
      <c r="AL87" s="42">
        <f t="shared" si="38"/>
        <v>0</v>
      </c>
      <c r="AN87" s="55">
        <v>21</v>
      </c>
      <c r="AO87" s="55">
        <f>H87*0.0137254901960784</f>
        <v>0</v>
      </c>
      <c r="AP87" s="55">
        <f>H87*(1-0.0137254901960784)</f>
        <v>0</v>
      </c>
      <c r="AQ87" s="56" t="s">
        <v>80</v>
      </c>
      <c r="AV87" s="55">
        <f t="shared" si="39"/>
        <v>0</v>
      </c>
      <c r="AW87" s="55">
        <f t="shared" si="40"/>
        <v>0</v>
      </c>
      <c r="AX87" s="55">
        <f t="shared" si="41"/>
        <v>0</v>
      </c>
      <c r="AY87" s="58" t="s">
        <v>663</v>
      </c>
      <c r="AZ87" s="58" t="s">
        <v>684</v>
      </c>
      <c r="BA87" s="50" t="s">
        <v>690</v>
      </c>
      <c r="BC87" s="55">
        <f t="shared" si="42"/>
        <v>0</v>
      </c>
      <c r="BD87" s="55">
        <f t="shared" si="43"/>
        <v>0</v>
      </c>
      <c r="BE87" s="55">
        <v>0</v>
      </c>
      <c r="BF87" s="55">
        <f t="shared" si="44"/>
        <v>0</v>
      </c>
      <c r="BH87" s="42">
        <f t="shared" si="45"/>
        <v>0</v>
      </c>
      <c r="BI87" s="42">
        <f t="shared" si="46"/>
        <v>0</v>
      </c>
      <c r="BJ87" s="42">
        <f t="shared" si="47"/>
        <v>0</v>
      </c>
      <c r="BK87" s="42" t="s">
        <v>695</v>
      </c>
      <c r="BL87" s="55">
        <v>722</v>
      </c>
    </row>
    <row r="88" spans="1:64" ht="12.75">
      <c r="A88" s="69" t="s">
        <v>119</v>
      </c>
      <c r="B88" s="17"/>
      <c r="C88" s="17" t="s">
        <v>266</v>
      </c>
      <c r="D88" s="113" t="s">
        <v>454</v>
      </c>
      <c r="E88" s="174"/>
      <c r="F88" s="17" t="s">
        <v>623</v>
      </c>
      <c r="G88" s="55">
        <v>8</v>
      </c>
      <c r="H88" s="92"/>
      <c r="I88" s="55">
        <f t="shared" si="24"/>
        <v>0</v>
      </c>
      <c r="J88" s="55">
        <f t="shared" si="25"/>
        <v>0</v>
      </c>
      <c r="K88" s="55">
        <f t="shared" si="26"/>
        <v>0</v>
      </c>
      <c r="L88" s="55">
        <v>0.00013</v>
      </c>
      <c r="M88" s="55">
        <f t="shared" si="27"/>
        <v>0.00104</v>
      </c>
      <c r="N88" s="70" t="s">
        <v>646</v>
      </c>
      <c r="O88" s="18"/>
      <c r="Z88" s="55">
        <f t="shared" si="28"/>
        <v>0</v>
      </c>
      <c r="AB88" s="55">
        <f t="shared" si="29"/>
        <v>0</v>
      </c>
      <c r="AC88" s="55">
        <f t="shared" si="30"/>
        <v>0</v>
      </c>
      <c r="AD88" s="55">
        <f t="shared" si="31"/>
        <v>0</v>
      </c>
      <c r="AE88" s="55">
        <f t="shared" si="32"/>
        <v>0</v>
      </c>
      <c r="AF88" s="55">
        <f t="shared" si="33"/>
        <v>0</v>
      </c>
      <c r="AG88" s="55">
        <f t="shared" si="34"/>
        <v>0</v>
      </c>
      <c r="AH88" s="55">
        <f t="shared" si="35"/>
        <v>0</v>
      </c>
      <c r="AI88" s="50"/>
      <c r="AJ88" s="42">
        <f t="shared" si="36"/>
        <v>0</v>
      </c>
      <c r="AK88" s="42">
        <f t="shared" si="37"/>
        <v>0</v>
      </c>
      <c r="AL88" s="42">
        <f t="shared" si="38"/>
        <v>0</v>
      </c>
      <c r="AN88" s="55">
        <v>21</v>
      </c>
      <c r="AO88" s="55">
        <f>H88*0.735028654957192</f>
        <v>0</v>
      </c>
      <c r="AP88" s="55">
        <f>H88*(1-0.735028654957192)</f>
        <v>0</v>
      </c>
      <c r="AQ88" s="56" t="s">
        <v>80</v>
      </c>
      <c r="AV88" s="55">
        <f t="shared" si="39"/>
        <v>0</v>
      </c>
      <c r="AW88" s="55">
        <f t="shared" si="40"/>
        <v>0</v>
      </c>
      <c r="AX88" s="55">
        <f t="shared" si="41"/>
        <v>0</v>
      </c>
      <c r="AY88" s="58" t="s">
        <v>663</v>
      </c>
      <c r="AZ88" s="58" t="s">
        <v>684</v>
      </c>
      <c r="BA88" s="50" t="s">
        <v>690</v>
      </c>
      <c r="BC88" s="55">
        <f t="shared" si="42"/>
        <v>0</v>
      </c>
      <c r="BD88" s="55">
        <f t="shared" si="43"/>
        <v>0</v>
      </c>
      <c r="BE88" s="55">
        <v>0</v>
      </c>
      <c r="BF88" s="55">
        <f t="shared" si="44"/>
        <v>0.00104</v>
      </c>
      <c r="BH88" s="42">
        <f t="shared" si="45"/>
        <v>0</v>
      </c>
      <c r="BI88" s="42">
        <f t="shared" si="46"/>
        <v>0</v>
      </c>
      <c r="BJ88" s="42">
        <f t="shared" si="47"/>
        <v>0</v>
      </c>
      <c r="BK88" s="42" t="s">
        <v>695</v>
      </c>
      <c r="BL88" s="55">
        <v>722</v>
      </c>
    </row>
    <row r="89" spans="1:64" ht="12.75">
      <c r="A89" s="69" t="s">
        <v>120</v>
      </c>
      <c r="B89" s="17"/>
      <c r="C89" s="17" t="s">
        <v>267</v>
      </c>
      <c r="D89" s="113" t="s">
        <v>455</v>
      </c>
      <c r="E89" s="174"/>
      <c r="F89" s="17" t="s">
        <v>625</v>
      </c>
      <c r="G89" s="55">
        <v>0.1054</v>
      </c>
      <c r="H89" s="92"/>
      <c r="I89" s="55">
        <f t="shared" si="24"/>
        <v>0</v>
      </c>
      <c r="J89" s="55">
        <f t="shared" si="25"/>
        <v>0</v>
      </c>
      <c r="K89" s="55">
        <f t="shared" si="26"/>
        <v>0</v>
      </c>
      <c r="L89" s="55">
        <v>0</v>
      </c>
      <c r="M89" s="55">
        <f t="shared" si="27"/>
        <v>0</v>
      </c>
      <c r="N89" s="70" t="s">
        <v>646</v>
      </c>
      <c r="O89" s="18"/>
      <c r="Z89" s="55">
        <f t="shared" si="28"/>
        <v>0</v>
      </c>
      <c r="AB89" s="55">
        <f t="shared" si="29"/>
        <v>0</v>
      </c>
      <c r="AC89" s="55">
        <f t="shared" si="30"/>
        <v>0</v>
      </c>
      <c r="AD89" s="55">
        <f t="shared" si="31"/>
        <v>0</v>
      </c>
      <c r="AE89" s="55">
        <f t="shared" si="32"/>
        <v>0</v>
      </c>
      <c r="AF89" s="55">
        <f t="shared" si="33"/>
        <v>0</v>
      </c>
      <c r="AG89" s="55">
        <f t="shared" si="34"/>
        <v>0</v>
      </c>
      <c r="AH89" s="55">
        <f t="shared" si="35"/>
        <v>0</v>
      </c>
      <c r="AI89" s="50"/>
      <c r="AJ89" s="42">
        <f t="shared" si="36"/>
        <v>0</v>
      </c>
      <c r="AK89" s="42">
        <f t="shared" si="37"/>
        <v>0</v>
      </c>
      <c r="AL89" s="42">
        <f t="shared" si="38"/>
        <v>0</v>
      </c>
      <c r="AN89" s="55">
        <v>21</v>
      </c>
      <c r="AO89" s="55">
        <f>H89*0</f>
        <v>0</v>
      </c>
      <c r="AP89" s="55">
        <f>H89*(1-0)</f>
        <v>0</v>
      </c>
      <c r="AQ89" s="56" t="s">
        <v>78</v>
      </c>
      <c r="AV89" s="55">
        <f t="shared" si="39"/>
        <v>0</v>
      </c>
      <c r="AW89" s="55">
        <f t="shared" si="40"/>
        <v>0</v>
      </c>
      <c r="AX89" s="55">
        <f t="shared" si="41"/>
        <v>0</v>
      </c>
      <c r="AY89" s="58" t="s">
        <v>663</v>
      </c>
      <c r="AZ89" s="58" t="s">
        <v>684</v>
      </c>
      <c r="BA89" s="50" t="s">
        <v>690</v>
      </c>
      <c r="BC89" s="55">
        <f t="shared" si="42"/>
        <v>0</v>
      </c>
      <c r="BD89" s="55">
        <f t="shared" si="43"/>
        <v>0</v>
      </c>
      <c r="BE89" s="55">
        <v>0</v>
      </c>
      <c r="BF89" s="55">
        <f t="shared" si="44"/>
        <v>0</v>
      </c>
      <c r="BH89" s="42">
        <f t="shared" si="45"/>
        <v>0</v>
      </c>
      <c r="BI89" s="42">
        <f t="shared" si="46"/>
        <v>0</v>
      </c>
      <c r="BJ89" s="42">
        <f t="shared" si="47"/>
        <v>0</v>
      </c>
      <c r="BK89" s="42" t="s">
        <v>695</v>
      </c>
      <c r="BL89" s="55">
        <v>722</v>
      </c>
    </row>
    <row r="90" spans="1:47" ht="12.75">
      <c r="A90" s="63"/>
      <c r="B90" s="64"/>
      <c r="C90" s="64" t="s">
        <v>268</v>
      </c>
      <c r="D90" s="172" t="s">
        <v>456</v>
      </c>
      <c r="E90" s="173"/>
      <c r="F90" s="65" t="s">
        <v>73</v>
      </c>
      <c r="G90" s="65" t="s">
        <v>73</v>
      </c>
      <c r="H90" s="65" t="s">
        <v>73</v>
      </c>
      <c r="I90" s="66">
        <f>SUM(I91:I118)</f>
        <v>0</v>
      </c>
      <c r="J90" s="66">
        <f>SUM(J91:J118)</f>
        <v>0</v>
      </c>
      <c r="K90" s="66">
        <f>SUM(K91:K118)</f>
        <v>0</v>
      </c>
      <c r="L90" s="67"/>
      <c r="M90" s="66">
        <f>SUM(M91:M118)</f>
        <v>0.8094</v>
      </c>
      <c r="N90" s="68"/>
      <c r="O90" s="18"/>
      <c r="AI90" s="50"/>
      <c r="AS90" s="61">
        <f>SUM(AJ91:AJ118)</f>
        <v>0</v>
      </c>
      <c r="AT90" s="61">
        <f>SUM(AK91:AK118)</f>
        <v>0</v>
      </c>
      <c r="AU90" s="61">
        <f>SUM(AL91:AL118)</f>
        <v>0</v>
      </c>
    </row>
    <row r="91" spans="1:64" ht="12.75">
      <c r="A91" s="69" t="s">
        <v>121</v>
      </c>
      <c r="B91" s="17"/>
      <c r="C91" s="17" t="s">
        <v>269</v>
      </c>
      <c r="D91" s="113" t="s">
        <v>457</v>
      </c>
      <c r="E91" s="174"/>
      <c r="F91" s="17" t="s">
        <v>627</v>
      </c>
      <c r="G91" s="55">
        <v>6</v>
      </c>
      <c r="H91" s="92"/>
      <c r="I91" s="55">
        <f aca="true" t="shared" si="48" ref="I91:I118">G91*AO91</f>
        <v>0</v>
      </c>
      <c r="J91" s="55">
        <f aca="true" t="shared" si="49" ref="J91:J118">G91*AP91</f>
        <v>0</v>
      </c>
      <c r="K91" s="55">
        <f aca="true" t="shared" si="50" ref="K91:K118">G91*H91</f>
        <v>0</v>
      </c>
      <c r="L91" s="55">
        <v>0.00156</v>
      </c>
      <c r="M91" s="55">
        <f aca="true" t="shared" si="51" ref="M91:M118">G91*L91</f>
        <v>0.00936</v>
      </c>
      <c r="N91" s="70" t="s">
        <v>646</v>
      </c>
      <c r="O91" s="18"/>
      <c r="Z91" s="55">
        <f aca="true" t="shared" si="52" ref="Z91:Z118">IF(AQ91="5",BJ91,0)</f>
        <v>0</v>
      </c>
      <c r="AB91" s="55">
        <f aca="true" t="shared" si="53" ref="AB91:AB118">IF(AQ91="1",BH91,0)</f>
        <v>0</v>
      </c>
      <c r="AC91" s="55">
        <f aca="true" t="shared" si="54" ref="AC91:AC118">IF(AQ91="1",BI91,0)</f>
        <v>0</v>
      </c>
      <c r="AD91" s="55">
        <f aca="true" t="shared" si="55" ref="AD91:AD118">IF(AQ91="7",BH91,0)</f>
        <v>0</v>
      </c>
      <c r="AE91" s="55">
        <f aca="true" t="shared" si="56" ref="AE91:AE118">IF(AQ91="7",BI91,0)</f>
        <v>0</v>
      </c>
      <c r="AF91" s="55">
        <f aca="true" t="shared" si="57" ref="AF91:AF118">IF(AQ91="2",BH91,0)</f>
        <v>0</v>
      </c>
      <c r="AG91" s="55">
        <f aca="true" t="shared" si="58" ref="AG91:AG118">IF(AQ91="2",BI91,0)</f>
        <v>0</v>
      </c>
      <c r="AH91" s="55">
        <f aca="true" t="shared" si="59" ref="AH91:AH118">IF(AQ91="0",BJ91,0)</f>
        <v>0</v>
      </c>
      <c r="AI91" s="50"/>
      <c r="AJ91" s="42">
        <f aca="true" t="shared" si="60" ref="AJ91:AJ118">IF(AN91=0,K91,0)</f>
        <v>0</v>
      </c>
      <c r="AK91" s="42">
        <f aca="true" t="shared" si="61" ref="AK91:AK118">IF(AN91=15,K91,0)</f>
        <v>0</v>
      </c>
      <c r="AL91" s="42">
        <f aca="true" t="shared" si="62" ref="AL91:AL118">IF(AN91=21,K91,0)</f>
        <v>0</v>
      </c>
      <c r="AN91" s="55">
        <v>21</v>
      </c>
      <c r="AO91" s="55">
        <f aca="true" t="shared" si="63" ref="AO91:AO96">H91*0</f>
        <v>0</v>
      </c>
      <c r="AP91" s="55">
        <f aca="true" t="shared" si="64" ref="AP91:AP96">H91*(1-0)</f>
        <v>0</v>
      </c>
      <c r="AQ91" s="56" t="s">
        <v>80</v>
      </c>
      <c r="AV91" s="55">
        <f aca="true" t="shared" si="65" ref="AV91:AV118">AW91+AX91</f>
        <v>0</v>
      </c>
      <c r="AW91" s="55">
        <f aca="true" t="shared" si="66" ref="AW91:AW118">G91*AO91</f>
        <v>0</v>
      </c>
      <c r="AX91" s="55">
        <f aca="true" t="shared" si="67" ref="AX91:AX118">G91*AP91</f>
        <v>0</v>
      </c>
      <c r="AY91" s="58" t="s">
        <v>664</v>
      </c>
      <c r="AZ91" s="58" t="s">
        <v>684</v>
      </c>
      <c r="BA91" s="50" t="s">
        <v>690</v>
      </c>
      <c r="BC91" s="55">
        <f aca="true" t="shared" si="68" ref="BC91:BC118">AW91+AX91</f>
        <v>0</v>
      </c>
      <c r="BD91" s="55">
        <f aca="true" t="shared" si="69" ref="BD91:BD118">H91/(100-BE91)*100</f>
        <v>0</v>
      </c>
      <c r="BE91" s="55">
        <v>0</v>
      </c>
      <c r="BF91" s="55">
        <f aca="true" t="shared" si="70" ref="BF91:BF118">M91</f>
        <v>0.00936</v>
      </c>
      <c r="BH91" s="42">
        <f aca="true" t="shared" si="71" ref="BH91:BH118">G91*AO91</f>
        <v>0</v>
      </c>
      <c r="BI91" s="42">
        <f aca="true" t="shared" si="72" ref="BI91:BI118">G91*AP91</f>
        <v>0</v>
      </c>
      <c r="BJ91" s="42">
        <f aca="true" t="shared" si="73" ref="BJ91:BJ118">G91*H91</f>
        <v>0</v>
      </c>
      <c r="BK91" s="42" t="s">
        <v>695</v>
      </c>
      <c r="BL91" s="55">
        <v>725</v>
      </c>
    </row>
    <row r="92" spans="1:64" ht="12.75">
      <c r="A92" s="69" t="s">
        <v>122</v>
      </c>
      <c r="B92" s="17"/>
      <c r="C92" s="17" t="s">
        <v>270</v>
      </c>
      <c r="D92" s="113" t="s">
        <v>458</v>
      </c>
      <c r="E92" s="174"/>
      <c r="F92" s="17" t="s">
        <v>627</v>
      </c>
      <c r="G92" s="55">
        <v>4</v>
      </c>
      <c r="H92" s="92"/>
      <c r="I92" s="55">
        <f t="shared" si="48"/>
        <v>0</v>
      </c>
      <c r="J92" s="55">
        <f t="shared" si="49"/>
        <v>0</v>
      </c>
      <c r="K92" s="55">
        <f t="shared" si="50"/>
        <v>0</v>
      </c>
      <c r="L92" s="55">
        <v>0.01933</v>
      </c>
      <c r="M92" s="55">
        <f t="shared" si="51"/>
        <v>0.07732</v>
      </c>
      <c r="N92" s="70" t="s">
        <v>646</v>
      </c>
      <c r="O92" s="18"/>
      <c r="Z92" s="55">
        <f t="shared" si="52"/>
        <v>0</v>
      </c>
      <c r="AB92" s="55">
        <f t="shared" si="53"/>
        <v>0</v>
      </c>
      <c r="AC92" s="55">
        <f t="shared" si="54"/>
        <v>0</v>
      </c>
      <c r="AD92" s="55">
        <f t="shared" si="55"/>
        <v>0</v>
      </c>
      <c r="AE92" s="55">
        <f t="shared" si="56"/>
        <v>0</v>
      </c>
      <c r="AF92" s="55">
        <f t="shared" si="57"/>
        <v>0</v>
      </c>
      <c r="AG92" s="55">
        <f t="shared" si="58"/>
        <v>0</v>
      </c>
      <c r="AH92" s="55">
        <f t="shared" si="59"/>
        <v>0</v>
      </c>
      <c r="AI92" s="50"/>
      <c r="AJ92" s="42">
        <f t="shared" si="60"/>
        <v>0</v>
      </c>
      <c r="AK92" s="42">
        <f t="shared" si="61"/>
        <v>0</v>
      </c>
      <c r="AL92" s="42">
        <f t="shared" si="62"/>
        <v>0</v>
      </c>
      <c r="AN92" s="55">
        <v>21</v>
      </c>
      <c r="AO92" s="55">
        <f t="shared" si="63"/>
        <v>0</v>
      </c>
      <c r="AP92" s="55">
        <f t="shared" si="64"/>
        <v>0</v>
      </c>
      <c r="AQ92" s="56" t="s">
        <v>80</v>
      </c>
      <c r="AV92" s="55">
        <f t="shared" si="65"/>
        <v>0</v>
      </c>
      <c r="AW92" s="55">
        <f t="shared" si="66"/>
        <v>0</v>
      </c>
      <c r="AX92" s="55">
        <f t="shared" si="67"/>
        <v>0</v>
      </c>
      <c r="AY92" s="58" t="s">
        <v>664</v>
      </c>
      <c r="AZ92" s="58" t="s">
        <v>684</v>
      </c>
      <c r="BA92" s="50" t="s">
        <v>690</v>
      </c>
      <c r="BC92" s="55">
        <f t="shared" si="68"/>
        <v>0</v>
      </c>
      <c r="BD92" s="55">
        <f t="shared" si="69"/>
        <v>0</v>
      </c>
      <c r="BE92" s="55">
        <v>0</v>
      </c>
      <c r="BF92" s="55">
        <f t="shared" si="70"/>
        <v>0.07732</v>
      </c>
      <c r="BH92" s="42">
        <f t="shared" si="71"/>
        <v>0</v>
      </c>
      <c r="BI92" s="42">
        <f t="shared" si="72"/>
        <v>0</v>
      </c>
      <c r="BJ92" s="42">
        <f t="shared" si="73"/>
        <v>0</v>
      </c>
      <c r="BK92" s="42" t="s">
        <v>695</v>
      </c>
      <c r="BL92" s="55">
        <v>725</v>
      </c>
    </row>
    <row r="93" spans="1:64" ht="12.75">
      <c r="A93" s="69" t="s">
        <v>123</v>
      </c>
      <c r="B93" s="17"/>
      <c r="C93" s="17" t="s">
        <v>271</v>
      </c>
      <c r="D93" s="113" t="s">
        <v>459</v>
      </c>
      <c r="E93" s="174"/>
      <c r="F93" s="17" t="s">
        <v>627</v>
      </c>
      <c r="G93" s="55">
        <v>1</v>
      </c>
      <c r="H93" s="92"/>
      <c r="I93" s="55">
        <f t="shared" si="48"/>
        <v>0</v>
      </c>
      <c r="J93" s="55">
        <f t="shared" si="49"/>
        <v>0</v>
      </c>
      <c r="K93" s="55">
        <f t="shared" si="50"/>
        <v>0</v>
      </c>
      <c r="L93" s="55">
        <v>0.0176</v>
      </c>
      <c r="M93" s="55">
        <f t="shared" si="51"/>
        <v>0.0176</v>
      </c>
      <c r="N93" s="70" t="s">
        <v>646</v>
      </c>
      <c r="O93" s="18"/>
      <c r="Z93" s="55">
        <f t="shared" si="52"/>
        <v>0</v>
      </c>
      <c r="AB93" s="55">
        <f t="shared" si="53"/>
        <v>0</v>
      </c>
      <c r="AC93" s="55">
        <f t="shared" si="54"/>
        <v>0</v>
      </c>
      <c r="AD93" s="55">
        <f t="shared" si="55"/>
        <v>0</v>
      </c>
      <c r="AE93" s="55">
        <f t="shared" si="56"/>
        <v>0</v>
      </c>
      <c r="AF93" s="55">
        <f t="shared" si="57"/>
        <v>0</v>
      </c>
      <c r="AG93" s="55">
        <f t="shared" si="58"/>
        <v>0</v>
      </c>
      <c r="AH93" s="55">
        <f t="shared" si="59"/>
        <v>0</v>
      </c>
      <c r="AI93" s="50"/>
      <c r="AJ93" s="42">
        <f t="shared" si="60"/>
        <v>0</v>
      </c>
      <c r="AK93" s="42">
        <f t="shared" si="61"/>
        <v>0</v>
      </c>
      <c r="AL93" s="42">
        <f t="shared" si="62"/>
        <v>0</v>
      </c>
      <c r="AN93" s="55">
        <v>21</v>
      </c>
      <c r="AO93" s="55">
        <f t="shared" si="63"/>
        <v>0</v>
      </c>
      <c r="AP93" s="55">
        <f t="shared" si="64"/>
        <v>0</v>
      </c>
      <c r="AQ93" s="56" t="s">
        <v>80</v>
      </c>
      <c r="AV93" s="55">
        <f t="shared" si="65"/>
        <v>0</v>
      </c>
      <c r="AW93" s="55">
        <f t="shared" si="66"/>
        <v>0</v>
      </c>
      <c r="AX93" s="55">
        <f t="shared" si="67"/>
        <v>0</v>
      </c>
      <c r="AY93" s="58" t="s">
        <v>664</v>
      </c>
      <c r="AZ93" s="58" t="s">
        <v>684</v>
      </c>
      <c r="BA93" s="50" t="s">
        <v>690</v>
      </c>
      <c r="BC93" s="55">
        <f t="shared" si="68"/>
        <v>0</v>
      </c>
      <c r="BD93" s="55">
        <f t="shared" si="69"/>
        <v>0</v>
      </c>
      <c r="BE93" s="55">
        <v>0</v>
      </c>
      <c r="BF93" s="55">
        <f t="shared" si="70"/>
        <v>0.0176</v>
      </c>
      <c r="BH93" s="42">
        <f t="shared" si="71"/>
        <v>0</v>
      </c>
      <c r="BI93" s="42">
        <f t="shared" si="72"/>
        <v>0</v>
      </c>
      <c r="BJ93" s="42">
        <f t="shared" si="73"/>
        <v>0</v>
      </c>
      <c r="BK93" s="42" t="s">
        <v>695</v>
      </c>
      <c r="BL93" s="55">
        <v>725</v>
      </c>
    </row>
    <row r="94" spans="1:64" ht="12.75">
      <c r="A94" s="69" t="s">
        <v>124</v>
      </c>
      <c r="B94" s="17"/>
      <c r="C94" s="17" t="s">
        <v>272</v>
      </c>
      <c r="D94" s="113" t="s">
        <v>460</v>
      </c>
      <c r="E94" s="174"/>
      <c r="F94" s="17" t="s">
        <v>627</v>
      </c>
      <c r="G94" s="55">
        <v>4</v>
      </c>
      <c r="H94" s="92"/>
      <c r="I94" s="55">
        <f t="shared" si="48"/>
        <v>0</v>
      </c>
      <c r="J94" s="55">
        <f t="shared" si="49"/>
        <v>0</v>
      </c>
      <c r="K94" s="55">
        <f t="shared" si="50"/>
        <v>0</v>
      </c>
      <c r="L94" s="55">
        <v>0.07528</v>
      </c>
      <c r="M94" s="55">
        <f t="shared" si="51"/>
        <v>0.30112</v>
      </c>
      <c r="N94" s="70" t="s">
        <v>646</v>
      </c>
      <c r="O94" s="18"/>
      <c r="Z94" s="55">
        <f t="shared" si="52"/>
        <v>0</v>
      </c>
      <c r="AB94" s="55">
        <f t="shared" si="53"/>
        <v>0</v>
      </c>
      <c r="AC94" s="55">
        <f t="shared" si="54"/>
        <v>0</v>
      </c>
      <c r="AD94" s="55">
        <f t="shared" si="55"/>
        <v>0</v>
      </c>
      <c r="AE94" s="55">
        <f t="shared" si="56"/>
        <v>0</v>
      </c>
      <c r="AF94" s="55">
        <f t="shared" si="57"/>
        <v>0</v>
      </c>
      <c r="AG94" s="55">
        <f t="shared" si="58"/>
        <v>0</v>
      </c>
      <c r="AH94" s="55">
        <f t="shared" si="59"/>
        <v>0</v>
      </c>
      <c r="AI94" s="50"/>
      <c r="AJ94" s="42">
        <f t="shared" si="60"/>
        <v>0</v>
      </c>
      <c r="AK94" s="42">
        <f t="shared" si="61"/>
        <v>0</v>
      </c>
      <c r="AL94" s="42">
        <f t="shared" si="62"/>
        <v>0</v>
      </c>
      <c r="AN94" s="55">
        <v>21</v>
      </c>
      <c r="AO94" s="55">
        <f t="shared" si="63"/>
        <v>0</v>
      </c>
      <c r="AP94" s="55">
        <f t="shared" si="64"/>
        <v>0</v>
      </c>
      <c r="AQ94" s="56" t="s">
        <v>80</v>
      </c>
      <c r="AV94" s="55">
        <f t="shared" si="65"/>
        <v>0</v>
      </c>
      <c r="AW94" s="55">
        <f t="shared" si="66"/>
        <v>0</v>
      </c>
      <c r="AX94" s="55">
        <f t="shared" si="67"/>
        <v>0</v>
      </c>
      <c r="AY94" s="58" t="s">
        <v>664</v>
      </c>
      <c r="AZ94" s="58" t="s">
        <v>684</v>
      </c>
      <c r="BA94" s="50" t="s">
        <v>690</v>
      </c>
      <c r="BC94" s="55">
        <f t="shared" si="68"/>
        <v>0</v>
      </c>
      <c r="BD94" s="55">
        <f t="shared" si="69"/>
        <v>0</v>
      </c>
      <c r="BE94" s="55">
        <v>0</v>
      </c>
      <c r="BF94" s="55">
        <f t="shared" si="70"/>
        <v>0.30112</v>
      </c>
      <c r="BH94" s="42">
        <f t="shared" si="71"/>
        <v>0</v>
      </c>
      <c r="BI94" s="42">
        <f t="shared" si="72"/>
        <v>0</v>
      </c>
      <c r="BJ94" s="42">
        <f t="shared" si="73"/>
        <v>0</v>
      </c>
      <c r="BK94" s="42" t="s">
        <v>695</v>
      </c>
      <c r="BL94" s="55">
        <v>725</v>
      </c>
    </row>
    <row r="95" spans="1:64" ht="12.75">
      <c r="A95" s="69" t="s">
        <v>125</v>
      </c>
      <c r="B95" s="17"/>
      <c r="C95" s="17" t="s">
        <v>273</v>
      </c>
      <c r="D95" s="113" t="s">
        <v>461</v>
      </c>
      <c r="E95" s="174"/>
      <c r="F95" s="17" t="s">
        <v>627</v>
      </c>
      <c r="G95" s="55">
        <v>6</v>
      </c>
      <c r="H95" s="92"/>
      <c r="I95" s="55">
        <f t="shared" si="48"/>
        <v>0</v>
      </c>
      <c r="J95" s="55">
        <f t="shared" si="49"/>
        <v>0</v>
      </c>
      <c r="K95" s="55">
        <f t="shared" si="50"/>
        <v>0</v>
      </c>
      <c r="L95" s="55">
        <v>0.01946</v>
      </c>
      <c r="M95" s="55">
        <f t="shared" si="51"/>
        <v>0.11676</v>
      </c>
      <c r="N95" s="70" t="s">
        <v>646</v>
      </c>
      <c r="O95" s="18"/>
      <c r="Z95" s="55">
        <f t="shared" si="52"/>
        <v>0</v>
      </c>
      <c r="AB95" s="55">
        <f t="shared" si="53"/>
        <v>0</v>
      </c>
      <c r="AC95" s="55">
        <f t="shared" si="54"/>
        <v>0</v>
      </c>
      <c r="AD95" s="55">
        <f t="shared" si="55"/>
        <v>0</v>
      </c>
      <c r="AE95" s="55">
        <f t="shared" si="56"/>
        <v>0</v>
      </c>
      <c r="AF95" s="55">
        <f t="shared" si="57"/>
        <v>0</v>
      </c>
      <c r="AG95" s="55">
        <f t="shared" si="58"/>
        <v>0</v>
      </c>
      <c r="AH95" s="55">
        <f t="shared" si="59"/>
        <v>0</v>
      </c>
      <c r="AI95" s="50"/>
      <c r="AJ95" s="42">
        <f t="shared" si="60"/>
        <v>0</v>
      </c>
      <c r="AK95" s="42">
        <f t="shared" si="61"/>
        <v>0</v>
      </c>
      <c r="AL95" s="42">
        <f t="shared" si="62"/>
        <v>0</v>
      </c>
      <c r="AN95" s="55">
        <v>21</v>
      </c>
      <c r="AO95" s="55">
        <f t="shared" si="63"/>
        <v>0</v>
      </c>
      <c r="AP95" s="55">
        <f t="shared" si="64"/>
        <v>0</v>
      </c>
      <c r="AQ95" s="56" t="s">
        <v>80</v>
      </c>
      <c r="AV95" s="55">
        <f t="shared" si="65"/>
        <v>0</v>
      </c>
      <c r="AW95" s="55">
        <f t="shared" si="66"/>
        <v>0</v>
      </c>
      <c r="AX95" s="55">
        <f t="shared" si="67"/>
        <v>0</v>
      </c>
      <c r="AY95" s="58" t="s">
        <v>664</v>
      </c>
      <c r="AZ95" s="58" t="s">
        <v>684</v>
      </c>
      <c r="BA95" s="50" t="s">
        <v>690</v>
      </c>
      <c r="BC95" s="55">
        <f t="shared" si="68"/>
        <v>0</v>
      </c>
      <c r="BD95" s="55">
        <f t="shared" si="69"/>
        <v>0</v>
      </c>
      <c r="BE95" s="55">
        <v>0</v>
      </c>
      <c r="BF95" s="55">
        <f t="shared" si="70"/>
        <v>0.11676</v>
      </c>
      <c r="BH95" s="42">
        <f t="shared" si="71"/>
        <v>0</v>
      </c>
      <c r="BI95" s="42">
        <f t="shared" si="72"/>
        <v>0</v>
      </c>
      <c r="BJ95" s="42">
        <f t="shared" si="73"/>
        <v>0</v>
      </c>
      <c r="BK95" s="42" t="s">
        <v>695</v>
      </c>
      <c r="BL95" s="55">
        <v>725</v>
      </c>
    </row>
    <row r="96" spans="1:64" ht="12.75">
      <c r="A96" s="69" t="s">
        <v>126</v>
      </c>
      <c r="B96" s="17"/>
      <c r="C96" s="17" t="s">
        <v>274</v>
      </c>
      <c r="D96" s="113" t="s">
        <v>462</v>
      </c>
      <c r="E96" s="174"/>
      <c r="F96" s="17" t="s">
        <v>623</v>
      </c>
      <c r="G96" s="55">
        <v>11</v>
      </c>
      <c r="H96" s="92"/>
      <c r="I96" s="55">
        <f t="shared" si="48"/>
        <v>0</v>
      </c>
      <c r="J96" s="55">
        <f t="shared" si="49"/>
        <v>0</v>
      </c>
      <c r="K96" s="55">
        <f t="shared" si="50"/>
        <v>0</v>
      </c>
      <c r="L96" s="55">
        <v>0.00085</v>
      </c>
      <c r="M96" s="55">
        <f t="shared" si="51"/>
        <v>0.009349999999999999</v>
      </c>
      <c r="N96" s="70" t="s">
        <v>646</v>
      </c>
      <c r="O96" s="18"/>
      <c r="Z96" s="55">
        <f t="shared" si="52"/>
        <v>0</v>
      </c>
      <c r="AB96" s="55">
        <f t="shared" si="53"/>
        <v>0</v>
      </c>
      <c r="AC96" s="55">
        <f t="shared" si="54"/>
        <v>0</v>
      </c>
      <c r="AD96" s="55">
        <f t="shared" si="55"/>
        <v>0</v>
      </c>
      <c r="AE96" s="55">
        <f t="shared" si="56"/>
        <v>0</v>
      </c>
      <c r="AF96" s="55">
        <f t="shared" si="57"/>
        <v>0</v>
      </c>
      <c r="AG96" s="55">
        <f t="shared" si="58"/>
        <v>0</v>
      </c>
      <c r="AH96" s="55">
        <f t="shared" si="59"/>
        <v>0</v>
      </c>
      <c r="AI96" s="50"/>
      <c r="AJ96" s="42">
        <f t="shared" si="60"/>
        <v>0</v>
      </c>
      <c r="AK96" s="42">
        <f t="shared" si="61"/>
        <v>0</v>
      </c>
      <c r="AL96" s="42">
        <f t="shared" si="62"/>
        <v>0</v>
      </c>
      <c r="AN96" s="55">
        <v>21</v>
      </c>
      <c r="AO96" s="55">
        <f t="shared" si="63"/>
        <v>0</v>
      </c>
      <c r="AP96" s="55">
        <f t="shared" si="64"/>
        <v>0</v>
      </c>
      <c r="AQ96" s="56" t="s">
        <v>80</v>
      </c>
      <c r="AV96" s="55">
        <f t="shared" si="65"/>
        <v>0</v>
      </c>
      <c r="AW96" s="55">
        <f t="shared" si="66"/>
        <v>0</v>
      </c>
      <c r="AX96" s="55">
        <f t="shared" si="67"/>
        <v>0</v>
      </c>
      <c r="AY96" s="58" t="s">
        <v>664</v>
      </c>
      <c r="AZ96" s="58" t="s">
        <v>684</v>
      </c>
      <c r="BA96" s="50" t="s">
        <v>690</v>
      </c>
      <c r="BC96" s="55">
        <f t="shared" si="68"/>
        <v>0</v>
      </c>
      <c r="BD96" s="55">
        <f t="shared" si="69"/>
        <v>0</v>
      </c>
      <c r="BE96" s="55">
        <v>0</v>
      </c>
      <c r="BF96" s="55">
        <f t="shared" si="70"/>
        <v>0.009349999999999999</v>
      </c>
      <c r="BH96" s="42">
        <f t="shared" si="71"/>
        <v>0</v>
      </c>
      <c r="BI96" s="42">
        <f t="shared" si="72"/>
        <v>0</v>
      </c>
      <c r="BJ96" s="42">
        <f t="shared" si="73"/>
        <v>0</v>
      </c>
      <c r="BK96" s="42" t="s">
        <v>695</v>
      </c>
      <c r="BL96" s="55">
        <v>725</v>
      </c>
    </row>
    <row r="97" spans="1:64" ht="12.75">
      <c r="A97" s="69" t="s">
        <v>127</v>
      </c>
      <c r="B97" s="17"/>
      <c r="C97" s="17" t="s">
        <v>275</v>
      </c>
      <c r="D97" s="113" t="s">
        <v>463</v>
      </c>
      <c r="E97" s="174"/>
      <c r="F97" s="17" t="s">
        <v>627</v>
      </c>
      <c r="G97" s="55">
        <v>6</v>
      </c>
      <c r="H97" s="92"/>
      <c r="I97" s="55">
        <f t="shared" si="48"/>
        <v>0</v>
      </c>
      <c r="J97" s="55">
        <f t="shared" si="49"/>
        <v>0</v>
      </c>
      <c r="K97" s="55">
        <f t="shared" si="50"/>
        <v>0</v>
      </c>
      <c r="L97" s="55">
        <v>0.00141</v>
      </c>
      <c r="M97" s="55">
        <f t="shared" si="51"/>
        <v>0.00846</v>
      </c>
      <c r="N97" s="70" t="s">
        <v>646</v>
      </c>
      <c r="O97" s="18"/>
      <c r="Z97" s="55">
        <f t="shared" si="52"/>
        <v>0</v>
      </c>
      <c r="AB97" s="55">
        <f t="shared" si="53"/>
        <v>0</v>
      </c>
      <c r="AC97" s="55">
        <f t="shared" si="54"/>
        <v>0</v>
      </c>
      <c r="AD97" s="55">
        <f t="shared" si="55"/>
        <v>0</v>
      </c>
      <c r="AE97" s="55">
        <f t="shared" si="56"/>
        <v>0</v>
      </c>
      <c r="AF97" s="55">
        <f t="shared" si="57"/>
        <v>0</v>
      </c>
      <c r="AG97" s="55">
        <f t="shared" si="58"/>
        <v>0</v>
      </c>
      <c r="AH97" s="55">
        <f t="shared" si="59"/>
        <v>0</v>
      </c>
      <c r="AI97" s="50"/>
      <c r="AJ97" s="42">
        <f t="shared" si="60"/>
        <v>0</v>
      </c>
      <c r="AK97" s="42">
        <f t="shared" si="61"/>
        <v>0</v>
      </c>
      <c r="AL97" s="42">
        <f t="shared" si="62"/>
        <v>0</v>
      </c>
      <c r="AN97" s="55">
        <v>21</v>
      </c>
      <c r="AO97" s="55">
        <f>H97*0.115237556561086</f>
        <v>0</v>
      </c>
      <c r="AP97" s="55">
        <f>H97*(1-0.115237556561086)</f>
        <v>0</v>
      </c>
      <c r="AQ97" s="56" t="s">
        <v>80</v>
      </c>
      <c r="AV97" s="55">
        <f t="shared" si="65"/>
        <v>0</v>
      </c>
      <c r="AW97" s="55">
        <f t="shared" si="66"/>
        <v>0</v>
      </c>
      <c r="AX97" s="55">
        <f t="shared" si="67"/>
        <v>0</v>
      </c>
      <c r="AY97" s="58" t="s">
        <v>664</v>
      </c>
      <c r="AZ97" s="58" t="s">
        <v>684</v>
      </c>
      <c r="BA97" s="50" t="s">
        <v>690</v>
      </c>
      <c r="BC97" s="55">
        <f t="shared" si="68"/>
        <v>0</v>
      </c>
      <c r="BD97" s="55">
        <f t="shared" si="69"/>
        <v>0</v>
      </c>
      <c r="BE97" s="55">
        <v>0</v>
      </c>
      <c r="BF97" s="55">
        <f t="shared" si="70"/>
        <v>0.00846</v>
      </c>
      <c r="BH97" s="42">
        <f t="shared" si="71"/>
        <v>0</v>
      </c>
      <c r="BI97" s="42">
        <f t="shared" si="72"/>
        <v>0</v>
      </c>
      <c r="BJ97" s="42">
        <f t="shared" si="73"/>
        <v>0</v>
      </c>
      <c r="BK97" s="42" t="s">
        <v>695</v>
      </c>
      <c r="BL97" s="55">
        <v>725</v>
      </c>
    </row>
    <row r="98" spans="1:64" ht="12.75">
      <c r="A98" s="69" t="s">
        <v>128</v>
      </c>
      <c r="B98" s="17"/>
      <c r="C98" s="17" t="s">
        <v>276</v>
      </c>
      <c r="D98" s="113" t="s">
        <v>464</v>
      </c>
      <c r="E98" s="174"/>
      <c r="F98" s="17" t="s">
        <v>627</v>
      </c>
      <c r="G98" s="55">
        <v>2</v>
      </c>
      <c r="H98" s="92"/>
      <c r="I98" s="55">
        <f t="shared" si="48"/>
        <v>0</v>
      </c>
      <c r="J98" s="55">
        <f t="shared" si="49"/>
        <v>0</v>
      </c>
      <c r="K98" s="55">
        <f t="shared" si="50"/>
        <v>0</v>
      </c>
      <c r="L98" s="55">
        <v>0.01201</v>
      </c>
      <c r="M98" s="55">
        <f t="shared" si="51"/>
        <v>0.02402</v>
      </c>
      <c r="N98" s="70" t="s">
        <v>646</v>
      </c>
      <c r="O98" s="18"/>
      <c r="Z98" s="55">
        <f t="shared" si="52"/>
        <v>0</v>
      </c>
      <c r="AB98" s="55">
        <f t="shared" si="53"/>
        <v>0</v>
      </c>
      <c r="AC98" s="55">
        <f t="shared" si="54"/>
        <v>0</v>
      </c>
      <c r="AD98" s="55">
        <f t="shared" si="55"/>
        <v>0</v>
      </c>
      <c r="AE98" s="55">
        <f t="shared" si="56"/>
        <v>0</v>
      </c>
      <c r="AF98" s="55">
        <f t="shared" si="57"/>
        <v>0</v>
      </c>
      <c r="AG98" s="55">
        <f t="shared" si="58"/>
        <v>0</v>
      </c>
      <c r="AH98" s="55">
        <f t="shared" si="59"/>
        <v>0</v>
      </c>
      <c r="AI98" s="50"/>
      <c r="AJ98" s="42">
        <f t="shared" si="60"/>
        <v>0</v>
      </c>
      <c r="AK98" s="42">
        <f t="shared" si="61"/>
        <v>0</v>
      </c>
      <c r="AL98" s="42">
        <f t="shared" si="62"/>
        <v>0</v>
      </c>
      <c r="AN98" s="55">
        <v>21</v>
      </c>
      <c r="AO98" s="55">
        <f>H98*0.653629782833506</f>
        <v>0</v>
      </c>
      <c r="AP98" s="55">
        <f>H98*(1-0.653629782833506)</f>
        <v>0</v>
      </c>
      <c r="AQ98" s="56" t="s">
        <v>80</v>
      </c>
      <c r="AV98" s="55">
        <f t="shared" si="65"/>
        <v>0</v>
      </c>
      <c r="AW98" s="55">
        <f t="shared" si="66"/>
        <v>0</v>
      </c>
      <c r="AX98" s="55">
        <f t="shared" si="67"/>
        <v>0</v>
      </c>
      <c r="AY98" s="58" t="s">
        <v>664</v>
      </c>
      <c r="AZ98" s="58" t="s">
        <v>684</v>
      </c>
      <c r="BA98" s="50" t="s">
        <v>690</v>
      </c>
      <c r="BC98" s="55">
        <f t="shared" si="68"/>
        <v>0</v>
      </c>
      <c r="BD98" s="55">
        <f t="shared" si="69"/>
        <v>0</v>
      </c>
      <c r="BE98" s="55">
        <v>0</v>
      </c>
      <c r="BF98" s="55">
        <f t="shared" si="70"/>
        <v>0.02402</v>
      </c>
      <c r="BH98" s="42">
        <f t="shared" si="71"/>
        <v>0</v>
      </c>
      <c r="BI98" s="42">
        <f t="shared" si="72"/>
        <v>0</v>
      </c>
      <c r="BJ98" s="42">
        <f t="shared" si="73"/>
        <v>0</v>
      </c>
      <c r="BK98" s="42" t="s">
        <v>695</v>
      </c>
      <c r="BL98" s="55">
        <v>725</v>
      </c>
    </row>
    <row r="99" spans="1:64" ht="12.75">
      <c r="A99" s="69" t="s">
        <v>129</v>
      </c>
      <c r="B99" s="17"/>
      <c r="C99" s="17" t="s">
        <v>277</v>
      </c>
      <c r="D99" s="113" t="s">
        <v>465</v>
      </c>
      <c r="E99" s="179"/>
      <c r="F99" s="17" t="s">
        <v>623</v>
      </c>
      <c r="G99" s="55">
        <v>4</v>
      </c>
      <c r="H99" s="92"/>
      <c r="I99" s="55">
        <f t="shared" si="48"/>
        <v>0</v>
      </c>
      <c r="J99" s="55">
        <f t="shared" si="49"/>
        <v>0</v>
      </c>
      <c r="K99" s="55">
        <f t="shared" si="50"/>
        <v>0</v>
      </c>
      <c r="L99" s="55">
        <v>0.007</v>
      </c>
      <c r="M99" s="55">
        <f t="shared" si="51"/>
        <v>0.028</v>
      </c>
      <c r="N99" s="70" t="s">
        <v>646</v>
      </c>
      <c r="O99" s="18"/>
      <c r="Z99" s="55">
        <f t="shared" si="52"/>
        <v>0</v>
      </c>
      <c r="AB99" s="55">
        <f t="shared" si="53"/>
        <v>0</v>
      </c>
      <c r="AC99" s="55">
        <f t="shared" si="54"/>
        <v>0</v>
      </c>
      <c r="AD99" s="55">
        <f t="shared" si="55"/>
        <v>0</v>
      </c>
      <c r="AE99" s="55">
        <f t="shared" si="56"/>
        <v>0</v>
      </c>
      <c r="AF99" s="55">
        <f t="shared" si="57"/>
        <v>0</v>
      </c>
      <c r="AG99" s="55">
        <f t="shared" si="58"/>
        <v>0</v>
      </c>
      <c r="AH99" s="55">
        <f t="shared" si="59"/>
        <v>0</v>
      </c>
      <c r="AI99" s="50"/>
      <c r="AJ99" s="43">
        <f t="shared" si="60"/>
        <v>0</v>
      </c>
      <c r="AK99" s="43">
        <f t="shared" si="61"/>
        <v>0</v>
      </c>
      <c r="AL99" s="43">
        <f t="shared" si="62"/>
        <v>0</v>
      </c>
      <c r="AN99" s="55">
        <v>21</v>
      </c>
      <c r="AO99" s="55">
        <f>H99*1</f>
        <v>0</v>
      </c>
      <c r="AP99" s="55">
        <f>H99*(1-1)</f>
        <v>0</v>
      </c>
      <c r="AQ99" s="57" t="s">
        <v>80</v>
      </c>
      <c r="AV99" s="55">
        <f t="shared" si="65"/>
        <v>0</v>
      </c>
      <c r="AW99" s="55">
        <f t="shared" si="66"/>
        <v>0</v>
      </c>
      <c r="AX99" s="55">
        <f t="shared" si="67"/>
        <v>0</v>
      </c>
      <c r="AY99" s="58" t="s">
        <v>664</v>
      </c>
      <c r="AZ99" s="58" t="s">
        <v>684</v>
      </c>
      <c r="BA99" s="50" t="s">
        <v>690</v>
      </c>
      <c r="BC99" s="55">
        <f t="shared" si="68"/>
        <v>0</v>
      </c>
      <c r="BD99" s="55">
        <f t="shared" si="69"/>
        <v>0</v>
      </c>
      <c r="BE99" s="55">
        <v>0</v>
      </c>
      <c r="BF99" s="55">
        <f t="shared" si="70"/>
        <v>0.028</v>
      </c>
      <c r="BH99" s="43">
        <f t="shared" si="71"/>
        <v>0</v>
      </c>
      <c r="BI99" s="43">
        <f t="shared" si="72"/>
        <v>0</v>
      </c>
      <c r="BJ99" s="43">
        <f t="shared" si="73"/>
        <v>0</v>
      </c>
      <c r="BK99" s="43" t="s">
        <v>696</v>
      </c>
      <c r="BL99" s="55">
        <v>725</v>
      </c>
    </row>
    <row r="100" spans="1:64" ht="12.75">
      <c r="A100" s="69" t="s">
        <v>130</v>
      </c>
      <c r="B100" s="17"/>
      <c r="C100" s="17" t="s">
        <v>278</v>
      </c>
      <c r="D100" s="113" t="s">
        <v>466</v>
      </c>
      <c r="E100" s="174"/>
      <c r="F100" s="17" t="s">
        <v>623</v>
      </c>
      <c r="G100" s="55">
        <v>6</v>
      </c>
      <c r="H100" s="92"/>
      <c r="I100" s="55">
        <f t="shared" si="48"/>
        <v>0</v>
      </c>
      <c r="J100" s="55">
        <f t="shared" si="49"/>
        <v>0</v>
      </c>
      <c r="K100" s="55">
        <f t="shared" si="50"/>
        <v>0</v>
      </c>
      <c r="L100" s="55">
        <v>0.0002</v>
      </c>
      <c r="M100" s="55">
        <f t="shared" si="51"/>
        <v>0.0012000000000000001</v>
      </c>
      <c r="N100" s="70" t="s">
        <v>646</v>
      </c>
      <c r="O100" s="18"/>
      <c r="Z100" s="55">
        <f t="shared" si="52"/>
        <v>0</v>
      </c>
      <c r="AB100" s="55">
        <f t="shared" si="53"/>
        <v>0</v>
      </c>
      <c r="AC100" s="55">
        <f t="shared" si="54"/>
        <v>0</v>
      </c>
      <c r="AD100" s="55">
        <f t="shared" si="55"/>
        <v>0</v>
      </c>
      <c r="AE100" s="55">
        <f t="shared" si="56"/>
        <v>0</v>
      </c>
      <c r="AF100" s="55">
        <f t="shared" si="57"/>
        <v>0</v>
      </c>
      <c r="AG100" s="55">
        <f t="shared" si="58"/>
        <v>0</v>
      </c>
      <c r="AH100" s="55">
        <f t="shared" si="59"/>
        <v>0</v>
      </c>
      <c r="AI100" s="50"/>
      <c r="AJ100" s="42">
        <f t="shared" si="60"/>
        <v>0</v>
      </c>
      <c r="AK100" s="42">
        <f t="shared" si="61"/>
        <v>0</v>
      </c>
      <c r="AL100" s="42">
        <f t="shared" si="62"/>
        <v>0</v>
      </c>
      <c r="AN100" s="55">
        <v>21</v>
      </c>
      <c r="AO100" s="55">
        <f>H100*0.673503836317136</f>
        <v>0</v>
      </c>
      <c r="AP100" s="55">
        <f>H100*(1-0.673503836317136)</f>
        <v>0</v>
      </c>
      <c r="AQ100" s="56" t="s">
        <v>80</v>
      </c>
      <c r="AV100" s="55">
        <f t="shared" si="65"/>
        <v>0</v>
      </c>
      <c r="AW100" s="55">
        <f t="shared" si="66"/>
        <v>0</v>
      </c>
      <c r="AX100" s="55">
        <f t="shared" si="67"/>
        <v>0</v>
      </c>
      <c r="AY100" s="58" t="s">
        <v>664</v>
      </c>
      <c r="AZ100" s="58" t="s">
        <v>684</v>
      </c>
      <c r="BA100" s="50" t="s">
        <v>690</v>
      </c>
      <c r="BC100" s="55">
        <f t="shared" si="68"/>
        <v>0</v>
      </c>
      <c r="BD100" s="55">
        <f t="shared" si="69"/>
        <v>0</v>
      </c>
      <c r="BE100" s="55">
        <v>0</v>
      </c>
      <c r="BF100" s="55">
        <f t="shared" si="70"/>
        <v>0.0012000000000000001</v>
      </c>
      <c r="BH100" s="42">
        <f t="shared" si="71"/>
        <v>0</v>
      </c>
      <c r="BI100" s="42">
        <f t="shared" si="72"/>
        <v>0</v>
      </c>
      <c r="BJ100" s="42">
        <f t="shared" si="73"/>
        <v>0</v>
      </c>
      <c r="BK100" s="42" t="s">
        <v>695</v>
      </c>
      <c r="BL100" s="55">
        <v>725</v>
      </c>
    </row>
    <row r="101" spans="1:64" ht="12.75">
      <c r="A101" s="69" t="s">
        <v>131</v>
      </c>
      <c r="B101" s="17"/>
      <c r="C101" s="17" t="s">
        <v>279</v>
      </c>
      <c r="D101" s="113" t="s">
        <v>467</v>
      </c>
      <c r="E101" s="174"/>
      <c r="F101" s="17" t="s">
        <v>623</v>
      </c>
      <c r="G101" s="55">
        <v>6</v>
      </c>
      <c r="H101" s="92"/>
      <c r="I101" s="55">
        <f t="shared" si="48"/>
        <v>0</v>
      </c>
      <c r="J101" s="55">
        <f t="shared" si="49"/>
        <v>0</v>
      </c>
      <c r="K101" s="55">
        <f t="shared" si="50"/>
        <v>0</v>
      </c>
      <c r="L101" s="55">
        <v>0.00041</v>
      </c>
      <c r="M101" s="55">
        <f t="shared" si="51"/>
        <v>0.00246</v>
      </c>
      <c r="N101" s="70" t="s">
        <v>646</v>
      </c>
      <c r="O101" s="18"/>
      <c r="Z101" s="55">
        <f t="shared" si="52"/>
        <v>0</v>
      </c>
      <c r="AB101" s="55">
        <f t="shared" si="53"/>
        <v>0</v>
      </c>
      <c r="AC101" s="55">
        <f t="shared" si="54"/>
        <v>0</v>
      </c>
      <c r="AD101" s="55">
        <f t="shared" si="55"/>
        <v>0</v>
      </c>
      <c r="AE101" s="55">
        <f t="shared" si="56"/>
        <v>0</v>
      </c>
      <c r="AF101" s="55">
        <f t="shared" si="57"/>
        <v>0</v>
      </c>
      <c r="AG101" s="55">
        <f t="shared" si="58"/>
        <v>0</v>
      </c>
      <c r="AH101" s="55">
        <f t="shared" si="59"/>
        <v>0</v>
      </c>
      <c r="AI101" s="50"/>
      <c r="AJ101" s="42">
        <f t="shared" si="60"/>
        <v>0</v>
      </c>
      <c r="AK101" s="42">
        <f t="shared" si="61"/>
        <v>0</v>
      </c>
      <c r="AL101" s="42">
        <f t="shared" si="62"/>
        <v>0</v>
      </c>
      <c r="AN101" s="55">
        <v>21</v>
      </c>
      <c r="AO101" s="55">
        <f>H101*0.494415841584158</f>
        <v>0</v>
      </c>
      <c r="AP101" s="55">
        <f>H101*(1-0.494415841584158)</f>
        <v>0</v>
      </c>
      <c r="AQ101" s="56" t="s">
        <v>80</v>
      </c>
      <c r="AV101" s="55">
        <f t="shared" si="65"/>
        <v>0</v>
      </c>
      <c r="AW101" s="55">
        <f t="shared" si="66"/>
        <v>0</v>
      </c>
      <c r="AX101" s="55">
        <f t="shared" si="67"/>
        <v>0</v>
      </c>
      <c r="AY101" s="58" t="s">
        <v>664</v>
      </c>
      <c r="AZ101" s="58" t="s">
        <v>684</v>
      </c>
      <c r="BA101" s="50" t="s">
        <v>690</v>
      </c>
      <c r="BC101" s="55">
        <f t="shared" si="68"/>
        <v>0</v>
      </c>
      <c r="BD101" s="55">
        <f t="shared" si="69"/>
        <v>0</v>
      </c>
      <c r="BE101" s="55">
        <v>0</v>
      </c>
      <c r="BF101" s="55">
        <f t="shared" si="70"/>
        <v>0.00246</v>
      </c>
      <c r="BH101" s="42">
        <f t="shared" si="71"/>
        <v>0</v>
      </c>
      <c r="BI101" s="42">
        <f t="shared" si="72"/>
        <v>0</v>
      </c>
      <c r="BJ101" s="42">
        <f t="shared" si="73"/>
        <v>0</v>
      </c>
      <c r="BK101" s="42" t="s">
        <v>695</v>
      </c>
      <c r="BL101" s="55">
        <v>725</v>
      </c>
    </row>
    <row r="102" spans="1:64" ht="12.75">
      <c r="A102" s="69" t="s">
        <v>132</v>
      </c>
      <c r="B102" s="17"/>
      <c r="C102" s="17" t="s">
        <v>280</v>
      </c>
      <c r="D102" s="113" t="s">
        <v>468</v>
      </c>
      <c r="E102" s="174"/>
      <c r="F102" s="17" t="s">
        <v>623</v>
      </c>
      <c r="G102" s="55">
        <v>6</v>
      </c>
      <c r="H102" s="92"/>
      <c r="I102" s="55">
        <f t="shared" si="48"/>
        <v>0</v>
      </c>
      <c r="J102" s="55">
        <f t="shared" si="49"/>
        <v>0</v>
      </c>
      <c r="K102" s="55">
        <f t="shared" si="50"/>
        <v>0</v>
      </c>
      <c r="L102" s="55">
        <v>4E-05</v>
      </c>
      <c r="M102" s="55">
        <f t="shared" si="51"/>
        <v>0.00024000000000000003</v>
      </c>
      <c r="N102" s="70" t="s">
        <v>646</v>
      </c>
      <c r="O102" s="18"/>
      <c r="Z102" s="55">
        <f t="shared" si="52"/>
        <v>0</v>
      </c>
      <c r="AB102" s="55">
        <f t="shared" si="53"/>
        <v>0</v>
      </c>
      <c r="AC102" s="55">
        <f t="shared" si="54"/>
        <v>0</v>
      </c>
      <c r="AD102" s="55">
        <f t="shared" si="55"/>
        <v>0</v>
      </c>
      <c r="AE102" s="55">
        <f t="shared" si="56"/>
        <v>0</v>
      </c>
      <c r="AF102" s="55">
        <f t="shared" si="57"/>
        <v>0</v>
      </c>
      <c r="AG102" s="55">
        <f t="shared" si="58"/>
        <v>0</v>
      </c>
      <c r="AH102" s="55">
        <f t="shared" si="59"/>
        <v>0</v>
      </c>
      <c r="AI102" s="50"/>
      <c r="AJ102" s="42">
        <f t="shared" si="60"/>
        <v>0</v>
      </c>
      <c r="AK102" s="42">
        <f t="shared" si="61"/>
        <v>0</v>
      </c>
      <c r="AL102" s="42">
        <f t="shared" si="62"/>
        <v>0</v>
      </c>
      <c r="AN102" s="55">
        <v>21</v>
      </c>
      <c r="AO102" s="55">
        <f>H102*0.0298739495798319</f>
        <v>0</v>
      </c>
      <c r="AP102" s="55">
        <f>H102*(1-0.0298739495798319)</f>
        <v>0</v>
      </c>
      <c r="AQ102" s="56" t="s">
        <v>80</v>
      </c>
      <c r="AV102" s="55">
        <f t="shared" si="65"/>
        <v>0</v>
      </c>
      <c r="AW102" s="55">
        <f t="shared" si="66"/>
        <v>0</v>
      </c>
      <c r="AX102" s="55">
        <f t="shared" si="67"/>
        <v>0</v>
      </c>
      <c r="AY102" s="58" t="s">
        <v>664</v>
      </c>
      <c r="AZ102" s="58" t="s">
        <v>684</v>
      </c>
      <c r="BA102" s="50" t="s">
        <v>690</v>
      </c>
      <c r="BC102" s="55">
        <f t="shared" si="68"/>
        <v>0</v>
      </c>
      <c r="BD102" s="55">
        <f t="shared" si="69"/>
        <v>0</v>
      </c>
      <c r="BE102" s="55">
        <v>0</v>
      </c>
      <c r="BF102" s="55">
        <f t="shared" si="70"/>
        <v>0.00024000000000000003</v>
      </c>
      <c r="BH102" s="42">
        <f t="shared" si="71"/>
        <v>0</v>
      </c>
      <c r="BI102" s="42">
        <f t="shared" si="72"/>
        <v>0</v>
      </c>
      <c r="BJ102" s="42">
        <f t="shared" si="73"/>
        <v>0</v>
      </c>
      <c r="BK102" s="42" t="s">
        <v>695</v>
      </c>
      <c r="BL102" s="55">
        <v>725</v>
      </c>
    </row>
    <row r="103" spans="1:64" ht="12.75">
      <c r="A103" s="69" t="s">
        <v>133</v>
      </c>
      <c r="B103" s="17"/>
      <c r="C103" s="17" t="s">
        <v>281</v>
      </c>
      <c r="D103" s="113" t="s">
        <v>469</v>
      </c>
      <c r="E103" s="174"/>
      <c r="F103" s="17" t="s">
        <v>623</v>
      </c>
      <c r="G103" s="55">
        <v>1</v>
      </c>
      <c r="H103" s="92"/>
      <c r="I103" s="55">
        <f t="shared" si="48"/>
        <v>0</v>
      </c>
      <c r="J103" s="55">
        <f t="shared" si="49"/>
        <v>0</v>
      </c>
      <c r="K103" s="55">
        <f t="shared" si="50"/>
        <v>0</v>
      </c>
      <c r="L103" s="55">
        <v>0.00013</v>
      </c>
      <c r="M103" s="55">
        <f t="shared" si="51"/>
        <v>0.00013</v>
      </c>
      <c r="N103" s="70" t="s">
        <v>646</v>
      </c>
      <c r="O103" s="18"/>
      <c r="Z103" s="55">
        <f t="shared" si="52"/>
        <v>0</v>
      </c>
      <c r="AB103" s="55">
        <f t="shared" si="53"/>
        <v>0</v>
      </c>
      <c r="AC103" s="55">
        <f t="shared" si="54"/>
        <v>0</v>
      </c>
      <c r="AD103" s="55">
        <f t="shared" si="55"/>
        <v>0</v>
      </c>
      <c r="AE103" s="55">
        <f t="shared" si="56"/>
        <v>0</v>
      </c>
      <c r="AF103" s="55">
        <f t="shared" si="57"/>
        <v>0</v>
      </c>
      <c r="AG103" s="55">
        <f t="shared" si="58"/>
        <v>0</v>
      </c>
      <c r="AH103" s="55">
        <f t="shared" si="59"/>
        <v>0</v>
      </c>
      <c r="AI103" s="50"/>
      <c r="AJ103" s="42">
        <f t="shared" si="60"/>
        <v>0</v>
      </c>
      <c r="AK103" s="42">
        <f t="shared" si="61"/>
        <v>0</v>
      </c>
      <c r="AL103" s="42">
        <f t="shared" si="62"/>
        <v>0</v>
      </c>
      <c r="AN103" s="55">
        <v>21</v>
      </c>
      <c r="AO103" s="55">
        <f>H103*0.209803921568627</f>
        <v>0</v>
      </c>
      <c r="AP103" s="55">
        <f>H103*(1-0.209803921568627)</f>
        <v>0</v>
      </c>
      <c r="AQ103" s="56" t="s">
        <v>80</v>
      </c>
      <c r="AV103" s="55">
        <f t="shared" si="65"/>
        <v>0</v>
      </c>
      <c r="AW103" s="55">
        <f t="shared" si="66"/>
        <v>0</v>
      </c>
      <c r="AX103" s="55">
        <f t="shared" si="67"/>
        <v>0</v>
      </c>
      <c r="AY103" s="58" t="s">
        <v>664</v>
      </c>
      <c r="AZ103" s="58" t="s">
        <v>684</v>
      </c>
      <c r="BA103" s="50" t="s">
        <v>690</v>
      </c>
      <c r="BC103" s="55">
        <f t="shared" si="68"/>
        <v>0</v>
      </c>
      <c r="BD103" s="55">
        <f t="shared" si="69"/>
        <v>0</v>
      </c>
      <c r="BE103" s="55">
        <v>0</v>
      </c>
      <c r="BF103" s="55">
        <f t="shared" si="70"/>
        <v>0.00013</v>
      </c>
      <c r="BH103" s="42">
        <f t="shared" si="71"/>
        <v>0</v>
      </c>
      <c r="BI103" s="42">
        <f t="shared" si="72"/>
        <v>0</v>
      </c>
      <c r="BJ103" s="42">
        <f t="shared" si="73"/>
        <v>0</v>
      </c>
      <c r="BK103" s="42" t="s">
        <v>695</v>
      </c>
      <c r="BL103" s="55">
        <v>725</v>
      </c>
    </row>
    <row r="104" spans="1:64" ht="12.75">
      <c r="A104" s="69" t="s">
        <v>134</v>
      </c>
      <c r="B104" s="17"/>
      <c r="C104" s="17" t="s">
        <v>282</v>
      </c>
      <c r="D104" s="113" t="s">
        <v>470</v>
      </c>
      <c r="E104" s="174"/>
      <c r="F104" s="17" t="s">
        <v>623</v>
      </c>
      <c r="G104" s="55">
        <v>1</v>
      </c>
      <c r="H104" s="92"/>
      <c r="I104" s="55">
        <f t="shared" si="48"/>
        <v>0</v>
      </c>
      <c r="J104" s="55">
        <f t="shared" si="49"/>
        <v>0</v>
      </c>
      <c r="K104" s="55">
        <f t="shared" si="50"/>
        <v>0</v>
      </c>
      <c r="L104" s="55">
        <v>0.00033</v>
      </c>
      <c r="M104" s="55">
        <f t="shared" si="51"/>
        <v>0.00033</v>
      </c>
      <c r="N104" s="70" t="s">
        <v>646</v>
      </c>
      <c r="O104" s="18"/>
      <c r="Z104" s="55">
        <f t="shared" si="52"/>
        <v>0</v>
      </c>
      <c r="AB104" s="55">
        <f t="shared" si="53"/>
        <v>0</v>
      </c>
      <c r="AC104" s="55">
        <f t="shared" si="54"/>
        <v>0</v>
      </c>
      <c r="AD104" s="55">
        <f t="shared" si="55"/>
        <v>0</v>
      </c>
      <c r="AE104" s="55">
        <f t="shared" si="56"/>
        <v>0</v>
      </c>
      <c r="AF104" s="55">
        <f t="shared" si="57"/>
        <v>0</v>
      </c>
      <c r="AG104" s="55">
        <f t="shared" si="58"/>
        <v>0</v>
      </c>
      <c r="AH104" s="55">
        <f t="shared" si="59"/>
        <v>0</v>
      </c>
      <c r="AI104" s="50"/>
      <c r="AJ104" s="42">
        <f t="shared" si="60"/>
        <v>0</v>
      </c>
      <c r="AK104" s="42">
        <f t="shared" si="61"/>
        <v>0</v>
      </c>
      <c r="AL104" s="42">
        <f t="shared" si="62"/>
        <v>0</v>
      </c>
      <c r="AN104" s="55">
        <v>21</v>
      </c>
      <c r="AO104" s="55">
        <f>H104*0.829103078982597</f>
        <v>0</v>
      </c>
      <c r="AP104" s="55">
        <f>H104*(1-0.829103078982597)</f>
        <v>0</v>
      </c>
      <c r="AQ104" s="56" t="s">
        <v>80</v>
      </c>
      <c r="AV104" s="55">
        <f t="shared" si="65"/>
        <v>0</v>
      </c>
      <c r="AW104" s="55">
        <f t="shared" si="66"/>
        <v>0</v>
      </c>
      <c r="AX104" s="55">
        <f t="shared" si="67"/>
        <v>0</v>
      </c>
      <c r="AY104" s="58" t="s">
        <v>664</v>
      </c>
      <c r="AZ104" s="58" t="s">
        <v>684</v>
      </c>
      <c r="BA104" s="50" t="s">
        <v>690</v>
      </c>
      <c r="BC104" s="55">
        <f t="shared" si="68"/>
        <v>0</v>
      </c>
      <c r="BD104" s="55">
        <f t="shared" si="69"/>
        <v>0</v>
      </c>
      <c r="BE104" s="55">
        <v>0</v>
      </c>
      <c r="BF104" s="55">
        <f t="shared" si="70"/>
        <v>0.00033</v>
      </c>
      <c r="BH104" s="42">
        <f t="shared" si="71"/>
        <v>0</v>
      </c>
      <c r="BI104" s="42">
        <f t="shared" si="72"/>
        <v>0</v>
      </c>
      <c r="BJ104" s="42">
        <f t="shared" si="73"/>
        <v>0</v>
      </c>
      <c r="BK104" s="42" t="s">
        <v>695</v>
      </c>
      <c r="BL104" s="55">
        <v>725</v>
      </c>
    </row>
    <row r="105" spans="1:64" ht="12.75">
      <c r="A105" s="69" t="s">
        <v>135</v>
      </c>
      <c r="B105" s="17"/>
      <c r="C105" s="17" t="s">
        <v>283</v>
      </c>
      <c r="D105" s="113" t="s">
        <v>471</v>
      </c>
      <c r="E105" s="174"/>
      <c r="F105" s="17" t="s">
        <v>627</v>
      </c>
      <c r="G105" s="55">
        <v>20</v>
      </c>
      <c r="H105" s="92"/>
      <c r="I105" s="55">
        <f t="shared" si="48"/>
        <v>0</v>
      </c>
      <c r="J105" s="55">
        <f t="shared" si="49"/>
        <v>0</v>
      </c>
      <c r="K105" s="55">
        <f t="shared" si="50"/>
        <v>0</v>
      </c>
      <c r="L105" s="55">
        <v>0.00017</v>
      </c>
      <c r="M105" s="55">
        <f t="shared" si="51"/>
        <v>0.0034000000000000002</v>
      </c>
      <c r="N105" s="70" t="s">
        <v>646</v>
      </c>
      <c r="O105" s="18"/>
      <c r="Z105" s="55">
        <f t="shared" si="52"/>
        <v>0</v>
      </c>
      <c r="AB105" s="55">
        <f t="shared" si="53"/>
        <v>0</v>
      </c>
      <c r="AC105" s="55">
        <f t="shared" si="54"/>
        <v>0</v>
      </c>
      <c r="AD105" s="55">
        <f t="shared" si="55"/>
        <v>0</v>
      </c>
      <c r="AE105" s="55">
        <f t="shared" si="56"/>
        <v>0</v>
      </c>
      <c r="AF105" s="55">
        <f t="shared" si="57"/>
        <v>0</v>
      </c>
      <c r="AG105" s="55">
        <f t="shared" si="58"/>
        <v>0</v>
      </c>
      <c r="AH105" s="55">
        <f t="shared" si="59"/>
        <v>0</v>
      </c>
      <c r="AI105" s="50"/>
      <c r="AJ105" s="42">
        <f t="shared" si="60"/>
        <v>0</v>
      </c>
      <c r="AK105" s="42">
        <f t="shared" si="61"/>
        <v>0</v>
      </c>
      <c r="AL105" s="42">
        <f t="shared" si="62"/>
        <v>0</v>
      </c>
      <c r="AN105" s="55">
        <v>21</v>
      </c>
      <c r="AO105" s="55">
        <f>H105*0.523036437246964</f>
        <v>0</v>
      </c>
      <c r="AP105" s="55">
        <f>H105*(1-0.523036437246964)</f>
        <v>0</v>
      </c>
      <c r="AQ105" s="56" t="s">
        <v>80</v>
      </c>
      <c r="AV105" s="55">
        <f t="shared" si="65"/>
        <v>0</v>
      </c>
      <c r="AW105" s="55">
        <f t="shared" si="66"/>
        <v>0</v>
      </c>
      <c r="AX105" s="55">
        <f t="shared" si="67"/>
        <v>0</v>
      </c>
      <c r="AY105" s="58" t="s">
        <v>664</v>
      </c>
      <c r="AZ105" s="58" t="s">
        <v>684</v>
      </c>
      <c r="BA105" s="50" t="s">
        <v>690</v>
      </c>
      <c r="BC105" s="55">
        <f t="shared" si="68"/>
        <v>0</v>
      </c>
      <c r="BD105" s="55">
        <f t="shared" si="69"/>
        <v>0</v>
      </c>
      <c r="BE105" s="55">
        <v>0</v>
      </c>
      <c r="BF105" s="55">
        <f t="shared" si="70"/>
        <v>0.0034000000000000002</v>
      </c>
      <c r="BH105" s="42">
        <f t="shared" si="71"/>
        <v>0</v>
      </c>
      <c r="BI105" s="42">
        <f t="shared" si="72"/>
        <v>0</v>
      </c>
      <c r="BJ105" s="42">
        <f t="shared" si="73"/>
        <v>0</v>
      </c>
      <c r="BK105" s="42" t="s">
        <v>695</v>
      </c>
      <c r="BL105" s="55">
        <v>725</v>
      </c>
    </row>
    <row r="106" spans="1:64" ht="12.75">
      <c r="A106" s="69" t="s">
        <v>136</v>
      </c>
      <c r="B106" s="17"/>
      <c r="C106" s="17" t="s">
        <v>284</v>
      </c>
      <c r="D106" s="113" t="s">
        <v>472</v>
      </c>
      <c r="E106" s="174"/>
      <c r="F106" s="17" t="s">
        <v>627</v>
      </c>
      <c r="G106" s="55">
        <v>1</v>
      </c>
      <c r="H106" s="92"/>
      <c r="I106" s="55">
        <f t="shared" si="48"/>
        <v>0</v>
      </c>
      <c r="J106" s="55">
        <f t="shared" si="49"/>
        <v>0</v>
      </c>
      <c r="K106" s="55">
        <f t="shared" si="50"/>
        <v>0</v>
      </c>
      <c r="L106" s="55">
        <v>0.00062</v>
      </c>
      <c r="M106" s="55">
        <f t="shared" si="51"/>
        <v>0.00062</v>
      </c>
      <c r="N106" s="70" t="s">
        <v>646</v>
      </c>
      <c r="O106" s="18"/>
      <c r="Z106" s="55">
        <f t="shared" si="52"/>
        <v>0</v>
      </c>
      <c r="AB106" s="55">
        <f t="shared" si="53"/>
        <v>0</v>
      </c>
      <c r="AC106" s="55">
        <f t="shared" si="54"/>
        <v>0</v>
      </c>
      <c r="AD106" s="55">
        <f t="shared" si="55"/>
        <v>0</v>
      </c>
      <c r="AE106" s="55">
        <f t="shared" si="56"/>
        <v>0</v>
      </c>
      <c r="AF106" s="55">
        <f t="shared" si="57"/>
        <v>0</v>
      </c>
      <c r="AG106" s="55">
        <f t="shared" si="58"/>
        <v>0</v>
      </c>
      <c r="AH106" s="55">
        <f t="shared" si="59"/>
        <v>0</v>
      </c>
      <c r="AI106" s="50"/>
      <c r="AJ106" s="42">
        <f t="shared" si="60"/>
        <v>0</v>
      </c>
      <c r="AK106" s="42">
        <f t="shared" si="61"/>
        <v>0</v>
      </c>
      <c r="AL106" s="42">
        <f t="shared" si="62"/>
        <v>0</v>
      </c>
      <c r="AN106" s="55">
        <v>21</v>
      </c>
      <c r="AO106" s="55">
        <f>H106*0.325393373033135</f>
        <v>0</v>
      </c>
      <c r="AP106" s="55">
        <f>H106*(1-0.325393373033135)</f>
        <v>0</v>
      </c>
      <c r="AQ106" s="56" t="s">
        <v>80</v>
      </c>
      <c r="AV106" s="55">
        <f t="shared" si="65"/>
        <v>0</v>
      </c>
      <c r="AW106" s="55">
        <f t="shared" si="66"/>
        <v>0</v>
      </c>
      <c r="AX106" s="55">
        <f t="shared" si="67"/>
        <v>0</v>
      </c>
      <c r="AY106" s="58" t="s">
        <v>664</v>
      </c>
      <c r="AZ106" s="58" t="s">
        <v>684</v>
      </c>
      <c r="BA106" s="50" t="s">
        <v>690</v>
      </c>
      <c r="BC106" s="55">
        <f t="shared" si="68"/>
        <v>0</v>
      </c>
      <c r="BD106" s="55">
        <f t="shared" si="69"/>
        <v>0</v>
      </c>
      <c r="BE106" s="55">
        <v>0</v>
      </c>
      <c r="BF106" s="55">
        <f t="shared" si="70"/>
        <v>0.00062</v>
      </c>
      <c r="BH106" s="42">
        <f t="shared" si="71"/>
        <v>0</v>
      </c>
      <c r="BI106" s="42">
        <f t="shared" si="72"/>
        <v>0</v>
      </c>
      <c r="BJ106" s="42">
        <f t="shared" si="73"/>
        <v>0</v>
      </c>
      <c r="BK106" s="42" t="s">
        <v>695</v>
      </c>
      <c r="BL106" s="55">
        <v>725</v>
      </c>
    </row>
    <row r="107" spans="1:64" ht="12.75">
      <c r="A107" s="69" t="s">
        <v>137</v>
      </c>
      <c r="B107" s="17"/>
      <c r="C107" s="17" t="s">
        <v>285</v>
      </c>
      <c r="D107" s="113" t="s">
        <v>473</v>
      </c>
      <c r="E107" s="174"/>
      <c r="F107" s="17" t="s">
        <v>623</v>
      </c>
      <c r="G107" s="55">
        <v>6</v>
      </c>
      <c r="H107" s="92"/>
      <c r="I107" s="55">
        <f t="shared" si="48"/>
        <v>0</v>
      </c>
      <c r="J107" s="55">
        <f t="shared" si="49"/>
        <v>0</v>
      </c>
      <c r="K107" s="55">
        <f t="shared" si="50"/>
        <v>0</v>
      </c>
      <c r="L107" s="55">
        <v>0.0012</v>
      </c>
      <c r="M107" s="55">
        <f t="shared" si="51"/>
        <v>0.0072</v>
      </c>
      <c r="N107" s="70" t="s">
        <v>646</v>
      </c>
      <c r="O107" s="18"/>
      <c r="Z107" s="55">
        <f t="shared" si="52"/>
        <v>0</v>
      </c>
      <c r="AB107" s="55">
        <f t="shared" si="53"/>
        <v>0</v>
      </c>
      <c r="AC107" s="55">
        <f t="shared" si="54"/>
        <v>0</v>
      </c>
      <c r="AD107" s="55">
        <f t="shared" si="55"/>
        <v>0</v>
      </c>
      <c r="AE107" s="55">
        <f t="shared" si="56"/>
        <v>0</v>
      </c>
      <c r="AF107" s="55">
        <f t="shared" si="57"/>
        <v>0</v>
      </c>
      <c r="AG107" s="55">
        <f t="shared" si="58"/>
        <v>0</v>
      </c>
      <c r="AH107" s="55">
        <f t="shared" si="59"/>
        <v>0</v>
      </c>
      <c r="AI107" s="50"/>
      <c r="AJ107" s="42">
        <f t="shared" si="60"/>
        <v>0</v>
      </c>
      <c r="AK107" s="42">
        <f t="shared" si="61"/>
        <v>0</v>
      </c>
      <c r="AL107" s="42">
        <f t="shared" si="62"/>
        <v>0</v>
      </c>
      <c r="AN107" s="55">
        <v>21</v>
      </c>
      <c r="AO107" s="55">
        <f>H107*0.764597349643221</f>
        <v>0</v>
      </c>
      <c r="AP107" s="55">
        <f>H107*(1-0.764597349643221)</f>
        <v>0</v>
      </c>
      <c r="AQ107" s="56" t="s">
        <v>80</v>
      </c>
      <c r="AV107" s="55">
        <f t="shared" si="65"/>
        <v>0</v>
      </c>
      <c r="AW107" s="55">
        <f t="shared" si="66"/>
        <v>0</v>
      </c>
      <c r="AX107" s="55">
        <f t="shared" si="67"/>
        <v>0</v>
      </c>
      <c r="AY107" s="58" t="s">
        <v>664</v>
      </c>
      <c r="AZ107" s="58" t="s">
        <v>684</v>
      </c>
      <c r="BA107" s="50" t="s">
        <v>690</v>
      </c>
      <c r="BC107" s="55">
        <f t="shared" si="68"/>
        <v>0</v>
      </c>
      <c r="BD107" s="55">
        <f t="shared" si="69"/>
        <v>0</v>
      </c>
      <c r="BE107" s="55">
        <v>0</v>
      </c>
      <c r="BF107" s="55">
        <f t="shared" si="70"/>
        <v>0.0072</v>
      </c>
      <c r="BH107" s="42">
        <f t="shared" si="71"/>
        <v>0</v>
      </c>
      <c r="BI107" s="42">
        <f t="shared" si="72"/>
        <v>0</v>
      </c>
      <c r="BJ107" s="42">
        <f t="shared" si="73"/>
        <v>0</v>
      </c>
      <c r="BK107" s="42" t="s">
        <v>695</v>
      </c>
      <c r="BL107" s="55">
        <v>725</v>
      </c>
    </row>
    <row r="108" spans="1:64" ht="12.75">
      <c r="A108" s="69" t="s">
        <v>138</v>
      </c>
      <c r="B108" s="17"/>
      <c r="C108" s="17" t="s">
        <v>286</v>
      </c>
      <c r="D108" s="113" t="s">
        <v>474</v>
      </c>
      <c r="E108" s="174"/>
      <c r="F108" s="17" t="s">
        <v>623</v>
      </c>
      <c r="G108" s="55">
        <v>1</v>
      </c>
      <c r="H108" s="92"/>
      <c r="I108" s="55">
        <f t="shared" si="48"/>
        <v>0</v>
      </c>
      <c r="J108" s="55">
        <f t="shared" si="49"/>
        <v>0</v>
      </c>
      <c r="K108" s="55">
        <f t="shared" si="50"/>
        <v>0</v>
      </c>
      <c r="L108" s="55">
        <v>0.00092</v>
      </c>
      <c r="M108" s="55">
        <f t="shared" si="51"/>
        <v>0.00092</v>
      </c>
      <c r="N108" s="70" t="s">
        <v>646</v>
      </c>
      <c r="O108" s="18"/>
      <c r="Z108" s="55">
        <f t="shared" si="52"/>
        <v>0</v>
      </c>
      <c r="AB108" s="55">
        <f t="shared" si="53"/>
        <v>0</v>
      </c>
      <c r="AC108" s="55">
        <f t="shared" si="54"/>
        <v>0</v>
      </c>
      <c r="AD108" s="55">
        <f t="shared" si="55"/>
        <v>0</v>
      </c>
      <c r="AE108" s="55">
        <f t="shared" si="56"/>
        <v>0</v>
      </c>
      <c r="AF108" s="55">
        <f t="shared" si="57"/>
        <v>0</v>
      </c>
      <c r="AG108" s="55">
        <f t="shared" si="58"/>
        <v>0</v>
      </c>
      <c r="AH108" s="55">
        <f t="shared" si="59"/>
        <v>0</v>
      </c>
      <c r="AI108" s="50"/>
      <c r="AJ108" s="42">
        <f t="shared" si="60"/>
        <v>0</v>
      </c>
      <c r="AK108" s="42">
        <f t="shared" si="61"/>
        <v>0</v>
      </c>
      <c r="AL108" s="42">
        <f t="shared" si="62"/>
        <v>0</v>
      </c>
      <c r="AN108" s="55">
        <v>21</v>
      </c>
      <c r="AO108" s="55">
        <f>H108*0.748455821635012</f>
        <v>0</v>
      </c>
      <c r="AP108" s="55">
        <f>H108*(1-0.748455821635012)</f>
        <v>0</v>
      </c>
      <c r="AQ108" s="56" t="s">
        <v>80</v>
      </c>
      <c r="AV108" s="55">
        <f t="shared" si="65"/>
        <v>0</v>
      </c>
      <c r="AW108" s="55">
        <f t="shared" si="66"/>
        <v>0</v>
      </c>
      <c r="AX108" s="55">
        <f t="shared" si="67"/>
        <v>0</v>
      </c>
      <c r="AY108" s="58" t="s">
        <v>664</v>
      </c>
      <c r="AZ108" s="58" t="s">
        <v>684</v>
      </c>
      <c r="BA108" s="50" t="s">
        <v>690</v>
      </c>
      <c r="BC108" s="55">
        <f t="shared" si="68"/>
        <v>0</v>
      </c>
      <c r="BD108" s="55">
        <f t="shared" si="69"/>
        <v>0</v>
      </c>
      <c r="BE108" s="55">
        <v>0</v>
      </c>
      <c r="BF108" s="55">
        <f t="shared" si="70"/>
        <v>0.00092</v>
      </c>
      <c r="BH108" s="42">
        <f t="shared" si="71"/>
        <v>0</v>
      </c>
      <c r="BI108" s="42">
        <f t="shared" si="72"/>
        <v>0</v>
      </c>
      <c r="BJ108" s="42">
        <f t="shared" si="73"/>
        <v>0</v>
      </c>
      <c r="BK108" s="42" t="s">
        <v>695</v>
      </c>
      <c r="BL108" s="55">
        <v>725</v>
      </c>
    </row>
    <row r="109" spans="1:64" ht="12.75">
      <c r="A109" s="69" t="s">
        <v>139</v>
      </c>
      <c r="B109" s="17"/>
      <c r="C109" s="17" t="s">
        <v>287</v>
      </c>
      <c r="D109" s="113" t="s">
        <v>475</v>
      </c>
      <c r="E109" s="174"/>
      <c r="F109" s="17" t="s">
        <v>627</v>
      </c>
      <c r="G109" s="55">
        <v>5</v>
      </c>
      <c r="H109" s="92"/>
      <c r="I109" s="55">
        <f t="shared" si="48"/>
        <v>0</v>
      </c>
      <c r="J109" s="55">
        <f t="shared" si="49"/>
        <v>0</v>
      </c>
      <c r="K109" s="55">
        <f t="shared" si="50"/>
        <v>0</v>
      </c>
      <c r="L109" s="55">
        <v>0.00186</v>
      </c>
      <c r="M109" s="55">
        <f t="shared" si="51"/>
        <v>0.009300000000000001</v>
      </c>
      <c r="N109" s="70" t="s">
        <v>646</v>
      </c>
      <c r="O109" s="18"/>
      <c r="Z109" s="55">
        <f t="shared" si="52"/>
        <v>0</v>
      </c>
      <c r="AB109" s="55">
        <f t="shared" si="53"/>
        <v>0</v>
      </c>
      <c r="AC109" s="55">
        <f t="shared" si="54"/>
        <v>0</v>
      </c>
      <c r="AD109" s="55">
        <f t="shared" si="55"/>
        <v>0</v>
      </c>
      <c r="AE109" s="55">
        <f t="shared" si="56"/>
        <v>0</v>
      </c>
      <c r="AF109" s="55">
        <f t="shared" si="57"/>
        <v>0</v>
      </c>
      <c r="AG109" s="55">
        <f t="shared" si="58"/>
        <v>0</v>
      </c>
      <c r="AH109" s="55">
        <f t="shared" si="59"/>
        <v>0</v>
      </c>
      <c r="AI109" s="50"/>
      <c r="AJ109" s="42">
        <f t="shared" si="60"/>
        <v>0</v>
      </c>
      <c r="AK109" s="42">
        <f t="shared" si="61"/>
        <v>0</v>
      </c>
      <c r="AL109" s="42">
        <f t="shared" si="62"/>
        <v>0</v>
      </c>
      <c r="AN109" s="55">
        <v>21</v>
      </c>
      <c r="AO109" s="55">
        <f>H109*0.449284009546539</f>
        <v>0</v>
      </c>
      <c r="AP109" s="55">
        <f>H109*(1-0.449284009546539)</f>
        <v>0</v>
      </c>
      <c r="AQ109" s="56" t="s">
        <v>80</v>
      </c>
      <c r="AV109" s="55">
        <f t="shared" si="65"/>
        <v>0</v>
      </c>
      <c r="AW109" s="55">
        <f t="shared" si="66"/>
        <v>0</v>
      </c>
      <c r="AX109" s="55">
        <f t="shared" si="67"/>
        <v>0</v>
      </c>
      <c r="AY109" s="58" t="s">
        <v>664</v>
      </c>
      <c r="AZ109" s="58" t="s">
        <v>684</v>
      </c>
      <c r="BA109" s="50" t="s">
        <v>690</v>
      </c>
      <c r="BC109" s="55">
        <f t="shared" si="68"/>
        <v>0</v>
      </c>
      <c r="BD109" s="55">
        <f t="shared" si="69"/>
        <v>0</v>
      </c>
      <c r="BE109" s="55">
        <v>0</v>
      </c>
      <c r="BF109" s="55">
        <f t="shared" si="70"/>
        <v>0.009300000000000001</v>
      </c>
      <c r="BH109" s="42">
        <f t="shared" si="71"/>
        <v>0</v>
      </c>
      <c r="BI109" s="42">
        <f t="shared" si="72"/>
        <v>0</v>
      </c>
      <c r="BJ109" s="42">
        <f t="shared" si="73"/>
        <v>0</v>
      </c>
      <c r="BK109" s="42" t="s">
        <v>695</v>
      </c>
      <c r="BL109" s="55">
        <v>725</v>
      </c>
    </row>
    <row r="110" spans="1:64" ht="12.75">
      <c r="A110" s="69" t="s">
        <v>140</v>
      </c>
      <c r="B110" s="17"/>
      <c r="C110" s="17" t="s">
        <v>288</v>
      </c>
      <c r="D110" s="113" t="s">
        <v>476</v>
      </c>
      <c r="E110" s="174"/>
      <c r="F110" s="17" t="s">
        <v>627</v>
      </c>
      <c r="G110" s="55">
        <v>5</v>
      </c>
      <c r="H110" s="92"/>
      <c r="I110" s="55">
        <f t="shared" si="48"/>
        <v>0</v>
      </c>
      <c r="J110" s="55">
        <f t="shared" si="49"/>
        <v>0</v>
      </c>
      <c r="K110" s="55">
        <f t="shared" si="50"/>
        <v>0</v>
      </c>
      <c r="L110" s="55">
        <v>0.0177</v>
      </c>
      <c r="M110" s="55">
        <f t="shared" si="51"/>
        <v>0.0885</v>
      </c>
      <c r="N110" s="70" t="s">
        <v>646</v>
      </c>
      <c r="O110" s="18"/>
      <c r="Z110" s="55">
        <f t="shared" si="52"/>
        <v>0</v>
      </c>
      <c r="AB110" s="55">
        <f t="shared" si="53"/>
        <v>0</v>
      </c>
      <c r="AC110" s="55">
        <f t="shared" si="54"/>
        <v>0</v>
      </c>
      <c r="AD110" s="55">
        <f t="shared" si="55"/>
        <v>0</v>
      </c>
      <c r="AE110" s="55">
        <f t="shared" si="56"/>
        <v>0</v>
      </c>
      <c r="AF110" s="55">
        <f t="shared" si="57"/>
        <v>0</v>
      </c>
      <c r="AG110" s="55">
        <f t="shared" si="58"/>
        <v>0</v>
      </c>
      <c r="AH110" s="55">
        <f t="shared" si="59"/>
        <v>0</v>
      </c>
      <c r="AI110" s="50"/>
      <c r="AJ110" s="42">
        <f t="shared" si="60"/>
        <v>0</v>
      </c>
      <c r="AK110" s="42">
        <f t="shared" si="61"/>
        <v>0</v>
      </c>
      <c r="AL110" s="42">
        <f t="shared" si="62"/>
        <v>0</v>
      </c>
      <c r="AN110" s="55">
        <v>21</v>
      </c>
      <c r="AO110" s="55">
        <f>H110*0.881725997842503</f>
        <v>0</v>
      </c>
      <c r="AP110" s="55">
        <f>H110*(1-0.881725997842503)</f>
        <v>0</v>
      </c>
      <c r="AQ110" s="56" t="s">
        <v>80</v>
      </c>
      <c r="AV110" s="55">
        <f t="shared" si="65"/>
        <v>0</v>
      </c>
      <c r="AW110" s="55">
        <f t="shared" si="66"/>
        <v>0</v>
      </c>
      <c r="AX110" s="55">
        <f t="shared" si="67"/>
        <v>0</v>
      </c>
      <c r="AY110" s="58" t="s">
        <v>664</v>
      </c>
      <c r="AZ110" s="58" t="s">
        <v>684</v>
      </c>
      <c r="BA110" s="50" t="s">
        <v>690</v>
      </c>
      <c r="BC110" s="55">
        <f t="shared" si="68"/>
        <v>0</v>
      </c>
      <c r="BD110" s="55">
        <f t="shared" si="69"/>
        <v>0</v>
      </c>
      <c r="BE110" s="55">
        <v>0</v>
      </c>
      <c r="BF110" s="55">
        <f t="shared" si="70"/>
        <v>0.0885</v>
      </c>
      <c r="BH110" s="42">
        <f t="shared" si="71"/>
        <v>0</v>
      </c>
      <c r="BI110" s="42">
        <f t="shared" si="72"/>
        <v>0</v>
      </c>
      <c r="BJ110" s="42">
        <f t="shared" si="73"/>
        <v>0</v>
      </c>
      <c r="BK110" s="42" t="s">
        <v>695</v>
      </c>
      <c r="BL110" s="55">
        <v>725</v>
      </c>
    </row>
    <row r="111" spans="1:64" ht="12.75">
      <c r="A111" s="69" t="s">
        <v>141</v>
      </c>
      <c r="B111" s="17"/>
      <c r="C111" s="17" t="s">
        <v>289</v>
      </c>
      <c r="D111" s="113" t="s">
        <v>477</v>
      </c>
      <c r="E111" s="179"/>
      <c r="F111" s="17" t="s">
        <v>623</v>
      </c>
      <c r="G111" s="55">
        <v>1</v>
      </c>
      <c r="H111" s="92"/>
      <c r="I111" s="55">
        <f t="shared" si="48"/>
        <v>0</v>
      </c>
      <c r="J111" s="55">
        <f t="shared" si="49"/>
        <v>0</v>
      </c>
      <c r="K111" s="55">
        <f t="shared" si="50"/>
        <v>0</v>
      </c>
      <c r="L111" s="55">
        <v>0.011</v>
      </c>
      <c r="M111" s="55">
        <f t="shared" si="51"/>
        <v>0.011</v>
      </c>
      <c r="N111" s="70" t="s">
        <v>646</v>
      </c>
      <c r="O111" s="18"/>
      <c r="Z111" s="55">
        <f t="shared" si="52"/>
        <v>0</v>
      </c>
      <c r="AB111" s="55">
        <f t="shared" si="53"/>
        <v>0</v>
      </c>
      <c r="AC111" s="55">
        <f t="shared" si="54"/>
        <v>0</v>
      </c>
      <c r="AD111" s="55">
        <f t="shared" si="55"/>
        <v>0</v>
      </c>
      <c r="AE111" s="55">
        <f t="shared" si="56"/>
        <v>0</v>
      </c>
      <c r="AF111" s="55">
        <f t="shared" si="57"/>
        <v>0</v>
      </c>
      <c r="AG111" s="55">
        <f t="shared" si="58"/>
        <v>0</v>
      </c>
      <c r="AH111" s="55">
        <f t="shared" si="59"/>
        <v>0</v>
      </c>
      <c r="AI111" s="50"/>
      <c r="AJ111" s="43">
        <f t="shared" si="60"/>
        <v>0</v>
      </c>
      <c r="AK111" s="43">
        <f t="shared" si="61"/>
        <v>0</v>
      </c>
      <c r="AL111" s="43">
        <f t="shared" si="62"/>
        <v>0</v>
      </c>
      <c r="AN111" s="55">
        <v>21</v>
      </c>
      <c r="AO111" s="55">
        <f>H111*1</f>
        <v>0</v>
      </c>
      <c r="AP111" s="55">
        <f>H111*(1-1)</f>
        <v>0</v>
      </c>
      <c r="AQ111" s="57" t="s">
        <v>80</v>
      </c>
      <c r="AV111" s="55">
        <f t="shared" si="65"/>
        <v>0</v>
      </c>
      <c r="AW111" s="55">
        <f t="shared" si="66"/>
        <v>0</v>
      </c>
      <c r="AX111" s="55">
        <f t="shared" si="67"/>
        <v>0</v>
      </c>
      <c r="AY111" s="58" t="s">
        <v>664</v>
      </c>
      <c r="AZ111" s="58" t="s">
        <v>684</v>
      </c>
      <c r="BA111" s="50" t="s">
        <v>690</v>
      </c>
      <c r="BC111" s="55">
        <f t="shared" si="68"/>
        <v>0</v>
      </c>
      <c r="BD111" s="55">
        <f t="shared" si="69"/>
        <v>0</v>
      </c>
      <c r="BE111" s="55">
        <v>0</v>
      </c>
      <c r="BF111" s="55">
        <f t="shared" si="70"/>
        <v>0.011</v>
      </c>
      <c r="BH111" s="43">
        <f t="shared" si="71"/>
        <v>0</v>
      </c>
      <c r="BI111" s="43">
        <f t="shared" si="72"/>
        <v>0</v>
      </c>
      <c r="BJ111" s="43">
        <f t="shared" si="73"/>
        <v>0</v>
      </c>
      <c r="BK111" s="43" t="s">
        <v>696</v>
      </c>
      <c r="BL111" s="55">
        <v>725</v>
      </c>
    </row>
    <row r="112" spans="1:64" ht="12.75">
      <c r="A112" s="69" t="s">
        <v>142</v>
      </c>
      <c r="B112" s="17"/>
      <c r="C112" s="17" t="s">
        <v>290</v>
      </c>
      <c r="D112" s="113" t="s">
        <v>478</v>
      </c>
      <c r="E112" s="179"/>
      <c r="F112" s="17" t="s">
        <v>623</v>
      </c>
      <c r="G112" s="55">
        <v>1</v>
      </c>
      <c r="H112" s="92"/>
      <c r="I112" s="55">
        <f t="shared" si="48"/>
        <v>0</v>
      </c>
      <c r="J112" s="55">
        <f t="shared" si="49"/>
        <v>0</v>
      </c>
      <c r="K112" s="55">
        <f t="shared" si="50"/>
        <v>0</v>
      </c>
      <c r="L112" s="55">
        <v>0.015</v>
      </c>
      <c r="M112" s="55">
        <f t="shared" si="51"/>
        <v>0.015</v>
      </c>
      <c r="N112" s="70" t="s">
        <v>646</v>
      </c>
      <c r="O112" s="18"/>
      <c r="Z112" s="55">
        <f t="shared" si="52"/>
        <v>0</v>
      </c>
      <c r="AB112" s="55">
        <f t="shared" si="53"/>
        <v>0</v>
      </c>
      <c r="AC112" s="55">
        <f t="shared" si="54"/>
        <v>0</v>
      </c>
      <c r="AD112" s="55">
        <f t="shared" si="55"/>
        <v>0</v>
      </c>
      <c r="AE112" s="55">
        <f t="shared" si="56"/>
        <v>0</v>
      </c>
      <c r="AF112" s="55">
        <f t="shared" si="57"/>
        <v>0</v>
      </c>
      <c r="AG112" s="55">
        <f t="shared" si="58"/>
        <v>0</v>
      </c>
      <c r="AH112" s="55">
        <f t="shared" si="59"/>
        <v>0</v>
      </c>
      <c r="AI112" s="50"/>
      <c r="AJ112" s="43">
        <f t="shared" si="60"/>
        <v>0</v>
      </c>
      <c r="AK112" s="43">
        <f t="shared" si="61"/>
        <v>0</v>
      </c>
      <c r="AL112" s="43">
        <f t="shared" si="62"/>
        <v>0</v>
      </c>
      <c r="AN112" s="55">
        <v>21</v>
      </c>
      <c r="AO112" s="55">
        <f>H112*1</f>
        <v>0</v>
      </c>
      <c r="AP112" s="55">
        <f>H112*(1-1)</f>
        <v>0</v>
      </c>
      <c r="AQ112" s="57" t="s">
        <v>80</v>
      </c>
      <c r="AV112" s="55">
        <f t="shared" si="65"/>
        <v>0</v>
      </c>
      <c r="AW112" s="55">
        <f t="shared" si="66"/>
        <v>0</v>
      </c>
      <c r="AX112" s="55">
        <f t="shared" si="67"/>
        <v>0</v>
      </c>
      <c r="AY112" s="58" t="s">
        <v>664</v>
      </c>
      <c r="AZ112" s="58" t="s">
        <v>684</v>
      </c>
      <c r="BA112" s="50" t="s">
        <v>690</v>
      </c>
      <c r="BC112" s="55">
        <f t="shared" si="68"/>
        <v>0</v>
      </c>
      <c r="BD112" s="55">
        <f t="shared" si="69"/>
        <v>0</v>
      </c>
      <c r="BE112" s="55">
        <v>0</v>
      </c>
      <c r="BF112" s="55">
        <f t="shared" si="70"/>
        <v>0.015</v>
      </c>
      <c r="BH112" s="43">
        <f t="shared" si="71"/>
        <v>0</v>
      </c>
      <c r="BI112" s="43">
        <f t="shared" si="72"/>
        <v>0</v>
      </c>
      <c r="BJ112" s="43">
        <f t="shared" si="73"/>
        <v>0</v>
      </c>
      <c r="BK112" s="43" t="s">
        <v>696</v>
      </c>
      <c r="BL112" s="55">
        <v>725</v>
      </c>
    </row>
    <row r="113" spans="1:64" ht="12.75">
      <c r="A113" s="69" t="s">
        <v>143</v>
      </c>
      <c r="B113" s="17"/>
      <c r="C113" s="17" t="s">
        <v>291</v>
      </c>
      <c r="D113" s="113" t="s">
        <v>479</v>
      </c>
      <c r="E113" s="174"/>
      <c r="F113" s="17" t="s">
        <v>627</v>
      </c>
      <c r="G113" s="55">
        <v>5</v>
      </c>
      <c r="H113" s="92"/>
      <c r="I113" s="55">
        <f t="shared" si="48"/>
        <v>0</v>
      </c>
      <c r="J113" s="55">
        <f t="shared" si="49"/>
        <v>0</v>
      </c>
      <c r="K113" s="55">
        <f t="shared" si="50"/>
        <v>0</v>
      </c>
      <c r="L113" s="55">
        <v>0</v>
      </c>
      <c r="M113" s="55">
        <f t="shared" si="51"/>
        <v>0</v>
      </c>
      <c r="N113" s="70" t="s">
        <v>646</v>
      </c>
      <c r="O113" s="18"/>
      <c r="Z113" s="55">
        <f t="shared" si="52"/>
        <v>0</v>
      </c>
      <c r="AB113" s="55">
        <f t="shared" si="53"/>
        <v>0</v>
      </c>
      <c r="AC113" s="55">
        <f t="shared" si="54"/>
        <v>0</v>
      </c>
      <c r="AD113" s="55">
        <f t="shared" si="55"/>
        <v>0</v>
      </c>
      <c r="AE113" s="55">
        <f t="shared" si="56"/>
        <v>0</v>
      </c>
      <c r="AF113" s="55">
        <f t="shared" si="57"/>
        <v>0</v>
      </c>
      <c r="AG113" s="55">
        <f t="shared" si="58"/>
        <v>0</v>
      </c>
      <c r="AH113" s="55">
        <f t="shared" si="59"/>
        <v>0</v>
      </c>
      <c r="AI113" s="50"/>
      <c r="AJ113" s="42">
        <f t="shared" si="60"/>
        <v>0</v>
      </c>
      <c r="AK113" s="42">
        <f t="shared" si="61"/>
        <v>0</v>
      </c>
      <c r="AL113" s="42">
        <f t="shared" si="62"/>
        <v>0</v>
      </c>
      <c r="AN113" s="55">
        <v>21</v>
      </c>
      <c r="AO113" s="55">
        <f>H113*0</f>
        <v>0</v>
      </c>
      <c r="AP113" s="55">
        <f>H113*(1-0)</f>
        <v>0</v>
      </c>
      <c r="AQ113" s="56" t="s">
        <v>80</v>
      </c>
      <c r="AV113" s="55">
        <f t="shared" si="65"/>
        <v>0</v>
      </c>
      <c r="AW113" s="55">
        <f t="shared" si="66"/>
        <v>0</v>
      </c>
      <c r="AX113" s="55">
        <f t="shared" si="67"/>
        <v>0</v>
      </c>
      <c r="AY113" s="58" t="s">
        <v>664</v>
      </c>
      <c r="AZ113" s="58" t="s">
        <v>684</v>
      </c>
      <c r="BA113" s="50" t="s">
        <v>690</v>
      </c>
      <c r="BC113" s="55">
        <f t="shared" si="68"/>
        <v>0</v>
      </c>
      <c r="BD113" s="55">
        <f t="shared" si="69"/>
        <v>0</v>
      </c>
      <c r="BE113" s="55">
        <v>0</v>
      </c>
      <c r="BF113" s="55">
        <f t="shared" si="70"/>
        <v>0</v>
      </c>
      <c r="BH113" s="42">
        <f t="shared" si="71"/>
        <v>0</v>
      </c>
      <c r="BI113" s="42">
        <f t="shared" si="72"/>
        <v>0</v>
      </c>
      <c r="BJ113" s="42">
        <f t="shared" si="73"/>
        <v>0</v>
      </c>
      <c r="BK113" s="42" t="s">
        <v>695</v>
      </c>
      <c r="BL113" s="55">
        <v>725</v>
      </c>
    </row>
    <row r="114" spans="1:64" ht="12.75">
      <c r="A114" s="69" t="s">
        <v>144</v>
      </c>
      <c r="B114" s="17"/>
      <c r="C114" s="17" t="s">
        <v>292</v>
      </c>
      <c r="D114" s="113" t="s">
        <v>480</v>
      </c>
      <c r="E114" s="174"/>
      <c r="F114" s="17" t="s">
        <v>627</v>
      </c>
      <c r="G114" s="55">
        <v>5</v>
      </c>
      <c r="H114" s="92"/>
      <c r="I114" s="55">
        <f t="shared" si="48"/>
        <v>0</v>
      </c>
      <c r="J114" s="55">
        <f t="shared" si="49"/>
        <v>0</v>
      </c>
      <c r="K114" s="55">
        <f t="shared" si="50"/>
        <v>0</v>
      </c>
      <c r="L114" s="55">
        <v>0.00701</v>
      </c>
      <c r="M114" s="55">
        <f t="shared" si="51"/>
        <v>0.03505</v>
      </c>
      <c r="N114" s="70" t="s">
        <v>646</v>
      </c>
      <c r="O114" s="18"/>
      <c r="Z114" s="55">
        <f t="shared" si="52"/>
        <v>0</v>
      </c>
      <c r="AB114" s="55">
        <f t="shared" si="53"/>
        <v>0</v>
      </c>
      <c r="AC114" s="55">
        <f t="shared" si="54"/>
        <v>0</v>
      </c>
      <c r="AD114" s="55">
        <f t="shared" si="55"/>
        <v>0</v>
      </c>
      <c r="AE114" s="55">
        <f t="shared" si="56"/>
        <v>0</v>
      </c>
      <c r="AF114" s="55">
        <f t="shared" si="57"/>
        <v>0</v>
      </c>
      <c r="AG114" s="55">
        <f t="shared" si="58"/>
        <v>0</v>
      </c>
      <c r="AH114" s="55">
        <f t="shared" si="59"/>
        <v>0</v>
      </c>
      <c r="AI114" s="50"/>
      <c r="AJ114" s="42">
        <f t="shared" si="60"/>
        <v>0</v>
      </c>
      <c r="AK114" s="42">
        <f t="shared" si="61"/>
        <v>0</v>
      </c>
      <c r="AL114" s="42">
        <f t="shared" si="62"/>
        <v>0</v>
      </c>
      <c r="AN114" s="55">
        <v>21</v>
      </c>
      <c r="AO114" s="55">
        <f>H114*0.871818666666667</f>
        <v>0</v>
      </c>
      <c r="AP114" s="55">
        <f>H114*(1-0.871818666666667)</f>
        <v>0</v>
      </c>
      <c r="AQ114" s="56" t="s">
        <v>80</v>
      </c>
      <c r="AV114" s="55">
        <f t="shared" si="65"/>
        <v>0</v>
      </c>
      <c r="AW114" s="55">
        <f t="shared" si="66"/>
        <v>0</v>
      </c>
      <c r="AX114" s="55">
        <f t="shared" si="67"/>
        <v>0</v>
      </c>
      <c r="AY114" s="58" t="s">
        <v>664</v>
      </c>
      <c r="AZ114" s="58" t="s">
        <v>684</v>
      </c>
      <c r="BA114" s="50" t="s">
        <v>690</v>
      </c>
      <c r="BC114" s="55">
        <f t="shared" si="68"/>
        <v>0</v>
      </c>
      <c r="BD114" s="55">
        <f t="shared" si="69"/>
        <v>0</v>
      </c>
      <c r="BE114" s="55">
        <v>0</v>
      </c>
      <c r="BF114" s="55">
        <f t="shared" si="70"/>
        <v>0.03505</v>
      </c>
      <c r="BH114" s="42">
        <f t="shared" si="71"/>
        <v>0</v>
      </c>
      <c r="BI114" s="42">
        <f t="shared" si="72"/>
        <v>0</v>
      </c>
      <c r="BJ114" s="42">
        <f t="shared" si="73"/>
        <v>0</v>
      </c>
      <c r="BK114" s="42" t="s">
        <v>695</v>
      </c>
      <c r="BL114" s="55">
        <v>725</v>
      </c>
    </row>
    <row r="115" spans="1:64" ht="12.75">
      <c r="A115" s="69" t="s">
        <v>145</v>
      </c>
      <c r="B115" s="17"/>
      <c r="C115" s="184" t="s">
        <v>698</v>
      </c>
      <c r="D115" s="184" t="s">
        <v>699</v>
      </c>
      <c r="E115" s="91"/>
      <c r="F115" s="17" t="s">
        <v>627</v>
      </c>
      <c r="G115" s="55">
        <v>3</v>
      </c>
      <c r="H115" s="92"/>
      <c r="I115" s="55">
        <f>G115*AO115</f>
        <v>0</v>
      </c>
      <c r="J115" s="55">
        <f>G115*AP115</f>
        <v>0</v>
      </c>
      <c r="K115" s="55">
        <f>G115*H115</f>
        <v>0</v>
      </c>
      <c r="L115" s="55">
        <v>0.00701</v>
      </c>
      <c r="M115" s="55">
        <f>G115*L115</f>
        <v>0.02103</v>
      </c>
      <c r="N115" s="70" t="s">
        <v>646</v>
      </c>
      <c r="O115" s="18"/>
      <c r="Z115" s="55">
        <f>IF(AQ115="5",BJ115,0)</f>
        <v>0</v>
      </c>
      <c r="AB115" s="55">
        <f>IF(AQ115="1",BH115,0)</f>
        <v>0</v>
      </c>
      <c r="AC115" s="55">
        <f>IF(AQ115="1",BI115,0)</f>
        <v>0</v>
      </c>
      <c r="AD115" s="55">
        <f>IF(AQ115="7",BH115,0)</f>
        <v>0</v>
      </c>
      <c r="AE115" s="55">
        <f>IF(AQ115="7",BI115,0)</f>
        <v>0</v>
      </c>
      <c r="AF115" s="55">
        <f>IF(AQ115="2",BH115,0)</f>
        <v>0</v>
      </c>
      <c r="AG115" s="55">
        <f>IF(AQ115="2",BI115,0)</f>
        <v>0</v>
      </c>
      <c r="AH115" s="55">
        <f>IF(AQ115="0",BJ115,0)</f>
        <v>0</v>
      </c>
      <c r="AI115" s="50"/>
      <c r="AJ115" s="42">
        <f>IF(AN115=0,K115,0)</f>
        <v>0</v>
      </c>
      <c r="AK115" s="42">
        <f>IF(AN115=15,K115,0)</f>
        <v>0</v>
      </c>
      <c r="AL115" s="42">
        <f>IF(AN115=21,K115,0)</f>
        <v>0</v>
      </c>
      <c r="AN115" s="55">
        <v>21</v>
      </c>
      <c r="AO115" s="55">
        <f>H115*0.871818666666667</f>
        <v>0</v>
      </c>
      <c r="AP115" s="55">
        <f>H115*(1-0.871818666666667)</f>
        <v>0</v>
      </c>
      <c r="AQ115" s="56" t="s">
        <v>80</v>
      </c>
      <c r="AV115" s="55">
        <f>AW115+AX115</f>
        <v>0</v>
      </c>
      <c r="AW115" s="55">
        <f>G115*AO115</f>
        <v>0</v>
      </c>
      <c r="AX115" s="55">
        <f>G115*AP115</f>
        <v>0</v>
      </c>
      <c r="AY115" s="58" t="s">
        <v>664</v>
      </c>
      <c r="AZ115" s="58" t="s">
        <v>684</v>
      </c>
      <c r="BA115" s="50" t="s">
        <v>690</v>
      </c>
      <c r="BC115" s="55">
        <f>AW115+AX115</f>
        <v>0</v>
      </c>
      <c r="BD115" s="55">
        <f>H115/(100-BE115)*100</f>
        <v>0</v>
      </c>
      <c r="BE115" s="55">
        <v>0</v>
      </c>
      <c r="BF115" s="55">
        <f>M115</f>
        <v>0.02103</v>
      </c>
      <c r="BH115" s="42">
        <f>G115*AO115</f>
        <v>0</v>
      </c>
      <c r="BI115" s="42">
        <f>G115*AP115</f>
        <v>0</v>
      </c>
      <c r="BJ115" s="42">
        <f>G115*H115</f>
        <v>0</v>
      </c>
      <c r="BK115" s="42" t="s">
        <v>695</v>
      </c>
      <c r="BL115" s="55">
        <v>725</v>
      </c>
    </row>
    <row r="116" spans="1:64" ht="12.75">
      <c r="A116" s="69" t="s">
        <v>146</v>
      </c>
      <c r="B116" s="17"/>
      <c r="C116" s="184" t="s">
        <v>700</v>
      </c>
      <c r="D116" s="184" t="s">
        <v>701</v>
      </c>
      <c r="E116" s="91"/>
      <c r="F116" s="17" t="s">
        <v>627</v>
      </c>
      <c r="G116" s="55">
        <v>3</v>
      </c>
      <c r="H116" s="92"/>
      <c r="I116" s="55">
        <f>G116*AO116</f>
        <v>0</v>
      </c>
      <c r="J116" s="55">
        <f>G116*AP116</f>
        <v>0</v>
      </c>
      <c r="K116" s="55">
        <f>G116*H116</f>
        <v>0</v>
      </c>
      <c r="L116" s="55">
        <v>0.00701</v>
      </c>
      <c r="M116" s="55">
        <f>G116*L116</f>
        <v>0.02103</v>
      </c>
      <c r="N116" s="70" t="s">
        <v>646</v>
      </c>
      <c r="O116" s="18"/>
      <c r="Z116" s="55">
        <f>IF(AQ116="5",BJ116,0)</f>
        <v>0</v>
      </c>
      <c r="AB116" s="55">
        <f>IF(AQ116="1",BH116,0)</f>
        <v>0</v>
      </c>
      <c r="AC116" s="55">
        <f>IF(AQ116="1",BI116,0)</f>
        <v>0</v>
      </c>
      <c r="AD116" s="55">
        <f>IF(AQ116="7",BH116,0)</f>
        <v>0</v>
      </c>
      <c r="AE116" s="55">
        <f>IF(AQ116="7",BI116,0)</f>
        <v>0</v>
      </c>
      <c r="AF116" s="55">
        <f>IF(AQ116="2",BH116,0)</f>
        <v>0</v>
      </c>
      <c r="AG116" s="55">
        <f>IF(AQ116="2",BI116,0)</f>
        <v>0</v>
      </c>
      <c r="AH116" s="55">
        <f>IF(AQ116="0",BJ116,0)</f>
        <v>0</v>
      </c>
      <c r="AI116" s="50"/>
      <c r="AJ116" s="42">
        <f>IF(AN116=0,K116,0)</f>
        <v>0</v>
      </c>
      <c r="AK116" s="42">
        <f>IF(AN116=15,K116,0)</f>
        <v>0</v>
      </c>
      <c r="AL116" s="42">
        <f>IF(AN116=21,K116,0)</f>
        <v>0</v>
      </c>
      <c r="AN116" s="55">
        <v>21</v>
      </c>
      <c r="AO116" s="55">
        <f>H116*0.871818666666667</f>
        <v>0</v>
      </c>
      <c r="AP116" s="55">
        <f>H116*(1-0.871818666666667)</f>
        <v>0</v>
      </c>
      <c r="AQ116" s="56" t="s">
        <v>80</v>
      </c>
      <c r="AV116" s="55">
        <f>AW116+AX116</f>
        <v>0</v>
      </c>
      <c r="AW116" s="55">
        <f>G116*AO116</f>
        <v>0</v>
      </c>
      <c r="AX116" s="55">
        <f>G116*AP116</f>
        <v>0</v>
      </c>
      <c r="AY116" s="58" t="s">
        <v>664</v>
      </c>
      <c r="AZ116" s="58" t="s">
        <v>684</v>
      </c>
      <c r="BA116" s="50" t="s">
        <v>690</v>
      </c>
      <c r="BC116" s="55">
        <f>AW116+AX116</f>
        <v>0</v>
      </c>
      <c r="BD116" s="55">
        <f>H116/(100-BE116)*100</f>
        <v>0</v>
      </c>
      <c r="BE116" s="55">
        <v>0</v>
      </c>
      <c r="BF116" s="55">
        <f>M116</f>
        <v>0.02103</v>
      </c>
      <c r="BH116" s="42">
        <f>G116*AO116</f>
        <v>0</v>
      </c>
      <c r="BI116" s="42">
        <f>G116*AP116</f>
        <v>0</v>
      </c>
      <c r="BJ116" s="42">
        <f>G116*H116</f>
        <v>0</v>
      </c>
      <c r="BK116" s="42" t="s">
        <v>695</v>
      </c>
      <c r="BL116" s="55">
        <v>725</v>
      </c>
    </row>
    <row r="117" spans="1:64" ht="12.75">
      <c r="A117" s="69" t="s">
        <v>147</v>
      </c>
      <c r="B117" s="17"/>
      <c r="C117" s="17" t="s">
        <v>293</v>
      </c>
      <c r="D117" s="113" t="s">
        <v>481</v>
      </c>
      <c r="E117" s="113"/>
      <c r="F117" s="17" t="s">
        <v>625</v>
      </c>
      <c r="G117" s="55">
        <v>0.30022</v>
      </c>
      <c r="H117" s="92"/>
      <c r="I117" s="55">
        <f t="shared" si="48"/>
        <v>0</v>
      </c>
      <c r="J117" s="55">
        <f t="shared" si="49"/>
        <v>0</v>
      </c>
      <c r="K117" s="55">
        <f t="shared" si="50"/>
        <v>0</v>
      </c>
      <c r="L117" s="55">
        <v>0</v>
      </c>
      <c r="M117" s="55">
        <f t="shared" si="51"/>
        <v>0</v>
      </c>
      <c r="N117" s="70" t="s">
        <v>646</v>
      </c>
      <c r="O117" s="18"/>
      <c r="Z117" s="55">
        <f t="shared" si="52"/>
        <v>0</v>
      </c>
      <c r="AB117" s="55">
        <f t="shared" si="53"/>
        <v>0</v>
      </c>
      <c r="AC117" s="55">
        <f t="shared" si="54"/>
        <v>0</v>
      </c>
      <c r="AD117" s="55">
        <f t="shared" si="55"/>
        <v>0</v>
      </c>
      <c r="AE117" s="55">
        <f t="shared" si="56"/>
        <v>0</v>
      </c>
      <c r="AF117" s="55">
        <f t="shared" si="57"/>
        <v>0</v>
      </c>
      <c r="AG117" s="55">
        <f t="shared" si="58"/>
        <v>0</v>
      </c>
      <c r="AH117" s="55">
        <f t="shared" si="59"/>
        <v>0</v>
      </c>
      <c r="AI117" s="50"/>
      <c r="AJ117" s="42">
        <f t="shared" si="60"/>
        <v>0</v>
      </c>
      <c r="AK117" s="42">
        <f t="shared" si="61"/>
        <v>0</v>
      </c>
      <c r="AL117" s="42">
        <f t="shared" si="62"/>
        <v>0</v>
      </c>
      <c r="AN117" s="55">
        <v>21</v>
      </c>
      <c r="AO117" s="55">
        <f>H117*0</f>
        <v>0</v>
      </c>
      <c r="AP117" s="55">
        <f>H117*(1-0)</f>
        <v>0</v>
      </c>
      <c r="AQ117" s="56" t="s">
        <v>78</v>
      </c>
      <c r="AV117" s="55">
        <f t="shared" si="65"/>
        <v>0</v>
      </c>
      <c r="AW117" s="55">
        <f t="shared" si="66"/>
        <v>0</v>
      </c>
      <c r="AX117" s="55">
        <f t="shared" si="67"/>
        <v>0</v>
      </c>
      <c r="AY117" s="58" t="s">
        <v>664</v>
      </c>
      <c r="AZ117" s="58" t="s">
        <v>684</v>
      </c>
      <c r="BA117" s="50" t="s">
        <v>690</v>
      </c>
      <c r="BC117" s="55">
        <f t="shared" si="68"/>
        <v>0</v>
      </c>
      <c r="BD117" s="55">
        <f t="shared" si="69"/>
        <v>0</v>
      </c>
      <c r="BE117" s="55">
        <v>0</v>
      </c>
      <c r="BF117" s="55">
        <f t="shared" si="70"/>
        <v>0</v>
      </c>
      <c r="BH117" s="42">
        <f t="shared" si="71"/>
        <v>0</v>
      </c>
      <c r="BI117" s="42">
        <f t="shared" si="72"/>
        <v>0</v>
      </c>
      <c r="BJ117" s="42">
        <f t="shared" si="73"/>
        <v>0</v>
      </c>
      <c r="BK117" s="42" t="s">
        <v>695</v>
      </c>
      <c r="BL117" s="55">
        <v>725</v>
      </c>
    </row>
    <row r="118" spans="1:64" ht="12.75">
      <c r="A118" s="69" t="s">
        <v>148</v>
      </c>
      <c r="B118" s="17"/>
      <c r="C118" s="17" t="s">
        <v>294</v>
      </c>
      <c r="D118" s="113" t="s">
        <v>482</v>
      </c>
      <c r="E118" s="174"/>
      <c r="F118" s="17" t="s">
        <v>625</v>
      </c>
      <c r="G118" s="55">
        <v>0.2675</v>
      </c>
      <c r="H118" s="92"/>
      <c r="I118" s="55">
        <f t="shared" si="48"/>
        <v>0</v>
      </c>
      <c r="J118" s="55">
        <f t="shared" si="49"/>
        <v>0</v>
      </c>
      <c r="K118" s="55">
        <f t="shared" si="50"/>
        <v>0</v>
      </c>
      <c r="L118" s="55">
        <v>0</v>
      </c>
      <c r="M118" s="55">
        <f t="shared" si="51"/>
        <v>0</v>
      </c>
      <c r="N118" s="70" t="s">
        <v>646</v>
      </c>
      <c r="O118" s="18"/>
      <c r="Z118" s="55">
        <f t="shared" si="52"/>
        <v>0</v>
      </c>
      <c r="AB118" s="55">
        <f t="shared" si="53"/>
        <v>0</v>
      </c>
      <c r="AC118" s="55">
        <f t="shared" si="54"/>
        <v>0</v>
      </c>
      <c r="AD118" s="55">
        <f t="shared" si="55"/>
        <v>0</v>
      </c>
      <c r="AE118" s="55">
        <f t="shared" si="56"/>
        <v>0</v>
      </c>
      <c r="AF118" s="55">
        <f t="shared" si="57"/>
        <v>0</v>
      </c>
      <c r="AG118" s="55">
        <f t="shared" si="58"/>
        <v>0</v>
      </c>
      <c r="AH118" s="55">
        <f t="shared" si="59"/>
        <v>0</v>
      </c>
      <c r="AI118" s="50"/>
      <c r="AJ118" s="42">
        <f t="shared" si="60"/>
        <v>0</v>
      </c>
      <c r="AK118" s="42">
        <f t="shared" si="61"/>
        <v>0</v>
      </c>
      <c r="AL118" s="42">
        <f t="shared" si="62"/>
        <v>0</v>
      </c>
      <c r="AN118" s="55">
        <v>21</v>
      </c>
      <c r="AO118" s="55">
        <f>H118*0</f>
        <v>0</v>
      </c>
      <c r="AP118" s="55">
        <f>H118*(1-0)</f>
        <v>0</v>
      </c>
      <c r="AQ118" s="56" t="s">
        <v>80</v>
      </c>
      <c r="AV118" s="55">
        <f t="shared" si="65"/>
        <v>0</v>
      </c>
      <c r="AW118" s="55">
        <f t="shared" si="66"/>
        <v>0</v>
      </c>
      <c r="AX118" s="55">
        <f t="shared" si="67"/>
        <v>0</v>
      </c>
      <c r="AY118" s="58" t="s">
        <v>664</v>
      </c>
      <c r="AZ118" s="58" t="s">
        <v>684</v>
      </c>
      <c r="BA118" s="50" t="s">
        <v>690</v>
      </c>
      <c r="BC118" s="55">
        <f t="shared" si="68"/>
        <v>0</v>
      </c>
      <c r="BD118" s="55">
        <f t="shared" si="69"/>
        <v>0</v>
      </c>
      <c r="BE118" s="55">
        <v>0</v>
      </c>
      <c r="BF118" s="55">
        <f t="shared" si="70"/>
        <v>0</v>
      </c>
      <c r="BH118" s="42">
        <f t="shared" si="71"/>
        <v>0</v>
      </c>
      <c r="BI118" s="42">
        <f t="shared" si="72"/>
        <v>0</v>
      </c>
      <c r="BJ118" s="42">
        <f t="shared" si="73"/>
        <v>0</v>
      </c>
      <c r="BK118" s="42" t="s">
        <v>695</v>
      </c>
      <c r="BL118" s="55">
        <v>725</v>
      </c>
    </row>
    <row r="119" spans="1:47" ht="12.75">
      <c r="A119" s="63"/>
      <c r="B119" s="64"/>
      <c r="C119" s="64" t="s">
        <v>295</v>
      </c>
      <c r="D119" s="172" t="s">
        <v>483</v>
      </c>
      <c r="E119" s="173"/>
      <c r="F119" s="65" t="s">
        <v>73</v>
      </c>
      <c r="G119" s="65" t="s">
        <v>73</v>
      </c>
      <c r="H119" s="65" t="s">
        <v>73</v>
      </c>
      <c r="I119" s="66">
        <f>SUM(I120:I132)</f>
        <v>0</v>
      </c>
      <c r="J119" s="66">
        <f>SUM(J120:J132)</f>
        <v>0</v>
      </c>
      <c r="K119" s="66">
        <f>SUM(K120:K132)</f>
        <v>0</v>
      </c>
      <c r="L119" s="67"/>
      <c r="M119" s="66">
        <f>SUM(M120:M132)</f>
        <v>0.0015</v>
      </c>
      <c r="N119" s="68"/>
      <c r="O119" s="18"/>
      <c r="AI119" s="50"/>
      <c r="AS119" s="61">
        <f>SUM(AJ120:AJ132)</f>
        <v>0</v>
      </c>
      <c r="AT119" s="61">
        <f>SUM(AK120:AK132)</f>
        <v>0</v>
      </c>
      <c r="AU119" s="61">
        <f>SUM(AL120:AL132)</f>
        <v>0</v>
      </c>
    </row>
    <row r="120" spans="1:64" ht="12.75">
      <c r="A120" s="69" t="s">
        <v>149</v>
      </c>
      <c r="B120" s="17"/>
      <c r="C120" s="17" t="s">
        <v>296</v>
      </c>
      <c r="D120" s="113" t="s">
        <v>484</v>
      </c>
      <c r="E120" s="174"/>
      <c r="F120" s="17" t="s">
        <v>621</v>
      </c>
      <c r="G120" s="55">
        <v>5.4</v>
      </c>
      <c r="H120" s="92"/>
      <c r="I120" s="55">
        <f>G120*AO120</f>
        <v>0</v>
      </c>
      <c r="J120" s="55">
        <f>G120*AP120</f>
        <v>0</v>
      </c>
      <c r="K120" s="55">
        <f>G120*H120</f>
        <v>0</v>
      </c>
      <c r="L120" s="55">
        <v>0</v>
      </c>
      <c r="M120" s="55">
        <f>G120*L120</f>
        <v>0</v>
      </c>
      <c r="N120" s="70" t="s">
        <v>646</v>
      </c>
      <c r="O120" s="18"/>
      <c r="Z120" s="55">
        <f>IF(AQ120="5",BJ120,0)</f>
        <v>0</v>
      </c>
      <c r="AB120" s="55">
        <f>IF(AQ120="1",BH120,0)</f>
        <v>0</v>
      </c>
      <c r="AC120" s="55">
        <f>IF(AQ120="1",BI120,0)</f>
        <v>0</v>
      </c>
      <c r="AD120" s="55">
        <f>IF(AQ120="7",BH120,0)</f>
        <v>0</v>
      </c>
      <c r="AE120" s="55">
        <f>IF(AQ120="7",BI120,0)</f>
        <v>0</v>
      </c>
      <c r="AF120" s="55">
        <f>IF(AQ120="2",BH120,0)</f>
        <v>0</v>
      </c>
      <c r="AG120" s="55">
        <f>IF(AQ120="2",BI120,0)</f>
        <v>0</v>
      </c>
      <c r="AH120" s="55">
        <f>IF(AQ120="0",BJ120,0)</f>
        <v>0</v>
      </c>
      <c r="AI120" s="50"/>
      <c r="AJ120" s="42">
        <f>IF(AN120=0,K120,0)</f>
        <v>0</v>
      </c>
      <c r="AK120" s="42">
        <f>IF(AN120=15,K120,0)</f>
        <v>0</v>
      </c>
      <c r="AL120" s="42">
        <f>IF(AN120=21,K120,0)</f>
        <v>0</v>
      </c>
      <c r="AN120" s="55">
        <v>21</v>
      </c>
      <c r="AO120" s="55">
        <f>H120*0</f>
        <v>0</v>
      </c>
      <c r="AP120" s="55">
        <f>H120*(1-0)</f>
        <v>0</v>
      </c>
      <c r="AQ120" s="56" t="s">
        <v>80</v>
      </c>
      <c r="AV120" s="55">
        <f>AW120+AX120</f>
        <v>0</v>
      </c>
      <c r="AW120" s="55">
        <f>G120*AO120</f>
        <v>0</v>
      </c>
      <c r="AX120" s="55">
        <f>G120*AP120</f>
        <v>0</v>
      </c>
      <c r="AY120" s="58" t="s">
        <v>665</v>
      </c>
      <c r="AZ120" s="58" t="s">
        <v>684</v>
      </c>
      <c r="BA120" s="50" t="s">
        <v>690</v>
      </c>
      <c r="BC120" s="55">
        <f>AW120+AX120</f>
        <v>0</v>
      </c>
      <c r="BD120" s="55">
        <f>H120/(100-BE120)*100</f>
        <v>0</v>
      </c>
      <c r="BE120" s="55">
        <v>0</v>
      </c>
      <c r="BF120" s="55">
        <f>M120</f>
        <v>0</v>
      </c>
      <c r="BH120" s="42">
        <f>G120*AO120</f>
        <v>0</v>
      </c>
      <c r="BI120" s="42">
        <f>G120*AP120</f>
        <v>0</v>
      </c>
      <c r="BJ120" s="42">
        <f>G120*H120</f>
        <v>0</v>
      </c>
      <c r="BK120" s="42" t="s">
        <v>695</v>
      </c>
      <c r="BL120" s="55">
        <v>728</v>
      </c>
    </row>
    <row r="121" spans="1:15" ht="12.75">
      <c r="A121" s="18"/>
      <c r="B121" s="71"/>
      <c r="C121" s="71"/>
      <c r="D121" s="72" t="s">
        <v>485</v>
      </c>
      <c r="E121" s="72"/>
      <c r="F121" s="71"/>
      <c r="G121" s="73">
        <v>5.4</v>
      </c>
      <c r="H121" s="71"/>
      <c r="I121" s="71"/>
      <c r="J121" s="71"/>
      <c r="K121" s="71"/>
      <c r="L121" s="71"/>
      <c r="M121" s="71"/>
      <c r="N121" s="16"/>
      <c r="O121" s="18"/>
    </row>
    <row r="122" spans="1:64" ht="12.75">
      <c r="A122" s="69" t="s">
        <v>150</v>
      </c>
      <c r="B122" s="17"/>
      <c r="C122" s="17" t="s">
        <v>297</v>
      </c>
      <c r="D122" s="113" t="s">
        <v>486</v>
      </c>
      <c r="E122" s="174"/>
      <c r="F122" s="17" t="s">
        <v>623</v>
      </c>
      <c r="G122" s="55">
        <v>3</v>
      </c>
      <c r="H122" s="92"/>
      <c r="I122" s="55">
        <f aca="true" t="shared" si="74" ref="I122:I132">G122*AO122</f>
        <v>0</v>
      </c>
      <c r="J122" s="55">
        <f aca="true" t="shared" si="75" ref="J122:J132">G122*AP122</f>
        <v>0</v>
      </c>
      <c r="K122" s="55">
        <f aca="true" t="shared" si="76" ref="K122:K132">G122*H122</f>
        <v>0</v>
      </c>
      <c r="L122" s="55">
        <v>0</v>
      </c>
      <c r="M122" s="55">
        <f aca="true" t="shared" si="77" ref="M122:M132">G122*L122</f>
        <v>0</v>
      </c>
      <c r="N122" s="70" t="s">
        <v>646</v>
      </c>
      <c r="O122" s="18"/>
      <c r="Z122" s="55">
        <f aca="true" t="shared" si="78" ref="Z122:Z132">IF(AQ122="5",BJ122,0)</f>
        <v>0</v>
      </c>
      <c r="AB122" s="55">
        <f aca="true" t="shared" si="79" ref="AB122:AB132">IF(AQ122="1",BH122,0)</f>
        <v>0</v>
      </c>
      <c r="AC122" s="55">
        <f aca="true" t="shared" si="80" ref="AC122:AC132">IF(AQ122="1",BI122,0)</f>
        <v>0</v>
      </c>
      <c r="AD122" s="55">
        <f aca="true" t="shared" si="81" ref="AD122:AD132">IF(AQ122="7",BH122,0)</f>
        <v>0</v>
      </c>
      <c r="AE122" s="55">
        <f aca="true" t="shared" si="82" ref="AE122:AE132">IF(AQ122="7",BI122,0)</f>
        <v>0</v>
      </c>
      <c r="AF122" s="55">
        <f aca="true" t="shared" si="83" ref="AF122:AF132">IF(AQ122="2",BH122,0)</f>
        <v>0</v>
      </c>
      <c r="AG122" s="55">
        <f aca="true" t="shared" si="84" ref="AG122:AG132">IF(AQ122="2",BI122,0)</f>
        <v>0</v>
      </c>
      <c r="AH122" s="55">
        <f aca="true" t="shared" si="85" ref="AH122:AH132">IF(AQ122="0",BJ122,0)</f>
        <v>0</v>
      </c>
      <c r="AI122" s="50"/>
      <c r="AJ122" s="42">
        <f aca="true" t="shared" si="86" ref="AJ122:AJ132">IF(AN122=0,K122,0)</f>
        <v>0</v>
      </c>
      <c r="AK122" s="42">
        <f aca="true" t="shared" si="87" ref="AK122:AK132">IF(AN122=15,K122,0)</f>
        <v>0</v>
      </c>
      <c r="AL122" s="42">
        <f aca="true" t="shared" si="88" ref="AL122:AL132">IF(AN122=21,K122,0)</f>
        <v>0</v>
      </c>
      <c r="AN122" s="55">
        <v>21</v>
      </c>
      <c r="AO122" s="55">
        <f>H122*0</f>
        <v>0</v>
      </c>
      <c r="AP122" s="55">
        <f>H122*(1-0)</f>
        <v>0</v>
      </c>
      <c r="AQ122" s="56" t="s">
        <v>80</v>
      </c>
      <c r="AV122" s="55">
        <f aca="true" t="shared" si="89" ref="AV122:AV132">AW122+AX122</f>
        <v>0</v>
      </c>
      <c r="AW122" s="55">
        <f aca="true" t="shared" si="90" ref="AW122:AW132">G122*AO122</f>
        <v>0</v>
      </c>
      <c r="AX122" s="55">
        <f aca="true" t="shared" si="91" ref="AX122:AX132">G122*AP122</f>
        <v>0</v>
      </c>
      <c r="AY122" s="58" t="s">
        <v>665</v>
      </c>
      <c r="AZ122" s="58" t="s">
        <v>684</v>
      </c>
      <c r="BA122" s="50" t="s">
        <v>690</v>
      </c>
      <c r="BC122" s="55">
        <f aca="true" t="shared" si="92" ref="BC122:BC132">AW122+AX122</f>
        <v>0</v>
      </c>
      <c r="BD122" s="55">
        <f aca="true" t="shared" si="93" ref="BD122:BD132">H122/(100-BE122)*100</f>
        <v>0</v>
      </c>
      <c r="BE122" s="55">
        <v>0</v>
      </c>
      <c r="BF122" s="55">
        <f aca="true" t="shared" si="94" ref="BF122:BF132">M122</f>
        <v>0</v>
      </c>
      <c r="BH122" s="42">
        <f aca="true" t="shared" si="95" ref="BH122:BH132">G122*AO122</f>
        <v>0</v>
      </c>
      <c r="BI122" s="42">
        <f aca="true" t="shared" si="96" ref="BI122:BI132">G122*AP122</f>
        <v>0</v>
      </c>
      <c r="BJ122" s="42">
        <f aca="true" t="shared" si="97" ref="BJ122:BJ132">G122*H122</f>
        <v>0</v>
      </c>
      <c r="BK122" s="42" t="s">
        <v>695</v>
      </c>
      <c r="BL122" s="55">
        <v>728</v>
      </c>
    </row>
    <row r="123" spans="1:64" ht="12.75">
      <c r="A123" s="69" t="s">
        <v>151</v>
      </c>
      <c r="B123" s="17"/>
      <c r="C123" s="17" t="s">
        <v>298</v>
      </c>
      <c r="D123" s="113" t="s">
        <v>487</v>
      </c>
      <c r="E123" s="174"/>
      <c r="F123" s="17" t="s">
        <v>623</v>
      </c>
      <c r="G123" s="55">
        <v>5</v>
      </c>
      <c r="H123" s="92"/>
      <c r="I123" s="55">
        <f t="shared" si="74"/>
        <v>0</v>
      </c>
      <c r="J123" s="55">
        <f t="shared" si="75"/>
        <v>0</v>
      </c>
      <c r="K123" s="55">
        <f t="shared" si="76"/>
        <v>0</v>
      </c>
      <c r="L123" s="55">
        <v>0</v>
      </c>
      <c r="M123" s="55">
        <f t="shared" si="77"/>
        <v>0</v>
      </c>
      <c r="N123" s="70" t="s">
        <v>646</v>
      </c>
      <c r="O123" s="18"/>
      <c r="Z123" s="55">
        <f t="shared" si="78"/>
        <v>0</v>
      </c>
      <c r="AB123" s="55">
        <f t="shared" si="79"/>
        <v>0</v>
      </c>
      <c r="AC123" s="55">
        <f t="shared" si="80"/>
        <v>0</v>
      </c>
      <c r="AD123" s="55">
        <f t="shared" si="81"/>
        <v>0</v>
      </c>
      <c r="AE123" s="55">
        <f t="shared" si="82"/>
        <v>0</v>
      </c>
      <c r="AF123" s="55">
        <f t="shared" si="83"/>
        <v>0</v>
      </c>
      <c r="AG123" s="55">
        <f t="shared" si="84"/>
        <v>0</v>
      </c>
      <c r="AH123" s="55">
        <f t="shared" si="85"/>
        <v>0</v>
      </c>
      <c r="AI123" s="50"/>
      <c r="AJ123" s="42">
        <f t="shared" si="86"/>
        <v>0</v>
      </c>
      <c r="AK123" s="42">
        <f t="shared" si="87"/>
        <v>0</v>
      </c>
      <c r="AL123" s="42">
        <f t="shared" si="88"/>
        <v>0</v>
      </c>
      <c r="AN123" s="55">
        <v>21</v>
      </c>
      <c r="AO123" s="55">
        <f>H123*0</f>
        <v>0</v>
      </c>
      <c r="AP123" s="55">
        <f>H123*(1-0)</f>
        <v>0</v>
      </c>
      <c r="AQ123" s="56" t="s">
        <v>80</v>
      </c>
      <c r="AV123" s="55">
        <f t="shared" si="89"/>
        <v>0</v>
      </c>
      <c r="AW123" s="55">
        <f t="shared" si="90"/>
        <v>0</v>
      </c>
      <c r="AX123" s="55">
        <f t="shared" si="91"/>
        <v>0</v>
      </c>
      <c r="AY123" s="58" t="s">
        <v>665</v>
      </c>
      <c r="AZ123" s="58" t="s">
        <v>684</v>
      </c>
      <c r="BA123" s="50" t="s">
        <v>690</v>
      </c>
      <c r="BC123" s="55">
        <f t="shared" si="92"/>
        <v>0</v>
      </c>
      <c r="BD123" s="55">
        <f t="shared" si="93"/>
        <v>0</v>
      </c>
      <c r="BE123" s="55">
        <v>0</v>
      </c>
      <c r="BF123" s="55">
        <f t="shared" si="94"/>
        <v>0</v>
      </c>
      <c r="BH123" s="42">
        <f t="shared" si="95"/>
        <v>0</v>
      </c>
      <c r="BI123" s="42">
        <f t="shared" si="96"/>
        <v>0</v>
      </c>
      <c r="BJ123" s="42">
        <f t="shared" si="97"/>
        <v>0</v>
      </c>
      <c r="BK123" s="42" t="s">
        <v>695</v>
      </c>
      <c r="BL123" s="55">
        <v>728</v>
      </c>
    </row>
    <row r="124" spans="1:64" ht="12.75">
      <c r="A124" s="69" t="s">
        <v>152</v>
      </c>
      <c r="B124" s="17"/>
      <c r="C124" s="17" t="s">
        <v>299</v>
      </c>
      <c r="D124" s="113" t="s">
        <v>488</v>
      </c>
      <c r="E124" s="179"/>
      <c r="F124" s="17" t="s">
        <v>623</v>
      </c>
      <c r="G124" s="55">
        <v>6</v>
      </c>
      <c r="H124" s="92"/>
      <c r="I124" s="55">
        <f t="shared" si="74"/>
        <v>0</v>
      </c>
      <c r="J124" s="55">
        <f t="shared" si="75"/>
        <v>0</v>
      </c>
      <c r="K124" s="55">
        <f t="shared" si="76"/>
        <v>0</v>
      </c>
      <c r="L124" s="55">
        <v>0</v>
      </c>
      <c r="M124" s="55">
        <f t="shared" si="77"/>
        <v>0</v>
      </c>
      <c r="N124" s="70" t="s">
        <v>646</v>
      </c>
      <c r="O124" s="18"/>
      <c r="Z124" s="55">
        <f t="shared" si="78"/>
        <v>0</v>
      </c>
      <c r="AB124" s="55">
        <f t="shared" si="79"/>
        <v>0</v>
      </c>
      <c r="AC124" s="55">
        <f t="shared" si="80"/>
        <v>0</v>
      </c>
      <c r="AD124" s="55">
        <f t="shared" si="81"/>
        <v>0</v>
      </c>
      <c r="AE124" s="55">
        <f t="shared" si="82"/>
        <v>0</v>
      </c>
      <c r="AF124" s="55">
        <f t="shared" si="83"/>
        <v>0</v>
      </c>
      <c r="AG124" s="55">
        <f t="shared" si="84"/>
        <v>0</v>
      </c>
      <c r="AH124" s="55">
        <f t="shared" si="85"/>
        <v>0</v>
      </c>
      <c r="AI124" s="50"/>
      <c r="AJ124" s="43">
        <f t="shared" si="86"/>
        <v>0</v>
      </c>
      <c r="AK124" s="43">
        <f t="shared" si="87"/>
        <v>0</v>
      </c>
      <c r="AL124" s="43">
        <f t="shared" si="88"/>
        <v>0</v>
      </c>
      <c r="AN124" s="55">
        <v>21</v>
      </c>
      <c r="AO124" s="55">
        <f>H124*1</f>
        <v>0</v>
      </c>
      <c r="AP124" s="55">
        <f>H124*(1-1)</f>
        <v>0</v>
      </c>
      <c r="AQ124" s="57" t="s">
        <v>80</v>
      </c>
      <c r="AV124" s="55">
        <f t="shared" si="89"/>
        <v>0</v>
      </c>
      <c r="AW124" s="55">
        <f t="shared" si="90"/>
        <v>0</v>
      </c>
      <c r="AX124" s="55">
        <f t="shared" si="91"/>
        <v>0</v>
      </c>
      <c r="AY124" s="58" t="s">
        <v>665</v>
      </c>
      <c r="AZ124" s="58" t="s">
        <v>684</v>
      </c>
      <c r="BA124" s="50" t="s">
        <v>690</v>
      </c>
      <c r="BC124" s="55">
        <f t="shared" si="92"/>
        <v>0</v>
      </c>
      <c r="BD124" s="55">
        <f t="shared" si="93"/>
        <v>0</v>
      </c>
      <c r="BE124" s="55">
        <v>0</v>
      </c>
      <c r="BF124" s="55">
        <f t="shared" si="94"/>
        <v>0</v>
      </c>
      <c r="BH124" s="43">
        <f t="shared" si="95"/>
        <v>0</v>
      </c>
      <c r="BI124" s="43">
        <f t="shared" si="96"/>
        <v>0</v>
      </c>
      <c r="BJ124" s="43">
        <f t="shared" si="97"/>
        <v>0</v>
      </c>
      <c r="BK124" s="43" t="s">
        <v>696</v>
      </c>
      <c r="BL124" s="55">
        <v>728</v>
      </c>
    </row>
    <row r="125" spans="1:64" ht="12.75">
      <c r="A125" s="69" t="s">
        <v>153</v>
      </c>
      <c r="B125" s="17"/>
      <c r="C125" s="17" t="s">
        <v>300</v>
      </c>
      <c r="D125" s="113" t="s">
        <v>489</v>
      </c>
      <c r="E125" s="179"/>
      <c r="F125" s="17" t="s">
        <v>623</v>
      </c>
      <c r="G125" s="55">
        <v>3</v>
      </c>
      <c r="H125" s="92"/>
      <c r="I125" s="55">
        <f t="shared" si="74"/>
        <v>0</v>
      </c>
      <c r="J125" s="55">
        <f t="shared" si="75"/>
        <v>0</v>
      </c>
      <c r="K125" s="55">
        <f t="shared" si="76"/>
        <v>0</v>
      </c>
      <c r="L125" s="55">
        <v>0</v>
      </c>
      <c r="M125" s="55">
        <f t="shared" si="77"/>
        <v>0</v>
      </c>
      <c r="N125" s="70" t="s">
        <v>646</v>
      </c>
      <c r="O125" s="18"/>
      <c r="Z125" s="55">
        <f t="shared" si="78"/>
        <v>0</v>
      </c>
      <c r="AB125" s="55">
        <f t="shared" si="79"/>
        <v>0</v>
      </c>
      <c r="AC125" s="55">
        <f t="shared" si="80"/>
        <v>0</v>
      </c>
      <c r="AD125" s="55">
        <f t="shared" si="81"/>
        <v>0</v>
      </c>
      <c r="AE125" s="55">
        <f t="shared" si="82"/>
        <v>0</v>
      </c>
      <c r="AF125" s="55">
        <f t="shared" si="83"/>
        <v>0</v>
      </c>
      <c r="AG125" s="55">
        <f t="shared" si="84"/>
        <v>0</v>
      </c>
      <c r="AH125" s="55">
        <f t="shared" si="85"/>
        <v>0</v>
      </c>
      <c r="AI125" s="50"/>
      <c r="AJ125" s="43">
        <f t="shared" si="86"/>
        <v>0</v>
      </c>
      <c r="AK125" s="43">
        <f t="shared" si="87"/>
        <v>0</v>
      </c>
      <c r="AL125" s="43">
        <f t="shared" si="88"/>
        <v>0</v>
      </c>
      <c r="AN125" s="55">
        <v>21</v>
      </c>
      <c r="AO125" s="55">
        <f>H125*1</f>
        <v>0</v>
      </c>
      <c r="AP125" s="55">
        <f>H125*(1-1)</f>
        <v>0</v>
      </c>
      <c r="AQ125" s="57" t="s">
        <v>80</v>
      </c>
      <c r="AV125" s="55">
        <f t="shared" si="89"/>
        <v>0</v>
      </c>
      <c r="AW125" s="55">
        <f t="shared" si="90"/>
        <v>0</v>
      </c>
      <c r="AX125" s="55">
        <f t="shared" si="91"/>
        <v>0</v>
      </c>
      <c r="AY125" s="58" t="s">
        <v>665</v>
      </c>
      <c r="AZ125" s="58" t="s">
        <v>684</v>
      </c>
      <c r="BA125" s="50" t="s">
        <v>690</v>
      </c>
      <c r="BC125" s="55">
        <f t="shared" si="92"/>
        <v>0</v>
      </c>
      <c r="BD125" s="55">
        <f t="shared" si="93"/>
        <v>0</v>
      </c>
      <c r="BE125" s="55">
        <v>0</v>
      </c>
      <c r="BF125" s="55">
        <f t="shared" si="94"/>
        <v>0</v>
      </c>
      <c r="BH125" s="43">
        <f t="shared" si="95"/>
        <v>0</v>
      </c>
      <c r="BI125" s="43">
        <f t="shared" si="96"/>
        <v>0</v>
      </c>
      <c r="BJ125" s="43">
        <f t="shared" si="97"/>
        <v>0</v>
      </c>
      <c r="BK125" s="43" t="s">
        <v>696</v>
      </c>
      <c r="BL125" s="55">
        <v>728</v>
      </c>
    </row>
    <row r="126" spans="1:64" ht="12.75">
      <c r="A126" s="69" t="s">
        <v>154</v>
      </c>
      <c r="B126" s="17"/>
      <c r="C126" s="17" t="s">
        <v>301</v>
      </c>
      <c r="D126" s="113" t="s">
        <v>490</v>
      </c>
      <c r="E126" s="179"/>
      <c r="F126" s="17" t="s">
        <v>623</v>
      </c>
      <c r="G126" s="55">
        <v>5</v>
      </c>
      <c r="H126" s="92"/>
      <c r="I126" s="55">
        <f t="shared" si="74"/>
        <v>0</v>
      </c>
      <c r="J126" s="55">
        <f t="shared" si="75"/>
        <v>0</v>
      </c>
      <c r="K126" s="55">
        <f t="shared" si="76"/>
        <v>0</v>
      </c>
      <c r="L126" s="55">
        <v>0</v>
      </c>
      <c r="M126" s="55">
        <f t="shared" si="77"/>
        <v>0</v>
      </c>
      <c r="N126" s="70" t="s">
        <v>646</v>
      </c>
      <c r="O126" s="18"/>
      <c r="Z126" s="55">
        <f t="shared" si="78"/>
        <v>0</v>
      </c>
      <c r="AB126" s="55">
        <f t="shared" si="79"/>
        <v>0</v>
      </c>
      <c r="AC126" s="55">
        <f t="shared" si="80"/>
        <v>0</v>
      </c>
      <c r="AD126" s="55">
        <f t="shared" si="81"/>
        <v>0</v>
      </c>
      <c r="AE126" s="55">
        <f t="shared" si="82"/>
        <v>0</v>
      </c>
      <c r="AF126" s="55">
        <f t="shared" si="83"/>
        <v>0</v>
      </c>
      <c r="AG126" s="55">
        <f t="shared" si="84"/>
        <v>0</v>
      </c>
      <c r="AH126" s="55">
        <f t="shared" si="85"/>
        <v>0</v>
      </c>
      <c r="AI126" s="50"/>
      <c r="AJ126" s="43">
        <f t="shared" si="86"/>
        <v>0</v>
      </c>
      <c r="AK126" s="43">
        <f t="shared" si="87"/>
        <v>0</v>
      </c>
      <c r="AL126" s="43">
        <f t="shared" si="88"/>
        <v>0</v>
      </c>
      <c r="AN126" s="55">
        <v>21</v>
      </c>
      <c r="AO126" s="55">
        <f>H126*1</f>
        <v>0</v>
      </c>
      <c r="AP126" s="55">
        <f>H126*(1-1)</f>
        <v>0</v>
      </c>
      <c r="AQ126" s="57" t="s">
        <v>80</v>
      </c>
      <c r="AV126" s="55">
        <f t="shared" si="89"/>
        <v>0</v>
      </c>
      <c r="AW126" s="55">
        <f t="shared" si="90"/>
        <v>0</v>
      </c>
      <c r="AX126" s="55">
        <f t="shared" si="91"/>
        <v>0</v>
      </c>
      <c r="AY126" s="58" t="s">
        <v>665</v>
      </c>
      <c r="AZ126" s="58" t="s">
        <v>684</v>
      </c>
      <c r="BA126" s="50" t="s">
        <v>690</v>
      </c>
      <c r="BC126" s="55">
        <f t="shared" si="92"/>
        <v>0</v>
      </c>
      <c r="BD126" s="55">
        <f t="shared" si="93"/>
        <v>0</v>
      </c>
      <c r="BE126" s="55">
        <v>0</v>
      </c>
      <c r="BF126" s="55">
        <f t="shared" si="94"/>
        <v>0</v>
      </c>
      <c r="BH126" s="43">
        <f t="shared" si="95"/>
        <v>0</v>
      </c>
      <c r="BI126" s="43">
        <f t="shared" si="96"/>
        <v>0</v>
      </c>
      <c r="BJ126" s="43">
        <f t="shared" si="97"/>
        <v>0</v>
      </c>
      <c r="BK126" s="43" t="s">
        <v>696</v>
      </c>
      <c r="BL126" s="55">
        <v>728</v>
      </c>
    </row>
    <row r="127" spans="1:64" ht="12.75">
      <c r="A127" s="69" t="s">
        <v>155</v>
      </c>
      <c r="B127" s="17"/>
      <c r="C127" s="17" t="s">
        <v>302</v>
      </c>
      <c r="D127" s="113" t="s">
        <v>491</v>
      </c>
      <c r="E127" s="179"/>
      <c r="F127" s="17" t="s">
        <v>623</v>
      </c>
      <c r="G127" s="55">
        <v>5</v>
      </c>
      <c r="H127" s="92"/>
      <c r="I127" s="55">
        <f t="shared" si="74"/>
        <v>0</v>
      </c>
      <c r="J127" s="55">
        <f t="shared" si="75"/>
        <v>0</v>
      </c>
      <c r="K127" s="55">
        <f t="shared" si="76"/>
        <v>0</v>
      </c>
      <c r="L127" s="55">
        <v>0</v>
      </c>
      <c r="M127" s="55">
        <f t="shared" si="77"/>
        <v>0</v>
      </c>
      <c r="N127" s="70" t="s">
        <v>646</v>
      </c>
      <c r="O127" s="18"/>
      <c r="Z127" s="55">
        <f t="shared" si="78"/>
        <v>0</v>
      </c>
      <c r="AB127" s="55">
        <f t="shared" si="79"/>
        <v>0</v>
      </c>
      <c r="AC127" s="55">
        <f t="shared" si="80"/>
        <v>0</v>
      </c>
      <c r="AD127" s="55">
        <f t="shared" si="81"/>
        <v>0</v>
      </c>
      <c r="AE127" s="55">
        <f t="shared" si="82"/>
        <v>0</v>
      </c>
      <c r="AF127" s="55">
        <f t="shared" si="83"/>
        <v>0</v>
      </c>
      <c r="AG127" s="55">
        <f t="shared" si="84"/>
        <v>0</v>
      </c>
      <c r="AH127" s="55">
        <f t="shared" si="85"/>
        <v>0</v>
      </c>
      <c r="AI127" s="50"/>
      <c r="AJ127" s="43">
        <f t="shared" si="86"/>
        <v>0</v>
      </c>
      <c r="AK127" s="43">
        <f t="shared" si="87"/>
        <v>0</v>
      </c>
      <c r="AL127" s="43">
        <f t="shared" si="88"/>
        <v>0</v>
      </c>
      <c r="AN127" s="55">
        <v>21</v>
      </c>
      <c r="AO127" s="55">
        <f>H127*1</f>
        <v>0</v>
      </c>
      <c r="AP127" s="55">
        <f>H127*(1-1)</f>
        <v>0</v>
      </c>
      <c r="AQ127" s="57" t="s">
        <v>80</v>
      </c>
      <c r="AV127" s="55">
        <f t="shared" si="89"/>
        <v>0</v>
      </c>
      <c r="AW127" s="55">
        <f t="shared" si="90"/>
        <v>0</v>
      </c>
      <c r="AX127" s="55">
        <f t="shared" si="91"/>
        <v>0</v>
      </c>
      <c r="AY127" s="58" t="s">
        <v>665</v>
      </c>
      <c r="AZ127" s="58" t="s">
        <v>684</v>
      </c>
      <c r="BA127" s="50" t="s">
        <v>690</v>
      </c>
      <c r="BC127" s="55">
        <f t="shared" si="92"/>
        <v>0</v>
      </c>
      <c r="BD127" s="55">
        <f t="shared" si="93"/>
        <v>0</v>
      </c>
      <c r="BE127" s="55">
        <v>0</v>
      </c>
      <c r="BF127" s="55">
        <f t="shared" si="94"/>
        <v>0</v>
      </c>
      <c r="BH127" s="43">
        <f t="shared" si="95"/>
        <v>0</v>
      </c>
      <c r="BI127" s="43">
        <f t="shared" si="96"/>
        <v>0</v>
      </c>
      <c r="BJ127" s="43">
        <f t="shared" si="97"/>
        <v>0</v>
      </c>
      <c r="BK127" s="43" t="s">
        <v>696</v>
      </c>
      <c r="BL127" s="55">
        <v>728</v>
      </c>
    </row>
    <row r="128" spans="1:64" ht="12.75">
      <c r="A128" s="69" t="s">
        <v>156</v>
      </c>
      <c r="B128" s="17"/>
      <c r="C128" s="17" t="s">
        <v>303</v>
      </c>
      <c r="D128" s="113" t="s">
        <v>492</v>
      </c>
      <c r="E128" s="174"/>
      <c r="F128" s="17" t="s">
        <v>628</v>
      </c>
      <c r="G128" s="55">
        <v>1</v>
      </c>
      <c r="H128" s="92"/>
      <c r="I128" s="55">
        <f t="shared" si="74"/>
        <v>0</v>
      </c>
      <c r="J128" s="55">
        <f t="shared" si="75"/>
        <v>0</v>
      </c>
      <c r="K128" s="55">
        <f t="shared" si="76"/>
        <v>0</v>
      </c>
      <c r="L128" s="55">
        <v>0</v>
      </c>
      <c r="M128" s="55">
        <f t="shared" si="77"/>
        <v>0</v>
      </c>
      <c r="N128" s="70" t="s">
        <v>303</v>
      </c>
      <c r="O128" s="18"/>
      <c r="Z128" s="55">
        <f t="shared" si="78"/>
        <v>0</v>
      </c>
      <c r="AB128" s="55">
        <f t="shared" si="79"/>
        <v>0</v>
      </c>
      <c r="AC128" s="55">
        <f t="shared" si="80"/>
        <v>0</v>
      </c>
      <c r="AD128" s="55">
        <f t="shared" si="81"/>
        <v>0</v>
      </c>
      <c r="AE128" s="55">
        <f t="shared" si="82"/>
        <v>0</v>
      </c>
      <c r="AF128" s="55">
        <f t="shared" si="83"/>
        <v>0</v>
      </c>
      <c r="AG128" s="55">
        <f t="shared" si="84"/>
        <v>0</v>
      </c>
      <c r="AH128" s="55">
        <f t="shared" si="85"/>
        <v>0</v>
      </c>
      <c r="AI128" s="50"/>
      <c r="AJ128" s="42">
        <f t="shared" si="86"/>
        <v>0</v>
      </c>
      <c r="AK128" s="42">
        <f t="shared" si="87"/>
        <v>0</v>
      </c>
      <c r="AL128" s="42">
        <f t="shared" si="88"/>
        <v>0</v>
      </c>
      <c r="AN128" s="55">
        <v>21</v>
      </c>
      <c r="AO128" s="55">
        <f>H128*0</f>
        <v>0</v>
      </c>
      <c r="AP128" s="55">
        <f>H128*(1-0)</f>
        <v>0</v>
      </c>
      <c r="AQ128" s="56" t="s">
        <v>80</v>
      </c>
      <c r="AV128" s="55">
        <f t="shared" si="89"/>
        <v>0</v>
      </c>
      <c r="AW128" s="55">
        <f t="shared" si="90"/>
        <v>0</v>
      </c>
      <c r="AX128" s="55">
        <f t="shared" si="91"/>
        <v>0</v>
      </c>
      <c r="AY128" s="58" t="s">
        <v>665</v>
      </c>
      <c r="AZ128" s="58" t="s">
        <v>684</v>
      </c>
      <c r="BA128" s="50" t="s">
        <v>690</v>
      </c>
      <c r="BC128" s="55">
        <f t="shared" si="92"/>
        <v>0</v>
      </c>
      <c r="BD128" s="55">
        <f t="shared" si="93"/>
        <v>0</v>
      </c>
      <c r="BE128" s="55">
        <v>0</v>
      </c>
      <c r="BF128" s="55">
        <f t="shared" si="94"/>
        <v>0</v>
      </c>
      <c r="BH128" s="42">
        <f t="shared" si="95"/>
        <v>0</v>
      </c>
      <c r="BI128" s="42">
        <f t="shared" si="96"/>
        <v>0</v>
      </c>
      <c r="BJ128" s="42">
        <f t="shared" si="97"/>
        <v>0</v>
      </c>
      <c r="BK128" s="42" t="s">
        <v>695</v>
      </c>
      <c r="BL128" s="55">
        <v>728</v>
      </c>
    </row>
    <row r="129" spans="1:64" ht="12.75">
      <c r="A129" s="69" t="s">
        <v>157</v>
      </c>
      <c r="B129" s="17"/>
      <c r="C129" s="17" t="s">
        <v>303</v>
      </c>
      <c r="D129" s="113" t="s">
        <v>493</v>
      </c>
      <c r="E129" s="174"/>
      <c r="F129" s="17" t="s">
        <v>629</v>
      </c>
      <c r="G129" s="55">
        <v>1</v>
      </c>
      <c r="H129" s="92"/>
      <c r="I129" s="55">
        <f t="shared" si="74"/>
        <v>0</v>
      </c>
      <c r="J129" s="55">
        <f t="shared" si="75"/>
        <v>0</v>
      </c>
      <c r="K129" s="55">
        <f t="shared" si="76"/>
        <v>0</v>
      </c>
      <c r="L129" s="55">
        <v>0</v>
      </c>
      <c r="M129" s="55">
        <f t="shared" si="77"/>
        <v>0</v>
      </c>
      <c r="N129" s="70" t="s">
        <v>303</v>
      </c>
      <c r="O129" s="18"/>
      <c r="Z129" s="55">
        <f t="shared" si="78"/>
        <v>0</v>
      </c>
      <c r="AB129" s="55">
        <f t="shared" si="79"/>
        <v>0</v>
      </c>
      <c r="AC129" s="55">
        <f t="shared" si="80"/>
        <v>0</v>
      </c>
      <c r="AD129" s="55">
        <f t="shared" si="81"/>
        <v>0</v>
      </c>
      <c r="AE129" s="55">
        <f t="shared" si="82"/>
        <v>0</v>
      </c>
      <c r="AF129" s="55">
        <f t="shared" si="83"/>
        <v>0</v>
      </c>
      <c r="AG129" s="55">
        <f t="shared" si="84"/>
        <v>0</v>
      </c>
      <c r="AH129" s="55">
        <f t="shared" si="85"/>
        <v>0</v>
      </c>
      <c r="AI129" s="50"/>
      <c r="AJ129" s="42">
        <f t="shared" si="86"/>
        <v>0</v>
      </c>
      <c r="AK129" s="42">
        <f t="shared" si="87"/>
        <v>0</v>
      </c>
      <c r="AL129" s="42">
        <f t="shared" si="88"/>
        <v>0</v>
      </c>
      <c r="AN129" s="55">
        <v>21</v>
      </c>
      <c r="AO129" s="55">
        <f>H129*0</f>
        <v>0</v>
      </c>
      <c r="AP129" s="55">
        <f>H129*(1-0)</f>
        <v>0</v>
      </c>
      <c r="AQ129" s="56" t="s">
        <v>80</v>
      </c>
      <c r="AV129" s="55">
        <f t="shared" si="89"/>
        <v>0</v>
      </c>
      <c r="AW129" s="55">
        <f t="shared" si="90"/>
        <v>0</v>
      </c>
      <c r="AX129" s="55">
        <f t="shared" si="91"/>
        <v>0</v>
      </c>
      <c r="AY129" s="58" t="s">
        <v>665</v>
      </c>
      <c r="AZ129" s="58" t="s">
        <v>684</v>
      </c>
      <c r="BA129" s="50" t="s">
        <v>690</v>
      </c>
      <c r="BC129" s="55">
        <f t="shared" si="92"/>
        <v>0</v>
      </c>
      <c r="BD129" s="55">
        <f t="shared" si="93"/>
        <v>0</v>
      </c>
      <c r="BE129" s="55">
        <v>0</v>
      </c>
      <c r="BF129" s="55">
        <f t="shared" si="94"/>
        <v>0</v>
      </c>
      <c r="BH129" s="42">
        <f t="shared" si="95"/>
        <v>0</v>
      </c>
      <c r="BI129" s="42">
        <f t="shared" si="96"/>
        <v>0</v>
      </c>
      <c r="BJ129" s="42">
        <f t="shared" si="97"/>
        <v>0</v>
      </c>
      <c r="BK129" s="42" t="s">
        <v>695</v>
      </c>
      <c r="BL129" s="55">
        <v>728</v>
      </c>
    </row>
    <row r="130" spans="1:64" ht="12.75">
      <c r="A130" s="69" t="s">
        <v>158</v>
      </c>
      <c r="B130" s="17"/>
      <c r="C130" s="17" t="s">
        <v>304</v>
      </c>
      <c r="D130" s="113" t="s">
        <v>494</v>
      </c>
      <c r="E130" s="174"/>
      <c r="F130" s="17" t="s">
        <v>623</v>
      </c>
      <c r="G130" s="55">
        <v>2</v>
      </c>
      <c r="H130" s="92"/>
      <c r="I130" s="55">
        <f t="shared" si="74"/>
        <v>0</v>
      </c>
      <c r="J130" s="55">
        <f t="shared" si="75"/>
        <v>0</v>
      </c>
      <c r="K130" s="55">
        <f t="shared" si="76"/>
        <v>0</v>
      </c>
      <c r="L130" s="55">
        <v>0</v>
      </c>
      <c r="M130" s="55">
        <f t="shared" si="77"/>
        <v>0</v>
      </c>
      <c r="N130" s="70" t="s">
        <v>646</v>
      </c>
      <c r="O130" s="18"/>
      <c r="Z130" s="55">
        <f t="shared" si="78"/>
        <v>0</v>
      </c>
      <c r="AB130" s="55">
        <f t="shared" si="79"/>
        <v>0</v>
      </c>
      <c r="AC130" s="55">
        <f t="shared" si="80"/>
        <v>0</v>
      </c>
      <c r="AD130" s="55">
        <f t="shared" si="81"/>
        <v>0</v>
      </c>
      <c r="AE130" s="55">
        <f t="shared" si="82"/>
        <v>0</v>
      </c>
      <c r="AF130" s="55">
        <f t="shared" si="83"/>
        <v>0</v>
      </c>
      <c r="AG130" s="55">
        <f t="shared" si="84"/>
        <v>0</v>
      </c>
      <c r="AH130" s="55">
        <f t="shared" si="85"/>
        <v>0</v>
      </c>
      <c r="AI130" s="50"/>
      <c r="AJ130" s="42">
        <f t="shared" si="86"/>
        <v>0</v>
      </c>
      <c r="AK130" s="42">
        <f t="shared" si="87"/>
        <v>0</v>
      </c>
      <c r="AL130" s="42">
        <f t="shared" si="88"/>
        <v>0</v>
      </c>
      <c r="AN130" s="55">
        <v>21</v>
      </c>
      <c r="AO130" s="55">
        <f>H130*0</f>
        <v>0</v>
      </c>
      <c r="AP130" s="55">
        <f>H130*(1-0)</f>
        <v>0</v>
      </c>
      <c r="AQ130" s="56" t="s">
        <v>80</v>
      </c>
      <c r="AV130" s="55">
        <f t="shared" si="89"/>
        <v>0</v>
      </c>
      <c r="AW130" s="55">
        <f t="shared" si="90"/>
        <v>0</v>
      </c>
      <c r="AX130" s="55">
        <f t="shared" si="91"/>
        <v>0</v>
      </c>
      <c r="AY130" s="58" t="s">
        <v>665</v>
      </c>
      <c r="AZ130" s="58" t="s">
        <v>684</v>
      </c>
      <c r="BA130" s="50" t="s">
        <v>690</v>
      </c>
      <c r="BC130" s="55">
        <f t="shared" si="92"/>
        <v>0</v>
      </c>
      <c r="BD130" s="55">
        <f t="shared" si="93"/>
        <v>0</v>
      </c>
      <c r="BE130" s="55">
        <v>0</v>
      </c>
      <c r="BF130" s="55">
        <f t="shared" si="94"/>
        <v>0</v>
      </c>
      <c r="BH130" s="42">
        <f t="shared" si="95"/>
        <v>0</v>
      </c>
      <c r="BI130" s="42">
        <f t="shared" si="96"/>
        <v>0</v>
      </c>
      <c r="BJ130" s="42">
        <f t="shared" si="97"/>
        <v>0</v>
      </c>
      <c r="BK130" s="42" t="s">
        <v>695</v>
      </c>
      <c r="BL130" s="55">
        <v>728</v>
      </c>
    </row>
    <row r="131" spans="1:64" ht="12.75">
      <c r="A131" s="69" t="s">
        <v>159</v>
      </c>
      <c r="B131" s="17"/>
      <c r="C131" s="17" t="s">
        <v>305</v>
      </c>
      <c r="D131" s="113" t="s">
        <v>495</v>
      </c>
      <c r="E131" s="179"/>
      <c r="F131" s="17" t="s">
        <v>623</v>
      </c>
      <c r="G131" s="55">
        <v>2</v>
      </c>
      <c r="H131" s="92"/>
      <c r="I131" s="55">
        <f t="shared" si="74"/>
        <v>0</v>
      </c>
      <c r="J131" s="55">
        <f t="shared" si="75"/>
        <v>0</v>
      </c>
      <c r="K131" s="55">
        <f t="shared" si="76"/>
        <v>0</v>
      </c>
      <c r="L131" s="55">
        <v>0.00075</v>
      </c>
      <c r="M131" s="55">
        <f t="shared" si="77"/>
        <v>0.0015</v>
      </c>
      <c r="N131" s="70" t="s">
        <v>646</v>
      </c>
      <c r="O131" s="18"/>
      <c r="Z131" s="55">
        <f t="shared" si="78"/>
        <v>0</v>
      </c>
      <c r="AB131" s="55">
        <f t="shared" si="79"/>
        <v>0</v>
      </c>
      <c r="AC131" s="55">
        <f t="shared" si="80"/>
        <v>0</v>
      </c>
      <c r="AD131" s="55">
        <f t="shared" si="81"/>
        <v>0</v>
      </c>
      <c r="AE131" s="55">
        <f t="shared" si="82"/>
        <v>0</v>
      </c>
      <c r="AF131" s="55">
        <f t="shared" si="83"/>
        <v>0</v>
      </c>
      <c r="AG131" s="55">
        <f t="shared" si="84"/>
        <v>0</v>
      </c>
      <c r="AH131" s="55">
        <f t="shared" si="85"/>
        <v>0</v>
      </c>
      <c r="AI131" s="50"/>
      <c r="AJ131" s="43">
        <f t="shared" si="86"/>
        <v>0</v>
      </c>
      <c r="AK131" s="43">
        <f t="shared" si="87"/>
        <v>0</v>
      </c>
      <c r="AL131" s="43">
        <f t="shared" si="88"/>
        <v>0</v>
      </c>
      <c r="AN131" s="55">
        <v>21</v>
      </c>
      <c r="AO131" s="55">
        <f>H131*1</f>
        <v>0</v>
      </c>
      <c r="AP131" s="55">
        <f>H131*(1-1)</f>
        <v>0</v>
      </c>
      <c r="AQ131" s="57" t="s">
        <v>80</v>
      </c>
      <c r="AV131" s="55">
        <f t="shared" si="89"/>
        <v>0</v>
      </c>
      <c r="AW131" s="55">
        <f t="shared" si="90"/>
        <v>0</v>
      </c>
      <c r="AX131" s="55">
        <f t="shared" si="91"/>
        <v>0</v>
      </c>
      <c r="AY131" s="58" t="s">
        <v>665</v>
      </c>
      <c r="AZ131" s="58" t="s">
        <v>684</v>
      </c>
      <c r="BA131" s="50" t="s">
        <v>690</v>
      </c>
      <c r="BC131" s="55">
        <f t="shared" si="92"/>
        <v>0</v>
      </c>
      <c r="BD131" s="55">
        <f t="shared" si="93"/>
        <v>0</v>
      </c>
      <c r="BE131" s="55">
        <v>0</v>
      </c>
      <c r="BF131" s="55">
        <f t="shared" si="94"/>
        <v>0.0015</v>
      </c>
      <c r="BH131" s="43">
        <f t="shared" si="95"/>
        <v>0</v>
      </c>
      <c r="BI131" s="43">
        <f t="shared" si="96"/>
        <v>0</v>
      </c>
      <c r="BJ131" s="43">
        <f t="shared" si="97"/>
        <v>0</v>
      </c>
      <c r="BK131" s="43" t="s">
        <v>696</v>
      </c>
      <c r="BL131" s="55">
        <v>728</v>
      </c>
    </row>
    <row r="132" spans="1:64" ht="12.75">
      <c r="A132" s="69" t="s">
        <v>160</v>
      </c>
      <c r="B132" s="17"/>
      <c r="C132" s="17" t="s">
        <v>306</v>
      </c>
      <c r="D132" s="113" t="s">
        <v>496</v>
      </c>
      <c r="E132" s="174"/>
      <c r="F132" s="17" t="s">
        <v>625</v>
      </c>
      <c r="G132" s="55">
        <v>0.0015</v>
      </c>
      <c r="H132" s="92"/>
      <c r="I132" s="55">
        <f t="shared" si="74"/>
        <v>0</v>
      </c>
      <c r="J132" s="55">
        <f t="shared" si="75"/>
        <v>0</v>
      </c>
      <c r="K132" s="55">
        <f t="shared" si="76"/>
        <v>0</v>
      </c>
      <c r="L132" s="55">
        <v>0</v>
      </c>
      <c r="M132" s="55">
        <f t="shared" si="77"/>
        <v>0</v>
      </c>
      <c r="N132" s="70" t="s">
        <v>646</v>
      </c>
      <c r="O132" s="18"/>
      <c r="Z132" s="55">
        <f t="shared" si="78"/>
        <v>0</v>
      </c>
      <c r="AB132" s="55">
        <f t="shared" si="79"/>
        <v>0</v>
      </c>
      <c r="AC132" s="55">
        <f t="shared" si="80"/>
        <v>0</v>
      </c>
      <c r="AD132" s="55">
        <f t="shared" si="81"/>
        <v>0</v>
      </c>
      <c r="AE132" s="55">
        <f t="shared" si="82"/>
        <v>0</v>
      </c>
      <c r="AF132" s="55">
        <f t="shared" si="83"/>
        <v>0</v>
      </c>
      <c r="AG132" s="55">
        <f t="shared" si="84"/>
        <v>0</v>
      </c>
      <c r="AH132" s="55">
        <f t="shared" si="85"/>
        <v>0</v>
      </c>
      <c r="AI132" s="50"/>
      <c r="AJ132" s="42">
        <f t="shared" si="86"/>
        <v>0</v>
      </c>
      <c r="AK132" s="42">
        <f t="shared" si="87"/>
        <v>0</v>
      </c>
      <c r="AL132" s="42">
        <f t="shared" si="88"/>
        <v>0</v>
      </c>
      <c r="AN132" s="55">
        <v>21</v>
      </c>
      <c r="AO132" s="55">
        <f>H132*0</f>
        <v>0</v>
      </c>
      <c r="AP132" s="55">
        <f>H132*(1-0)</f>
        <v>0</v>
      </c>
      <c r="AQ132" s="56" t="s">
        <v>80</v>
      </c>
      <c r="AV132" s="55">
        <f t="shared" si="89"/>
        <v>0</v>
      </c>
      <c r="AW132" s="55">
        <f t="shared" si="90"/>
        <v>0</v>
      </c>
      <c r="AX132" s="55">
        <f t="shared" si="91"/>
        <v>0</v>
      </c>
      <c r="AY132" s="58" t="s">
        <v>665</v>
      </c>
      <c r="AZ132" s="58" t="s">
        <v>684</v>
      </c>
      <c r="BA132" s="50" t="s">
        <v>690</v>
      </c>
      <c r="BC132" s="55">
        <f t="shared" si="92"/>
        <v>0</v>
      </c>
      <c r="BD132" s="55">
        <f t="shared" si="93"/>
        <v>0</v>
      </c>
      <c r="BE132" s="55">
        <v>0</v>
      </c>
      <c r="BF132" s="55">
        <f t="shared" si="94"/>
        <v>0</v>
      </c>
      <c r="BH132" s="42">
        <f t="shared" si="95"/>
        <v>0</v>
      </c>
      <c r="BI132" s="42">
        <f t="shared" si="96"/>
        <v>0</v>
      </c>
      <c r="BJ132" s="42">
        <f t="shared" si="97"/>
        <v>0</v>
      </c>
      <c r="BK132" s="42" t="s">
        <v>695</v>
      </c>
      <c r="BL132" s="55">
        <v>728</v>
      </c>
    </row>
    <row r="133" spans="1:47" ht="12.75">
      <c r="A133" s="63"/>
      <c r="B133" s="64"/>
      <c r="C133" s="64" t="s">
        <v>307</v>
      </c>
      <c r="D133" s="172" t="s">
        <v>497</v>
      </c>
      <c r="E133" s="173"/>
      <c r="F133" s="65" t="s">
        <v>73</v>
      </c>
      <c r="G133" s="65" t="s">
        <v>73</v>
      </c>
      <c r="H133" s="65" t="s">
        <v>73</v>
      </c>
      <c r="I133" s="66">
        <f>SUM(I134:I137)</f>
        <v>0</v>
      </c>
      <c r="J133" s="66">
        <f>SUM(J134:J137)</f>
        <v>0</v>
      </c>
      <c r="K133" s="66">
        <f>SUM(K134:K137)</f>
        <v>0</v>
      </c>
      <c r="L133" s="67"/>
      <c r="M133" s="66">
        <f>SUM(M134:M137)</f>
        <v>0.00098</v>
      </c>
      <c r="N133" s="68"/>
      <c r="O133" s="18"/>
      <c r="AI133" s="50"/>
      <c r="AS133" s="61">
        <f>SUM(AJ134:AJ137)</f>
        <v>0</v>
      </c>
      <c r="AT133" s="61">
        <f>SUM(AK134:AK137)</f>
        <v>0</v>
      </c>
      <c r="AU133" s="61">
        <f>SUM(AL134:AL137)</f>
        <v>0</v>
      </c>
    </row>
    <row r="134" spans="1:64" ht="12.75">
      <c r="A134" s="69" t="s">
        <v>161</v>
      </c>
      <c r="B134" s="17"/>
      <c r="C134" s="17" t="s">
        <v>308</v>
      </c>
      <c r="D134" s="113" t="s">
        <v>498</v>
      </c>
      <c r="E134" s="174"/>
      <c r="F134" s="17" t="s">
        <v>622</v>
      </c>
      <c r="G134" s="55">
        <v>2</v>
      </c>
      <c r="H134" s="92"/>
      <c r="I134" s="55">
        <f>G134*AO134</f>
        <v>0</v>
      </c>
      <c r="J134" s="55">
        <f>G134*AP134</f>
        <v>0</v>
      </c>
      <c r="K134" s="55">
        <f>G134*H134</f>
        <v>0</v>
      </c>
      <c r="L134" s="55">
        <v>0</v>
      </c>
      <c r="M134" s="55">
        <f>G134*L134</f>
        <v>0</v>
      </c>
      <c r="N134" s="70" t="s">
        <v>646</v>
      </c>
      <c r="O134" s="18"/>
      <c r="Z134" s="55">
        <f>IF(AQ134="5",BJ134,0)</f>
        <v>0</v>
      </c>
      <c r="AB134" s="55">
        <f>IF(AQ134="1",BH134,0)</f>
        <v>0</v>
      </c>
      <c r="AC134" s="55">
        <f>IF(AQ134="1",BI134,0)</f>
        <v>0</v>
      </c>
      <c r="AD134" s="55">
        <f>IF(AQ134="7",BH134,0)</f>
        <v>0</v>
      </c>
      <c r="AE134" s="55">
        <f>IF(AQ134="7",BI134,0)</f>
        <v>0</v>
      </c>
      <c r="AF134" s="55">
        <f>IF(AQ134="2",BH134,0)</f>
        <v>0</v>
      </c>
      <c r="AG134" s="55">
        <f>IF(AQ134="2",BI134,0)</f>
        <v>0</v>
      </c>
      <c r="AH134" s="55">
        <f>IF(AQ134="0",BJ134,0)</f>
        <v>0</v>
      </c>
      <c r="AI134" s="50"/>
      <c r="AJ134" s="42">
        <f>IF(AN134=0,K134,0)</f>
        <v>0</v>
      </c>
      <c r="AK134" s="42">
        <f>IF(AN134=15,K134,0)</f>
        <v>0</v>
      </c>
      <c r="AL134" s="42">
        <f>IF(AN134=21,K134,0)</f>
        <v>0</v>
      </c>
      <c r="AN134" s="55">
        <v>21</v>
      </c>
      <c r="AO134" s="55">
        <f>H134*0</f>
        <v>0</v>
      </c>
      <c r="AP134" s="55">
        <f>H134*(1-0)</f>
        <v>0</v>
      </c>
      <c r="AQ134" s="56" t="s">
        <v>80</v>
      </c>
      <c r="AV134" s="55">
        <f>AW134+AX134</f>
        <v>0</v>
      </c>
      <c r="AW134" s="55">
        <f>G134*AO134</f>
        <v>0</v>
      </c>
      <c r="AX134" s="55">
        <f>G134*AP134</f>
        <v>0</v>
      </c>
      <c r="AY134" s="58" t="s">
        <v>666</v>
      </c>
      <c r="AZ134" s="58" t="s">
        <v>685</v>
      </c>
      <c r="BA134" s="50" t="s">
        <v>690</v>
      </c>
      <c r="BC134" s="55">
        <f>AW134+AX134</f>
        <v>0</v>
      </c>
      <c r="BD134" s="55">
        <f>H134/(100-BE134)*100</f>
        <v>0</v>
      </c>
      <c r="BE134" s="55">
        <v>0</v>
      </c>
      <c r="BF134" s="55">
        <f>M134</f>
        <v>0</v>
      </c>
      <c r="BH134" s="42">
        <f>G134*AO134</f>
        <v>0</v>
      </c>
      <c r="BI134" s="42">
        <f>G134*AP134</f>
        <v>0</v>
      </c>
      <c r="BJ134" s="42">
        <f>G134*H134</f>
        <v>0</v>
      </c>
      <c r="BK134" s="42" t="s">
        <v>695</v>
      </c>
      <c r="BL134" s="55">
        <v>735</v>
      </c>
    </row>
    <row r="135" spans="1:64" ht="12.75">
      <c r="A135" s="69" t="s">
        <v>162</v>
      </c>
      <c r="B135" s="17"/>
      <c r="C135" s="17" t="s">
        <v>309</v>
      </c>
      <c r="D135" s="113" t="s">
        <v>499</v>
      </c>
      <c r="E135" s="174"/>
      <c r="F135" s="17" t="s">
        <v>623</v>
      </c>
      <c r="G135" s="55">
        <v>2</v>
      </c>
      <c r="H135" s="92"/>
      <c r="I135" s="55">
        <f>G135*AO135</f>
        <v>0</v>
      </c>
      <c r="J135" s="55">
        <f>G135*AP135</f>
        <v>0</v>
      </c>
      <c r="K135" s="55">
        <f>G135*H135</f>
        <v>0</v>
      </c>
      <c r="L135" s="55">
        <v>0.00049</v>
      </c>
      <c r="M135" s="55">
        <f>G135*L135</f>
        <v>0.00098</v>
      </c>
      <c r="N135" s="70" t="s">
        <v>646</v>
      </c>
      <c r="O135" s="18"/>
      <c r="Z135" s="55">
        <f>IF(AQ135="5",BJ135,0)</f>
        <v>0</v>
      </c>
      <c r="AB135" s="55">
        <f>IF(AQ135="1",BH135,0)</f>
        <v>0</v>
      </c>
      <c r="AC135" s="55">
        <f>IF(AQ135="1",BI135,0)</f>
        <v>0</v>
      </c>
      <c r="AD135" s="55">
        <f>IF(AQ135="7",BH135,0)</f>
        <v>0</v>
      </c>
      <c r="AE135" s="55">
        <f>IF(AQ135="7",BI135,0)</f>
        <v>0</v>
      </c>
      <c r="AF135" s="55">
        <f>IF(AQ135="2",BH135,0)</f>
        <v>0</v>
      </c>
      <c r="AG135" s="55">
        <f>IF(AQ135="2",BI135,0)</f>
        <v>0</v>
      </c>
      <c r="AH135" s="55">
        <f>IF(AQ135="0",BJ135,0)</f>
        <v>0</v>
      </c>
      <c r="AI135" s="50"/>
      <c r="AJ135" s="42">
        <f>IF(AN135=0,K135,0)</f>
        <v>0</v>
      </c>
      <c r="AK135" s="42">
        <f>IF(AN135=15,K135,0)</f>
        <v>0</v>
      </c>
      <c r="AL135" s="42">
        <f>IF(AN135=21,K135,0)</f>
        <v>0</v>
      </c>
      <c r="AN135" s="55">
        <v>21</v>
      </c>
      <c r="AO135" s="55">
        <f>H135*0.28351264902588</f>
        <v>0</v>
      </c>
      <c r="AP135" s="55">
        <f>H135*(1-0.28351264902588)</f>
        <v>0</v>
      </c>
      <c r="AQ135" s="56" t="s">
        <v>80</v>
      </c>
      <c r="AV135" s="55">
        <f>AW135+AX135</f>
        <v>0</v>
      </c>
      <c r="AW135" s="55">
        <f>G135*AO135</f>
        <v>0</v>
      </c>
      <c r="AX135" s="55">
        <f>G135*AP135</f>
        <v>0</v>
      </c>
      <c r="AY135" s="58" t="s">
        <v>666</v>
      </c>
      <c r="AZ135" s="58" t="s">
        <v>685</v>
      </c>
      <c r="BA135" s="50" t="s">
        <v>690</v>
      </c>
      <c r="BC135" s="55">
        <f>AW135+AX135</f>
        <v>0</v>
      </c>
      <c r="BD135" s="55">
        <f>H135/(100-BE135)*100</f>
        <v>0</v>
      </c>
      <c r="BE135" s="55">
        <v>0</v>
      </c>
      <c r="BF135" s="55">
        <f>M135</f>
        <v>0.00098</v>
      </c>
      <c r="BH135" s="42">
        <f>G135*AO135</f>
        <v>0</v>
      </c>
      <c r="BI135" s="42">
        <f>G135*AP135</f>
        <v>0</v>
      </c>
      <c r="BJ135" s="42">
        <f>G135*H135</f>
        <v>0</v>
      </c>
      <c r="BK135" s="42" t="s">
        <v>695</v>
      </c>
      <c r="BL135" s="55">
        <v>735</v>
      </c>
    </row>
    <row r="136" spans="1:64" ht="12.75">
      <c r="A136" s="69" t="s">
        <v>163</v>
      </c>
      <c r="B136" s="17"/>
      <c r="C136" s="17" t="s">
        <v>310</v>
      </c>
      <c r="D136" s="113" t="s">
        <v>500</v>
      </c>
      <c r="E136" s="174"/>
      <c r="F136" s="17" t="s">
        <v>623</v>
      </c>
      <c r="G136" s="55">
        <v>2</v>
      </c>
      <c r="H136" s="92"/>
      <c r="I136" s="55">
        <f>G136*AO136</f>
        <v>0</v>
      </c>
      <c r="J136" s="55">
        <f>G136*AP136</f>
        <v>0</v>
      </c>
      <c r="K136" s="55">
        <f>G136*H136</f>
        <v>0</v>
      </c>
      <c r="L136" s="55">
        <v>0</v>
      </c>
      <c r="M136" s="55">
        <f>G136*L136</f>
        <v>0</v>
      </c>
      <c r="N136" s="70" t="s">
        <v>646</v>
      </c>
      <c r="O136" s="18"/>
      <c r="Z136" s="55">
        <f>IF(AQ136="5",BJ136,0)</f>
        <v>0</v>
      </c>
      <c r="AB136" s="55">
        <f>IF(AQ136="1",BH136,0)</f>
        <v>0</v>
      </c>
      <c r="AC136" s="55">
        <f>IF(AQ136="1",BI136,0)</f>
        <v>0</v>
      </c>
      <c r="AD136" s="55">
        <f>IF(AQ136="7",BH136,0)</f>
        <v>0</v>
      </c>
      <c r="AE136" s="55">
        <f>IF(AQ136="7",BI136,0)</f>
        <v>0</v>
      </c>
      <c r="AF136" s="55">
        <f>IF(AQ136="2",BH136,0)</f>
        <v>0</v>
      </c>
      <c r="AG136" s="55">
        <f>IF(AQ136="2",BI136,0)</f>
        <v>0</v>
      </c>
      <c r="AH136" s="55">
        <f>IF(AQ136="0",BJ136,0)</f>
        <v>0</v>
      </c>
      <c r="AI136" s="50"/>
      <c r="AJ136" s="42">
        <f>IF(AN136=0,K136,0)</f>
        <v>0</v>
      </c>
      <c r="AK136" s="42">
        <f>IF(AN136=15,K136,0)</f>
        <v>0</v>
      </c>
      <c r="AL136" s="42">
        <f>IF(AN136=21,K136,0)</f>
        <v>0</v>
      </c>
      <c r="AN136" s="55">
        <v>21</v>
      </c>
      <c r="AO136" s="55">
        <f>H136*0.0653941322021916</f>
        <v>0</v>
      </c>
      <c r="AP136" s="55">
        <f>H136*(1-0.0653941322021916)</f>
        <v>0</v>
      </c>
      <c r="AQ136" s="56" t="s">
        <v>80</v>
      </c>
      <c r="AV136" s="55">
        <f>AW136+AX136</f>
        <v>0</v>
      </c>
      <c r="AW136" s="55">
        <f>G136*AO136</f>
        <v>0</v>
      </c>
      <c r="AX136" s="55">
        <f>G136*AP136</f>
        <v>0</v>
      </c>
      <c r="AY136" s="58" t="s">
        <v>666</v>
      </c>
      <c r="AZ136" s="58" t="s">
        <v>685</v>
      </c>
      <c r="BA136" s="50" t="s">
        <v>690</v>
      </c>
      <c r="BC136" s="55">
        <f>AW136+AX136</f>
        <v>0</v>
      </c>
      <c r="BD136" s="55">
        <f>H136/(100-BE136)*100</f>
        <v>0</v>
      </c>
      <c r="BE136" s="55">
        <v>0</v>
      </c>
      <c r="BF136" s="55">
        <f>M136</f>
        <v>0</v>
      </c>
      <c r="BH136" s="42">
        <f>G136*AO136</f>
        <v>0</v>
      </c>
      <c r="BI136" s="42">
        <f>G136*AP136</f>
        <v>0</v>
      </c>
      <c r="BJ136" s="42">
        <f>G136*H136</f>
        <v>0</v>
      </c>
      <c r="BK136" s="42" t="s">
        <v>695</v>
      </c>
      <c r="BL136" s="55">
        <v>735</v>
      </c>
    </row>
    <row r="137" spans="1:64" ht="12.75">
      <c r="A137" s="69" t="s">
        <v>164</v>
      </c>
      <c r="B137" s="17"/>
      <c r="C137" s="17" t="s">
        <v>311</v>
      </c>
      <c r="D137" s="113" t="s">
        <v>501</v>
      </c>
      <c r="E137" s="174"/>
      <c r="F137" s="17" t="s">
        <v>625</v>
      </c>
      <c r="G137" s="55">
        <v>0.3409</v>
      </c>
      <c r="H137" s="92"/>
      <c r="I137" s="55">
        <f>G137*AO137</f>
        <v>0</v>
      </c>
      <c r="J137" s="55">
        <f>G137*AP137</f>
        <v>0</v>
      </c>
      <c r="K137" s="55">
        <f>G137*H137</f>
        <v>0</v>
      </c>
      <c r="L137" s="55">
        <v>0</v>
      </c>
      <c r="M137" s="55">
        <f>G137*L137</f>
        <v>0</v>
      </c>
      <c r="N137" s="70" t="s">
        <v>646</v>
      </c>
      <c r="O137" s="18"/>
      <c r="Z137" s="55">
        <f>IF(AQ137="5",BJ137,0)</f>
        <v>0</v>
      </c>
      <c r="AB137" s="55">
        <f>IF(AQ137="1",BH137,0)</f>
        <v>0</v>
      </c>
      <c r="AC137" s="55">
        <f>IF(AQ137="1",BI137,0)</f>
        <v>0</v>
      </c>
      <c r="AD137" s="55">
        <f>IF(AQ137="7",BH137,0)</f>
        <v>0</v>
      </c>
      <c r="AE137" s="55">
        <f>IF(AQ137="7",BI137,0)</f>
        <v>0</v>
      </c>
      <c r="AF137" s="55">
        <f>IF(AQ137="2",BH137,0)</f>
        <v>0</v>
      </c>
      <c r="AG137" s="55">
        <f>IF(AQ137="2",BI137,0)</f>
        <v>0</v>
      </c>
      <c r="AH137" s="55">
        <f>IF(AQ137="0",BJ137,0)</f>
        <v>0</v>
      </c>
      <c r="AI137" s="50"/>
      <c r="AJ137" s="42">
        <f>IF(AN137=0,K137,0)</f>
        <v>0</v>
      </c>
      <c r="AK137" s="42">
        <f>IF(AN137=15,K137,0)</f>
        <v>0</v>
      </c>
      <c r="AL137" s="42">
        <f>IF(AN137=21,K137,0)</f>
        <v>0</v>
      </c>
      <c r="AN137" s="55">
        <v>21</v>
      </c>
      <c r="AO137" s="55">
        <f>H137*0</f>
        <v>0</v>
      </c>
      <c r="AP137" s="55">
        <f>H137*(1-0)</f>
        <v>0</v>
      </c>
      <c r="AQ137" s="56" t="s">
        <v>80</v>
      </c>
      <c r="AV137" s="55">
        <f>AW137+AX137</f>
        <v>0</v>
      </c>
      <c r="AW137" s="55">
        <f>G137*AO137</f>
        <v>0</v>
      </c>
      <c r="AX137" s="55">
        <f>G137*AP137</f>
        <v>0</v>
      </c>
      <c r="AY137" s="58" t="s">
        <v>666</v>
      </c>
      <c r="AZ137" s="58" t="s">
        <v>685</v>
      </c>
      <c r="BA137" s="50" t="s">
        <v>690</v>
      </c>
      <c r="BC137" s="55">
        <f>AW137+AX137</f>
        <v>0</v>
      </c>
      <c r="BD137" s="55">
        <f>H137/(100-BE137)*100</f>
        <v>0</v>
      </c>
      <c r="BE137" s="55">
        <v>0</v>
      </c>
      <c r="BF137" s="55">
        <f>M137</f>
        <v>0</v>
      </c>
      <c r="BH137" s="42">
        <f>G137*AO137</f>
        <v>0</v>
      </c>
      <c r="BI137" s="42">
        <f>G137*AP137</f>
        <v>0</v>
      </c>
      <c r="BJ137" s="42">
        <f>G137*H137</f>
        <v>0</v>
      </c>
      <c r="BK137" s="42" t="s">
        <v>695</v>
      </c>
      <c r="BL137" s="55">
        <v>735</v>
      </c>
    </row>
    <row r="138" spans="1:47" ht="12.75">
      <c r="A138" s="63"/>
      <c r="B138" s="64"/>
      <c r="C138" s="64" t="s">
        <v>312</v>
      </c>
      <c r="D138" s="172" t="s">
        <v>502</v>
      </c>
      <c r="E138" s="173"/>
      <c r="F138" s="65" t="s">
        <v>73</v>
      </c>
      <c r="G138" s="65" t="s">
        <v>73</v>
      </c>
      <c r="H138" s="65" t="s">
        <v>73</v>
      </c>
      <c r="I138" s="66">
        <f>SUM(I139:I149)</f>
        <v>0</v>
      </c>
      <c r="J138" s="66">
        <f>SUM(J139:J149)</f>
        <v>0</v>
      </c>
      <c r="K138" s="66">
        <f>SUM(K139:K149)</f>
        <v>0</v>
      </c>
      <c r="L138" s="67"/>
      <c r="M138" s="66">
        <f>SUM(M139:M149)</f>
        <v>0.11680000000000001</v>
      </c>
      <c r="N138" s="68"/>
      <c r="O138" s="18"/>
      <c r="AI138" s="50"/>
      <c r="AS138" s="61">
        <f>SUM(AJ139:AJ149)</f>
        <v>0</v>
      </c>
      <c r="AT138" s="61">
        <f>SUM(AK139:AK149)</f>
        <v>0</v>
      </c>
      <c r="AU138" s="61">
        <f>SUM(AL139:AL149)</f>
        <v>0</v>
      </c>
    </row>
    <row r="139" spans="1:64" ht="12.75">
      <c r="A139" s="69" t="s">
        <v>165</v>
      </c>
      <c r="B139" s="17"/>
      <c r="C139" s="17" t="s">
        <v>313</v>
      </c>
      <c r="D139" s="113" t="s">
        <v>503</v>
      </c>
      <c r="E139" s="174"/>
      <c r="F139" s="17" t="s">
        <v>623</v>
      </c>
      <c r="G139" s="55">
        <v>9</v>
      </c>
      <c r="H139" s="92"/>
      <c r="I139" s="55">
        <f aca="true" t="shared" si="98" ref="I139:I149">G139*AO139</f>
        <v>0</v>
      </c>
      <c r="J139" s="55">
        <f aca="true" t="shared" si="99" ref="J139:J149">G139*AP139</f>
        <v>0</v>
      </c>
      <c r="K139" s="55">
        <f aca="true" t="shared" si="100" ref="K139:K149">G139*H139</f>
        <v>0</v>
      </c>
      <c r="L139" s="55">
        <v>0.0018</v>
      </c>
      <c r="M139" s="55">
        <f aca="true" t="shared" si="101" ref="M139:M149">G139*L139</f>
        <v>0.0162</v>
      </c>
      <c r="N139" s="70" t="s">
        <v>646</v>
      </c>
      <c r="O139" s="18"/>
      <c r="Z139" s="55">
        <f aca="true" t="shared" si="102" ref="Z139:Z149">IF(AQ139="5",BJ139,0)</f>
        <v>0</v>
      </c>
      <c r="AB139" s="55">
        <f aca="true" t="shared" si="103" ref="AB139:AB149">IF(AQ139="1",BH139,0)</f>
        <v>0</v>
      </c>
      <c r="AC139" s="55">
        <f aca="true" t="shared" si="104" ref="AC139:AC149">IF(AQ139="1",BI139,0)</f>
        <v>0</v>
      </c>
      <c r="AD139" s="55">
        <f aca="true" t="shared" si="105" ref="AD139:AD149">IF(AQ139="7",BH139,0)</f>
        <v>0</v>
      </c>
      <c r="AE139" s="55">
        <f aca="true" t="shared" si="106" ref="AE139:AE149">IF(AQ139="7",BI139,0)</f>
        <v>0</v>
      </c>
      <c r="AF139" s="55">
        <f aca="true" t="shared" si="107" ref="AF139:AF149">IF(AQ139="2",BH139,0)</f>
        <v>0</v>
      </c>
      <c r="AG139" s="55">
        <f aca="true" t="shared" si="108" ref="AG139:AG149">IF(AQ139="2",BI139,0)</f>
        <v>0</v>
      </c>
      <c r="AH139" s="55">
        <f aca="true" t="shared" si="109" ref="AH139:AH149">IF(AQ139="0",BJ139,0)</f>
        <v>0</v>
      </c>
      <c r="AI139" s="50"/>
      <c r="AJ139" s="42">
        <f aca="true" t="shared" si="110" ref="AJ139:AJ149">IF(AN139=0,K139,0)</f>
        <v>0</v>
      </c>
      <c r="AK139" s="42">
        <f aca="true" t="shared" si="111" ref="AK139:AK149">IF(AN139=15,K139,0)</f>
        <v>0</v>
      </c>
      <c r="AL139" s="42">
        <f aca="true" t="shared" si="112" ref="AL139:AL149">IF(AN139=21,K139,0)</f>
        <v>0</v>
      </c>
      <c r="AN139" s="55">
        <v>21</v>
      </c>
      <c r="AO139" s="55">
        <f>H139*0</f>
        <v>0</v>
      </c>
      <c r="AP139" s="55">
        <f>H139*(1-0)</f>
        <v>0</v>
      </c>
      <c r="AQ139" s="56" t="s">
        <v>80</v>
      </c>
      <c r="AV139" s="55">
        <f aca="true" t="shared" si="113" ref="AV139:AV149">AW139+AX139</f>
        <v>0</v>
      </c>
      <c r="AW139" s="55">
        <f aca="true" t="shared" si="114" ref="AW139:AW149">G139*AO139</f>
        <v>0</v>
      </c>
      <c r="AX139" s="55">
        <f aca="true" t="shared" si="115" ref="AX139:AX149">G139*AP139</f>
        <v>0</v>
      </c>
      <c r="AY139" s="58" t="s">
        <v>667</v>
      </c>
      <c r="AZ139" s="58" t="s">
        <v>686</v>
      </c>
      <c r="BA139" s="50" t="s">
        <v>690</v>
      </c>
      <c r="BC139" s="55">
        <f aca="true" t="shared" si="116" ref="BC139:BC149">AW139+AX139</f>
        <v>0</v>
      </c>
      <c r="BD139" s="55">
        <f aca="true" t="shared" si="117" ref="BD139:BD149">H139/(100-BE139)*100</f>
        <v>0</v>
      </c>
      <c r="BE139" s="55">
        <v>0</v>
      </c>
      <c r="BF139" s="55">
        <f aca="true" t="shared" si="118" ref="BF139:BF149">M139</f>
        <v>0.0162</v>
      </c>
      <c r="BH139" s="42">
        <f aca="true" t="shared" si="119" ref="BH139:BH149">G139*AO139</f>
        <v>0</v>
      </c>
      <c r="BI139" s="42">
        <f aca="true" t="shared" si="120" ref="BI139:BI149">G139*AP139</f>
        <v>0</v>
      </c>
      <c r="BJ139" s="42">
        <f aca="true" t="shared" si="121" ref="BJ139:BJ149">G139*H139</f>
        <v>0</v>
      </c>
      <c r="BK139" s="42" t="s">
        <v>695</v>
      </c>
      <c r="BL139" s="55">
        <v>766</v>
      </c>
    </row>
    <row r="140" spans="1:64" ht="12.75">
      <c r="A140" s="69" t="s">
        <v>166</v>
      </c>
      <c r="B140" s="17"/>
      <c r="C140" s="17" t="s">
        <v>314</v>
      </c>
      <c r="D140" s="113" t="s">
        <v>504</v>
      </c>
      <c r="E140" s="174"/>
      <c r="F140" s="17" t="s">
        <v>623</v>
      </c>
      <c r="G140" s="55">
        <v>5</v>
      </c>
      <c r="H140" s="92"/>
      <c r="I140" s="55">
        <f t="shared" si="98"/>
        <v>0</v>
      </c>
      <c r="J140" s="55">
        <f t="shared" si="99"/>
        <v>0</v>
      </c>
      <c r="K140" s="55">
        <f t="shared" si="100"/>
        <v>0</v>
      </c>
      <c r="L140" s="55">
        <v>0</v>
      </c>
      <c r="M140" s="55">
        <f t="shared" si="101"/>
        <v>0</v>
      </c>
      <c r="N140" s="70" t="s">
        <v>646</v>
      </c>
      <c r="O140" s="18"/>
      <c r="Z140" s="55">
        <f t="shared" si="102"/>
        <v>0</v>
      </c>
      <c r="AB140" s="55">
        <f t="shared" si="103"/>
        <v>0</v>
      </c>
      <c r="AC140" s="55">
        <f t="shared" si="104"/>
        <v>0</v>
      </c>
      <c r="AD140" s="55">
        <f t="shared" si="105"/>
        <v>0</v>
      </c>
      <c r="AE140" s="55">
        <f t="shared" si="106"/>
        <v>0</v>
      </c>
      <c r="AF140" s="55">
        <f t="shared" si="107"/>
        <v>0</v>
      </c>
      <c r="AG140" s="55">
        <f t="shared" si="108"/>
        <v>0</v>
      </c>
      <c r="AH140" s="55">
        <f t="shared" si="109"/>
        <v>0</v>
      </c>
      <c r="AI140" s="50"/>
      <c r="AJ140" s="42">
        <f t="shared" si="110"/>
        <v>0</v>
      </c>
      <c r="AK140" s="42">
        <f t="shared" si="111"/>
        <v>0</v>
      </c>
      <c r="AL140" s="42">
        <f t="shared" si="112"/>
        <v>0</v>
      </c>
      <c r="AN140" s="55">
        <v>21</v>
      </c>
      <c r="AO140" s="55">
        <f>H140*0</f>
        <v>0</v>
      </c>
      <c r="AP140" s="55">
        <f>H140*(1-0)</f>
        <v>0</v>
      </c>
      <c r="AQ140" s="56" t="s">
        <v>80</v>
      </c>
      <c r="AV140" s="55">
        <f t="shared" si="113"/>
        <v>0</v>
      </c>
      <c r="AW140" s="55">
        <f t="shared" si="114"/>
        <v>0</v>
      </c>
      <c r="AX140" s="55">
        <f t="shared" si="115"/>
        <v>0</v>
      </c>
      <c r="AY140" s="58" t="s">
        <v>667</v>
      </c>
      <c r="AZ140" s="58" t="s">
        <v>686</v>
      </c>
      <c r="BA140" s="50" t="s">
        <v>690</v>
      </c>
      <c r="BC140" s="55">
        <f t="shared" si="116"/>
        <v>0</v>
      </c>
      <c r="BD140" s="55">
        <f t="shared" si="117"/>
        <v>0</v>
      </c>
      <c r="BE140" s="55">
        <v>0</v>
      </c>
      <c r="BF140" s="55">
        <f t="shared" si="118"/>
        <v>0</v>
      </c>
      <c r="BH140" s="42">
        <f t="shared" si="119"/>
        <v>0</v>
      </c>
      <c r="BI140" s="42">
        <f t="shared" si="120"/>
        <v>0</v>
      </c>
      <c r="BJ140" s="42">
        <f t="shared" si="121"/>
        <v>0</v>
      </c>
      <c r="BK140" s="42" t="s">
        <v>695</v>
      </c>
      <c r="BL140" s="55">
        <v>766</v>
      </c>
    </row>
    <row r="141" spans="1:64" ht="12.75">
      <c r="A141" s="69" t="s">
        <v>167</v>
      </c>
      <c r="B141" s="17"/>
      <c r="C141" s="17" t="s">
        <v>315</v>
      </c>
      <c r="D141" s="113" t="s">
        <v>505</v>
      </c>
      <c r="E141" s="174"/>
      <c r="F141" s="17" t="s">
        <v>623</v>
      </c>
      <c r="G141" s="55">
        <v>9</v>
      </c>
      <c r="H141" s="92"/>
      <c r="I141" s="55">
        <f t="shared" si="98"/>
        <v>0</v>
      </c>
      <c r="J141" s="55">
        <f t="shared" si="99"/>
        <v>0</v>
      </c>
      <c r="K141" s="55">
        <f t="shared" si="100"/>
        <v>0</v>
      </c>
      <c r="L141" s="55">
        <v>1E-05</v>
      </c>
      <c r="M141" s="55">
        <f t="shared" si="101"/>
        <v>9E-05</v>
      </c>
      <c r="N141" s="70" t="s">
        <v>646</v>
      </c>
      <c r="O141" s="18"/>
      <c r="Z141" s="55">
        <f t="shared" si="102"/>
        <v>0</v>
      </c>
      <c r="AB141" s="55">
        <f t="shared" si="103"/>
        <v>0</v>
      </c>
      <c r="AC141" s="55">
        <f t="shared" si="104"/>
        <v>0</v>
      </c>
      <c r="AD141" s="55">
        <f t="shared" si="105"/>
        <v>0</v>
      </c>
      <c r="AE141" s="55">
        <f t="shared" si="106"/>
        <v>0</v>
      </c>
      <c r="AF141" s="55">
        <f t="shared" si="107"/>
        <v>0</v>
      </c>
      <c r="AG141" s="55">
        <f t="shared" si="108"/>
        <v>0</v>
      </c>
      <c r="AH141" s="55">
        <f t="shared" si="109"/>
        <v>0</v>
      </c>
      <c r="AI141" s="50"/>
      <c r="AJ141" s="42">
        <f t="shared" si="110"/>
        <v>0</v>
      </c>
      <c r="AK141" s="42">
        <f t="shared" si="111"/>
        <v>0</v>
      </c>
      <c r="AL141" s="42">
        <f t="shared" si="112"/>
        <v>0</v>
      </c>
      <c r="AN141" s="55">
        <v>21</v>
      </c>
      <c r="AO141" s="55">
        <f>H141*0.03609375</f>
        <v>0</v>
      </c>
      <c r="AP141" s="55">
        <f>H141*(1-0.03609375)</f>
        <v>0</v>
      </c>
      <c r="AQ141" s="56" t="s">
        <v>80</v>
      </c>
      <c r="AV141" s="55">
        <f t="shared" si="113"/>
        <v>0</v>
      </c>
      <c r="AW141" s="55">
        <f t="shared" si="114"/>
        <v>0</v>
      </c>
      <c r="AX141" s="55">
        <f t="shared" si="115"/>
        <v>0</v>
      </c>
      <c r="AY141" s="58" t="s">
        <v>667</v>
      </c>
      <c r="AZ141" s="58" t="s">
        <v>686</v>
      </c>
      <c r="BA141" s="50" t="s">
        <v>690</v>
      </c>
      <c r="BC141" s="55">
        <f t="shared" si="116"/>
        <v>0</v>
      </c>
      <c r="BD141" s="55">
        <f t="shared" si="117"/>
        <v>0</v>
      </c>
      <c r="BE141" s="55">
        <v>0</v>
      </c>
      <c r="BF141" s="55">
        <f t="shared" si="118"/>
        <v>9E-05</v>
      </c>
      <c r="BH141" s="42">
        <f t="shared" si="119"/>
        <v>0</v>
      </c>
      <c r="BI141" s="42">
        <f t="shared" si="120"/>
        <v>0</v>
      </c>
      <c r="BJ141" s="42">
        <f t="shared" si="121"/>
        <v>0</v>
      </c>
      <c r="BK141" s="42" t="s">
        <v>695</v>
      </c>
      <c r="BL141" s="55">
        <v>766</v>
      </c>
    </row>
    <row r="142" spans="1:64" ht="12.75">
      <c r="A142" s="69" t="s">
        <v>168</v>
      </c>
      <c r="B142" s="17"/>
      <c r="C142" s="17" t="s">
        <v>316</v>
      </c>
      <c r="D142" s="113" t="s">
        <v>506</v>
      </c>
      <c r="E142" s="174"/>
      <c r="F142" s="17" t="s">
        <v>623</v>
      </c>
      <c r="G142" s="55">
        <v>5</v>
      </c>
      <c r="H142" s="92"/>
      <c r="I142" s="55">
        <f t="shared" si="98"/>
        <v>0</v>
      </c>
      <c r="J142" s="55">
        <f t="shared" si="99"/>
        <v>0</v>
      </c>
      <c r="K142" s="55">
        <f t="shared" si="100"/>
        <v>0</v>
      </c>
      <c r="L142" s="55">
        <v>0</v>
      </c>
      <c r="M142" s="55">
        <f t="shared" si="101"/>
        <v>0</v>
      </c>
      <c r="N142" s="70" t="s">
        <v>646</v>
      </c>
      <c r="O142" s="18"/>
      <c r="Z142" s="55">
        <f t="shared" si="102"/>
        <v>0</v>
      </c>
      <c r="AB142" s="55">
        <f t="shared" si="103"/>
        <v>0</v>
      </c>
      <c r="AC142" s="55">
        <f t="shared" si="104"/>
        <v>0</v>
      </c>
      <c r="AD142" s="55">
        <f t="shared" si="105"/>
        <v>0</v>
      </c>
      <c r="AE142" s="55">
        <f t="shared" si="106"/>
        <v>0</v>
      </c>
      <c r="AF142" s="55">
        <f t="shared" si="107"/>
        <v>0</v>
      </c>
      <c r="AG142" s="55">
        <f t="shared" si="108"/>
        <v>0</v>
      </c>
      <c r="AH142" s="55">
        <f t="shared" si="109"/>
        <v>0</v>
      </c>
      <c r="AI142" s="50"/>
      <c r="AJ142" s="42">
        <f t="shared" si="110"/>
        <v>0</v>
      </c>
      <c r="AK142" s="42">
        <f t="shared" si="111"/>
        <v>0</v>
      </c>
      <c r="AL142" s="42">
        <f t="shared" si="112"/>
        <v>0</v>
      </c>
      <c r="AN142" s="55">
        <v>21</v>
      </c>
      <c r="AO142" s="55">
        <f>H142*0</f>
        <v>0</v>
      </c>
      <c r="AP142" s="55">
        <f>H142*(1-0)</f>
        <v>0</v>
      </c>
      <c r="AQ142" s="56" t="s">
        <v>80</v>
      </c>
      <c r="AV142" s="55">
        <f t="shared" si="113"/>
        <v>0</v>
      </c>
      <c r="AW142" s="55">
        <f t="shared" si="114"/>
        <v>0</v>
      </c>
      <c r="AX142" s="55">
        <f t="shared" si="115"/>
        <v>0</v>
      </c>
      <c r="AY142" s="58" t="s">
        <v>667</v>
      </c>
      <c r="AZ142" s="58" t="s">
        <v>686</v>
      </c>
      <c r="BA142" s="50" t="s">
        <v>690</v>
      </c>
      <c r="BC142" s="55">
        <f t="shared" si="116"/>
        <v>0</v>
      </c>
      <c r="BD142" s="55">
        <f t="shared" si="117"/>
        <v>0</v>
      </c>
      <c r="BE142" s="55">
        <v>0</v>
      </c>
      <c r="BF142" s="55">
        <f t="shared" si="118"/>
        <v>0</v>
      </c>
      <c r="BH142" s="42">
        <f t="shared" si="119"/>
        <v>0</v>
      </c>
      <c r="BI142" s="42">
        <f t="shared" si="120"/>
        <v>0</v>
      </c>
      <c r="BJ142" s="42">
        <f t="shared" si="121"/>
        <v>0</v>
      </c>
      <c r="BK142" s="42" t="s">
        <v>695</v>
      </c>
      <c r="BL142" s="55">
        <v>766</v>
      </c>
    </row>
    <row r="143" spans="1:64" ht="12.75">
      <c r="A143" s="69" t="s">
        <v>169</v>
      </c>
      <c r="B143" s="17"/>
      <c r="C143" s="17" t="s">
        <v>317</v>
      </c>
      <c r="D143" s="113" t="s">
        <v>507</v>
      </c>
      <c r="E143" s="179"/>
      <c r="F143" s="17" t="s">
        <v>623</v>
      </c>
      <c r="G143" s="55">
        <v>4</v>
      </c>
      <c r="H143" s="92"/>
      <c r="I143" s="55">
        <f t="shared" si="98"/>
        <v>0</v>
      </c>
      <c r="J143" s="55">
        <f t="shared" si="99"/>
        <v>0</v>
      </c>
      <c r="K143" s="55">
        <f t="shared" si="100"/>
        <v>0</v>
      </c>
      <c r="L143" s="55">
        <v>0.017</v>
      </c>
      <c r="M143" s="55">
        <f t="shared" si="101"/>
        <v>0.068</v>
      </c>
      <c r="N143" s="70" t="s">
        <v>646</v>
      </c>
      <c r="O143" s="18"/>
      <c r="Z143" s="55">
        <f t="shared" si="102"/>
        <v>0</v>
      </c>
      <c r="AB143" s="55">
        <f t="shared" si="103"/>
        <v>0</v>
      </c>
      <c r="AC143" s="55">
        <f t="shared" si="104"/>
        <v>0</v>
      </c>
      <c r="AD143" s="55">
        <f t="shared" si="105"/>
        <v>0</v>
      </c>
      <c r="AE143" s="55">
        <f t="shared" si="106"/>
        <v>0</v>
      </c>
      <c r="AF143" s="55">
        <f t="shared" si="107"/>
        <v>0</v>
      </c>
      <c r="AG143" s="55">
        <f t="shared" si="108"/>
        <v>0</v>
      </c>
      <c r="AH143" s="55">
        <f t="shared" si="109"/>
        <v>0</v>
      </c>
      <c r="AI143" s="50"/>
      <c r="AJ143" s="43">
        <f t="shared" si="110"/>
        <v>0</v>
      </c>
      <c r="AK143" s="43">
        <f t="shared" si="111"/>
        <v>0</v>
      </c>
      <c r="AL143" s="43">
        <f t="shared" si="112"/>
        <v>0</v>
      </c>
      <c r="AN143" s="55">
        <v>21</v>
      </c>
      <c r="AO143" s="55">
        <f aca="true" t="shared" si="122" ref="AO143:AO148">H143*1</f>
        <v>0</v>
      </c>
      <c r="AP143" s="55">
        <f aca="true" t="shared" si="123" ref="AP143:AP148">H143*(1-1)</f>
        <v>0</v>
      </c>
      <c r="AQ143" s="57" t="s">
        <v>80</v>
      </c>
      <c r="AV143" s="55">
        <f t="shared" si="113"/>
        <v>0</v>
      </c>
      <c r="AW143" s="55">
        <f t="shared" si="114"/>
        <v>0</v>
      </c>
      <c r="AX143" s="55">
        <f t="shared" si="115"/>
        <v>0</v>
      </c>
      <c r="AY143" s="58" t="s">
        <v>667</v>
      </c>
      <c r="AZ143" s="58" t="s">
        <v>686</v>
      </c>
      <c r="BA143" s="50" t="s">
        <v>690</v>
      </c>
      <c r="BC143" s="55">
        <f t="shared" si="116"/>
        <v>0</v>
      </c>
      <c r="BD143" s="55">
        <f t="shared" si="117"/>
        <v>0</v>
      </c>
      <c r="BE143" s="55">
        <v>0</v>
      </c>
      <c r="BF143" s="55">
        <f t="shared" si="118"/>
        <v>0.068</v>
      </c>
      <c r="BH143" s="43">
        <f t="shared" si="119"/>
        <v>0</v>
      </c>
      <c r="BI143" s="43">
        <f t="shared" si="120"/>
        <v>0</v>
      </c>
      <c r="BJ143" s="43">
        <f t="shared" si="121"/>
        <v>0</v>
      </c>
      <c r="BK143" s="43" t="s">
        <v>696</v>
      </c>
      <c r="BL143" s="55">
        <v>766</v>
      </c>
    </row>
    <row r="144" spans="1:64" ht="12.75">
      <c r="A144" s="69" t="s">
        <v>170</v>
      </c>
      <c r="B144" s="17"/>
      <c r="C144" s="17" t="s">
        <v>318</v>
      </c>
      <c r="D144" s="113" t="s">
        <v>508</v>
      </c>
      <c r="E144" s="179"/>
      <c r="F144" s="17" t="s">
        <v>623</v>
      </c>
      <c r="G144" s="55">
        <v>1</v>
      </c>
      <c r="H144" s="92"/>
      <c r="I144" s="55">
        <f t="shared" si="98"/>
        <v>0</v>
      </c>
      <c r="J144" s="55">
        <f t="shared" si="99"/>
        <v>0</v>
      </c>
      <c r="K144" s="55">
        <f t="shared" si="100"/>
        <v>0</v>
      </c>
      <c r="L144" s="55">
        <v>0.019</v>
      </c>
      <c r="M144" s="55">
        <f t="shared" si="101"/>
        <v>0.019</v>
      </c>
      <c r="N144" s="70" t="s">
        <v>646</v>
      </c>
      <c r="O144" s="18"/>
      <c r="Z144" s="55">
        <f t="shared" si="102"/>
        <v>0</v>
      </c>
      <c r="AB144" s="55">
        <f t="shared" si="103"/>
        <v>0</v>
      </c>
      <c r="AC144" s="55">
        <f t="shared" si="104"/>
        <v>0</v>
      </c>
      <c r="AD144" s="55">
        <f t="shared" si="105"/>
        <v>0</v>
      </c>
      <c r="AE144" s="55">
        <f t="shared" si="106"/>
        <v>0</v>
      </c>
      <c r="AF144" s="55">
        <f t="shared" si="107"/>
        <v>0</v>
      </c>
      <c r="AG144" s="55">
        <f t="shared" si="108"/>
        <v>0</v>
      </c>
      <c r="AH144" s="55">
        <f t="shared" si="109"/>
        <v>0</v>
      </c>
      <c r="AI144" s="50"/>
      <c r="AJ144" s="43">
        <f t="shared" si="110"/>
        <v>0</v>
      </c>
      <c r="AK144" s="43">
        <f t="shared" si="111"/>
        <v>0</v>
      </c>
      <c r="AL144" s="43">
        <f t="shared" si="112"/>
        <v>0</v>
      </c>
      <c r="AN144" s="55">
        <v>21</v>
      </c>
      <c r="AO144" s="55">
        <f t="shared" si="122"/>
        <v>0</v>
      </c>
      <c r="AP144" s="55">
        <f t="shared" si="123"/>
        <v>0</v>
      </c>
      <c r="AQ144" s="57" t="s">
        <v>80</v>
      </c>
      <c r="AV144" s="55">
        <f t="shared" si="113"/>
        <v>0</v>
      </c>
      <c r="AW144" s="55">
        <f t="shared" si="114"/>
        <v>0</v>
      </c>
      <c r="AX144" s="55">
        <f t="shared" si="115"/>
        <v>0</v>
      </c>
      <c r="AY144" s="58" t="s">
        <v>667</v>
      </c>
      <c r="AZ144" s="58" t="s">
        <v>686</v>
      </c>
      <c r="BA144" s="50" t="s">
        <v>690</v>
      </c>
      <c r="BC144" s="55">
        <f t="shared" si="116"/>
        <v>0</v>
      </c>
      <c r="BD144" s="55">
        <f t="shared" si="117"/>
        <v>0</v>
      </c>
      <c r="BE144" s="55">
        <v>0</v>
      </c>
      <c r="BF144" s="55">
        <f t="shared" si="118"/>
        <v>0.019</v>
      </c>
      <c r="BH144" s="43">
        <f t="shared" si="119"/>
        <v>0</v>
      </c>
      <c r="BI144" s="43">
        <f t="shared" si="120"/>
        <v>0</v>
      </c>
      <c r="BJ144" s="43">
        <f t="shared" si="121"/>
        <v>0</v>
      </c>
      <c r="BK144" s="43" t="s">
        <v>696</v>
      </c>
      <c r="BL144" s="55">
        <v>766</v>
      </c>
    </row>
    <row r="145" spans="1:64" ht="12.75">
      <c r="A145" s="69" t="s">
        <v>171</v>
      </c>
      <c r="B145" s="17"/>
      <c r="C145" s="17" t="s">
        <v>319</v>
      </c>
      <c r="D145" s="113" t="s">
        <v>509</v>
      </c>
      <c r="E145" s="179"/>
      <c r="F145" s="17" t="s">
        <v>623</v>
      </c>
      <c r="G145" s="55">
        <v>5</v>
      </c>
      <c r="H145" s="92"/>
      <c r="I145" s="55">
        <f t="shared" si="98"/>
        <v>0</v>
      </c>
      <c r="J145" s="55">
        <f t="shared" si="99"/>
        <v>0</v>
      </c>
      <c r="K145" s="55">
        <f t="shared" si="100"/>
        <v>0</v>
      </c>
      <c r="L145" s="55">
        <v>0.00075</v>
      </c>
      <c r="M145" s="55">
        <f t="shared" si="101"/>
        <v>0.00375</v>
      </c>
      <c r="N145" s="70" t="s">
        <v>646</v>
      </c>
      <c r="O145" s="18"/>
      <c r="Z145" s="55">
        <f t="shared" si="102"/>
        <v>0</v>
      </c>
      <c r="AB145" s="55">
        <f t="shared" si="103"/>
        <v>0</v>
      </c>
      <c r="AC145" s="55">
        <f t="shared" si="104"/>
        <v>0</v>
      </c>
      <c r="AD145" s="55">
        <f t="shared" si="105"/>
        <v>0</v>
      </c>
      <c r="AE145" s="55">
        <f t="shared" si="106"/>
        <v>0</v>
      </c>
      <c r="AF145" s="55">
        <f t="shared" si="107"/>
        <v>0</v>
      </c>
      <c r="AG145" s="55">
        <f t="shared" si="108"/>
        <v>0</v>
      </c>
      <c r="AH145" s="55">
        <f t="shared" si="109"/>
        <v>0</v>
      </c>
      <c r="AI145" s="50"/>
      <c r="AJ145" s="43">
        <f t="shared" si="110"/>
        <v>0</v>
      </c>
      <c r="AK145" s="43">
        <f t="shared" si="111"/>
        <v>0</v>
      </c>
      <c r="AL145" s="43">
        <f t="shared" si="112"/>
        <v>0</v>
      </c>
      <c r="AN145" s="55">
        <v>21</v>
      </c>
      <c r="AO145" s="55">
        <f t="shared" si="122"/>
        <v>0</v>
      </c>
      <c r="AP145" s="55">
        <f t="shared" si="123"/>
        <v>0</v>
      </c>
      <c r="AQ145" s="57" t="s">
        <v>80</v>
      </c>
      <c r="AV145" s="55">
        <f t="shared" si="113"/>
        <v>0</v>
      </c>
      <c r="AW145" s="55">
        <f t="shared" si="114"/>
        <v>0</v>
      </c>
      <c r="AX145" s="55">
        <f t="shared" si="115"/>
        <v>0</v>
      </c>
      <c r="AY145" s="58" t="s">
        <v>667</v>
      </c>
      <c r="AZ145" s="58" t="s">
        <v>686</v>
      </c>
      <c r="BA145" s="50" t="s">
        <v>690</v>
      </c>
      <c r="BC145" s="55">
        <f t="shared" si="116"/>
        <v>0</v>
      </c>
      <c r="BD145" s="55">
        <f t="shared" si="117"/>
        <v>0</v>
      </c>
      <c r="BE145" s="55">
        <v>0</v>
      </c>
      <c r="BF145" s="55">
        <f t="shared" si="118"/>
        <v>0.00375</v>
      </c>
      <c r="BH145" s="43">
        <f t="shared" si="119"/>
        <v>0</v>
      </c>
      <c r="BI145" s="43">
        <f t="shared" si="120"/>
        <v>0</v>
      </c>
      <c r="BJ145" s="43">
        <f t="shared" si="121"/>
        <v>0</v>
      </c>
      <c r="BK145" s="43" t="s">
        <v>696</v>
      </c>
      <c r="BL145" s="55">
        <v>766</v>
      </c>
    </row>
    <row r="146" spans="1:64" ht="12.75">
      <c r="A146" s="69" t="s">
        <v>172</v>
      </c>
      <c r="B146" s="17"/>
      <c r="C146" s="17" t="s">
        <v>320</v>
      </c>
      <c r="D146" s="113" t="s">
        <v>510</v>
      </c>
      <c r="E146" s="179"/>
      <c r="F146" s="17" t="s">
        <v>623</v>
      </c>
      <c r="G146" s="55">
        <v>4</v>
      </c>
      <c r="H146" s="92"/>
      <c r="I146" s="55">
        <f t="shared" si="98"/>
        <v>0</v>
      </c>
      <c r="J146" s="55">
        <f t="shared" si="99"/>
        <v>0</v>
      </c>
      <c r="K146" s="55">
        <f t="shared" si="100"/>
        <v>0</v>
      </c>
      <c r="L146" s="55">
        <v>0.00075</v>
      </c>
      <c r="M146" s="55">
        <f t="shared" si="101"/>
        <v>0.003</v>
      </c>
      <c r="N146" s="70" t="s">
        <v>646</v>
      </c>
      <c r="O146" s="18"/>
      <c r="Z146" s="55">
        <f t="shared" si="102"/>
        <v>0</v>
      </c>
      <c r="AB146" s="55">
        <f t="shared" si="103"/>
        <v>0</v>
      </c>
      <c r="AC146" s="55">
        <f t="shared" si="104"/>
        <v>0</v>
      </c>
      <c r="AD146" s="55">
        <f t="shared" si="105"/>
        <v>0</v>
      </c>
      <c r="AE146" s="55">
        <f t="shared" si="106"/>
        <v>0</v>
      </c>
      <c r="AF146" s="55">
        <f t="shared" si="107"/>
        <v>0</v>
      </c>
      <c r="AG146" s="55">
        <f t="shared" si="108"/>
        <v>0</v>
      </c>
      <c r="AH146" s="55">
        <f t="shared" si="109"/>
        <v>0</v>
      </c>
      <c r="AI146" s="50"/>
      <c r="AJ146" s="43">
        <f t="shared" si="110"/>
        <v>0</v>
      </c>
      <c r="AK146" s="43">
        <f t="shared" si="111"/>
        <v>0</v>
      </c>
      <c r="AL146" s="43">
        <f t="shared" si="112"/>
        <v>0</v>
      </c>
      <c r="AN146" s="55">
        <v>21</v>
      </c>
      <c r="AO146" s="55">
        <f t="shared" si="122"/>
        <v>0</v>
      </c>
      <c r="AP146" s="55">
        <f t="shared" si="123"/>
        <v>0</v>
      </c>
      <c r="AQ146" s="57" t="s">
        <v>80</v>
      </c>
      <c r="AV146" s="55">
        <f t="shared" si="113"/>
        <v>0</v>
      </c>
      <c r="AW146" s="55">
        <f t="shared" si="114"/>
        <v>0</v>
      </c>
      <c r="AX146" s="55">
        <f t="shared" si="115"/>
        <v>0</v>
      </c>
      <c r="AY146" s="58" t="s">
        <v>667</v>
      </c>
      <c r="AZ146" s="58" t="s">
        <v>686</v>
      </c>
      <c r="BA146" s="50" t="s">
        <v>690</v>
      </c>
      <c r="BC146" s="55">
        <f t="shared" si="116"/>
        <v>0</v>
      </c>
      <c r="BD146" s="55">
        <f t="shared" si="117"/>
        <v>0</v>
      </c>
      <c r="BE146" s="55">
        <v>0</v>
      </c>
      <c r="BF146" s="55">
        <f t="shared" si="118"/>
        <v>0.003</v>
      </c>
      <c r="BH146" s="43">
        <f t="shared" si="119"/>
        <v>0</v>
      </c>
      <c r="BI146" s="43">
        <f t="shared" si="120"/>
        <v>0</v>
      </c>
      <c r="BJ146" s="43">
        <f t="shared" si="121"/>
        <v>0</v>
      </c>
      <c r="BK146" s="43" t="s">
        <v>696</v>
      </c>
      <c r="BL146" s="55">
        <v>766</v>
      </c>
    </row>
    <row r="147" spans="1:64" ht="12.75">
      <c r="A147" s="69" t="s">
        <v>173</v>
      </c>
      <c r="B147" s="17"/>
      <c r="C147" s="17" t="s">
        <v>321</v>
      </c>
      <c r="D147" s="113" t="s">
        <v>511</v>
      </c>
      <c r="E147" s="179"/>
      <c r="F147" s="17" t="s">
        <v>623</v>
      </c>
      <c r="G147" s="55">
        <v>4</v>
      </c>
      <c r="H147" s="92"/>
      <c r="I147" s="55">
        <f t="shared" si="98"/>
        <v>0</v>
      </c>
      <c r="J147" s="55">
        <f t="shared" si="99"/>
        <v>0</v>
      </c>
      <c r="K147" s="55">
        <f t="shared" si="100"/>
        <v>0</v>
      </c>
      <c r="L147" s="55">
        <v>0.0009</v>
      </c>
      <c r="M147" s="55">
        <f t="shared" si="101"/>
        <v>0.0036</v>
      </c>
      <c r="N147" s="70" t="s">
        <v>646</v>
      </c>
      <c r="O147" s="18"/>
      <c r="Z147" s="55">
        <f t="shared" si="102"/>
        <v>0</v>
      </c>
      <c r="AB147" s="55">
        <f t="shared" si="103"/>
        <v>0</v>
      </c>
      <c r="AC147" s="55">
        <f t="shared" si="104"/>
        <v>0</v>
      </c>
      <c r="AD147" s="55">
        <f t="shared" si="105"/>
        <v>0</v>
      </c>
      <c r="AE147" s="55">
        <f t="shared" si="106"/>
        <v>0</v>
      </c>
      <c r="AF147" s="55">
        <f t="shared" si="107"/>
        <v>0</v>
      </c>
      <c r="AG147" s="55">
        <f t="shared" si="108"/>
        <v>0</v>
      </c>
      <c r="AH147" s="55">
        <f t="shared" si="109"/>
        <v>0</v>
      </c>
      <c r="AI147" s="50"/>
      <c r="AJ147" s="43">
        <f t="shared" si="110"/>
        <v>0</v>
      </c>
      <c r="AK147" s="43">
        <f t="shared" si="111"/>
        <v>0</v>
      </c>
      <c r="AL147" s="43">
        <f t="shared" si="112"/>
        <v>0</v>
      </c>
      <c r="AN147" s="55">
        <v>21</v>
      </c>
      <c r="AO147" s="55">
        <f t="shared" si="122"/>
        <v>0</v>
      </c>
      <c r="AP147" s="55">
        <f t="shared" si="123"/>
        <v>0</v>
      </c>
      <c r="AQ147" s="57" t="s">
        <v>80</v>
      </c>
      <c r="AV147" s="55">
        <f t="shared" si="113"/>
        <v>0</v>
      </c>
      <c r="AW147" s="55">
        <f t="shared" si="114"/>
        <v>0</v>
      </c>
      <c r="AX147" s="55">
        <f t="shared" si="115"/>
        <v>0</v>
      </c>
      <c r="AY147" s="58" t="s">
        <v>667</v>
      </c>
      <c r="AZ147" s="58" t="s">
        <v>686</v>
      </c>
      <c r="BA147" s="50" t="s">
        <v>690</v>
      </c>
      <c r="BC147" s="55">
        <f t="shared" si="116"/>
        <v>0</v>
      </c>
      <c r="BD147" s="55">
        <f t="shared" si="117"/>
        <v>0</v>
      </c>
      <c r="BE147" s="55">
        <v>0</v>
      </c>
      <c r="BF147" s="55">
        <f t="shared" si="118"/>
        <v>0.0036</v>
      </c>
      <c r="BH147" s="43">
        <f t="shared" si="119"/>
        <v>0</v>
      </c>
      <c r="BI147" s="43">
        <f t="shared" si="120"/>
        <v>0</v>
      </c>
      <c r="BJ147" s="43">
        <f t="shared" si="121"/>
        <v>0</v>
      </c>
      <c r="BK147" s="43" t="s">
        <v>696</v>
      </c>
      <c r="BL147" s="55">
        <v>766</v>
      </c>
    </row>
    <row r="148" spans="1:64" ht="12.75">
      <c r="A148" s="69" t="s">
        <v>174</v>
      </c>
      <c r="B148" s="17"/>
      <c r="C148" s="17" t="s">
        <v>322</v>
      </c>
      <c r="D148" s="113" t="s">
        <v>512</v>
      </c>
      <c r="E148" s="179"/>
      <c r="F148" s="17" t="s">
        <v>623</v>
      </c>
      <c r="G148" s="55">
        <v>2</v>
      </c>
      <c r="H148" s="92"/>
      <c r="I148" s="55">
        <f t="shared" si="98"/>
        <v>0</v>
      </c>
      <c r="J148" s="55">
        <f t="shared" si="99"/>
        <v>0</v>
      </c>
      <c r="K148" s="55">
        <f t="shared" si="100"/>
        <v>0</v>
      </c>
      <c r="L148" s="55">
        <v>0.00158</v>
      </c>
      <c r="M148" s="55">
        <f t="shared" si="101"/>
        <v>0.00316</v>
      </c>
      <c r="N148" s="70" t="s">
        <v>646</v>
      </c>
      <c r="O148" s="18"/>
      <c r="Z148" s="55">
        <f t="shared" si="102"/>
        <v>0</v>
      </c>
      <c r="AB148" s="55">
        <f t="shared" si="103"/>
        <v>0</v>
      </c>
      <c r="AC148" s="55">
        <f t="shared" si="104"/>
        <v>0</v>
      </c>
      <c r="AD148" s="55">
        <f t="shared" si="105"/>
        <v>0</v>
      </c>
      <c r="AE148" s="55">
        <f t="shared" si="106"/>
        <v>0</v>
      </c>
      <c r="AF148" s="55">
        <f t="shared" si="107"/>
        <v>0</v>
      </c>
      <c r="AG148" s="55">
        <f t="shared" si="108"/>
        <v>0</v>
      </c>
      <c r="AH148" s="55">
        <f t="shared" si="109"/>
        <v>0</v>
      </c>
      <c r="AI148" s="50"/>
      <c r="AJ148" s="43">
        <f t="shared" si="110"/>
        <v>0</v>
      </c>
      <c r="AK148" s="43">
        <f t="shared" si="111"/>
        <v>0</v>
      </c>
      <c r="AL148" s="43">
        <f t="shared" si="112"/>
        <v>0</v>
      </c>
      <c r="AN148" s="55">
        <v>21</v>
      </c>
      <c r="AO148" s="55">
        <f t="shared" si="122"/>
        <v>0</v>
      </c>
      <c r="AP148" s="55">
        <f t="shared" si="123"/>
        <v>0</v>
      </c>
      <c r="AQ148" s="57" t="s">
        <v>80</v>
      </c>
      <c r="AV148" s="55">
        <f t="shared" si="113"/>
        <v>0</v>
      </c>
      <c r="AW148" s="55">
        <f t="shared" si="114"/>
        <v>0</v>
      </c>
      <c r="AX148" s="55">
        <f t="shared" si="115"/>
        <v>0</v>
      </c>
      <c r="AY148" s="58" t="s">
        <v>667</v>
      </c>
      <c r="AZ148" s="58" t="s">
        <v>686</v>
      </c>
      <c r="BA148" s="50" t="s">
        <v>690</v>
      </c>
      <c r="BC148" s="55">
        <f t="shared" si="116"/>
        <v>0</v>
      </c>
      <c r="BD148" s="55">
        <f t="shared" si="117"/>
        <v>0</v>
      </c>
      <c r="BE148" s="55">
        <v>0</v>
      </c>
      <c r="BF148" s="55">
        <f t="shared" si="118"/>
        <v>0.00316</v>
      </c>
      <c r="BH148" s="43">
        <f t="shared" si="119"/>
        <v>0</v>
      </c>
      <c r="BI148" s="43">
        <f t="shared" si="120"/>
        <v>0</v>
      </c>
      <c r="BJ148" s="43">
        <f t="shared" si="121"/>
        <v>0</v>
      </c>
      <c r="BK148" s="43" t="s">
        <v>696</v>
      </c>
      <c r="BL148" s="55">
        <v>766</v>
      </c>
    </row>
    <row r="149" spans="1:64" ht="12.75">
      <c r="A149" s="69" t="s">
        <v>175</v>
      </c>
      <c r="B149" s="17"/>
      <c r="C149" s="17" t="s">
        <v>323</v>
      </c>
      <c r="D149" s="113" t="s">
        <v>513</v>
      </c>
      <c r="E149" s="174"/>
      <c r="F149" s="17" t="s">
        <v>625</v>
      </c>
      <c r="G149" s="55">
        <v>0.1168</v>
      </c>
      <c r="H149" s="92"/>
      <c r="I149" s="55">
        <f t="shared" si="98"/>
        <v>0</v>
      </c>
      <c r="J149" s="55">
        <f t="shared" si="99"/>
        <v>0</v>
      </c>
      <c r="K149" s="55">
        <f t="shared" si="100"/>
        <v>0</v>
      </c>
      <c r="L149" s="55">
        <v>0</v>
      </c>
      <c r="M149" s="55">
        <f t="shared" si="101"/>
        <v>0</v>
      </c>
      <c r="N149" s="70" t="s">
        <v>646</v>
      </c>
      <c r="O149" s="18"/>
      <c r="Z149" s="55">
        <f t="shared" si="102"/>
        <v>0</v>
      </c>
      <c r="AB149" s="55">
        <f t="shared" si="103"/>
        <v>0</v>
      </c>
      <c r="AC149" s="55">
        <f t="shared" si="104"/>
        <v>0</v>
      </c>
      <c r="AD149" s="55">
        <f t="shared" si="105"/>
        <v>0</v>
      </c>
      <c r="AE149" s="55">
        <f t="shared" si="106"/>
        <v>0</v>
      </c>
      <c r="AF149" s="55">
        <f t="shared" si="107"/>
        <v>0</v>
      </c>
      <c r="AG149" s="55">
        <f t="shared" si="108"/>
        <v>0</v>
      </c>
      <c r="AH149" s="55">
        <f t="shared" si="109"/>
        <v>0</v>
      </c>
      <c r="AI149" s="50"/>
      <c r="AJ149" s="42">
        <f t="shared" si="110"/>
        <v>0</v>
      </c>
      <c r="AK149" s="42">
        <f t="shared" si="111"/>
        <v>0</v>
      </c>
      <c r="AL149" s="42">
        <f t="shared" si="112"/>
        <v>0</v>
      </c>
      <c r="AN149" s="55">
        <v>21</v>
      </c>
      <c r="AO149" s="55">
        <f>H149*0</f>
        <v>0</v>
      </c>
      <c r="AP149" s="55">
        <f>H149*(1-0)</f>
        <v>0</v>
      </c>
      <c r="AQ149" s="56" t="s">
        <v>78</v>
      </c>
      <c r="AV149" s="55">
        <f t="shared" si="113"/>
        <v>0</v>
      </c>
      <c r="AW149" s="55">
        <f t="shared" si="114"/>
        <v>0</v>
      </c>
      <c r="AX149" s="55">
        <f t="shared" si="115"/>
        <v>0</v>
      </c>
      <c r="AY149" s="58" t="s">
        <v>667</v>
      </c>
      <c r="AZ149" s="58" t="s">
        <v>686</v>
      </c>
      <c r="BA149" s="50" t="s">
        <v>690</v>
      </c>
      <c r="BC149" s="55">
        <f t="shared" si="116"/>
        <v>0</v>
      </c>
      <c r="BD149" s="55">
        <f t="shared" si="117"/>
        <v>0</v>
      </c>
      <c r="BE149" s="55">
        <v>0</v>
      </c>
      <c r="BF149" s="55">
        <f t="shared" si="118"/>
        <v>0</v>
      </c>
      <c r="BH149" s="42">
        <f t="shared" si="119"/>
        <v>0</v>
      </c>
      <c r="BI149" s="42">
        <f t="shared" si="120"/>
        <v>0</v>
      </c>
      <c r="BJ149" s="42">
        <f t="shared" si="121"/>
        <v>0</v>
      </c>
      <c r="BK149" s="42" t="s">
        <v>695</v>
      </c>
      <c r="BL149" s="55">
        <v>766</v>
      </c>
    </row>
    <row r="150" spans="1:47" ht="12.75">
      <c r="A150" s="63"/>
      <c r="B150" s="64"/>
      <c r="C150" s="64" t="s">
        <v>324</v>
      </c>
      <c r="D150" s="172" t="s">
        <v>514</v>
      </c>
      <c r="E150" s="173"/>
      <c r="F150" s="65" t="s">
        <v>73</v>
      </c>
      <c r="G150" s="65" t="s">
        <v>73</v>
      </c>
      <c r="H150" s="65" t="s">
        <v>73</v>
      </c>
      <c r="I150" s="66">
        <f>SUM(I151:I159)</f>
        <v>0</v>
      </c>
      <c r="J150" s="66">
        <f>SUM(J151:J159)</f>
        <v>0</v>
      </c>
      <c r="K150" s="66">
        <f>SUM(K151:K159)</f>
        <v>0</v>
      </c>
      <c r="L150" s="67"/>
      <c r="M150" s="66">
        <f>SUM(M151:M159)</f>
        <v>0.6628243049999999</v>
      </c>
      <c r="N150" s="68"/>
      <c r="O150" s="18"/>
      <c r="AI150" s="50"/>
      <c r="AS150" s="61">
        <f>SUM(AJ151:AJ159)</f>
        <v>0</v>
      </c>
      <c r="AT150" s="61">
        <f>SUM(AK151:AK159)</f>
        <v>0</v>
      </c>
      <c r="AU150" s="61">
        <f>SUM(AL151:AL159)</f>
        <v>0</v>
      </c>
    </row>
    <row r="151" spans="1:64" ht="12.75">
      <c r="A151" s="69" t="s">
        <v>176</v>
      </c>
      <c r="B151" s="17"/>
      <c r="C151" s="17" t="s">
        <v>325</v>
      </c>
      <c r="D151" s="113" t="s">
        <v>515</v>
      </c>
      <c r="E151" s="174"/>
      <c r="F151" s="17" t="s">
        <v>622</v>
      </c>
      <c r="G151" s="55">
        <v>23.2815</v>
      </c>
      <c r="H151" s="92"/>
      <c r="I151" s="55">
        <f>G151*AO151</f>
        <v>0</v>
      </c>
      <c r="J151" s="55">
        <f>G151*AP151</f>
        <v>0</v>
      </c>
      <c r="K151" s="55">
        <f>G151*H151</f>
        <v>0</v>
      </c>
      <c r="L151" s="55">
        <v>0.00714</v>
      </c>
      <c r="M151" s="55">
        <f>G151*L151</f>
        <v>0.16622991</v>
      </c>
      <c r="N151" s="70" t="s">
        <v>646</v>
      </c>
      <c r="O151" s="18"/>
      <c r="Z151" s="55">
        <f>IF(AQ151="5",BJ151,0)</f>
        <v>0</v>
      </c>
      <c r="AB151" s="55">
        <f>IF(AQ151="1",BH151,0)</f>
        <v>0</v>
      </c>
      <c r="AC151" s="55">
        <f>IF(AQ151="1",BI151,0)</f>
        <v>0</v>
      </c>
      <c r="AD151" s="55">
        <f>IF(AQ151="7",BH151,0)</f>
        <v>0</v>
      </c>
      <c r="AE151" s="55">
        <f>IF(AQ151="7",BI151,0)</f>
        <v>0</v>
      </c>
      <c r="AF151" s="55">
        <f>IF(AQ151="2",BH151,0)</f>
        <v>0</v>
      </c>
      <c r="AG151" s="55">
        <f>IF(AQ151="2",BI151,0)</f>
        <v>0</v>
      </c>
      <c r="AH151" s="55">
        <f>IF(AQ151="0",BJ151,0)</f>
        <v>0</v>
      </c>
      <c r="AI151" s="50"/>
      <c r="AJ151" s="42">
        <f>IF(AN151=0,K151,0)</f>
        <v>0</v>
      </c>
      <c r="AK151" s="42">
        <f>IF(AN151=15,K151,0)</f>
        <v>0</v>
      </c>
      <c r="AL151" s="42">
        <f>IF(AN151=21,K151,0)</f>
        <v>0</v>
      </c>
      <c r="AN151" s="55">
        <v>21</v>
      </c>
      <c r="AO151" s="55">
        <f>H151*0.228982300869483</f>
        <v>0</v>
      </c>
      <c r="AP151" s="55">
        <f>H151*(1-0.228982300869483)</f>
        <v>0</v>
      </c>
      <c r="AQ151" s="56" t="s">
        <v>80</v>
      </c>
      <c r="AV151" s="55">
        <f>AW151+AX151</f>
        <v>0</v>
      </c>
      <c r="AW151" s="55">
        <f>G151*AO151</f>
        <v>0</v>
      </c>
      <c r="AX151" s="55">
        <f>G151*AP151</f>
        <v>0</v>
      </c>
      <c r="AY151" s="58" t="s">
        <v>668</v>
      </c>
      <c r="AZ151" s="58" t="s">
        <v>687</v>
      </c>
      <c r="BA151" s="50" t="s">
        <v>690</v>
      </c>
      <c r="BC151" s="55">
        <f>AW151+AX151</f>
        <v>0</v>
      </c>
      <c r="BD151" s="55">
        <f>H151/(100-BE151)*100</f>
        <v>0</v>
      </c>
      <c r="BE151" s="55">
        <v>0</v>
      </c>
      <c r="BF151" s="55">
        <f>M151</f>
        <v>0.16622991</v>
      </c>
      <c r="BH151" s="42">
        <f>G151*AO151</f>
        <v>0</v>
      </c>
      <c r="BI151" s="42">
        <f>G151*AP151</f>
        <v>0</v>
      </c>
      <c r="BJ151" s="42">
        <f>G151*H151</f>
        <v>0</v>
      </c>
      <c r="BK151" s="42" t="s">
        <v>695</v>
      </c>
      <c r="BL151" s="55">
        <v>771</v>
      </c>
    </row>
    <row r="152" spans="1:15" ht="12.75">
      <c r="A152" s="18"/>
      <c r="B152" s="71"/>
      <c r="C152" s="71"/>
      <c r="D152" s="72" t="s">
        <v>516</v>
      </c>
      <c r="E152" s="72"/>
      <c r="F152" s="71"/>
      <c r="G152" s="73">
        <v>15.394</v>
      </c>
      <c r="H152" s="71"/>
      <c r="I152" s="71"/>
      <c r="J152" s="71"/>
      <c r="K152" s="71"/>
      <c r="L152" s="71"/>
      <c r="M152" s="71"/>
      <c r="N152" s="16"/>
      <c r="O152" s="18"/>
    </row>
    <row r="153" spans="1:15" ht="12.75">
      <c r="A153" s="18"/>
      <c r="B153" s="71"/>
      <c r="C153" s="71"/>
      <c r="D153" s="72" t="s">
        <v>517</v>
      </c>
      <c r="E153" s="72"/>
      <c r="F153" s="71"/>
      <c r="G153" s="73">
        <v>7.8875</v>
      </c>
      <c r="H153" s="71"/>
      <c r="I153" s="71"/>
      <c r="J153" s="71"/>
      <c r="K153" s="71"/>
      <c r="L153" s="71"/>
      <c r="M153" s="71"/>
      <c r="N153" s="16"/>
      <c r="O153" s="18"/>
    </row>
    <row r="154" spans="1:64" ht="12.75">
      <c r="A154" s="69" t="s">
        <v>177</v>
      </c>
      <c r="B154" s="17"/>
      <c r="C154" s="17" t="s">
        <v>326</v>
      </c>
      <c r="D154" s="113" t="s">
        <v>518</v>
      </c>
      <c r="E154" s="174"/>
      <c r="F154" s="17" t="s">
        <v>622</v>
      </c>
      <c r="G154" s="55">
        <v>23.2815</v>
      </c>
      <c r="H154" s="92"/>
      <c r="I154" s="55">
        <f>G154*AO154</f>
        <v>0</v>
      </c>
      <c r="J154" s="55">
        <f>G154*AP154</f>
        <v>0</v>
      </c>
      <c r="K154" s="55">
        <f>G154*H154</f>
        <v>0</v>
      </c>
      <c r="L154" s="55">
        <v>0</v>
      </c>
      <c r="M154" s="55">
        <f>G154*L154</f>
        <v>0</v>
      </c>
      <c r="N154" s="70" t="s">
        <v>646</v>
      </c>
      <c r="O154" s="18"/>
      <c r="Z154" s="55">
        <f>IF(AQ154="5",BJ154,0)</f>
        <v>0</v>
      </c>
      <c r="AB154" s="55">
        <f>IF(AQ154="1",BH154,0)</f>
        <v>0</v>
      </c>
      <c r="AC154" s="55">
        <f>IF(AQ154="1",BI154,0)</f>
        <v>0</v>
      </c>
      <c r="AD154" s="55">
        <f>IF(AQ154="7",BH154,0)</f>
        <v>0</v>
      </c>
      <c r="AE154" s="55">
        <f>IF(AQ154="7",BI154,0)</f>
        <v>0</v>
      </c>
      <c r="AF154" s="55">
        <f>IF(AQ154="2",BH154,0)</f>
        <v>0</v>
      </c>
      <c r="AG154" s="55">
        <f>IF(AQ154="2",BI154,0)</f>
        <v>0</v>
      </c>
      <c r="AH154" s="55">
        <f>IF(AQ154="0",BJ154,0)</f>
        <v>0</v>
      </c>
      <c r="AI154" s="50"/>
      <c r="AJ154" s="42">
        <f>IF(AN154=0,K154,0)</f>
        <v>0</v>
      </c>
      <c r="AK154" s="42">
        <f>IF(AN154=15,K154,0)</f>
        <v>0</v>
      </c>
      <c r="AL154" s="42">
        <f>IF(AN154=21,K154,0)</f>
        <v>0</v>
      </c>
      <c r="AN154" s="55">
        <v>21</v>
      </c>
      <c r="AO154" s="55">
        <f>H154*0</f>
        <v>0</v>
      </c>
      <c r="AP154" s="55">
        <f>H154*(1-0)</f>
        <v>0</v>
      </c>
      <c r="AQ154" s="56" t="s">
        <v>80</v>
      </c>
      <c r="AV154" s="55">
        <f>AW154+AX154</f>
        <v>0</v>
      </c>
      <c r="AW154" s="55">
        <f>G154*AO154</f>
        <v>0</v>
      </c>
      <c r="AX154" s="55">
        <f>G154*AP154</f>
        <v>0</v>
      </c>
      <c r="AY154" s="58" t="s">
        <v>668</v>
      </c>
      <c r="AZ154" s="58" t="s">
        <v>687</v>
      </c>
      <c r="BA154" s="50" t="s">
        <v>690</v>
      </c>
      <c r="BC154" s="55">
        <f>AW154+AX154</f>
        <v>0</v>
      </c>
      <c r="BD154" s="55">
        <f>H154/(100-BE154)*100</f>
        <v>0</v>
      </c>
      <c r="BE154" s="55">
        <v>0</v>
      </c>
      <c r="BF154" s="55">
        <f>M154</f>
        <v>0</v>
      </c>
      <c r="BH154" s="42">
        <f>G154*AO154</f>
        <v>0</v>
      </c>
      <c r="BI154" s="42">
        <f>G154*AP154</f>
        <v>0</v>
      </c>
      <c r="BJ154" s="42">
        <f>G154*H154</f>
        <v>0</v>
      </c>
      <c r="BK154" s="42" t="s">
        <v>695</v>
      </c>
      <c r="BL154" s="55">
        <v>771</v>
      </c>
    </row>
    <row r="155" spans="1:64" ht="12.75">
      <c r="A155" s="69" t="s">
        <v>178</v>
      </c>
      <c r="B155" s="17"/>
      <c r="C155" s="17" t="s">
        <v>327</v>
      </c>
      <c r="D155" s="113" t="s">
        <v>519</v>
      </c>
      <c r="E155" s="174"/>
      <c r="F155" s="17" t="s">
        <v>622</v>
      </c>
      <c r="G155" s="55">
        <v>23.2815</v>
      </c>
      <c r="H155" s="92"/>
      <c r="I155" s="55">
        <f>G155*AO155</f>
        <v>0</v>
      </c>
      <c r="J155" s="55">
        <f>G155*AP155</f>
        <v>0</v>
      </c>
      <c r="K155" s="55">
        <f>G155*H155</f>
        <v>0</v>
      </c>
      <c r="L155" s="55">
        <v>0</v>
      </c>
      <c r="M155" s="55">
        <f>G155*L155</f>
        <v>0</v>
      </c>
      <c r="N155" s="70" t="s">
        <v>646</v>
      </c>
      <c r="O155" s="18"/>
      <c r="Z155" s="55">
        <f>IF(AQ155="5",BJ155,0)</f>
        <v>0</v>
      </c>
      <c r="AB155" s="55">
        <f>IF(AQ155="1",BH155,0)</f>
        <v>0</v>
      </c>
      <c r="AC155" s="55">
        <f>IF(AQ155="1",BI155,0)</f>
        <v>0</v>
      </c>
      <c r="AD155" s="55">
        <f>IF(AQ155="7",BH155,0)</f>
        <v>0</v>
      </c>
      <c r="AE155" s="55">
        <f>IF(AQ155="7",BI155,0)</f>
        <v>0</v>
      </c>
      <c r="AF155" s="55">
        <f>IF(AQ155="2",BH155,0)</f>
        <v>0</v>
      </c>
      <c r="AG155" s="55">
        <f>IF(AQ155="2",BI155,0)</f>
        <v>0</v>
      </c>
      <c r="AH155" s="55">
        <f>IF(AQ155="0",BJ155,0)</f>
        <v>0</v>
      </c>
      <c r="AI155" s="50"/>
      <c r="AJ155" s="42">
        <f>IF(AN155=0,K155,0)</f>
        <v>0</v>
      </c>
      <c r="AK155" s="42">
        <f>IF(AN155=15,K155,0)</f>
        <v>0</v>
      </c>
      <c r="AL155" s="42">
        <f>IF(AN155=21,K155,0)</f>
        <v>0</v>
      </c>
      <c r="AN155" s="55">
        <v>21</v>
      </c>
      <c r="AO155" s="55">
        <f>H155*0</f>
        <v>0</v>
      </c>
      <c r="AP155" s="55">
        <f>H155*(1-0)</f>
        <v>0</v>
      </c>
      <c r="AQ155" s="56" t="s">
        <v>80</v>
      </c>
      <c r="AV155" s="55">
        <f>AW155+AX155</f>
        <v>0</v>
      </c>
      <c r="AW155" s="55">
        <f>G155*AO155</f>
        <v>0</v>
      </c>
      <c r="AX155" s="55">
        <f>G155*AP155</f>
        <v>0</v>
      </c>
      <c r="AY155" s="58" t="s">
        <v>668</v>
      </c>
      <c r="AZ155" s="58" t="s">
        <v>687</v>
      </c>
      <c r="BA155" s="50" t="s">
        <v>690</v>
      </c>
      <c r="BC155" s="55">
        <f>AW155+AX155</f>
        <v>0</v>
      </c>
      <c r="BD155" s="55">
        <f>H155/(100-BE155)*100</f>
        <v>0</v>
      </c>
      <c r="BE155" s="55">
        <v>0</v>
      </c>
      <c r="BF155" s="55">
        <f>M155</f>
        <v>0</v>
      </c>
      <c r="BH155" s="42">
        <f>G155*AO155</f>
        <v>0</v>
      </c>
      <c r="BI155" s="42">
        <f>G155*AP155</f>
        <v>0</v>
      </c>
      <c r="BJ155" s="42">
        <f>G155*H155</f>
        <v>0</v>
      </c>
      <c r="BK155" s="42" t="s">
        <v>695</v>
      </c>
      <c r="BL155" s="55">
        <v>771</v>
      </c>
    </row>
    <row r="156" spans="1:64" ht="12.75">
      <c r="A156" s="69" t="s">
        <v>179</v>
      </c>
      <c r="B156" s="17"/>
      <c r="C156" s="17" t="s">
        <v>328</v>
      </c>
      <c r="D156" s="113" t="s">
        <v>520</v>
      </c>
      <c r="E156" s="174"/>
      <c r="F156" s="17" t="s">
        <v>622</v>
      </c>
      <c r="G156" s="55">
        <v>23.2815</v>
      </c>
      <c r="H156" s="92"/>
      <c r="I156" s="55">
        <f>G156*AO156</f>
        <v>0</v>
      </c>
      <c r="J156" s="55">
        <f>G156*AP156</f>
        <v>0</v>
      </c>
      <c r="K156" s="55">
        <f>G156*H156</f>
        <v>0</v>
      </c>
      <c r="L156" s="55">
        <v>0.00021</v>
      </c>
      <c r="M156" s="55">
        <f>G156*L156</f>
        <v>0.004889115</v>
      </c>
      <c r="N156" s="70" t="s">
        <v>646</v>
      </c>
      <c r="O156" s="18"/>
      <c r="Z156" s="55">
        <f>IF(AQ156="5",BJ156,0)</f>
        <v>0</v>
      </c>
      <c r="AB156" s="55">
        <f>IF(AQ156="1",BH156,0)</f>
        <v>0</v>
      </c>
      <c r="AC156" s="55">
        <f>IF(AQ156="1",BI156,0)</f>
        <v>0</v>
      </c>
      <c r="AD156" s="55">
        <f>IF(AQ156="7",BH156,0)</f>
        <v>0</v>
      </c>
      <c r="AE156" s="55">
        <f>IF(AQ156="7",BI156,0)</f>
        <v>0</v>
      </c>
      <c r="AF156" s="55">
        <f>IF(AQ156="2",BH156,0)</f>
        <v>0</v>
      </c>
      <c r="AG156" s="55">
        <f>IF(AQ156="2",BI156,0)</f>
        <v>0</v>
      </c>
      <c r="AH156" s="55">
        <f>IF(AQ156="0",BJ156,0)</f>
        <v>0</v>
      </c>
      <c r="AI156" s="50"/>
      <c r="AJ156" s="42">
        <f>IF(AN156=0,K156,0)</f>
        <v>0</v>
      </c>
      <c r="AK156" s="42">
        <f>IF(AN156=15,K156,0)</f>
        <v>0</v>
      </c>
      <c r="AL156" s="42">
        <f>IF(AN156=21,K156,0)</f>
        <v>0</v>
      </c>
      <c r="AN156" s="55">
        <v>21</v>
      </c>
      <c r="AO156" s="55">
        <f>H156*0.506652709842317</f>
        <v>0</v>
      </c>
      <c r="AP156" s="55">
        <f>H156*(1-0.506652709842317)</f>
        <v>0</v>
      </c>
      <c r="AQ156" s="56" t="s">
        <v>80</v>
      </c>
      <c r="AV156" s="55">
        <f>AW156+AX156</f>
        <v>0</v>
      </c>
      <c r="AW156" s="55">
        <f>G156*AO156</f>
        <v>0</v>
      </c>
      <c r="AX156" s="55">
        <f>G156*AP156</f>
        <v>0</v>
      </c>
      <c r="AY156" s="58" t="s">
        <v>668</v>
      </c>
      <c r="AZ156" s="58" t="s">
        <v>687</v>
      </c>
      <c r="BA156" s="50" t="s">
        <v>690</v>
      </c>
      <c r="BC156" s="55">
        <f>AW156+AX156</f>
        <v>0</v>
      </c>
      <c r="BD156" s="55">
        <f>H156/(100-BE156)*100</f>
        <v>0</v>
      </c>
      <c r="BE156" s="55">
        <v>0</v>
      </c>
      <c r="BF156" s="55">
        <f>M156</f>
        <v>0.004889115</v>
      </c>
      <c r="BH156" s="42">
        <f>G156*AO156</f>
        <v>0</v>
      </c>
      <c r="BI156" s="42">
        <f>G156*AP156</f>
        <v>0</v>
      </c>
      <c r="BJ156" s="42">
        <f>G156*H156</f>
        <v>0</v>
      </c>
      <c r="BK156" s="42" t="s">
        <v>695</v>
      </c>
      <c r="BL156" s="55">
        <v>771</v>
      </c>
    </row>
    <row r="157" spans="1:64" ht="12.75">
      <c r="A157" s="69" t="s">
        <v>180</v>
      </c>
      <c r="B157" s="17"/>
      <c r="C157" s="17" t="s">
        <v>329</v>
      </c>
      <c r="D157" s="113" t="s">
        <v>521</v>
      </c>
      <c r="E157" s="179"/>
      <c r="F157" s="17" t="s">
        <v>622</v>
      </c>
      <c r="G157" s="55">
        <v>25.60965</v>
      </c>
      <c r="H157" s="92"/>
      <c r="I157" s="55">
        <f>G157*AO157</f>
        <v>0</v>
      </c>
      <c r="J157" s="55">
        <f>G157*AP157</f>
        <v>0</v>
      </c>
      <c r="K157" s="55">
        <f>G157*H157</f>
        <v>0</v>
      </c>
      <c r="L157" s="55">
        <v>0.0192</v>
      </c>
      <c r="M157" s="55">
        <f>G157*L157</f>
        <v>0.4917052799999999</v>
      </c>
      <c r="N157" s="70" t="s">
        <v>646</v>
      </c>
      <c r="O157" s="18"/>
      <c r="Z157" s="55">
        <f>IF(AQ157="5",BJ157,0)</f>
        <v>0</v>
      </c>
      <c r="AB157" s="55">
        <f>IF(AQ157="1",BH157,0)</f>
        <v>0</v>
      </c>
      <c r="AC157" s="55">
        <f>IF(AQ157="1",BI157,0)</f>
        <v>0</v>
      </c>
      <c r="AD157" s="55">
        <f>IF(AQ157="7",BH157,0)</f>
        <v>0</v>
      </c>
      <c r="AE157" s="55">
        <f>IF(AQ157="7",BI157,0)</f>
        <v>0</v>
      </c>
      <c r="AF157" s="55">
        <f>IF(AQ157="2",BH157,0)</f>
        <v>0</v>
      </c>
      <c r="AG157" s="55">
        <f>IF(AQ157="2",BI157,0)</f>
        <v>0</v>
      </c>
      <c r="AH157" s="55">
        <f>IF(AQ157="0",BJ157,0)</f>
        <v>0</v>
      </c>
      <c r="AI157" s="50"/>
      <c r="AJ157" s="43">
        <f>IF(AN157=0,K157,0)</f>
        <v>0</v>
      </c>
      <c r="AK157" s="43">
        <f>IF(AN157=15,K157,0)</f>
        <v>0</v>
      </c>
      <c r="AL157" s="43">
        <f>IF(AN157=21,K157,0)</f>
        <v>0</v>
      </c>
      <c r="AN157" s="55">
        <v>21</v>
      </c>
      <c r="AO157" s="55">
        <f>H157*1</f>
        <v>0</v>
      </c>
      <c r="AP157" s="55">
        <f>H157*(1-1)</f>
        <v>0</v>
      </c>
      <c r="AQ157" s="57" t="s">
        <v>80</v>
      </c>
      <c r="AV157" s="55">
        <f>AW157+AX157</f>
        <v>0</v>
      </c>
      <c r="AW157" s="55">
        <f>G157*AO157</f>
        <v>0</v>
      </c>
      <c r="AX157" s="55">
        <f>G157*AP157</f>
        <v>0</v>
      </c>
      <c r="AY157" s="58" t="s">
        <v>668</v>
      </c>
      <c r="AZ157" s="58" t="s">
        <v>687</v>
      </c>
      <c r="BA157" s="50" t="s">
        <v>690</v>
      </c>
      <c r="BC157" s="55">
        <f>AW157+AX157</f>
        <v>0</v>
      </c>
      <c r="BD157" s="55">
        <f>H157/(100-BE157)*100</f>
        <v>0</v>
      </c>
      <c r="BE157" s="55">
        <v>0</v>
      </c>
      <c r="BF157" s="55">
        <f>M157</f>
        <v>0.4917052799999999</v>
      </c>
      <c r="BH157" s="43">
        <f>G157*AO157</f>
        <v>0</v>
      </c>
      <c r="BI157" s="43">
        <f>G157*AP157</f>
        <v>0</v>
      </c>
      <c r="BJ157" s="43">
        <f>G157*H157</f>
        <v>0</v>
      </c>
      <c r="BK157" s="43" t="s">
        <v>696</v>
      </c>
      <c r="BL157" s="55">
        <v>771</v>
      </c>
    </row>
    <row r="158" spans="1:15" ht="12.75">
      <c r="A158" s="18"/>
      <c r="B158" s="71"/>
      <c r="C158" s="71"/>
      <c r="D158" s="72" t="s">
        <v>522</v>
      </c>
      <c r="E158" s="72"/>
      <c r="F158" s="71"/>
      <c r="G158" s="73">
        <v>25.60965</v>
      </c>
      <c r="H158" s="71"/>
      <c r="I158" s="71"/>
      <c r="J158" s="71"/>
      <c r="K158" s="71"/>
      <c r="L158" s="71"/>
      <c r="M158" s="71"/>
      <c r="N158" s="16"/>
      <c r="O158" s="18"/>
    </row>
    <row r="159" spans="1:64" ht="12.75">
      <c r="A159" s="69" t="s">
        <v>181</v>
      </c>
      <c r="B159" s="17"/>
      <c r="C159" s="17" t="s">
        <v>330</v>
      </c>
      <c r="D159" s="113" t="s">
        <v>523</v>
      </c>
      <c r="E159" s="174"/>
      <c r="F159" s="17" t="s">
        <v>625</v>
      </c>
      <c r="G159" s="55">
        <v>0.6628</v>
      </c>
      <c r="H159" s="92"/>
      <c r="I159" s="55">
        <f>G159*AO159</f>
        <v>0</v>
      </c>
      <c r="J159" s="55">
        <f>G159*AP159</f>
        <v>0</v>
      </c>
      <c r="K159" s="55">
        <f>G159*H159</f>
        <v>0</v>
      </c>
      <c r="L159" s="55">
        <v>0</v>
      </c>
      <c r="M159" s="55">
        <f>G159*L159</f>
        <v>0</v>
      </c>
      <c r="N159" s="70" t="s">
        <v>646</v>
      </c>
      <c r="O159" s="18"/>
      <c r="Z159" s="55">
        <f>IF(AQ159="5",BJ159,0)</f>
        <v>0</v>
      </c>
      <c r="AB159" s="55">
        <f>IF(AQ159="1",BH159,0)</f>
        <v>0</v>
      </c>
      <c r="AC159" s="55">
        <f>IF(AQ159="1",BI159,0)</f>
        <v>0</v>
      </c>
      <c r="AD159" s="55">
        <f>IF(AQ159="7",BH159,0)</f>
        <v>0</v>
      </c>
      <c r="AE159" s="55">
        <f>IF(AQ159="7",BI159,0)</f>
        <v>0</v>
      </c>
      <c r="AF159" s="55">
        <f>IF(AQ159="2",BH159,0)</f>
        <v>0</v>
      </c>
      <c r="AG159" s="55">
        <f>IF(AQ159="2",BI159,0)</f>
        <v>0</v>
      </c>
      <c r="AH159" s="55">
        <f>IF(AQ159="0",BJ159,0)</f>
        <v>0</v>
      </c>
      <c r="AI159" s="50"/>
      <c r="AJ159" s="42">
        <f>IF(AN159=0,K159,0)</f>
        <v>0</v>
      </c>
      <c r="AK159" s="42">
        <f>IF(AN159=15,K159,0)</f>
        <v>0</v>
      </c>
      <c r="AL159" s="42">
        <f>IF(AN159=21,K159,0)</f>
        <v>0</v>
      </c>
      <c r="AN159" s="55">
        <v>21</v>
      </c>
      <c r="AO159" s="55">
        <f>H159*0</f>
        <v>0</v>
      </c>
      <c r="AP159" s="55">
        <f>H159*(1-0)</f>
        <v>0</v>
      </c>
      <c r="AQ159" s="56" t="s">
        <v>78</v>
      </c>
      <c r="AV159" s="55">
        <f>AW159+AX159</f>
        <v>0</v>
      </c>
      <c r="AW159" s="55">
        <f>G159*AO159</f>
        <v>0</v>
      </c>
      <c r="AX159" s="55">
        <f>G159*AP159</f>
        <v>0</v>
      </c>
      <c r="AY159" s="58" t="s">
        <v>668</v>
      </c>
      <c r="AZ159" s="58" t="s">
        <v>687</v>
      </c>
      <c r="BA159" s="50" t="s">
        <v>690</v>
      </c>
      <c r="BC159" s="55">
        <f>AW159+AX159</f>
        <v>0</v>
      </c>
      <c r="BD159" s="55">
        <f>H159/(100-BE159)*100</f>
        <v>0</v>
      </c>
      <c r="BE159" s="55">
        <v>0</v>
      </c>
      <c r="BF159" s="55">
        <f>M159</f>
        <v>0</v>
      </c>
      <c r="BH159" s="42">
        <f>G159*AO159</f>
        <v>0</v>
      </c>
      <c r="BI159" s="42">
        <f>G159*AP159</f>
        <v>0</v>
      </c>
      <c r="BJ159" s="42">
        <f>G159*H159</f>
        <v>0</v>
      </c>
      <c r="BK159" s="42" t="s">
        <v>695</v>
      </c>
      <c r="BL159" s="55">
        <v>771</v>
      </c>
    </row>
    <row r="160" spans="1:47" ht="12.75">
      <c r="A160" s="63"/>
      <c r="B160" s="64"/>
      <c r="C160" s="64" t="s">
        <v>331</v>
      </c>
      <c r="D160" s="172" t="s">
        <v>524</v>
      </c>
      <c r="E160" s="173"/>
      <c r="F160" s="65" t="s">
        <v>73</v>
      </c>
      <c r="G160" s="65" t="s">
        <v>73</v>
      </c>
      <c r="H160" s="65" t="s">
        <v>73</v>
      </c>
      <c r="I160" s="66">
        <f>SUM(I161:I161)</f>
        <v>0</v>
      </c>
      <c r="J160" s="66">
        <f>SUM(J161:J161)</f>
        <v>0</v>
      </c>
      <c r="K160" s="66">
        <f>SUM(K161:K161)</f>
        <v>0</v>
      </c>
      <c r="L160" s="67"/>
      <c r="M160" s="66">
        <f>SUM(M161:M161)</f>
        <v>0.0013000000000000002</v>
      </c>
      <c r="N160" s="68"/>
      <c r="O160" s="18"/>
      <c r="AI160" s="50"/>
      <c r="AS160" s="61">
        <f>SUM(AJ161:AJ161)</f>
        <v>0</v>
      </c>
      <c r="AT160" s="61">
        <f>SUM(AK161:AK161)</f>
        <v>0</v>
      </c>
      <c r="AU160" s="61">
        <f>SUM(AL161:AL161)</f>
        <v>0</v>
      </c>
    </row>
    <row r="161" spans="1:64" ht="12.75">
      <c r="A161" s="69" t="s">
        <v>182</v>
      </c>
      <c r="B161" s="17"/>
      <c r="C161" s="17" t="s">
        <v>332</v>
      </c>
      <c r="D161" s="113" t="s">
        <v>525</v>
      </c>
      <c r="E161" s="174"/>
      <c r="F161" s="17" t="s">
        <v>622</v>
      </c>
      <c r="G161" s="55">
        <v>1.3</v>
      </c>
      <c r="H161" s="92"/>
      <c r="I161" s="55">
        <f>G161*AO161</f>
        <v>0</v>
      </c>
      <c r="J161" s="55">
        <f>G161*AP161</f>
        <v>0</v>
      </c>
      <c r="K161" s="55">
        <f>G161*H161</f>
        <v>0</v>
      </c>
      <c r="L161" s="55">
        <v>0.001</v>
      </c>
      <c r="M161" s="55">
        <f>G161*L161</f>
        <v>0.0013000000000000002</v>
      </c>
      <c r="N161" s="70" t="s">
        <v>646</v>
      </c>
      <c r="O161" s="18"/>
      <c r="Z161" s="55">
        <f>IF(AQ161="5",BJ161,0)</f>
        <v>0</v>
      </c>
      <c r="AB161" s="55">
        <f>IF(AQ161="1",BH161,0)</f>
        <v>0</v>
      </c>
      <c r="AC161" s="55">
        <f>IF(AQ161="1",BI161,0)</f>
        <v>0</v>
      </c>
      <c r="AD161" s="55">
        <f>IF(AQ161="7",BH161,0)</f>
        <v>0</v>
      </c>
      <c r="AE161" s="55">
        <f>IF(AQ161="7",BI161,0)</f>
        <v>0</v>
      </c>
      <c r="AF161" s="55">
        <f>IF(AQ161="2",BH161,0)</f>
        <v>0</v>
      </c>
      <c r="AG161" s="55">
        <f>IF(AQ161="2",BI161,0)</f>
        <v>0</v>
      </c>
      <c r="AH161" s="55">
        <f>IF(AQ161="0",BJ161,0)</f>
        <v>0</v>
      </c>
      <c r="AI161" s="50"/>
      <c r="AJ161" s="42">
        <f>IF(AN161=0,K161,0)</f>
        <v>0</v>
      </c>
      <c r="AK161" s="42">
        <f>IF(AN161=15,K161,0)</f>
        <v>0</v>
      </c>
      <c r="AL161" s="42">
        <f>IF(AN161=21,K161,0)</f>
        <v>0</v>
      </c>
      <c r="AN161" s="55">
        <v>21</v>
      </c>
      <c r="AO161" s="55">
        <f>H161*0</f>
        <v>0</v>
      </c>
      <c r="AP161" s="55">
        <f>H161*(1-0)</f>
        <v>0</v>
      </c>
      <c r="AQ161" s="56" t="s">
        <v>80</v>
      </c>
      <c r="AV161" s="55">
        <f>AW161+AX161</f>
        <v>0</v>
      </c>
      <c r="AW161" s="55">
        <f>G161*AO161</f>
        <v>0</v>
      </c>
      <c r="AX161" s="55">
        <f>G161*AP161</f>
        <v>0</v>
      </c>
      <c r="AY161" s="58" t="s">
        <v>669</v>
      </c>
      <c r="AZ161" s="58" t="s">
        <v>687</v>
      </c>
      <c r="BA161" s="50" t="s">
        <v>690</v>
      </c>
      <c r="BC161" s="55">
        <f>AW161+AX161</f>
        <v>0</v>
      </c>
      <c r="BD161" s="55">
        <f>H161/(100-BE161)*100</f>
        <v>0</v>
      </c>
      <c r="BE161" s="55">
        <v>0</v>
      </c>
      <c r="BF161" s="55">
        <f>M161</f>
        <v>0.0013000000000000002</v>
      </c>
      <c r="BH161" s="42">
        <f>G161*AO161</f>
        <v>0</v>
      </c>
      <c r="BI161" s="42">
        <f>G161*AP161</f>
        <v>0</v>
      </c>
      <c r="BJ161" s="42">
        <f>G161*H161</f>
        <v>0</v>
      </c>
      <c r="BK161" s="42" t="s">
        <v>695</v>
      </c>
      <c r="BL161" s="55">
        <v>776</v>
      </c>
    </row>
    <row r="162" spans="1:15" ht="12.75">
      <c r="A162" s="18"/>
      <c r="B162" s="71"/>
      <c r="C162" s="71"/>
      <c r="D162" s="72" t="s">
        <v>526</v>
      </c>
      <c r="E162" s="72"/>
      <c r="F162" s="71"/>
      <c r="G162" s="73">
        <v>1.3</v>
      </c>
      <c r="H162" s="71"/>
      <c r="I162" s="71"/>
      <c r="J162" s="71"/>
      <c r="K162" s="71"/>
      <c r="L162" s="71"/>
      <c r="M162" s="71"/>
      <c r="N162" s="16"/>
      <c r="O162" s="18"/>
    </row>
    <row r="163" spans="1:47" ht="12.75">
      <c r="A163" s="63"/>
      <c r="B163" s="64"/>
      <c r="C163" s="64" t="s">
        <v>333</v>
      </c>
      <c r="D163" s="172" t="s">
        <v>527</v>
      </c>
      <c r="E163" s="173"/>
      <c r="F163" s="65" t="s">
        <v>73</v>
      </c>
      <c r="G163" s="65" t="s">
        <v>73</v>
      </c>
      <c r="H163" s="65" t="s">
        <v>73</v>
      </c>
      <c r="I163" s="66">
        <f>SUM(I164:I195)</f>
        <v>0</v>
      </c>
      <c r="J163" s="66">
        <f>SUM(J164:J195)</f>
        <v>0</v>
      </c>
      <c r="K163" s="66">
        <f>SUM(K164:K195)</f>
        <v>0</v>
      </c>
      <c r="L163" s="67"/>
      <c r="M163" s="66">
        <f>SUM(M164:M195)</f>
        <v>1.75744774</v>
      </c>
      <c r="N163" s="68"/>
      <c r="O163" s="18"/>
      <c r="AI163" s="50"/>
      <c r="AS163" s="61">
        <f>SUM(AJ164:AJ195)</f>
        <v>0</v>
      </c>
      <c r="AT163" s="61">
        <f>SUM(AK164:AK195)</f>
        <v>0</v>
      </c>
      <c r="AU163" s="61">
        <f>SUM(AL164:AL195)</f>
        <v>0</v>
      </c>
    </row>
    <row r="164" spans="1:64" ht="12.75">
      <c r="A164" s="69" t="s">
        <v>183</v>
      </c>
      <c r="B164" s="17"/>
      <c r="C164" s="17" t="s">
        <v>334</v>
      </c>
      <c r="D164" s="113" t="s">
        <v>528</v>
      </c>
      <c r="E164" s="174"/>
      <c r="F164" s="17" t="s">
        <v>622</v>
      </c>
      <c r="G164" s="55">
        <v>92.758</v>
      </c>
      <c r="H164" s="92"/>
      <c r="I164" s="55">
        <f>G164*AO164</f>
        <v>0</v>
      </c>
      <c r="J164" s="55">
        <f>G164*AP164</f>
        <v>0</v>
      </c>
      <c r="K164" s="55">
        <f>G164*H164</f>
        <v>0</v>
      </c>
      <c r="L164" s="55">
        <v>0.00235</v>
      </c>
      <c r="M164" s="55">
        <f>G164*L164</f>
        <v>0.2179813</v>
      </c>
      <c r="N164" s="70" t="s">
        <v>646</v>
      </c>
      <c r="O164" s="18"/>
      <c r="Z164" s="55">
        <f>IF(AQ164="5",BJ164,0)</f>
        <v>0</v>
      </c>
      <c r="AB164" s="55">
        <f>IF(AQ164="1",BH164,0)</f>
        <v>0</v>
      </c>
      <c r="AC164" s="55">
        <f>IF(AQ164="1",BI164,0)</f>
        <v>0</v>
      </c>
      <c r="AD164" s="55">
        <f>IF(AQ164="7",BH164,0)</f>
        <v>0</v>
      </c>
      <c r="AE164" s="55">
        <f>IF(AQ164="7",BI164,0)</f>
        <v>0</v>
      </c>
      <c r="AF164" s="55">
        <f>IF(AQ164="2",BH164,0)</f>
        <v>0</v>
      </c>
      <c r="AG164" s="55">
        <f>IF(AQ164="2",BI164,0)</f>
        <v>0</v>
      </c>
      <c r="AH164" s="55">
        <f>IF(AQ164="0",BJ164,0)</f>
        <v>0</v>
      </c>
      <c r="AI164" s="50"/>
      <c r="AJ164" s="42">
        <f>IF(AN164=0,K164,0)</f>
        <v>0</v>
      </c>
      <c r="AK164" s="42">
        <f>IF(AN164=15,K164,0)</f>
        <v>0</v>
      </c>
      <c r="AL164" s="42">
        <f>IF(AN164=21,K164,0)</f>
        <v>0</v>
      </c>
      <c r="AN164" s="55">
        <v>21</v>
      </c>
      <c r="AO164" s="55">
        <f>H164*0.27130225603422</f>
        <v>0</v>
      </c>
      <c r="AP164" s="55">
        <f>H164*(1-0.27130225603422)</f>
        <v>0</v>
      </c>
      <c r="AQ164" s="56" t="s">
        <v>80</v>
      </c>
      <c r="AV164" s="55">
        <f>AW164+AX164</f>
        <v>0</v>
      </c>
      <c r="AW164" s="55">
        <f>G164*AO164</f>
        <v>0</v>
      </c>
      <c r="AX164" s="55">
        <f>G164*AP164</f>
        <v>0</v>
      </c>
      <c r="AY164" s="58" t="s">
        <v>670</v>
      </c>
      <c r="AZ164" s="58" t="s">
        <v>688</v>
      </c>
      <c r="BA164" s="50" t="s">
        <v>690</v>
      </c>
      <c r="BC164" s="55">
        <f>AW164+AX164</f>
        <v>0</v>
      </c>
      <c r="BD164" s="55">
        <f>H164/(100-BE164)*100</f>
        <v>0</v>
      </c>
      <c r="BE164" s="55">
        <v>0</v>
      </c>
      <c r="BF164" s="55">
        <f>M164</f>
        <v>0.2179813</v>
      </c>
      <c r="BH164" s="42">
        <f>G164*AO164</f>
        <v>0</v>
      </c>
      <c r="BI164" s="42">
        <f>G164*AP164</f>
        <v>0</v>
      </c>
      <c r="BJ164" s="42">
        <f>G164*H164</f>
        <v>0</v>
      </c>
      <c r="BK164" s="42" t="s">
        <v>695</v>
      </c>
      <c r="BL164" s="55">
        <v>781</v>
      </c>
    </row>
    <row r="165" spans="1:15" ht="12.75">
      <c r="A165" s="18"/>
      <c r="B165" s="71"/>
      <c r="C165" s="71"/>
      <c r="D165" s="72" t="s">
        <v>529</v>
      </c>
      <c r="E165" s="72"/>
      <c r="F165" s="71"/>
      <c r="G165" s="73">
        <v>0</v>
      </c>
      <c r="H165" s="71"/>
      <c r="I165" s="71"/>
      <c r="J165" s="71"/>
      <c r="K165" s="71"/>
      <c r="L165" s="71"/>
      <c r="M165" s="71"/>
      <c r="N165" s="16"/>
      <c r="O165" s="18"/>
    </row>
    <row r="166" spans="1:15" ht="12.75">
      <c r="A166" s="18"/>
      <c r="B166" s="71"/>
      <c r="C166" s="71"/>
      <c r="D166" s="72" t="s">
        <v>530</v>
      </c>
      <c r="E166" s="72"/>
      <c r="F166" s="71"/>
      <c r="G166" s="73">
        <v>6.258</v>
      </c>
      <c r="H166" s="71"/>
      <c r="I166" s="71"/>
      <c r="J166" s="71"/>
      <c r="K166" s="71"/>
      <c r="L166" s="71"/>
      <c r="M166" s="71"/>
      <c r="N166" s="16"/>
      <c r="O166" s="18"/>
    </row>
    <row r="167" spans="1:15" ht="12.75">
      <c r="A167" s="18"/>
      <c r="B167" s="71"/>
      <c r="C167" s="71"/>
      <c r="D167" s="72" t="s">
        <v>531</v>
      </c>
      <c r="E167" s="72"/>
      <c r="F167" s="71"/>
      <c r="G167" s="73"/>
      <c r="H167" s="71"/>
      <c r="I167" s="71"/>
      <c r="J167" s="71"/>
      <c r="K167" s="71"/>
      <c r="L167" s="71"/>
      <c r="M167" s="71"/>
      <c r="N167" s="16"/>
      <c r="O167" s="18"/>
    </row>
    <row r="168" spans="1:15" ht="12.75">
      <c r="A168" s="18"/>
      <c r="B168" s="71"/>
      <c r="C168" s="71"/>
      <c r="D168" s="72" t="s">
        <v>532</v>
      </c>
      <c r="E168" s="72"/>
      <c r="F168" s="71"/>
      <c r="G168" s="73">
        <v>8.505</v>
      </c>
      <c r="H168" s="71"/>
      <c r="I168" s="71"/>
      <c r="J168" s="71"/>
      <c r="K168" s="71"/>
      <c r="L168" s="71"/>
      <c r="M168" s="71"/>
      <c r="N168" s="16"/>
      <c r="O168" s="18"/>
    </row>
    <row r="169" spans="1:15" ht="12.75">
      <c r="A169" s="18"/>
      <c r="B169" s="71"/>
      <c r="C169" s="71"/>
      <c r="D169" s="72" t="s">
        <v>533</v>
      </c>
      <c r="E169" s="72"/>
      <c r="F169" s="71"/>
      <c r="G169" s="73">
        <v>0</v>
      </c>
      <c r="H169" s="71"/>
      <c r="I169" s="71"/>
      <c r="J169" s="71"/>
      <c r="K169" s="71"/>
      <c r="L169" s="71"/>
      <c r="M169" s="71"/>
      <c r="N169" s="16"/>
      <c r="O169" s="18"/>
    </row>
    <row r="170" spans="1:15" ht="12.75">
      <c r="A170" s="18"/>
      <c r="B170" s="71"/>
      <c r="C170" s="71"/>
      <c r="D170" s="72" t="s">
        <v>534</v>
      </c>
      <c r="E170" s="72"/>
      <c r="F170" s="71"/>
      <c r="G170" s="73">
        <v>7.2</v>
      </c>
      <c r="H170" s="71"/>
      <c r="I170" s="71"/>
      <c r="J170" s="71"/>
      <c r="K170" s="71"/>
      <c r="L170" s="71"/>
      <c r="M170" s="71"/>
      <c r="N170" s="16"/>
      <c r="O170" s="18"/>
    </row>
    <row r="171" spans="1:15" ht="12.75">
      <c r="A171" s="18"/>
      <c r="B171" s="71"/>
      <c r="C171" s="71"/>
      <c r="D171" s="72" t="s">
        <v>535</v>
      </c>
      <c r="E171" s="72"/>
      <c r="F171" s="71"/>
      <c r="G171" s="73"/>
      <c r="H171" s="71"/>
      <c r="I171" s="71"/>
      <c r="J171" s="71"/>
      <c r="K171" s="71"/>
      <c r="L171" s="71"/>
      <c r="M171" s="71"/>
      <c r="N171" s="16"/>
      <c r="O171" s="18"/>
    </row>
    <row r="172" spans="1:15" ht="12.75">
      <c r="A172" s="18"/>
      <c r="B172" s="71"/>
      <c r="C172" s="71"/>
      <c r="D172" s="72" t="s">
        <v>534</v>
      </c>
      <c r="E172" s="72"/>
      <c r="F172" s="71"/>
      <c r="G172" s="73">
        <v>7.2</v>
      </c>
      <c r="H172" s="71"/>
      <c r="I172" s="71"/>
      <c r="J172" s="71"/>
      <c r="K172" s="71"/>
      <c r="L172" s="71"/>
      <c r="M172" s="71"/>
      <c r="N172" s="16"/>
      <c r="O172" s="18"/>
    </row>
    <row r="173" spans="1:15" ht="12.75">
      <c r="A173" s="18"/>
      <c r="B173" s="71"/>
      <c r="C173" s="71"/>
      <c r="D173" s="72" t="s">
        <v>536</v>
      </c>
      <c r="E173" s="72"/>
      <c r="F173" s="71"/>
      <c r="G173" s="73"/>
      <c r="H173" s="71"/>
      <c r="I173" s="71"/>
      <c r="J173" s="71"/>
      <c r="K173" s="71"/>
      <c r="L173" s="71"/>
      <c r="M173" s="71"/>
      <c r="N173" s="16"/>
      <c r="O173" s="18"/>
    </row>
    <row r="174" spans="1:15" ht="12.75">
      <c r="A174" s="18"/>
      <c r="B174" s="71"/>
      <c r="C174" s="71"/>
      <c r="D174" s="72" t="s">
        <v>537</v>
      </c>
      <c r="E174" s="72"/>
      <c r="F174" s="71"/>
      <c r="G174" s="73">
        <v>10.276</v>
      </c>
      <c r="H174" s="71"/>
      <c r="I174" s="71"/>
      <c r="J174" s="71"/>
      <c r="K174" s="71"/>
      <c r="L174" s="71"/>
      <c r="M174" s="71"/>
      <c r="N174" s="16"/>
      <c r="O174" s="18"/>
    </row>
    <row r="175" spans="1:15" ht="12.75">
      <c r="A175" s="18"/>
      <c r="B175" s="71"/>
      <c r="C175" s="71"/>
      <c r="D175" s="72" t="s">
        <v>538</v>
      </c>
      <c r="E175" s="72"/>
      <c r="F175" s="71"/>
      <c r="G175" s="73">
        <v>0</v>
      </c>
      <c r="H175" s="71"/>
      <c r="I175" s="71"/>
      <c r="J175" s="71"/>
      <c r="K175" s="71"/>
      <c r="L175" s="71"/>
      <c r="M175" s="71"/>
      <c r="N175" s="16"/>
      <c r="O175" s="18"/>
    </row>
    <row r="176" spans="1:15" ht="12.75">
      <c r="A176" s="18"/>
      <c r="B176" s="71"/>
      <c r="C176" s="71"/>
      <c r="D176" s="72" t="s">
        <v>539</v>
      </c>
      <c r="E176" s="72"/>
      <c r="F176" s="71"/>
      <c r="G176" s="73">
        <v>14.91</v>
      </c>
      <c r="H176" s="71"/>
      <c r="I176" s="71"/>
      <c r="J176" s="71"/>
      <c r="K176" s="71"/>
      <c r="L176" s="71"/>
      <c r="M176" s="71"/>
      <c r="N176" s="16"/>
      <c r="O176" s="18"/>
    </row>
    <row r="177" spans="1:15" ht="12.75">
      <c r="A177" s="18"/>
      <c r="B177" s="71"/>
      <c r="C177" s="71"/>
      <c r="D177" s="72" t="s">
        <v>540</v>
      </c>
      <c r="E177" s="72"/>
      <c r="F177" s="71"/>
      <c r="G177" s="73"/>
      <c r="H177" s="71"/>
      <c r="I177" s="71"/>
      <c r="J177" s="71"/>
      <c r="K177" s="71"/>
      <c r="L177" s="71"/>
      <c r="M177" s="71"/>
      <c r="N177" s="16"/>
      <c r="O177" s="18"/>
    </row>
    <row r="178" spans="1:15" ht="12.75">
      <c r="A178" s="18"/>
      <c r="B178" s="71"/>
      <c r="C178" s="71"/>
      <c r="D178" s="72" t="s">
        <v>541</v>
      </c>
      <c r="E178" s="72"/>
      <c r="F178" s="71"/>
      <c r="G178" s="73">
        <v>19.494</v>
      </c>
      <c r="H178" s="71"/>
      <c r="I178" s="71"/>
      <c r="J178" s="71"/>
      <c r="K178" s="71"/>
      <c r="L178" s="71"/>
      <c r="M178" s="71"/>
      <c r="N178" s="16"/>
      <c r="O178" s="18"/>
    </row>
    <row r="179" spans="1:15" ht="12.75">
      <c r="A179" s="18"/>
      <c r="B179" s="71"/>
      <c r="C179" s="71"/>
      <c r="D179" s="72" t="s">
        <v>542</v>
      </c>
      <c r="E179" s="72"/>
      <c r="F179" s="71"/>
      <c r="G179" s="73">
        <v>0</v>
      </c>
      <c r="H179" s="71"/>
      <c r="I179" s="71"/>
      <c r="J179" s="71"/>
      <c r="K179" s="71"/>
      <c r="L179" s="71"/>
      <c r="M179" s="71"/>
      <c r="N179" s="16"/>
      <c r="O179" s="18"/>
    </row>
    <row r="180" spans="1:15" ht="12.75">
      <c r="A180" s="18"/>
      <c r="B180" s="71"/>
      <c r="C180" s="71"/>
      <c r="D180" s="72" t="s">
        <v>543</v>
      </c>
      <c r="E180" s="72"/>
      <c r="F180" s="71"/>
      <c r="G180" s="73">
        <v>9.09</v>
      </c>
      <c r="H180" s="71"/>
      <c r="I180" s="71"/>
      <c r="J180" s="71"/>
      <c r="K180" s="71"/>
      <c r="L180" s="71"/>
      <c r="M180" s="71"/>
      <c r="N180" s="16"/>
      <c r="O180" s="18"/>
    </row>
    <row r="181" spans="1:15" ht="12.75">
      <c r="A181" s="18"/>
      <c r="B181" s="71"/>
      <c r="C181" s="71"/>
      <c r="D181" s="72" t="s">
        <v>544</v>
      </c>
      <c r="E181" s="72"/>
      <c r="F181" s="71"/>
      <c r="G181" s="73">
        <v>0</v>
      </c>
      <c r="H181" s="71"/>
      <c r="I181" s="71"/>
      <c r="J181" s="71"/>
      <c r="K181" s="71"/>
      <c r="L181" s="71"/>
      <c r="M181" s="71"/>
      <c r="N181" s="16"/>
      <c r="O181" s="18"/>
    </row>
    <row r="182" spans="1:15" ht="12.75">
      <c r="A182" s="18"/>
      <c r="B182" s="71"/>
      <c r="C182" s="71"/>
      <c r="D182" s="72" t="s">
        <v>543</v>
      </c>
      <c r="E182" s="72"/>
      <c r="F182" s="71"/>
      <c r="G182" s="73">
        <v>9.09</v>
      </c>
      <c r="H182" s="71"/>
      <c r="I182" s="71"/>
      <c r="J182" s="71"/>
      <c r="K182" s="71"/>
      <c r="L182" s="71"/>
      <c r="M182" s="71"/>
      <c r="N182" s="16"/>
      <c r="O182" s="18"/>
    </row>
    <row r="183" spans="1:15" ht="12.75">
      <c r="A183" s="18"/>
      <c r="B183" s="71"/>
      <c r="C183" s="71"/>
      <c r="D183" s="72" t="s">
        <v>545</v>
      </c>
      <c r="E183" s="72"/>
      <c r="F183" s="71"/>
      <c r="G183" s="73"/>
      <c r="H183" s="71"/>
      <c r="I183" s="71"/>
      <c r="J183" s="71"/>
      <c r="K183" s="71"/>
      <c r="L183" s="71"/>
      <c r="M183" s="71"/>
      <c r="N183" s="16"/>
      <c r="O183" s="18"/>
    </row>
    <row r="184" spans="1:15" ht="12.75">
      <c r="A184" s="18"/>
      <c r="B184" s="71"/>
      <c r="C184" s="71"/>
      <c r="D184" s="72" t="s">
        <v>546</v>
      </c>
      <c r="E184" s="72"/>
      <c r="F184" s="71"/>
      <c r="G184" s="73">
        <v>0.735</v>
      </c>
      <c r="H184" s="71"/>
      <c r="I184" s="71"/>
      <c r="J184" s="71"/>
      <c r="K184" s="71"/>
      <c r="L184" s="71"/>
      <c r="M184" s="71"/>
      <c r="N184" s="16"/>
      <c r="O184" s="18"/>
    </row>
    <row r="185" spans="1:64" ht="12.75">
      <c r="A185" s="69" t="s">
        <v>184</v>
      </c>
      <c r="B185" s="17"/>
      <c r="C185" s="17" t="s">
        <v>335</v>
      </c>
      <c r="D185" s="113" t="s">
        <v>547</v>
      </c>
      <c r="E185" s="174"/>
      <c r="F185" s="17" t="s">
        <v>622</v>
      </c>
      <c r="G185" s="55">
        <v>92.758</v>
      </c>
      <c r="H185" s="92"/>
      <c r="I185" s="55">
        <f>G185*AO185</f>
        <v>0</v>
      </c>
      <c r="J185" s="55">
        <f>G185*AP185</f>
        <v>0</v>
      </c>
      <c r="K185" s="55">
        <f>G185*H185</f>
        <v>0</v>
      </c>
      <c r="L185" s="55">
        <v>0</v>
      </c>
      <c r="M185" s="55">
        <f>G185*L185</f>
        <v>0</v>
      </c>
      <c r="N185" s="70" t="s">
        <v>646</v>
      </c>
      <c r="O185" s="18"/>
      <c r="Z185" s="55">
        <f>IF(AQ185="5",BJ185,0)</f>
        <v>0</v>
      </c>
      <c r="AB185" s="55">
        <f>IF(AQ185="1",BH185,0)</f>
        <v>0</v>
      </c>
      <c r="AC185" s="55">
        <f>IF(AQ185="1",BI185,0)</f>
        <v>0</v>
      </c>
      <c r="AD185" s="55">
        <f>IF(AQ185="7",BH185,0)</f>
        <v>0</v>
      </c>
      <c r="AE185" s="55">
        <f>IF(AQ185="7",BI185,0)</f>
        <v>0</v>
      </c>
      <c r="AF185" s="55">
        <f>IF(AQ185="2",BH185,0)</f>
        <v>0</v>
      </c>
      <c r="AG185" s="55">
        <f>IF(AQ185="2",BI185,0)</f>
        <v>0</v>
      </c>
      <c r="AH185" s="55">
        <f>IF(AQ185="0",BJ185,0)</f>
        <v>0</v>
      </c>
      <c r="AI185" s="50"/>
      <c r="AJ185" s="42">
        <f>IF(AN185=0,K185,0)</f>
        <v>0</v>
      </c>
      <c r="AK185" s="42">
        <f>IF(AN185=15,K185,0)</f>
        <v>0</v>
      </c>
      <c r="AL185" s="42">
        <f>IF(AN185=21,K185,0)</f>
        <v>0</v>
      </c>
      <c r="AN185" s="55">
        <v>21</v>
      </c>
      <c r="AO185" s="55">
        <f>H185*0</f>
        <v>0</v>
      </c>
      <c r="AP185" s="55">
        <f>H185*(1-0)</f>
        <v>0</v>
      </c>
      <c r="AQ185" s="56" t="s">
        <v>80</v>
      </c>
      <c r="AV185" s="55">
        <f>AW185+AX185</f>
        <v>0</v>
      </c>
      <c r="AW185" s="55">
        <f>G185*AO185</f>
        <v>0</v>
      </c>
      <c r="AX185" s="55">
        <f>G185*AP185</f>
        <v>0</v>
      </c>
      <c r="AY185" s="58" t="s">
        <v>670</v>
      </c>
      <c r="AZ185" s="58" t="s">
        <v>688</v>
      </c>
      <c r="BA185" s="50" t="s">
        <v>690</v>
      </c>
      <c r="BC185" s="55">
        <f>AW185+AX185</f>
        <v>0</v>
      </c>
      <c r="BD185" s="55">
        <f>H185/(100-BE185)*100</f>
        <v>0</v>
      </c>
      <c r="BE185" s="55">
        <v>0</v>
      </c>
      <c r="BF185" s="55">
        <f>M185</f>
        <v>0</v>
      </c>
      <c r="BH185" s="42">
        <f>G185*AO185</f>
        <v>0</v>
      </c>
      <c r="BI185" s="42">
        <f>G185*AP185</f>
        <v>0</v>
      </c>
      <c r="BJ185" s="42">
        <f>G185*H185</f>
        <v>0</v>
      </c>
      <c r="BK185" s="42" t="s">
        <v>695</v>
      </c>
      <c r="BL185" s="55">
        <v>781</v>
      </c>
    </row>
    <row r="186" spans="1:64" ht="12.75">
      <c r="A186" s="69" t="s">
        <v>185</v>
      </c>
      <c r="B186" s="17"/>
      <c r="C186" s="17" t="s">
        <v>336</v>
      </c>
      <c r="D186" s="113" t="s">
        <v>548</v>
      </c>
      <c r="E186" s="174"/>
      <c r="F186" s="17" t="s">
        <v>621</v>
      </c>
      <c r="G186" s="55">
        <v>5</v>
      </c>
      <c r="H186" s="92"/>
      <c r="I186" s="55">
        <f>G186*AO186</f>
        <v>0</v>
      </c>
      <c r="J186" s="55">
        <f>G186*AP186</f>
        <v>0</v>
      </c>
      <c r="K186" s="55">
        <f>G186*H186</f>
        <v>0</v>
      </c>
      <c r="L186" s="55">
        <v>0.00759</v>
      </c>
      <c r="M186" s="55">
        <f>G186*L186</f>
        <v>0.037950000000000005</v>
      </c>
      <c r="N186" s="70" t="s">
        <v>646</v>
      </c>
      <c r="O186" s="18"/>
      <c r="Z186" s="55">
        <f>IF(AQ186="5",BJ186,0)</f>
        <v>0</v>
      </c>
      <c r="AB186" s="55">
        <f>IF(AQ186="1",BH186,0)</f>
        <v>0</v>
      </c>
      <c r="AC186" s="55">
        <f>IF(AQ186="1",BI186,0)</f>
        <v>0</v>
      </c>
      <c r="AD186" s="55">
        <f>IF(AQ186="7",BH186,0)</f>
        <v>0</v>
      </c>
      <c r="AE186" s="55">
        <f>IF(AQ186="7",BI186,0)</f>
        <v>0</v>
      </c>
      <c r="AF186" s="55">
        <f>IF(AQ186="2",BH186,0)</f>
        <v>0</v>
      </c>
      <c r="AG186" s="55">
        <f>IF(AQ186="2",BI186,0)</f>
        <v>0</v>
      </c>
      <c r="AH186" s="55">
        <f>IF(AQ186="0",BJ186,0)</f>
        <v>0</v>
      </c>
      <c r="AI186" s="50"/>
      <c r="AJ186" s="42">
        <f>IF(AN186=0,K186,0)</f>
        <v>0</v>
      </c>
      <c r="AK186" s="42">
        <f>IF(AN186=15,K186,0)</f>
        <v>0</v>
      </c>
      <c r="AL186" s="42">
        <f>IF(AN186=21,K186,0)</f>
        <v>0</v>
      </c>
      <c r="AN186" s="55">
        <v>21</v>
      </c>
      <c r="AO186" s="55">
        <f>H186*0.025981308411215</f>
        <v>0</v>
      </c>
      <c r="AP186" s="55">
        <f>H186*(1-0.025981308411215)</f>
        <v>0</v>
      </c>
      <c r="AQ186" s="56" t="s">
        <v>80</v>
      </c>
      <c r="AV186" s="55">
        <f>AW186+AX186</f>
        <v>0</v>
      </c>
      <c r="AW186" s="55">
        <f>G186*AO186</f>
        <v>0</v>
      </c>
      <c r="AX186" s="55">
        <f>G186*AP186</f>
        <v>0</v>
      </c>
      <c r="AY186" s="58" t="s">
        <v>670</v>
      </c>
      <c r="AZ186" s="58" t="s">
        <v>688</v>
      </c>
      <c r="BA186" s="50" t="s">
        <v>690</v>
      </c>
      <c r="BC186" s="55">
        <f>AW186+AX186</f>
        <v>0</v>
      </c>
      <c r="BD186" s="55">
        <f>H186/(100-BE186)*100</f>
        <v>0</v>
      </c>
      <c r="BE186" s="55">
        <v>0</v>
      </c>
      <c r="BF186" s="55">
        <f>M186</f>
        <v>0.037950000000000005</v>
      </c>
      <c r="BH186" s="42">
        <f>G186*AO186</f>
        <v>0</v>
      </c>
      <c r="BI186" s="42">
        <f>G186*AP186</f>
        <v>0</v>
      </c>
      <c r="BJ186" s="42">
        <f>G186*H186</f>
        <v>0</v>
      </c>
      <c r="BK186" s="42" t="s">
        <v>695</v>
      </c>
      <c r="BL186" s="55">
        <v>781</v>
      </c>
    </row>
    <row r="187" spans="1:64" ht="12.75">
      <c r="A187" s="69" t="s">
        <v>186</v>
      </c>
      <c r="B187" s="17"/>
      <c r="C187" s="17" t="s">
        <v>337</v>
      </c>
      <c r="D187" s="113" t="s">
        <v>549</v>
      </c>
      <c r="E187" s="174"/>
      <c r="F187" s="17" t="s">
        <v>623</v>
      </c>
      <c r="G187" s="55">
        <v>21</v>
      </c>
      <c r="H187" s="92"/>
      <c r="I187" s="55">
        <f>G187*AO187</f>
        <v>0</v>
      </c>
      <c r="J187" s="55">
        <f>G187*AP187</f>
        <v>0</v>
      </c>
      <c r="K187" s="55">
        <f>G187*H187</f>
        <v>0</v>
      </c>
      <c r="L187" s="55">
        <v>0.00435</v>
      </c>
      <c r="M187" s="55">
        <f>G187*L187</f>
        <v>0.09134999999999999</v>
      </c>
      <c r="N187" s="70" t="s">
        <v>646</v>
      </c>
      <c r="O187" s="18"/>
      <c r="Z187" s="55">
        <f>IF(AQ187="5",BJ187,0)</f>
        <v>0</v>
      </c>
      <c r="AB187" s="55">
        <f>IF(AQ187="1",BH187,0)</f>
        <v>0</v>
      </c>
      <c r="AC187" s="55">
        <f>IF(AQ187="1",BI187,0)</f>
        <v>0</v>
      </c>
      <c r="AD187" s="55">
        <f>IF(AQ187="7",BH187,0)</f>
        <v>0</v>
      </c>
      <c r="AE187" s="55">
        <f>IF(AQ187="7",BI187,0)</f>
        <v>0</v>
      </c>
      <c r="AF187" s="55">
        <f>IF(AQ187="2",BH187,0)</f>
        <v>0</v>
      </c>
      <c r="AG187" s="55">
        <f>IF(AQ187="2",BI187,0)</f>
        <v>0</v>
      </c>
      <c r="AH187" s="55">
        <f>IF(AQ187="0",BJ187,0)</f>
        <v>0</v>
      </c>
      <c r="AI187" s="50"/>
      <c r="AJ187" s="42">
        <f>IF(AN187=0,K187,0)</f>
        <v>0</v>
      </c>
      <c r="AK187" s="42">
        <f>IF(AN187=15,K187,0)</f>
        <v>0</v>
      </c>
      <c r="AL187" s="42">
        <f>IF(AN187=21,K187,0)</f>
        <v>0</v>
      </c>
      <c r="AN187" s="55">
        <v>21</v>
      </c>
      <c r="AO187" s="55">
        <f>H187*0.154421768707483</f>
        <v>0</v>
      </c>
      <c r="AP187" s="55">
        <f>H187*(1-0.154421768707483)</f>
        <v>0</v>
      </c>
      <c r="AQ187" s="56" t="s">
        <v>80</v>
      </c>
      <c r="AV187" s="55">
        <f>AW187+AX187</f>
        <v>0</v>
      </c>
      <c r="AW187" s="55">
        <f>G187*AO187</f>
        <v>0</v>
      </c>
      <c r="AX187" s="55">
        <f>G187*AP187</f>
        <v>0</v>
      </c>
      <c r="AY187" s="58" t="s">
        <v>670</v>
      </c>
      <c r="AZ187" s="58" t="s">
        <v>688</v>
      </c>
      <c r="BA187" s="50" t="s">
        <v>690</v>
      </c>
      <c r="BC187" s="55">
        <f>AW187+AX187</f>
        <v>0</v>
      </c>
      <c r="BD187" s="55">
        <f>H187/(100-BE187)*100</f>
        <v>0</v>
      </c>
      <c r="BE187" s="55">
        <v>0</v>
      </c>
      <c r="BF187" s="55">
        <f>M187</f>
        <v>0.09134999999999999</v>
      </c>
      <c r="BH187" s="42">
        <f>G187*AO187</f>
        <v>0</v>
      </c>
      <c r="BI187" s="42">
        <f>G187*AP187</f>
        <v>0</v>
      </c>
      <c r="BJ187" s="42">
        <f>G187*H187</f>
        <v>0</v>
      </c>
      <c r="BK187" s="42" t="s">
        <v>695</v>
      </c>
      <c r="BL187" s="55">
        <v>781</v>
      </c>
    </row>
    <row r="188" spans="1:64" ht="12.75">
      <c r="A188" s="69" t="s">
        <v>187</v>
      </c>
      <c r="B188" s="17"/>
      <c r="C188" s="17" t="s">
        <v>338</v>
      </c>
      <c r="D188" s="113" t="s">
        <v>550</v>
      </c>
      <c r="E188" s="179"/>
      <c r="F188" s="17" t="s">
        <v>622</v>
      </c>
      <c r="G188" s="55">
        <v>102.0338</v>
      </c>
      <c r="H188" s="92"/>
      <c r="I188" s="55">
        <f>G188*AO188</f>
        <v>0</v>
      </c>
      <c r="J188" s="55">
        <f>G188*AP188</f>
        <v>0</v>
      </c>
      <c r="K188" s="55">
        <f>G188*H188</f>
        <v>0</v>
      </c>
      <c r="L188" s="55">
        <v>0.0138</v>
      </c>
      <c r="M188" s="55">
        <f>G188*L188</f>
        <v>1.40806644</v>
      </c>
      <c r="N188" s="70" t="s">
        <v>647</v>
      </c>
      <c r="O188" s="18"/>
      <c r="Z188" s="55">
        <f>IF(AQ188="5",BJ188,0)</f>
        <v>0</v>
      </c>
      <c r="AB188" s="55">
        <f>IF(AQ188="1",BH188,0)</f>
        <v>0</v>
      </c>
      <c r="AC188" s="55">
        <f>IF(AQ188="1",BI188,0)</f>
        <v>0</v>
      </c>
      <c r="AD188" s="55">
        <f>IF(AQ188="7",BH188,0)</f>
        <v>0</v>
      </c>
      <c r="AE188" s="55">
        <f>IF(AQ188="7",BI188,0)</f>
        <v>0</v>
      </c>
      <c r="AF188" s="55">
        <f>IF(AQ188="2",BH188,0)</f>
        <v>0</v>
      </c>
      <c r="AG188" s="55">
        <f>IF(AQ188="2",BI188,0)</f>
        <v>0</v>
      </c>
      <c r="AH188" s="55">
        <f>IF(AQ188="0",BJ188,0)</f>
        <v>0</v>
      </c>
      <c r="AI188" s="50"/>
      <c r="AJ188" s="43">
        <f>IF(AN188=0,K188,0)</f>
        <v>0</v>
      </c>
      <c r="AK188" s="43">
        <f>IF(AN188=15,K188,0)</f>
        <v>0</v>
      </c>
      <c r="AL188" s="43">
        <f>IF(AN188=21,K188,0)</f>
        <v>0</v>
      </c>
      <c r="AN188" s="55">
        <v>21</v>
      </c>
      <c r="AO188" s="55">
        <f>H188*1</f>
        <v>0</v>
      </c>
      <c r="AP188" s="55">
        <f>H188*(1-1)</f>
        <v>0</v>
      </c>
      <c r="AQ188" s="57" t="s">
        <v>80</v>
      </c>
      <c r="AV188" s="55">
        <f>AW188+AX188</f>
        <v>0</v>
      </c>
      <c r="AW188" s="55">
        <f>G188*AO188</f>
        <v>0</v>
      </c>
      <c r="AX188" s="55">
        <f>G188*AP188</f>
        <v>0</v>
      </c>
      <c r="AY188" s="58" t="s">
        <v>670</v>
      </c>
      <c r="AZ188" s="58" t="s">
        <v>688</v>
      </c>
      <c r="BA188" s="50" t="s">
        <v>690</v>
      </c>
      <c r="BC188" s="55">
        <f>AW188+AX188</f>
        <v>0</v>
      </c>
      <c r="BD188" s="55">
        <f>H188/(100-BE188)*100</f>
        <v>0</v>
      </c>
      <c r="BE188" s="55">
        <v>0</v>
      </c>
      <c r="BF188" s="55">
        <f>M188</f>
        <v>1.40806644</v>
      </c>
      <c r="BH188" s="43">
        <f>G188*AO188</f>
        <v>0</v>
      </c>
      <c r="BI188" s="43">
        <f>G188*AP188</f>
        <v>0</v>
      </c>
      <c r="BJ188" s="43">
        <f>G188*H188</f>
        <v>0</v>
      </c>
      <c r="BK188" s="43" t="s">
        <v>696</v>
      </c>
      <c r="BL188" s="55">
        <v>781</v>
      </c>
    </row>
    <row r="189" spans="1:15" ht="12.75">
      <c r="A189" s="18"/>
      <c r="B189" s="71"/>
      <c r="C189" s="71"/>
      <c r="D189" s="72" t="s">
        <v>551</v>
      </c>
      <c r="E189" s="72"/>
      <c r="F189" s="71"/>
      <c r="G189" s="73">
        <v>102.0338</v>
      </c>
      <c r="H189" s="71"/>
      <c r="I189" s="71"/>
      <c r="J189" s="71"/>
      <c r="K189" s="71"/>
      <c r="L189" s="71"/>
      <c r="M189" s="71"/>
      <c r="N189" s="16"/>
      <c r="O189" s="18"/>
    </row>
    <row r="190" spans="1:64" ht="12.75">
      <c r="A190" s="69" t="s">
        <v>188</v>
      </c>
      <c r="B190" s="17"/>
      <c r="C190" s="17" t="s">
        <v>339</v>
      </c>
      <c r="D190" s="113" t="s">
        <v>552</v>
      </c>
      <c r="E190" s="179"/>
      <c r="F190" s="17" t="s">
        <v>623</v>
      </c>
      <c r="G190" s="55">
        <v>6</v>
      </c>
      <c r="H190" s="92"/>
      <c r="I190" s="55">
        <f>G190*AO190</f>
        <v>0</v>
      </c>
      <c r="J190" s="55">
        <f>G190*AP190</f>
        <v>0</v>
      </c>
      <c r="K190" s="55">
        <f>G190*H190</f>
        <v>0</v>
      </c>
      <c r="L190" s="55">
        <v>0.00035</v>
      </c>
      <c r="M190" s="55">
        <f>G190*L190</f>
        <v>0.0021</v>
      </c>
      <c r="N190" s="70" t="s">
        <v>646</v>
      </c>
      <c r="O190" s="18"/>
      <c r="Z190" s="55">
        <f>IF(AQ190="5",BJ190,0)</f>
        <v>0</v>
      </c>
      <c r="AB190" s="55">
        <f>IF(AQ190="1",BH190,0)</f>
        <v>0</v>
      </c>
      <c r="AC190" s="55">
        <f>IF(AQ190="1",BI190,0)</f>
        <v>0</v>
      </c>
      <c r="AD190" s="55">
        <f>IF(AQ190="7",BH190,0)</f>
        <v>0</v>
      </c>
      <c r="AE190" s="55">
        <f>IF(AQ190="7",BI190,0)</f>
        <v>0</v>
      </c>
      <c r="AF190" s="55">
        <f>IF(AQ190="2",BH190,0)</f>
        <v>0</v>
      </c>
      <c r="AG190" s="55">
        <f>IF(AQ190="2",BI190,0)</f>
        <v>0</v>
      </c>
      <c r="AH190" s="55">
        <f>IF(AQ190="0",BJ190,0)</f>
        <v>0</v>
      </c>
      <c r="AI190" s="50"/>
      <c r="AJ190" s="43">
        <f>IF(AN190=0,K190,0)</f>
        <v>0</v>
      </c>
      <c r="AK190" s="43">
        <f>IF(AN190=15,K190,0)</f>
        <v>0</v>
      </c>
      <c r="AL190" s="43">
        <f>IF(AN190=21,K190,0)</f>
        <v>0</v>
      </c>
      <c r="AN190" s="55">
        <v>21</v>
      </c>
      <c r="AO190" s="55">
        <f>H190*1</f>
        <v>0</v>
      </c>
      <c r="AP190" s="55">
        <f>H190*(1-1)</f>
        <v>0</v>
      </c>
      <c r="AQ190" s="57" t="s">
        <v>80</v>
      </c>
      <c r="AV190" s="55">
        <f>AW190+AX190</f>
        <v>0</v>
      </c>
      <c r="AW190" s="55">
        <f>G190*AO190</f>
        <v>0</v>
      </c>
      <c r="AX190" s="55">
        <f>G190*AP190</f>
        <v>0</v>
      </c>
      <c r="AY190" s="58" t="s">
        <v>670</v>
      </c>
      <c r="AZ190" s="58" t="s">
        <v>688</v>
      </c>
      <c r="BA190" s="50" t="s">
        <v>690</v>
      </c>
      <c r="BC190" s="55">
        <f>AW190+AX190</f>
        <v>0</v>
      </c>
      <c r="BD190" s="55">
        <f>H190/(100-BE190)*100</f>
        <v>0</v>
      </c>
      <c r="BE190" s="55">
        <v>0</v>
      </c>
      <c r="BF190" s="55">
        <f>M190</f>
        <v>0.0021</v>
      </c>
      <c r="BH190" s="43">
        <f>G190*AO190</f>
        <v>0</v>
      </c>
      <c r="BI190" s="43">
        <f>G190*AP190</f>
        <v>0</v>
      </c>
      <c r="BJ190" s="43">
        <f>G190*H190</f>
        <v>0</v>
      </c>
      <c r="BK190" s="43" t="s">
        <v>696</v>
      </c>
      <c r="BL190" s="55">
        <v>781</v>
      </c>
    </row>
    <row r="191" spans="1:64" ht="12.75">
      <c r="A191" s="69" t="s">
        <v>189</v>
      </c>
      <c r="B191" s="17"/>
      <c r="C191" s="17" t="s">
        <v>340</v>
      </c>
      <c r="D191" s="113" t="s">
        <v>553</v>
      </c>
      <c r="E191" s="174"/>
      <c r="F191" s="17" t="s">
        <v>621</v>
      </c>
      <c r="G191" s="55">
        <v>112.95</v>
      </c>
      <c r="H191" s="92"/>
      <c r="I191" s="55">
        <f>G191*AO191</f>
        <v>0</v>
      </c>
      <c r="J191" s="55">
        <f>G191*AP191</f>
        <v>0</v>
      </c>
      <c r="K191" s="55">
        <f>G191*H191</f>
        <v>0</v>
      </c>
      <c r="L191" s="55">
        <v>0</v>
      </c>
      <c r="M191" s="55">
        <f>G191*L191</f>
        <v>0</v>
      </c>
      <c r="N191" s="70" t="s">
        <v>646</v>
      </c>
      <c r="O191" s="18"/>
      <c r="Z191" s="55">
        <f>IF(AQ191="5",BJ191,0)</f>
        <v>0</v>
      </c>
      <c r="AB191" s="55">
        <f>IF(AQ191="1",BH191,0)</f>
        <v>0</v>
      </c>
      <c r="AC191" s="55">
        <f>IF(AQ191="1",BI191,0)</f>
        <v>0</v>
      </c>
      <c r="AD191" s="55">
        <f>IF(AQ191="7",BH191,0)</f>
        <v>0</v>
      </c>
      <c r="AE191" s="55">
        <f>IF(AQ191="7",BI191,0)</f>
        <v>0</v>
      </c>
      <c r="AF191" s="55">
        <f>IF(AQ191="2",BH191,0)</f>
        <v>0</v>
      </c>
      <c r="AG191" s="55">
        <f>IF(AQ191="2",BI191,0)</f>
        <v>0</v>
      </c>
      <c r="AH191" s="55">
        <f>IF(AQ191="0",BJ191,0)</f>
        <v>0</v>
      </c>
      <c r="AI191" s="50"/>
      <c r="AJ191" s="42">
        <f>IF(AN191=0,K191,0)</f>
        <v>0</v>
      </c>
      <c r="AK191" s="42">
        <f>IF(AN191=15,K191,0)</f>
        <v>0</v>
      </c>
      <c r="AL191" s="42">
        <f>IF(AN191=21,K191,0)</f>
        <v>0</v>
      </c>
      <c r="AN191" s="55">
        <v>21</v>
      </c>
      <c r="AO191" s="55">
        <f>H191*0</f>
        <v>0</v>
      </c>
      <c r="AP191" s="55">
        <f>H191*(1-0)</f>
        <v>0</v>
      </c>
      <c r="AQ191" s="56" t="s">
        <v>80</v>
      </c>
      <c r="AV191" s="55">
        <f>AW191+AX191</f>
        <v>0</v>
      </c>
      <c r="AW191" s="55">
        <f>G191*AO191</f>
        <v>0</v>
      </c>
      <c r="AX191" s="55">
        <f>G191*AP191</f>
        <v>0</v>
      </c>
      <c r="AY191" s="58" t="s">
        <v>670</v>
      </c>
      <c r="AZ191" s="58" t="s">
        <v>688</v>
      </c>
      <c r="BA191" s="50" t="s">
        <v>690</v>
      </c>
      <c r="BC191" s="55">
        <f>AW191+AX191</f>
        <v>0</v>
      </c>
      <c r="BD191" s="55">
        <f>H191/(100-BE191)*100</f>
        <v>0</v>
      </c>
      <c r="BE191" s="55">
        <v>0</v>
      </c>
      <c r="BF191" s="55">
        <f>M191</f>
        <v>0</v>
      </c>
      <c r="BH191" s="42">
        <f>G191*AO191</f>
        <v>0</v>
      </c>
      <c r="BI191" s="42">
        <f>G191*AP191</f>
        <v>0</v>
      </c>
      <c r="BJ191" s="42">
        <f>G191*H191</f>
        <v>0</v>
      </c>
      <c r="BK191" s="42" t="s">
        <v>695</v>
      </c>
      <c r="BL191" s="55">
        <v>781</v>
      </c>
    </row>
    <row r="192" spans="1:15" ht="12.75">
      <c r="A192" s="18"/>
      <c r="B192" s="71"/>
      <c r="C192" s="71"/>
      <c r="D192" s="72" t="s">
        <v>554</v>
      </c>
      <c r="E192" s="72"/>
      <c r="F192" s="71"/>
      <c r="G192" s="73">
        <v>16.45</v>
      </c>
      <c r="H192" s="71"/>
      <c r="I192" s="71"/>
      <c r="J192" s="71"/>
      <c r="K192" s="71"/>
      <c r="L192" s="71"/>
      <c r="M192" s="71"/>
      <c r="N192" s="16"/>
      <c r="O192" s="18"/>
    </row>
    <row r="193" spans="1:15" ht="12.75">
      <c r="A193" s="18"/>
      <c r="B193" s="71"/>
      <c r="C193" s="71"/>
      <c r="D193" s="72" t="s">
        <v>555</v>
      </c>
      <c r="E193" s="72"/>
      <c r="F193" s="71"/>
      <c r="G193" s="73">
        <v>14.6</v>
      </c>
      <c r="H193" s="71"/>
      <c r="I193" s="71"/>
      <c r="J193" s="71"/>
      <c r="K193" s="71"/>
      <c r="L193" s="71"/>
      <c r="M193" s="71"/>
      <c r="N193" s="16"/>
      <c r="O193" s="18"/>
    </row>
    <row r="194" spans="1:15" ht="12.75">
      <c r="A194" s="18"/>
      <c r="B194" s="71"/>
      <c r="C194" s="71"/>
      <c r="D194" s="72" t="s">
        <v>556</v>
      </c>
      <c r="E194" s="72"/>
      <c r="F194" s="71"/>
      <c r="G194" s="73">
        <v>81.9</v>
      </c>
      <c r="H194" s="71"/>
      <c r="I194" s="71"/>
      <c r="J194" s="71"/>
      <c r="K194" s="71"/>
      <c r="L194" s="71"/>
      <c r="M194" s="71"/>
      <c r="N194" s="16"/>
      <c r="O194" s="18"/>
    </row>
    <row r="195" spans="1:64" ht="12.75">
      <c r="A195" s="69" t="s">
        <v>190</v>
      </c>
      <c r="B195" s="17"/>
      <c r="C195" s="17" t="s">
        <v>341</v>
      </c>
      <c r="D195" s="113" t="s">
        <v>557</v>
      </c>
      <c r="E195" s="174"/>
      <c r="F195" s="17" t="s">
        <v>625</v>
      </c>
      <c r="G195" s="55">
        <v>1.7675</v>
      </c>
      <c r="H195" s="92"/>
      <c r="I195" s="55">
        <f>G195*AO195</f>
        <v>0</v>
      </c>
      <c r="J195" s="55">
        <f>G195*AP195</f>
        <v>0</v>
      </c>
      <c r="K195" s="55">
        <f>G195*H195</f>
        <v>0</v>
      </c>
      <c r="L195" s="55">
        <v>0</v>
      </c>
      <c r="M195" s="55">
        <f>G195*L195</f>
        <v>0</v>
      </c>
      <c r="N195" s="70" t="s">
        <v>646</v>
      </c>
      <c r="O195" s="18"/>
      <c r="Z195" s="55">
        <f>IF(AQ195="5",BJ195,0)</f>
        <v>0</v>
      </c>
      <c r="AB195" s="55">
        <f>IF(AQ195="1",BH195,0)</f>
        <v>0</v>
      </c>
      <c r="AC195" s="55">
        <f>IF(AQ195="1",BI195,0)</f>
        <v>0</v>
      </c>
      <c r="AD195" s="55">
        <f>IF(AQ195="7",BH195,0)</f>
        <v>0</v>
      </c>
      <c r="AE195" s="55">
        <f>IF(AQ195="7",BI195,0)</f>
        <v>0</v>
      </c>
      <c r="AF195" s="55">
        <f>IF(AQ195="2",BH195,0)</f>
        <v>0</v>
      </c>
      <c r="AG195" s="55">
        <f>IF(AQ195="2",BI195,0)</f>
        <v>0</v>
      </c>
      <c r="AH195" s="55">
        <f>IF(AQ195="0",BJ195,0)</f>
        <v>0</v>
      </c>
      <c r="AI195" s="50"/>
      <c r="AJ195" s="42">
        <f>IF(AN195=0,K195,0)</f>
        <v>0</v>
      </c>
      <c r="AK195" s="42">
        <f>IF(AN195=15,K195,0)</f>
        <v>0</v>
      </c>
      <c r="AL195" s="42">
        <f>IF(AN195=21,K195,0)</f>
        <v>0</v>
      </c>
      <c r="AN195" s="55">
        <v>21</v>
      </c>
      <c r="AO195" s="55">
        <f>H195*0</f>
        <v>0</v>
      </c>
      <c r="AP195" s="55">
        <f>H195*(1-0)</f>
        <v>0</v>
      </c>
      <c r="AQ195" s="56" t="s">
        <v>78</v>
      </c>
      <c r="AV195" s="55">
        <f>AW195+AX195</f>
        <v>0</v>
      </c>
      <c r="AW195" s="55">
        <f>G195*AO195</f>
        <v>0</v>
      </c>
      <c r="AX195" s="55">
        <f>G195*AP195</f>
        <v>0</v>
      </c>
      <c r="AY195" s="58" t="s">
        <v>670</v>
      </c>
      <c r="AZ195" s="58" t="s">
        <v>688</v>
      </c>
      <c r="BA195" s="50" t="s">
        <v>690</v>
      </c>
      <c r="BC195" s="55">
        <f>AW195+AX195</f>
        <v>0</v>
      </c>
      <c r="BD195" s="55">
        <f>H195/(100-BE195)*100</f>
        <v>0</v>
      </c>
      <c r="BE195" s="55">
        <v>0</v>
      </c>
      <c r="BF195" s="55">
        <f>M195</f>
        <v>0</v>
      </c>
      <c r="BH195" s="42">
        <f>G195*AO195</f>
        <v>0</v>
      </c>
      <c r="BI195" s="42">
        <f>G195*AP195</f>
        <v>0</v>
      </c>
      <c r="BJ195" s="42">
        <f>G195*H195</f>
        <v>0</v>
      </c>
      <c r="BK195" s="42" t="s">
        <v>695</v>
      </c>
      <c r="BL195" s="55">
        <v>781</v>
      </c>
    </row>
    <row r="196" spans="1:47" ht="12.75">
      <c r="A196" s="63"/>
      <c r="B196" s="64"/>
      <c r="C196" s="64" t="s">
        <v>342</v>
      </c>
      <c r="D196" s="172" t="s">
        <v>558</v>
      </c>
      <c r="E196" s="173"/>
      <c r="F196" s="65" t="s">
        <v>73</v>
      </c>
      <c r="G196" s="65" t="s">
        <v>73</v>
      </c>
      <c r="H196" s="65" t="s">
        <v>73</v>
      </c>
      <c r="I196" s="66">
        <f>SUM(I197:I201)</f>
        <v>0</v>
      </c>
      <c r="J196" s="66">
        <f>SUM(J197:J201)</f>
        <v>0</v>
      </c>
      <c r="K196" s="66">
        <f>SUM(K197:K201)</f>
        <v>0</v>
      </c>
      <c r="L196" s="67"/>
      <c r="M196" s="66">
        <f>SUM(M197:M201)</f>
        <v>0.0028320000000000003</v>
      </c>
      <c r="N196" s="68"/>
      <c r="O196" s="18"/>
      <c r="AI196" s="50"/>
      <c r="AS196" s="61">
        <f>SUM(AJ197:AJ201)</f>
        <v>0</v>
      </c>
      <c r="AT196" s="61">
        <f>SUM(AK197:AK201)</f>
        <v>0</v>
      </c>
      <c r="AU196" s="61">
        <f>SUM(AL197:AL201)</f>
        <v>0</v>
      </c>
    </row>
    <row r="197" spans="1:64" ht="12.75">
      <c r="A197" s="69" t="s">
        <v>191</v>
      </c>
      <c r="B197" s="17"/>
      <c r="C197" s="17" t="s">
        <v>343</v>
      </c>
      <c r="D197" s="113" t="s">
        <v>559</v>
      </c>
      <c r="E197" s="174"/>
      <c r="F197" s="17" t="s">
        <v>622</v>
      </c>
      <c r="G197" s="55">
        <v>11.8</v>
      </c>
      <c r="H197" s="92"/>
      <c r="I197" s="55">
        <f>G197*AO197</f>
        <v>0</v>
      </c>
      <c r="J197" s="55">
        <f>G197*AP197</f>
        <v>0</v>
      </c>
      <c r="K197" s="55">
        <f>G197*H197</f>
        <v>0</v>
      </c>
      <c r="L197" s="55">
        <v>0.00024</v>
      </c>
      <c r="M197" s="55">
        <f>G197*L197</f>
        <v>0.0028320000000000003</v>
      </c>
      <c r="N197" s="70" t="s">
        <v>646</v>
      </c>
      <c r="O197" s="18"/>
      <c r="Z197" s="55">
        <f>IF(AQ197="5",BJ197,0)</f>
        <v>0</v>
      </c>
      <c r="AB197" s="55">
        <f>IF(AQ197="1",BH197,0)</f>
        <v>0</v>
      </c>
      <c r="AC197" s="55">
        <f>IF(AQ197="1",BI197,0)</f>
        <v>0</v>
      </c>
      <c r="AD197" s="55">
        <f>IF(AQ197="7",BH197,0)</f>
        <v>0</v>
      </c>
      <c r="AE197" s="55">
        <f>IF(AQ197="7",BI197,0)</f>
        <v>0</v>
      </c>
      <c r="AF197" s="55">
        <f>IF(AQ197="2",BH197,0)</f>
        <v>0</v>
      </c>
      <c r="AG197" s="55">
        <f>IF(AQ197="2",BI197,0)</f>
        <v>0</v>
      </c>
      <c r="AH197" s="55">
        <f>IF(AQ197="0",BJ197,0)</f>
        <v>0</v>
      </c>
      <c r="AI197" s="50"/>
      <c r="AJ197" s="42">
        <f>IF(AN197=0,K197,0)</f>
        <v>0</v>
      </c>
      <c r="AK197" s="42">
        <f>IF(AN197=15,K197,0)</f>
        <v>0</v>
      </c>
      <c r="AL197" s="42">
        <f>IF(AN197=21,K197,0)</f>
        <v>0</v>
      </c>
      <c r="AN197" s="55">
        <v>21</v>
      </c>
      <c r="AO197" s="55">
        <f>H197*0.181578947368421</f>
        <v>0</v>
      </c>
      <c r="AP197" s="55">
        <f>H197*(1-0.181578947368421)</f>
        <v>0</v>
      </c>
      <c r="AQ197" s="56" t="s">
        <v>80</v>
      </c>
      <c r="AV197" s="55">
        <f>AW197+AX197</f>
        <v>0</v>
      </c>
      <c r="AW197" s="55">
        <f>G197*AO197</f>
        <v>0</v>
      </c>
      <c r="AX197" s="55">
        <f>G197*AP197</f>
        <v>0</v>
      </c>
      <c r="AY197" s="58" t="s">
        <v>671</v>
      </c>
      <c r="AZ197" s="58" t="s">
        <v>688</v>
      </c>
      <c r="BA197" s="50" t="s">
        <v>690</v>
      </c>
      <c r="BC197" s="55">
        <f>AW197+AX197</f>
        <v>0</v>
      </c>
      <c r="BD197" s="55">
        <f>H197/(100-BE197)*100</f>
        <v>0</v>
      </c>
      <c r="BE197" s="55">
        <v>0</v>
      </c>
      <c r="BF197" s="55">
        <f>M197</f>
        <v>0.0028320000000000003</v>
      </c>
      <c r="BH197" s="42">
        <f>G197*AO197</f>
        <v>0</v>
      </c>
      <c r="BI197" s="42">
        <f>G197*AP197</f>
        <v>0</v>
      </c>
      <c r="BJ197" s="42">
        <f>G197*H197</f>
        <v>0</v>
      </c>
      <c r="BK197" s="42" t="s">
        <v>695</v>
      </c>
      <c r="BL197" s="55">
        <v>783</v>
      </c>
    </row>
    <row r="198" spans="1:15" ht="12.75">
      <c r="A198" s="18"/>
      <c r="B198" s="71"/>
      <c r="C198" s="71"/>
      <c r="D198" s="72" t="s">
        <v>560</v>
      </c>
      <c r="E198" s="72"/>
      <c r="F198" s="71"/>
      <c r="G198" s="73"/>
      <c r="H198" s="71"/>
      <c r="I198" s="71"/>
      <c r="J198" s="71"/>
      <c r="K198" s="71"/>
      <c r="L198" s="71"/>
      <c r="M198" s="71"/>
      <c r="N198" s="16"/>
      <c r="O198" s="18"/>
    </row>
    <row r="199" spans="1:15" ht="12.75">
      <c r="A199" s="18"/>
      <c r="B199" s="71"/>
      <c r="C199" s="71"/>
      <c r="D199" s="72" t="s">
        <v>561</v>
      </c>
      <c r="E199" s="72"/>
      <c r="F199" s="71"/>
      <c r="G199" s="73">
        <v>11.8</v>
      </c>
      <c r="H199" s="71"/>
      <c r="I199" s="71"/>
      <c r="J199" s="71"/>
      <c r="K199" s="71"/>
      <c r="L199" s="71"/>
      <c r="M199" s="71"/>
      <c r="N199" s="16"/>
      <c r="O199" s="18"/>
    </row>
    <row r="200" spans="1:64" ht="12.75">
      <c r="A200" s="69" t="s">
        <v>192</v>
      </c>
      <c r="B200" s="17"/>
      <c r="C200" s="17" t="s">
        <v>344</v>
      </c>
      <c r="D200" s="113" t="s">
        <v>562</v>
      </c>
      <c r="E200" s="174"/>
      <c r="F200" s="17" t="s">
        <v>622</v>
      </c>
      <c r="G200" s="55">
        <v>11.8</v>
      </c>
      <c r="H200" s="92"/>
      <c r="I200" s="55">
        <f>G200*AO200</f>
        <v>0</v>
      </c>
      <c r="J200" s="55">
        <f>G200*AP200</f>
        <v>0</v>
      </c>
      <c r="K200" s="55">
        <f>G200*H200</f>
        <v>0</v>
      </c>
      <c r="L200" s="55">
        <v>0</v>
      </c>
      <c r="M200" s="55">
        <f>G200*L200</f>
        <v>0</v>
      </c>
      <c r="N200" s="70" t="s">
        <v>646</v>
      </c>
      <c r="O200" s="18"/>
      <c r="Z200" s="55">
        <f>IF(AQ200="5",BJ200,0)</f>
        <v>0</v>
      </c>
      <c r="AB200" s="55">
        <f>IF(AQ200="1",BH200,0)</f>
        <v>0</v>
      </c>
      <c r="AC200" s="55">
        <f>IF(AQ200="1",BI200,0)</f>
        <v>0</v>
      </c>
      <c r="AD200" s="55">
        <f>IF(AQ200="7",BH200,0)</f>
        <v>0</v>
      </c>
      <c r="AE200" s="55">
        <f>IF(AQ200="7",BI200,0)</f>
        <v>0</v>
      </c>
      <c r="AF200" s="55">
        <f>IF(AQ200="2",BH200,0)</f>
        <v>0</v>
      </c>
      <c r="AG200" s="55">
        <f>IF(AQ200="2",BI200,0)</f>
        <v>0</v>
      </c>
      <c r="AH200" s="55">
        <f>IF(AQ200="0",BJ200,0)</f>
        <v>0</v>
      </c>
      <c r="AI200" s="50"/>
      <c r="AJ200" s="42">
        <f>IF(AN200=0,K200,0)</f>
        <v>0</v>
      </c>
      <c r="AK200" s="42">
        <f>IF(AN200=15,K200,0)</f>
        <v>0</v>
      </c>
      <c r="AL200" s="42">
        <f>IF(AN200=21,K200,0)</f>
        <v>0</v>
      </c>
      <c r="AN200" s="55">
        <v>21</v>
      </c>
      <c r="AO200" s="55">
        <f>H200*0.0262806236080178</f>
        <v>0</v>
      </c>
      <c r="AP200" s="55">
        <f>H200*(1-0.0262806236080178)</f>
        <v>0</v>
      </c>
      <c r="AQ200" s="56" t="s">
        <v>80</v>
      </c>
      <c r="AV200" s="55">
        <f>AW200+AX200</f>
        <v>0</v>
      </c>
      <c r="AW200" s="55">
        <f>G200*AO200</f>
        <v>0</v>
      </c>
      <c r="AX200" s="55">
        <f>G200*AP200</f>
        <v>0</v>
      </c>
      <c r="AY200" s="58" t="s">
        <v>671</v>
      </c>
      <c r="AZ200" s="58" t="s">
        <v>688</v>
      </c>
      <c r="BA200" s="50" t="s">
        <v>690</v>
      </c>
      <c r="BC200" s="55">
        <f>AW200+AX200</f>
        <v>0</v>
      </c>
      <c r="BD200" s="55">
        <f>H200/(100-BE200)*100</f>
        <v>0</v>
      </c>
      <c r="BE200" s="55">
        <v>0</v>
      </c>
      <c r="BF200" s="55">
        <f>M200</f>
        <v>0</v>
      </c>
      <c r="BH200" s="42">
        <f>G200*AO200</f>
        <v>0</v>
      </c>
      <c r="BI200" s="42">
        <f>G200*AP200</f>
        <v>0</v>
      </c>
      <c r="BJ200" s="42">
        <f>G200*H200</f>
        <v>0</v>
      </c>
      <c r="BK200" s="42" t="s">
        <v>695</v>
      </c>
      <c r="BL200" s="55">
        <v>783</v>
      </c>
    </row>
    <row r="201" spans="1:64" ht="12.75">
      <c r="A201" s="69" t="s">
        <v>193</v>
      </c>
      <c r="B201" s="17"/>
      <c r="C201" s="17" t="s">
        <v>345</v>
      </c>
      <c r="D201" s="113" t="s">
        <v>563</v>
      </c>
      <c r="E201" s="174"/>
      <c r="F201" s="17" t="s">
        <v>621</v>
      </c>
      <c r="G201" s="55">
        <v>6</v>
      </c>
      <c r="H201" s="92"/>
      <c r="I201" s="55">
        <f>G201*AO201</f>
        <v>0</v>
      </c>
      <c r="J201" s="55">
        <f>G201*AP201</f>
        <v>0</v>
      </c>
      <c r="K201" s="55">
        <f>G201*H201</f>
        <v>0</v>
      </c>
      <c r="L201" s="55">
        <v>0</v>
      </c>
      <c r="M201" s="55">
        <f>G201*L201</f>
        <v>0</v>
      </c>
      <c r="N201" s="70" t="s">
        <v>646</v>
      </c>
      <c r="O201" s="18"/>
      <c r="Z201" s="55">
        <f>IF(AQ201="5",BJ201,0)</f>
        <v>0</v>
      </c>
      <c r="AB201" s="55">
        <f>IF(AQ201="1",BH201,0)</f>
        <v>0</v>
      </c>
      <c r="AC201" s="55">
        <f>IF(AQ201="1",BI201,0)</f>
        <v>0</v>
      </c>
      <c r="AD201" s="55">
        <f>IF(AQ201="7",BH201,0)</f>
        <v>0</v>
      </c>
      <c r="AE201" s="55">
        <f>IF(AQ201="7",BI201,0)</f>
        <v>0</v>
      </c>
      <c r="AF201" s="55">
        <f>IF(AQ201="2",BH201,0)</f>
        <v>0</v>
      </c>
      <c r="AG201" s="55">
        <f>IF(AQ201="2",BI201,0)</f>
        <v>0</v>
      </c>
      <c r="AH201" s="55">
        <f>IF(AQ201="0",BJ201,0)</f>
        <v>0</v>
      </c>
      <c r="AI201" s="50"/>
      <c r="AJ201" s="42">
        <f>IF(AN201=0,K201,0)</f>
        <v>0</v>
      </c>
      <c r="AK201" s="42">
        <f>IF(AN201=15,K201,0)</f>
        <v>0</v>
      </c>
      <c r="AL201" s="42">
        <f>IF(AN201=21,K201,0)</f>
        <v>0</v>
      </c>
      <c r="AN201" s="55">
        <v>21</v>
      </c>
      <c r="AO201" s="55">
        <f>H201*0.102439024390244</f>
        <v>0</v>
      </c>
      <c r="AP201" s="55">
        <f>H201*(1-0.102439024390244)</f>
        <v>0</v>
      </c>
      <c r="AQ201" s="56" t="s">
        <v>80</v>
      </c>
      <c r="AV201" s="55">
        <f>AW201+AX201</f>
        <v>0</v>
      </c>
      <c r="AW201" s="55">
        <f>G201*AO201</f>
        <v>0</v>
      </c>
      <c r="AX201" s="55">
        <f>G201*AP201</f>
        <v>0</v>
      </c>
      <c r="AY201" s="58" t="s">
        <v>671</v>
      </c>
      <c r="AZ201" s="58" t="s">
        <v>688</v>
      </c>
      <c r="BA201" s="50" t="s">
        <v>690</v>
      </c>
      <c r="BC201" s="55">
        <f>AW201+AX201</f>
        <v>0</v>
      </c>
      <c r="BD201" s="55">
        <f>H201/(100-BE201)*100</f>
        <v>0</v>
      </c>
      <c r="BE201" s="55">
        <v>0</v>
      </c>
      <c r="BF201" s="55">
        <f>M201</f>
        <v>0</v>
      </c>
      <c r="BH201" s="42">
        <f>G201*AO201</f>
        <v>0</v>
      </c>
      <c r="BI201" s="42">
        <f>G201*AP201</f>
        <v>0</v>
      </c>
      <c r="BJ201" s="42">
        <f>G201*H201</f>
        <v>0</v>
      </c>
      <c r="BK201" s="42" t="s">
        <v>695</v>
      </c>
      <c r="BL201" s="55">
        <v>783</v>
      </c>
    </row>
    <row r="202" spans="1:47" ht="12.75">
      <c r="A202" s="63"/>
      <c r="B202" s="64"/>
      <c r="C202" s="64" t="s">
        <v>346</v>
      </c>
      <c r="D202" s="172" t="s">
        <v>564</v>
      </c>
      <c r="E202" s="173"/>
      <c r="F202" s="65" t="s">
        <v>73</v>
      </c>
      <c r="G202" s="65" t="s">
        <v>73</v>
      </c>
      <c r="H202" s="65" t="s">
        <v>73</v>
      </c>
      <c r="I202" s="66">
        <f>SUM(I203:I203)</f>
        <v>0</v>
      </c>
      <c r="J202" s="66">
        <f>SUM(J203:J203)</f>
        <v>0</v>
      </c>
      <c r="K202" s="66">
        <f>SUM(K203:K203)</f>
        <v>0</v>
      </c>
      <c r="L202" s="67"/>
      <c r="M202" s="66">
        <f>SUM(M203:M203)</f>
        <v>0.0303425</v>
      </c>
      <c r="N202" s="68"/>
      <c r="O202" s="18"/>
      <c r="AI202" s="50"/>
      <c r="AS202" s="61">
        <f>SUM(AJ203:AJ203)</f>
        <v>0</v>
      </c>
      <c r="AT202" s="61">
        <f>SUM(AK203:AK203)</f>
        <v>0</v>
      </c>
      <c r="AU202" s="61">
        <f>SUM(AL203:AL203)</f>
        <v>0</v>
      </c>
    </row>
    <row r="203" spans="1:64" ht="12.75">
      <c r="A203" s="69" t="s">
        <v>194</v>
      </c>
      <c r="B203" s="17"/>
      <c r="C203" s="17" t="s">
        <v>347</v>
      </c>
      <c r="D203" s="113" t="s">
        <v>565</v>
      </c>
      <c r="E203" s="174"/>
      <c r="F203" s="17" t="s">
        <v>622</v>
      </c>
      <c r="G203" s="55">
        <v>60.685</v>
      </c>
      <c r="H203" s="92"/>
      <c r="I203" s="55">
        <f>G203*AO203</f>
        <v>0</v>
      </c>
      <c r="J203" s="55">
        <f>G203*AP203</f>
        <v>0</v>
      </c>
      <c r="K203" s="55">
        <f>G203*H203</f>
        <v>0</v>
      </c>
      <c r="L203" s="55">
        <v>0.0005</v>
      </c>
      <c r="M203" s="55">
        <f>G203*L203</f>
        <v>0.0303425</v>
      </c>
      <c r="N203" s="70" t="s">
        <v>646</v>
      </c>
      <c r="O203" s="18"/>
      <c r="Z203" s="55">
        <f>IF(AQ203="5",BJ203,0)</f>
        <v>0</v>
      </c>
      <c r="AB203" s="55">
        <f>IF(AQ203="1",BH203,0)</f>
        <v>0</v>
      </c>
      <c r="AC203" s="55">
        <f>IF(AQ203="1",BI203,0)</f>
        <v>0</v>
      </c>
      <c r="AD203" s="55">
        <f>IF(AQ203="7",BH203,0)</f>
        <v>0</v>
      </c>
      <c r="AE203" s="55">
        <f>IF(AQ203="7",BI203,0)</f>
        <v>0</v>
      </c>
      <c r="AF203" s="55">
        <f>IF(AQ203="2",BH203,0)</f>
        <v>0</v>
      </c>
      <c r="AG203" s="55">
        <f>IF(AQ203="2",BI203,0)</f>
        <v>0</v>
      </c>
      <c r="AH203" s="55">
        <f>IF(AQ203="0",BJ203,0)</f>
        <v>0</v>
      </c>
      <c r="AI203" s="50"/>
      <c r="AJ203" s="42">
        <f>IF(AN203=0,K203,0)</f>
        <v>0</v>
      </c>
      <c r="AK203" s="42">
        <f>IF(AN203=15,K203,0)</f>
        <v>0</v>
      </c>
      <c r="AL203" s="42">
        <f>IF(AN203=21,K203,0)</f>
        <v>0</v>
      </c>
      <c r="AN203" s="55">
        <v>21</v>
      </c>
      <c r="AO203" s="55">
        <f>H203*0.336386762160944</f>
        <v>0</v>
      </c>
      <c r="AP203" s="55">
        <f>H203*(1-0.336386762160944)</f>
        <v>0</v>
      </c>
      <c r="AQ203" s="56" t="s">
        <v>80</v>
      </c>
      <c r="AV203" s="55">
        <f>AW203+AX203</f>
        <v>0</v>
      </c>
      <c r="AW203" s="55">
        <f>G203*AO203</f>
        <v>0</v>
      </c>
      <c r="AX203" s="55">
        <f>G203*AP203</f>
        <v>0</v>
      </c>
      <c r="AY203" s="58" t="s">
        <v>672</v>
      </c>
      <c r="AZ203" s="58" t="s">
        <v>688</v>
      </c>
      <c r="BA203" s="50" t="s">
        <v>690</v>
      </c>
      <c r="BC203" s="55">
        <f>AW203+AX203</f>
        <v>0</v>
      </c>
      <c r="BD203" s="55">
        <f>H203/(100-BE203)*100</f>
        <v>0</v>
      </c>
      <c r="BE203" s="55">
        <v>0</v>
      </c>
      <c r="BF203" s="55">
        <f>M203</f>
        <v>0.0303425</v>
      </c>
      <c r="BH203" s="42">
        <f>G203*AO203</f>
        <v>0</v>
      </c>
      <c r="BI203" s="42">
        <f>G203*AP203</f>
        <v>0</v>
      </c>
      <c r="BJ203" s="42">
        <f>G203*H203</f>
        <v>0</v>
      </c>
      <c r="BK203" s="42" t="s">
        <v>695</v>
      </c>
      <c r="BL203" s="55">
        <v>784</v>
      </c>
    </row>
    <row r="204" spans="1:47" ht="12.75">
      <c r="A204" s="63"/>
      <c r="B204" s="64"/>
      <c r="C204" s="64" t="s">
        <v>163</v>
      </c>
      <c r="D204" s="172" t="s">
        <v>566</v>
      </c>
      <c r="E204" s="173"/>
      <c r="F204" s="65" t="s">
        <v>73</v>
      </c>
      <c r="G204" s="65" t="s">
        <v>73</v>
      </c>
      <c r="H204" s="65" t="s">
        <v>73</v>
      </c>
      <c r="I204" s="66">
        <f>SUM(I205:I205)</f>
        <v>0</v>
      </c>
      <c r="J204" s="66">
        <f>SUM(J205:J205)</f>
        <v>0</v>
      </c>
      <c r="K204" s="66">
        <f>SUM(K205:K205)</f>
        <v>0</v>
      </c>
      <c r="L204" s="67"/>
      <c r="M204" s="66">
        <f>SUM(M205:M205)</f>
        <v>0</v>
      </c>
      <c r="N204" s="68"/>
      <c r="O204" s="18"/>
      <c r="AI204" s="50"/>
      <c r="AS204" s="61">
        <f>SUM(AJ205:AJ205)</f>
        <v>0</v>
      </c>
      <c r="AT204" s="61">
        <f>SUM(AK205:AK205)</f>
        <v>0</v>
      </c>
      <c r="AU204" s="61">
        <f>SUM(AL205:AL205)</f>
        <v>0</v>
      </c>
    </row>
    <row r="205" spans="1:64" ht="12.75">
      <c r="A205" s="69" t="s">
        <v>195</v>
      </c>
      <c r="B205" s="17"/>
      <c r="C205" s="17" t="s">
        <v>348</v>
      </c>
      <c r="D205" s="113" t="s">
        <v>567</v>
      </c>
      <c r="E205" s="174"/>
      <c r="F205" s="17" t="s">
        <v>630</v>
      </c>
      <c r="G205" s="55">
        <v>4</v>
      </c>
      <c r="H205" s="92"/>
      <c r="I205" s="55">
        <f>G205*AO205</f>
        <v>0</v>
      </c>
      <c r="J205" s="55">
        <f>G205*AP205</f>
        <v>0</v>
      </c>
      <c r="K205" s="55">
        <f>G205*H205</f>
        <v>0</v>
      </c>
      <c r="L205" s="55">
        <v>0</v>
      </c>
      <c r="M205" s="55">
        <f>G205*L205</f>
        <v>0</v>
      </c>
      <c r="N205" s="70" t="s">
        <v>646</v>
      </c>
      <c r="O205" s="18"/>
      <c r="Z205" s="55">
        <f>IF(AQ205="5",BJ205,0)</f>
        <v>0</v>
      </c>
      <c r="AB205" s="55">
        <f>IF(AQ205="1",BH205,0)</f>
        <v>0</v>
      </c>
      <c r="AC205" s="55">
        <f>IF(AQ205="1",BI205,0)</f>
        <v>0</v>
      </c>
      <c r="AD205" s="55">
        <f>IF(AQ205="7",BH205,0)</f>
        <v>0</v>
      </c>
      <c r="AE205" s="55">
        <f>IF(AQ205="7",BI205,0)</f>
        <v>0</v>
      </c>
      <c r="AF205" s="55">
        <f>IF(AQ205="2",BH205,0)</f>
        <v>0</v>
      </c>
      <c r="AG205" s="55">
        <f>IF(AQ205="2",BI205,0)</f>
        <v>0</v>
      </c>
      <c r="AH205" s="55">
        <f>IF(AQ205="0",BJ205,0)</f>
        <v>0</v>
      </c>
      <c r="AI205" s="50"/>
      <c r="AJ205" s="42">
        <f>IF(AN205=0,K205,0)</f>
        <v>0</v>
      </c>
      <c r="AK205" s="42">
        <f>IF(AN205=15,K205,0)</f>
        <v>0</v>
      </c>
      <c r="AL205" s="42">
        <f>IF(AN205=21,K205,0)</f>
        <v>0</v>
      </c>
      <c r="AN205" s="55">
        <v>21</v>
      </c>
      <c r="AO205" s="55">
        <f>H205*0</f>
        <v>0</v>
      </c>
      <c r="AP205" s="55">
        <f>H205*(1-0)</f>
        <v>0</v>
      </c>
      <c r="AQ205" s="56" t="s">
        <v>74</v>
      </c>
      <c r="AV205" s="55">
        <f>AW205+AX205</f>
        <v>0</v>
      </c>
      <c r="AW205" s="55">
        <f>G205*AO205</f>
        <v>0</v>
      </c>
      <c r="AX205" s="55">
        <f>G205*AP205</f>
        <v>0</v>
      </c>
      <c r="AY205" s="58" t="s">
        <v>673</v>
      </c>
      <c r="AZ205" s="58" t="s">
        <v>689</v>
      </c>
      <c r="BA205" s="50" t="s">
        <v>690</v>
      </c>
      <c r="BC205" s="55">
        <f>AW205+AX205</f>
        <v>0</v>
      </c>
      <c r="BD205" s="55">
        <f>H205/(100-BE205)*100</f>
        <v>0</v>
      </c>
      <c r="BE205" s="55">
        <v>0</v>
      </c>
      <c r="BF205" s="55">
        <f>M205</f>
        <v>0</v>
      </c>
      <c r="BH205" s="42">
        <f>G205*AO205</f>
        <v>0</v>
      </c>
      <c r="BI205" s="42">
        <f>G205*AP205</f>
        <v>0</v>
      </c>
      <c r="BJ205" s="42">
        <f>G205*H205</f>
        <v>0</v>
      </c>
      <c r="BK205" s="42" t="s">
        <v>695</v>
      </c>
      <c r="BL205" s="55">
        <v>90</v>
      </c>
    </row>
    <row r="206" spans="1:47" ht="12.75">
      <c r="A206" s="63"/>
      <c r="B206" s="64"/>
      <c r="C206" s="64" t="s">
        <v>167</v>
      </c>
      <c r="D206" s="172" t="s">
        <v>568</v>
      </c>
      <c r="E206" s="173"/>
      <c r="F206" s="65" t="s">
        <v>73</v>
      </c>
      <c r="G206" s="65" t="s">
        <v>73</v>
      </c>
      <c r="H206" s="65" t="s">
        <v>73</v>
      </c>
      <c r="I206" s="66">
        <f>SUM(I207:I208)</f>
        <v>0</v>
      </c>
      <c r="J206" s="66">
        <f>SUM(J207:J208)</f>
        <v>0</v>
      </c>
      <c r="K206" s="66">
        <f>SUM(K207:K208)</f>
        <v>0</v>
      </c>
      <c r="L206" s="67"/>
      <c r="M206" s="66">
        <f>SUM(M207:M208)</f>
        <v>0.01896</v>
      </c>
      <c r="N206" s="68"/>
      <c r="O206" s="18"/>
      <c r="AI206" s="50"/>
      <c r="AS206" s="61">
        <f>SUM(AJ207:AJ208)</f>
        <v>0</v>
      </c>
      <c r="AT206" s="61">
        <f>SUM(AK207:AK208)</f>
        <v>0</v>
      </c>
      <c r="AU206" s="61">
        <f>SUM(AL207:AL208)</f>
        <v>0</v>
      </c>
    </row>
    <row r="207" spans="1:64" ht="12.75">
      <c r="A207" s="69" t="s">
        <v>196</v>
      </c>
      <c r="B207" s="17"/>
      <c r="C207" s="17" t="s">
        <v>349</v>
      </c>
      <c r="D207" s="113" t="s">
        <v>569</v>
      </c>
      <c r="E207" s="174"/>
      <c r="F207" s="17" t="s">
        <v>622</v>
      </c>
      <c r="G207" s="55">
        <v>12</v>
      </c>
      <c r="H207" s="92"/>
      <c r="I207" s="55">
        <f>G207*AO207</f>
        <v>0</v>
      </c>
      <c r="J207" s="55">
        <f>G207*AP207</f>
        <v>0</v>
      </c>
      <c r="K207" s="55">
        <f>G207*H207</f>
        <v>0</v>
      </c>
      <c r="L207" s="55">
        <v>0.00158</v>
      </c>
      <c r="M207" s="55">
        <f>G207*L207</f>
        <v>0.01896</v>
      </c>
      <c r="N207" s="70" t="s">
        <v>646</v>
      </c>
      <c r="O207" s="18"/>
      <c r="Z207" s="55">
        <f>IF(AQ207="5",BJ207,0)</f>
        <v>0</v>
      </c>
      <c r="AB207" s="55">
        <f>IF(AQ207="1",BH207,0)</f>
        <v>0</v>
      </c>
      <c r="AC207" s="55">
        <f>IF(AQ207="1",BI207,0)</f>
        <v>0</v>
      </c>
      <c r="AD207" s="55">
        <f>IF(AQ207="7",BH207,0)</f>
        <v>0</v>
      </c>
      <c r="AE207" s="55">
        <f>IF(AQ207="7",BI207,0)</f>
        <v>0</v>
      </c>
      <c r="AF207" s="55">
        <f>IF(AQ207="2",BH207,0)</f>
        <v>0</v>
      </c>
      <c r="AG207" s="55">
        <f>IF(AQ207="2",BI207,0)</f>
        <v>0</v>
      </c>
      <c r="AH207" s="55">
        <f>IF(AQ207="0",BJ207,0)</f>
        <v>0</v>
      </c>
      <c r="AI207" s="50"/>
      <c r="AJ207" s="42">
        <f>IF(AN207=0,K207,0)</f>
        <v>0</v>
      </c>
      <c r="AK207" s="42">
        <f>IF(AN207=15,K207,0)</f>
        <v>0</v>
      </c>
      <c r="AL207" s="42">
        <f>IF(AN207=21,K207,0)</f>
        <v>0</v>
      </c>
      <c r="AN207" s="55">
        <v>21</v>
      </c>
      <c r="AO207" s="55">
        <f>H207*0.348243030344544</f>
        <v>0</v>
      </c>
      <c r="AP207" s="55">
        <f>H207*(1-0.348243030344544)</f>
        <v>0</v>
      </c>
      <c r="AQ207" s="56" t="s">
        <v>74</v>
      </c>
      <c r="AV207" s="55">
        <f>AW207+AX207</f>
        <v>0</v>
      </c>
      <c r="AW207" s="55">
        <f>G207*AO207</f>
        <v>0</v>
      </c>
      <c r="AX207" s="55">
        <f>G207*AP207</f>
        <v>0</v>
      </c>
      <c r="AY207" s="58" t="s">
        <v>674</v>
      </c>
      <c r="AZ207" s="58" t="s">
        <v>689</v>
      </c>
      <c r="BA207" s="50" t="s">
        <v>690</v>
      </c>
      <c r="BC207" s="55">
        <f>AW207+AX207</f>
        <v>0</v>
      </c>
      <c r="BD207" s="55">
        <f>H207/(100-BE207)*100</f>
        <v>0</v>
      </c>
      <c r="BE207" s="55">
        <v>0</v>
      </c>
      <c r="BF207" s="55">
        <f>M207</f>
        <v>0.01896</v>
      </c>
      <c r="BH207" s="42">
        <f>G207*AO207</f>
        <v>0</v>
      </c>
      <c r="BI207" s="42">
        <f>G207*AP207</f>
        <v>0</v>
      </c>
      <c r="BJ207" s="42">
        <f>G207*H207</f>
        <v>0</v>
      </c>
      <c r="BK207" s="42" t="s">
        <v>695</v>
      </c>
      <c r="BL207" s="55">
        <v>94</v>
      </c>
    </row>
    <row r="208" spans="1:64" ht="12.75">
      <c r="A208" s="34" t="s">
        <v>197</v>
      </c>
      <c r="B208" s="39"/>
      <c r="C208" s="39" t="s">
        <v>350</v>
      </c>
      <c r="D208" s="180" t="s">
        <v>570</v>
      </c>
      <c r="E208" s="174"/>
      <c r="F208" s="39" t="s">
        <v>630</v>
      </c>
      <c r="G208" s="42">
        <v>4</v>
      </c>
      <c r="H208" s="93"/>
      <c r="I208" s="42">
        <f>G208*AO208</f>
        <v>0</v>
      </c>
      <c r="J208" s="42">
        <f>G208*AP208</f>
        <v>0</v>
      </c>
      <c r="K208" s="42">
        <f>G208*H208</f>
        <v>0</v>
      </c>
      <c r="L208" s="42">
        <v>0</v>
      </c>
      <c r="M208" s="42">
        <f>G208*L208</f>
        <v>0</v>
      </c>
      <c r="N208" s="54" t="s">
        <v>646</v>
      </c>
      <c r="O208" s="18"/>
      <c r="Z208" s="55">
        <f>IF(AQ208="5",BJ208,0)</f>
        <v>0</v>
      </c>
      <c r="AB208" s="55">
        <f>IF(AQ208="1",BH208,0)</f>
        <v>0</v>
      </c>
      <c r="AC208" s="55">
        <f>IF(AQ208="1",BI208,0)</f>
        <v>0</v>
      </c>
      <c r="AD208" s="55">
        <f>IF(AQ208="7",BH208,0)</f>
        <v>0</v>
      </c>
      <c r="AE208" s="55">
        <f>IF(AQ208="7",BI208,0)</f>
        <v>0</v>
      </c>
      <c r="AF208" s="55">
        <f>IF(AQ208="2",BH208,0)</f>
        <v>0</v>
      </c>
      <c r="AG208" s="55">
        <f>IF(AQ208="2",BI208,0)</f>
        <v>0</v>
      </c>
      <c r="AH208" s="55">
        <f>IF(AQ208="0",BJ208,0)</f>
        <v>0</v>
      </c>
      <c r="AI208" s="50"/>
      <c r="AJ208" s="42">
        <f>IF(AN208=0,K208,0)</f>
        <v>0</v>
      </c>
      <c r="AK208" s="42">
        <f>IF(AN208=15,K208,0)</f>
        <v>0</v>
      </c>
      <c r="AL208" s="42">
        <f>IF(AN208=21,K208,0)</f>
        <v>0</v>
      </c>
      <c r="AN208" s="55">
        <v>21</v>
      </c>
      <c r="AO208" s="55">
        <f>H208*0</f>
        <v>0</v>
      </c>
      <c r="AP208" s="55">
        <f>H208*(1-0)</f>
        <v>0</v>
      </c>
      <c r="AQ208" s="56" t="s">
        <v>74</v>
      </c>
      <c r="AV208" s="55">
        <f>AW208+AX208</f>
        <v>0</v>
      </c>
      <c r="AW208" s="55">
        <f>G208*AO208</f>
        <v>0</v>
      </c>
      <c r="AX208" s="55">
        <f>G208*AP208</f>
        <v>0</v>
      </c>
      <c r="AY208" s="58" t="s">
        <v>674</v>
      </c>
      <c r="AZ208" s="58" t="s">
        <v>689</v>
      </c>
      <c r="BA208" s="50" t="s">
        <v>690</v>
      </c>
      <c r="BC208" s="55">
        <f>AW208+AX208</f>
        <v>0</v>
      </c>
      <c r="BD208" s="55">
        <f>H208/(100-BE208)*100</f>
        <v>0</v>
      </c>
      <c r="BE208" s="55">
        <v>0</v>
      </c>
      <c r="BF208" s="55">
        <f>M208</f>
        <v>0</v>
      </c>
      <c r="BH208" s="42">
        <f>G208*AO208</f>
        <v>0</v>
      </c>
      <c r="BI208" s="42">
        <f>G208*AP208</f>
        <v>0</v>
      </c>
      <c r="BJ208" s="42">
        <f>G208*H208</f>
        <v>0</v>
      </c>
      <c r="BK208" s="42" t="s">
        <v>695</v>
      </c>
      <c r="BL208" s="55">
        <v>94</v>
      </c>
    </row>
    <row r="209" spans="1:47" ht="12.75">
      <c r="A209" s="63"/>
      <c r="B209" s="64"/>
      <c r="C209" s="64" t="s">
        <v>168</v>
      </c>
      <c r="D209" s="172" t="s">
        <v>571</v>
      </c>
      <c r="E209" s="173"/>
      <c r="F209" s="65" t="s">
        <v>73</v>
      </c>
      <c r="G209" s="65" t="s">
        <v>73</v>
      </c>
      <c r="H209" s="65" t="s">
        <v>73</v>
      </c>
      <c r="I209" s="66">
        <f>SUM(I210:I210)</f>
        <v>0</v>
      </c>
      <c r="J209" s="66">
        <f>SUM(J210:J210)</f>
        <v>0</v>
      </c>
      <c r="K209" s="66">
        <f>SUM(K210:K210)</f>
        <v>0</v>
      </c>
      <c r="L209" s="67"/>
      <c r="M209" s="66">
        <f>SUM(M210:M210)</f>
        <v>0.0014000000000000002</v>
      </c>
      <c r="N209" s="68"/>
      <c r="O209" s="18"/>
      <c r="AI209" s="50"/>
      <c r="AS209" s="61">
        <f>SUM(AJ210:AJ210)</f>
        <v>0</v>
      </c>
      <c r="AT209" s="61">
        <f>SUM(AK210:AK210)</f>
        <v>0</v>
      </c>
      <c r="AU209" s="61">
        <f>SUM(AL210:AL210)</f>
        <v>0</v>
      </c>
    </row>
    <row r="210" spans="1:64" ht="12.75">
      <c r="A210" s="69" t="s">
        <v>198</v>
      </c>
      <c r="B210" s="17"/>
      <c r="C210" s="17" t="s">
        <v>351</v>
      </c>
      <c r="D210" s="113" t="s">
        <v>572</v>
      </c>
      <c r="E210" s="174"/>
      <c r="F210" s="17" t="s">
        <v>622</v>
      </c>
      <c r="G210" s="55">
        <v>35</v>
      </c>
      <c r="H210" s="92"/>
      <c r="I210" s="55">
        <f>G210*AO210</f>
        <v>0</v>
      </c>
      <c r="J210" s="55">
        <f>G210*AP210</f>
        <v>0</v>
      </c>
      <c r="K210" s="55">
        <f>G210*H210</f>
        <v>0</v>
      </c>
      <c r="L210" s="55">
        <v>4E-05</v>
      </c>
      <c r="M210" s="55">
        <f>G210*L210</f>
        <v>0.0014000000000000002</v>
      </c>
      <c r="N210" s="70" t="s">
        <v>646</v>
      </c>
      <c r="O210" s="18"/>
      <c r="Z210" s="55">
        <f>IF(AQ210="5",BJ210,0)</f>
        <v>0</v>
      </c>
      <c r="AB210" s="55">
        <f>IF(AQ210="1",BH210,0)</f>
        <v>0</v>
      </c>
      <c r="AC210" s="55">
        <f>IF(AQ210="1",BI210,0)</f>
        <v>0</v>
      </c>
      <c r="AD210" s="55">
        <f>IF(AQ210="7",BH210,0)</f>
        <v>0</v>
      </c>
      <c r="AE210" s="55">
        <f>IF(AQ210="7",BI210,0)</f>
        <v>0</v>
      </c>
      <c r="AF210" s="55">
        <f>IF(AQ210="2",BH210,0)</f>
        <v>0</v>
      </c>
      <c r="AG210" s="55">
        <f>IF(AQ210="2",BI210,0)</f>
        <v>0</v>
      </c>
      <c r="AH210" s="55">
        <f>IF(AQ210="0",BJ210,0)</f>
        <v>0</v>
      </c>
      <c r="AI210" s="50"/>
      <c r="AJ210" s="42">
        <f>IF(AN210=0,K210,0)</f>
        <v>0</v>
      </c>
      <c r="AK210" s="42">
        <f>IF(AN210=15,K210,0)</f>
        <v>0</v>
      </c>
      <c r="AL210" s="42">
        <f>IF(AN210=21,K210,0)</f>
        <v>0</v>
      </c>
      <c r="AN210" s="55">
        <v>21</v>
      </c>
      <c r="AO210" s="55">
        <f>H210*0.012078431372549</f>
        <v>0</v>
      </c>
      <c r="AP210" s="55">
        <f>H210*(1-0.012078431372549)</f>
        <v>0</v>
      </c>
      <c r="AQ210" s="56" t="s">
        <v>74</v>
      </c>
      <c r="AV210" s="55">
        <f>AW210+AX210</f>
        <v>0</v>
      </c>
      <c r="AW210" s="55">
        <f>G210*AO210</f>
        <v>0</v>
      </c>
      <c r="AX210" s="55">
        <f>G210*AP210</f>
        <v>0</v>
      </c>
      <c r="AY210" s="58" t="s">
        <v>675</v>
      </c>
      <c r="AZ210" s="58" t="s">
        <v>689</v>
      </c>
      <c r="BA210" s="50" t="s">
        <v>690</v>
      </c>
      <c r="BC210" s="55">
        <f>AW210+AX210</f>
        <v>0</v>
      </c>
      <c r="BD210" s="55">
        <f>H210/(100-BE210)*100</f>
        <v>0</v>
      </c>
      <c r="BE210" s="55">
        <v>0</v>
      </c>
      <c r="BF210" s="55">
        <f>M210</f>
        <v>0.0014000000000000002</v>
      </c>
      <c r="BH210" s="42">
        <f>G210*AO210</f>
        <v>0</v>
      </c>
      <c r="BI210" s="42">
        <f>G210*AP210</f>
        <v>0</v>
      </c>
      <c r="BJ210" s="42">
        <f>G210*H210</f>
        <v>0</v>
      </c>
      <c r="BK210" s="42" t="s">
        <v>695</v>
      </c>
      <c r="BL210" s="55">
        <v>95</v>
      </c>
    </row>
    <row r="211" spans="1:47" ht="12.75">
      <c r="A211" s="63"/>
      <c r="B211" s="64"/>
      <c r="C211" s="64" t="s">
        <v>169</v>
      </c>
      <c r="D211" s="172" t="s">
        <v>573</v>
      </c>
      <c r="E211" s="173"/>
      <c r="F211" s="65" t="s">
        <v>73</v>
      </c>
      <c r="G211" s="65" t="s">
        <v>73</v>
      </c>
      <c r="H211" s="65" t="s">
        <v>73</v>
      </c>
      <c r="I211" s="66">
        <f>SUM(I212:I233)</f>
        <v>0</v>
      </c>
      <c r="J211" s="66">
        <f>SUM(J212:J233)</f>
        <v>0</v>
      </c>
      <c r="K211" s="66">
        <f>SUM(K212:K233)</f>
        <v>0</v>
      </c>
      <c r="L211" s="67"/>
      <c r="M211" s="66">
        <f>SUM(M212:M233)</f>
        <v>16.248512074999997</v>
      </c>
      <c r="N211" s="68"/>
      <c r="O211" s="18"/>
      <c r="AI211" s="50"/>
      <c r="AS211" s="61">
        <f>SUM(AJ212:AJ233)</f>
        <v>0</v>
      </c>
      <c r="AT211" s="61">
        <f>SUM(AK212:AK233)</f>
        <v>0</v>
      </c>
      <c r="AU211" s="61">
        <f>SUM(AL212:AL233)</f>
        <v>0</v>
      </c>
    </row>
    <row r="212" spans="1:64" ht="12.75">
      <c r="A212" s="69" t="s">
        <v>199</v>
      </c>
      <c r="B212" s="17"/>
      <c r="C212" s="17" t="s">
        <v>352</v>
      </c>
      <c r="D212" s="113" t="s">
        <v>574</v>
      </c>
      <c r="E212" s="174"/>
      <c r="F212" s="17" t="s">
        <v>622</v>
      </c>
      <c r="G212" s="55">
        <v>21.9975</v>
      </c>
      <c r="H212" s="92"/>
      <c r="I212" s="55">
        <f>G212*AO212</f>
        <v>0</v>
      </c>
      <c r="J212" s="55">
        <f>G212*AP212</f>
        <v>0</v>
      </c>
      <c r="K212" s="55">
        <f>G212*H212</f>
        <v>0</v>
      </c>
      <c r="L212" s="55">
        <v>0.18467</v>
      </c>
      <c r="M212" s="55">
        <f>G212*L212</f>
        <v>4.062278324999999</v>
      </c>
      <c r="N212" s="70" t="s">
        <v>646</v>
      </c>
      <c r="O212" s="18"/>
      <c r="Z212" s="55">
        <f>IF(AQ212="5",BJ212,0)</f>
        <v>0</v>
      </c>
      <c r="AB212" s="55">
        <f>IF(AQ212="1",BH212,0)</f>
        <v>0</v>
      </c>
      <c r="AC212" s="55">
        <f>IF(AQ212="1",BI212,0)</f>
        <v>0</v>
      </c>
      <c r="AD212" s="55">
        <f>IF(AQ212="7",BH212,0)</f>
        <v>0</v>
      </c>
      <c r="AE212" s="55">
        <f>IF(AQ212="7",BI212,0)</f>
        <v>0</v>
      </c>
      <c r="AF212" s="55">
        <f>IF(AQ212="2",BH212,0)</f>
        <v>0</v>
      </c>
      <c r="AG212" s="55">
        <f>IF(AQ212="2",BI212,0)</f>
        <v>0</v>
      </c>
      <c r="AH212" s="55">
        <f>IF(AQ212="0",BJ212,0)</f>
        <v>0</v>
      </c>
      <c r="AI212" s="50"/>
      <c r="AJ212" s="42">
        <f>IF(AN212=0,K212,0)</f>
        <v>0</v>
      </c>
      <c r="AK212" s="42">
        <f>IF(AN212=15,K212,0)</f>
        <v>0</v>
      </c>
      <c r="AL212" s="42">
        <f>IF(AN212=21,K212,0)</f>
        <v>0</v>
      </c>
      <c r="AN212" s="55">
        <v>21</v>
      </c>
      <c r="AO212" s="55">
        <f>H212*0.135989775830539</f>
        <v>0</v>
      </c>
      <c r="AP212" s="55">
        <f>H212*(1-0.135989775830539)</f>
        <v>0</v>
      </c>
      <c r="AQ212" s="56" t="s">
        <v>74</v>
      </c>
      <c r="AV212" s="55">
        <f>AW212+AX212</f>
        <v>0</v>
      </c>
      <c r="AW212" s="55">
        <f>G212*AO212</f>
        <v>0</v>
      </c>
      <c r="AX212" s="55">
        <f>G212*AP212</f>
        <v>0</v>
      </c>
      <c r="AY212" s="58" t="s">
        <v>676</v>
      </c>
      <c r="AZ212" s="58" t="s">
        <v>689</v>
      </c>
      <c r="BA212" s="50" t="s">
        <v>690</v>
      </c>
      <c r="BC212" s="55">
        <f>AW212+AX212</f>
        <v>0</v>
      </c>
      <c r="BD212" s="55">
        <f>H212/(100-BE212)*100</f>
        <v>0</v>
      </c>
      <c r="BE212" s="55">
        <v>0</v>
      </c>
      <c r="BF212" s="55">
        <f>M212</f>
        <v>4.062278324999999</v>
      </c>
      <c r="BH212" s="42">
        <f>G212*AO212</f>
        <v>0</v>
      </c>
      <c r="BI212" s="42">
        <f>G212*AP212</f>
        <v>0</v>
      </c>
      <c r="BJ212" s="42">
        <f>G212*H212</f>
        <v>0</v>
      </c>
      <c r="BK212" s="42" t="s">
        <v>695</v>
      </c>
      <c r="BL212" s="55">
        <v>96</v>
      </c>
    </row>
    <row r="213" spans="1:15" ht="12.75">
      <c r="A213" s="18"/>
      <c r="B213" s="71"/>
      <c r="C213" s="71"/>
      <c r="D213" s="72" t="s">
        <v>575</v>
      </c>
      <c r="E213" s="72"/>
      <c r="F213" s="71"/>
      <c r="G213" s="73">
        <v>6.9975</v>
      </c>
      <c r="H213" s="71"/>
      <c r="I213" s="71"/>
      <c r="J213" s="71"/>
      <c r="K213" s="71"/>
      <c r="L213" s="71"/>
      <c r="M213" s="71"/>
      <c r="N213" s="16"/>
      <c r="O213" s="18"/>
    </row>
    <row r="214" spans="1:15" ht="12.75">
      <c r="A214" s="18"/>
      <c r="B214" s="71"/>
      <c r="C214" s="71"/>
      <c r="D214" s="72" t="s">
        <v>576</v>
      </c>
      <c r="E214" s="72"/>
      <c r="F214" s="71"/>
      <c r="G214" s="73">
        <v>15</v>
      </c>
      <c r="H214" s="71"/>
      <c r="I214" s="71"/>
      <c r="J214" s="71"/>
      <c r="K214" s="71"/>
      <c r="L214" s="71"/>
      <c r="M214" s="71"/>
      <c r="N214" s="16"/>
      <c r="O214" s="18"/>
    </row>
    <row r="215" spans="1:64" ht="12.75">
      <c r="A215" s="69" t="s">
        <v>200</v>
      </c>
      <c r="B215" s="17"/>
      <c r="C215" s="17" t="s">
        <v>353</v>
      </c>
      <c r="D215" s="113" t="s">
        <v>577</v>
      </c>
      <c r="E215" s="174"/>
      <c r="F215" s="17" t="s">
        <v>622</v>
      </c>
      <c r="G215" s="55">
        <v>1.6</v>
      </c>
      <c r="H215" s="92"/>
      <c r="I215" s="55">
        <f>G215*AO215</f>
        <v>0</v>
      </c>
      <c r="J215" s="55">
        <f>G215*AP215</f>
        <v>0</v>
      </c>
      <c r="K215" s="55">
        <f>G215*H215</f>
        <v>0</v>
      </c>
      <c r="L215" s="55">
        <v>0.31967</v>
      </c>
      <c r="M215" s="55">
        <f>G215*L215</f>
        <v>0.511472</v>
      </c>
      <c r="N215" s="70" t="s">
        <v>646</v>
      </c>
      <c r="O215" s="18"/>
      <c r="Z215" s="55">
        <f>IF(AQ215="5",BJ215,0)</f>
        <v>0</v>
      </c>
      <c r="AB215" s="55">
        <f>IF(AQ215="1",BH215,0)</f>
        <v>0</v>
      </c>
      <c r="AC215" s="55">
        <f>IF(AQ215="1",BI215,0)</f>
        <v>0</v>
      </c>
      <c r="AD215" s="55">
        <f>IF(AQ215="7",BH215,0)</f>
        <v>0</v>
      </c>
      <c r="AE215" s="55">
        <f>IF(AQ215="7",BI215,0)</f>
        <v>0</v>
      </c>
      <c r="AF215" s="55">
        <f>IF(AQ215="2",BH215,0)</f>
        <v>0</v>
      </c>
      <c r="AG215" s="55">
        <f>IF(AQ215="2",BI215,0)</f>
        <v>0</v>
      </c>
      <c r="AH215" s="55">
        <f>IF(AQ215="0",BJ215,0)</f>
        <v>0</v>
      </c>
      <c r="AI215" s="50"/>
      <c r="AJ215" s="42">
        <f>IF(AN215=0,K215,0)</f>
        <v>0</v>
      </c>
      <c r="AK215" s="42">
        <f>IF(AN215=15,K215,0)</f>
        <v>0</v>
      </c>
      <c r="AL215" s="42">
        <f>IF(AN215=21,K215,0)</f>
        <v>0</v>
      </c>
      <c r="AN215" s="55">
        <v>21</v>
      </c>
      <c r="AO215" s="55">
        <f>H215*0.101616495437891</f>
        <v>0</v>
      </c>
      <c r="AP215" s="55">
        <f>H215*(1-0.101616495437891)</f>
        <v>0</v>
      </c>
      <c r="AQ215" s="56" t="s">
        <v>74</v>
      </c>
      <c r="AV215" s="55">
        <f>AW215+AX215</f>
        <v>0</v>
      </c>
      <c r="AW215" s="55">
        <f>G215*AO215</f>
        <v>0</v>
      </c>
      <c r="AX215" s="55">
        <f>G215*AP215</f>
        <v>0</v>
      </c>
      <c r="AY215" s="58" t="s">
        <v>676</v>
      </c>
      <c r="AZ215" s="58" t="s">
        <v>689</v>
      </c>
      <c r="BA215" s="50" t="s">
        <v>690</v>
      </c>
      <c r="BC215" s="55">
        <f>AW215+AX215</f>
        <v>0</v>
      </c>
      <c r="BD215" s="55">
        <f>H215/(100-BE215)*100</f>
        <v>0</v>
      </c>
      <c r="BE215" s="55">
        <v>0</v>
      </c>
      <c r="BF215" s="55">
        <f>M215</f>
        <v>0.511472</v>
      </c>
      <c r="BH215" s="42">
        <f>G215*AO215</f>
        <v>0</v>
      </c>
      <c r="BI215" s="42">
        <f>G215*AP215</f>
        <v>0</v>
      </c>
      <c r="BJ215" s="42">
        <f>G215*H215</f>
        <v>0</v>
      </c>
      <c r="BK215" s="42" t="s">
        <v>695</v>
      </c>
      <c r="BL215" s="55">
        <v>96</v>
      </c>
    </row>
    <row r="216" spans="1:15" ht="12.75">
      <c r="A216" s="18"/>
      <c r="B216" s="71"/>
      <c r="C216" s="71"/>
      <c r="D216" s="72" t="s">
        <v>578</v>
      </c>
      <c r="E216" s="72"/>
      <c r="F216" s="71"/>
      <c r="G216" s="73">
        <v>1.6</v>
      </c>
      <c r="H216" s="71"/>
      <c r="I216" s="71"/>
      <c r="J216" s="71"/>
      <c r="K216" s="71"/>
      <c r="L216" s="71"/>
      <c r="M216" s="71"/>
      <c r="N216" s="16"/>
      <c r="O216" s="18"/>
    </row>
    <row r="217" spans="1:64" ht="12.75">
      <c r="A217" s="69" t="s">
        <v>201</v>
      </c>
      <c r="B217" s="17"/>
      <c r="C217" s="17" t="s">
        <v>354</v>
      </c>
      <c r="D217" s="113" t="s">
        <v>579</v>
      </c>
      <c r="E217" s="174"/>
      <c r="F217" s="17" t="s">
        <v>622</v>
      </c>
      <c r="G217" s="55">
        <v>54.5325</v>
      </c>
      <c r="H217" s="92"/>
      <c r="I217" s="55">
        <f>G217*AO217</f>
        <v>0</v>
      </c>
      <c r="J217" s="55">
        <f>G217*AP217</f>
        <v>0</v>
      </c>
      <c r="K217" s="55">
        <f>G217*H217</f>
        <v>0</v>
      </c>
      <c r="L217" s="55">
        <v>0.063</v>
      </c>
      <c r="M217" s="55">
        <f>G217*L217</f>
        <v>3.4355474999999998</v>
      </c>
      <c r="N217" s="70" t="s">
        <v>646</v>
      </c>
      <c r="O217" s="18"/>
      <c r="Z217" s="55">
        <f>IF(AQ217="5",BJ217,0)</f>
        <v>0</v>
      </c>
      <c r="AB217" s="55">
        <f>IF(AQ217="1",BH217,0)</f>
        <v>0</v>
      </c>
      <c r="AC217" s="55">
        <f>IF(AQ217="1",BI217,0)</f>
        <v>0</v>
      </c>
      <c r="AD217" s="55">
        <f>IF(AQ217="7",BH217,0)</f>
        <v>0</v>
      </c>
      <c r="AE217" s="55">
        <f>IF(AQ217="7",BI217,0)</f>
        <v>0</v>
      </c>
      <c r="AF217" s="55">
        <f>IF(AQ217="2",BH217,0)</f>
        <v>0</v>
      </c>
      <c r="AG217" s="55">
        <f>IF(AQ217="2",BI217,0)</f>
        <v>0</v>
      </c>
      <c r="AH217" s="55">
        <f>IF(AQ217="0",BJ217,0)</f>
        <v>0</v>
      </c>
      <c r="AI217" s="50"/>
      <c r="AJ217" s="42">
        <f>IF(AN217=0,K217,0)</f>
        <v>0</v>
      </c>
      <c r="AK217" s="42">
        <f>IF(AN217=15,K217,0)</f>
        <v>0</v>
      </c>
      <c r="AL217" s="42">
        <f>IF(AN217=21,K217,0)</f>
        <v>0</v>
      </c>
      <c r="AN217" s="55">
        <v>21</v>
      </c>
      <c r="AO217" s="55">
        <f>H217*0</f>
        <v>0</v>
      </c>
      <c r="AP217" s="55">
        <f>H217*(1-0)</f>
        <v>0</v>
      </c>
      <c r="AQ217" s="56" t="s">
        <v>74</v>
      </c>
      <c r="AV217" s="55">
        <f>AW217+AX217</f>
        <v>0</v>
      </c>
      <c r="AW217" s="55">
        <f>G217*AO217</f>
        <v>0</v>
      </c>
      <c r="AX217" s="55">
        <f>G217*AP217</f>
        <v>0</v>
      </c>
      <c r="AY217" s="58" t="s">
        <v>676</v>
      </c>
      <c r="AZ217" s="58" t="s">
        <v>689</v>
      </c>
      <c r="BA217" s="50" t="s">
        <v>690</v>
      </c>
      <c r="BC217" s="55">
        <f>AW217+AX217</f>
        <v>0</v>
      </c>
      <c r="BD217" s="55">
        <f>H217/(100-BE217)*100</f>
        <v>0</v>
      </c>
      <c r="BE217" s="55">
        <v>0</v>
      </c>
      <c r="BF217" s="55">
        <f>M217</f>
        <v>3.4355474999999998</v>
      </c>
      <c r="BH217" s="42">
        <f>G217*AO217</f>
        <v>0</v>
      </c>
      <c r="BI217" s="42">
        <f>G217*AP217</f>
        <v>0</v>
      </c>
      <c r="BJ217" s="42">
        <f>G217*H217</f>
        <v>0</v>
      </c>
      <c r="BK217" s="42" t="s">
        <v>695</v>
      </c>
      <c r="BL217" s="55">
        <v>96</v>
      </c>
    </row>
    <row r="218" spans="1:15" ht="12.75">
      <c r="A218" s="18"/>
      <c r="B218" s="71"/>
      <c r="C218" s="71"/>
      <c r="D218" s="72" t="s">
        <v>580</v>
      </c>
      <c r="E218" s="72"/>
      <c r="F218" s="71"/>
      <c r="G218" s="73"/>
      <c r="H218" s="71"/>
      <c r="I218" s="71"/>
      <c r="J218" s="71"/>
      <c r="K218" s="71"/>
      <c r="L218" s="71"/>
      <c r="M218" s="71"/>
      <c r="N218" s="16"/>
      <c r="O218" s="18"/>
    </row>
    <row r="219" spans="1:15" ht="12.75">
      <c r="A219" s="18"/>
      <c r="B219" s="71"/>
      <c r="C219" s="71"/>
      <c r="D219" s="72" t="s">
        <v>581</v>
      </c>
      <c r="E219" s="72"/>
      <c r="F219" s="71"/>
      <c r="G219" s="73">
        <v>53.355</v>
      </c>
      <c r="H219" s="71"/>
      <c r="I219" s="71"/>
      <c r="J219" s="71"/>
      <c r="K219" s="71"/>
      <c r="L219" s="71"/>
      <c r="M219" s="71"/>
      <c r="N219" s="16"/>
      <c r="O219" s="18"/>
    </row>
    <row r="220" spans="1:15" ht="12.75">
      <c r="A220" s="18"/>
      <c r="B220" s="71"/>
      <c r="C220" s="71"/>
      <c r="D220" s="72" t="s">
        <v>582</v>
      </c>
      <c r="E220" s="72"/>
      <c r="F220" s="71"/>
      <c r="G220" s="73">
        <v>1.1775</v>
      </c>
      <c r="H220" s="71"/>
      <c r="I220" s="71"/>
      <c r="J220" s="71"/>
      <c r="K220" s="71"/>
      <c r="L220" s="71"/>
      <c r="M220" s="71"/>
      <c r="N220" s="16"/>
      <c r="O220" s="18"/>
    </row>
    <row r="221" spans="1:64" ht="12.75">
      <c r="A221" s="69" t="s">
        <v>202</v>
      </c>
      <c r="B221" s="17"/>
      <c r="C221" s="17" t="s">
        <v>355</v>
      </c>
      <c r="D221" s="113" t="s">
        <v>583</v>
      </c>
      <c r="E221" s="174"/>
      <c r="F221" s="17" t="s">
        <v>631</v>
      </c>
      <c r="G221" s="55">
        <v>1.16407</v>
      </c>
      <c r="H221" s="92"/>
      <c r="I221" s="55">
        <f>G221*AO221</f>
        <v>0</v>
      </c>
      <c r="J221" s="55">
        <f>G221*AP221</f>
        <v>0</v>
      </c>
      <c r="K221" s="55">
        <f>G221*H221</f>
        <v>0</v>
      </c>
      <c r="L221" s="55">
        <v>2.2</v>
      </c>
      <c r="M221" s="55">
        <f>G221*L221</f>
        <v>2.560954</v>
      </c>
      <c r="N221" s="70" t="s">
        <v>646</v>
      </c>
      <c r="O221" s="18"/>
      <c r="Z221" s="55">
        <f>IF(AQ221="5",BJ221,0)</f>
        <v>0</v>
      </c>
      <c r="AB221" s="55">
        <f>IF(AQ221="1",BH221,0)</f>
        <v>0</v>
      </c>
      <c r="AC221" s="55">
        <f>IF(AQ221="1",BI221,0)</f>
        <v>0</v>
      </c>
      <c r="AD221" s="55">
        <f>IF(AQ221="7",BH221,0)</f>
        <v>0</v>
      </c>
      <c r="AE221" s="55">
        <f>IF(AQ221="7",BI221,0)</f>
        <v>0</v>
      </c>
      <c r="AF221" s="55">
        <f>IF(AQ221="2",BH221,0)</f>
        <v>0</v>
      </c>
      <c r="AG221" s="55">
        <f>IF(AQ221="2",BI221,0)</f>
        <v>0</v>
      </c>
      <c r="AH221" s="55">
        <f>IF(AQ221="0",BJ221,0)</f>
        <v>0</v>
      </c>
      <c r="AI221" s="50"/>
      <c r="AJ221" s="42">
        <f>IF(AN221=0,K221,0)</f>
        <v>0</v>
      </c>
      <c r="AK221" s="42">
        <f>IF(AN221=15,K221,0)</f>
        <v>0</v>
      </c>
      <c r="AL221" s="42">
        <f>IF(AN221=21,K221,0)</f>
        <v>0</v>
      </c>
      <c r="AN221" s="55">
        <v>21</v>
      </c>
      <c r="AO221" s="55">
        <f>H221*0</f>
        <v>0</v>
      </c>
      <c r="AP221" s="55">
        <f>H221*(1-0)</f>
        <v>0</v>
      </c>
      <c r="AQ221" s="56" t="s">
        <v>74</v>
      </c>
      <c r="AV221" s="55">
        <f>AW221+AX221</f>
        <v>0</v>
      </c>
      <c r="AW221" s="55">
        <f>G221*AO221</f>
        <v>0</v>
      </c>
      <c r="AX221" s="55">
        <f>G221*AP221</f>
        <v>0</v>
      </c>
      <c r="AY221" s="58" t="s">
        <v>676</v>
      </c>
      <c r="AZ221" s="58" t="s">
        <v>689</v>
      </c>
      <c r="BA221" s="50" t="s">
        <v>690</v>
      </c>
      <c r="BC221" s="55">
        <f>AW221+AX221</f>
        <v>0</v>
      </c>
      <c r="BD221" s="55">
        <f>H221/(100-BE221)*100</f>
        <v>0</v>
      </c>
      <c r="BE221" s="55">
        <v>0</v>
      </c>
      <c r="BF221" s="55">
        <f>M221</f>
        <v>2.560954</v>
      </c>
      <c r="BH221" s="42">
        <f>G221*AO221</f>
        <v>0</v>
      </c>
      <c r="BI221" s="42">
        <f>G221*AP221</f>
        <v>0</v>
      </c>
      <c r="BJ221" s="42">
        <f>G221*H221</f>
        <v>0</v>
      </c>
      <c r="BK221" s="42" t="s">
        <v>695</v>
      </c>
      <c r="BL221" s="55">
        <v>96</v>
      </c>
    </row>
    <row r="222" spans="1:15" ht="12.75">
      <c r="A222" s="18"/>
      <c r="B222" s="71"/>
      <c r="C222" s="71"/>
      <c r="D222" s="72" t="s">
        <v>584</v>
      </c>
      <c r="E222" s="72"/>
      <c r="F222" s="71"/>
      <c r="G222" s="73">
        <v>1.16407</v>
      </c>
      <c r="H222" s="71"/>
      <c r="I222" s="71"/>
      <c r="J222" s="71"/>
      <c r="K222" s="71"/>
      <c r="L222" s="71"/>
      <c r="M222" s="71"/>
      <c r="N222" s="16"/>
      <c r="O222" s="18"/>
    </row>
    <row r="223" spans="1:64" ht="12.75">
      <c r="A223" s="69" t="s">
        <v>203</v>
      </c>
      <c r="B223" s="17"/>
      <c r="C223" s="17" t="s">
        <v>356</v>
      </c>
      <c r="D223" s="113" t="s">
        <v>585</v>
      </c>
      <c r="E223" s="174"/>
      <c r="F223" s="17" t="s">
        <v>622</v>
      </c>
      <c r="G223" s="55">
        <v>22.89625</v>
      </c>
      <c r="H223" s="92"/>
      <c r="I223" s="55">
        <f>G223*AO223</f>
        <v>0</v>
      </c>
      <c r="J223" s="55">
        <f>G223*AP223</f>
        <v>0</v>
      </c>
      <c r="K223" s="55">
        <f>G223*H223</f>
        <v>0</v>
      </c>
      <c r="L223" s="55">
        <v>0.065</v>
      </c>
      <c r="M223" s="55">
        <f>G223*L223</f>
        <v>1.48825625</v>
      </c>
      <c r="N223" s="70" t="s">
        <v>646</v>
      </c>
      <c r="O223" s="18"/>
      <c r="Z223" s="55">
        <f>IF(AQ223="5",BJ223,0)</f>
        <v>0</v>
      </c>
      <c r="AB223" s="55">
        <f>IF(AQ223="1",BH223,0)</f>
        <v>0</v>
      </c>
      <c r="AC223" s="55">
        <f>IF(AQ223="1",BI223,0)</f>
        <v>0</v>
      </c>
      <c r="AD223" s="55">
        <f>IF(AQ223="7",BH223,0)</f>
        <v>0</v>
      </c>
      <c r="AE223" s="55">
        <f>IF(AQ223="7",BI223,0)</f>
        <v>0</v>
      </c>
      <c r="AF223" s="55">
        <f>IF(AQ223="2",BH223,0)</f>
        <v>0</v>
      </c>
      <c r="AG223" s="55">
        <f>IF(AQ223="2",BI223,0)</f>
        <v>0</v>
      </c>
      <c r="AH223" s="55">
        <f>IF(AQ223="0",BJ223,0)</f>
        <v>0</v>
      </c>
      <c r="AI223" s="50"/>
      <c r="AJ223" s="42">
        <f>IF(AN223=0,K223,0)</f>
        <v>0</v>
      </c>
      <c r="AK223" s="42">
        <f>IF(AN223=15,K223,0)</f>
        <v>0</v>
      </c>
      <c r="AL223" s="42">
        <f>IF(AN223=21,K223,0)</f>
        <v>0</v>
      </c>
      <c r="AN223" s="55">
        <v>21</v>
      </c>
      <c r="AO223" s="55">
        <f>H223*0</f>
        <v>0</v>
      </c>
      <c r="AP223" s="55">
        <f>H223*(1-0)</f>
        <v>0</v>
      </c>
      <c r="AQ223" s="56" t="s">
        <v>74</v>
      </c>
      <c r="AV223" s="55">
        <f>AW223+AX223</f>
        <v>0</v>
      </c>
      <c r="AW223" s="55">
        <f>G223*AO223</f>
        <v>0</v>
      </c>
      <c r="AX223" s="55">
        <f>G223*AP223</f>
        <v>0</v>
      </c>
      <c r="AY223" s="58" t="s">
        <v>676</v>
      </c>
      <c r="AZ223" s="58" t="s">
        <v>689</v>
      </c>
      <c r="BA223" s="50" t="s">
        <v>690</v>
      </c>
      <c r="BC223" s="55">
        <f>AW223+AX223</f>
        <v>0</v>
      </c>
      <c r="BD223" s="55">
        <f>H223/(100-BE223)*100</f>
        <v>0</v>
      </c>
      <c r="BE223" s="55">
        <v>0</v>
      </c>
      <c r="BF223" s="55">
        <f>M223</f>
        <v>1.48825625</v>
      </c>
      <c r="BH223" s="42">
        <f>G223*AO223</f>
        <v>0</v>
      </c>
      <c r="BI223" s="42">
        <f>G223*AP223</f>
        <v>0</v>
      </c>
      <c r="BJ223" s="42">
        <f>G223*H223</f>
        <v>0</v>
      </c>
      <c r="BK223" s="42" t="s">
        <v>695</v>
      </c>
      <c r="BL223" s="55">
        <v>96</v>
      </c>
    </row>
    <row r="224" spans="1:15" ht="12.75">
      <c r="A224" s="18"/>
      <c r="B224" s="71"/>
      <c r="C224" s="71"/>
      <c r="D224" s="72" t="s">
        <v>586</v>
      </c>
      <c r="E224" s="72"/>
      <c r="F224" s="71"/>
      <c r="G224" s="73">
        <v>11.99875</v>
      </c>
      <c r="H224" s="71"/>
      <c r="I224" s="71"/>
      <c r="J224" s="71"/>
      <c r="K224" s="71"/>
      <c r="L224" s="71"/>
      <c r="M224" s="71"/>
      <c r="N224" s="16"/>
      <c r="O224" s="18"/>
    </row>
    <row r="225" spans="1:15" ht="12.75">
      <c r="A225" s="18"/>
      <c r="B225" s="71"/>
      <c r="C225" s="71"/>
      <c r="D225" s="72" t="s">
        <v>587</v>
      </c>
      <c r="E225" s="72"/>
      <c r="F225" s="71"/>
      <c r="G225" s="73">
        <v>10.8975</v>
      </c>
      <c r="H225" s="71"/>
      <c r="I225" s="71"/>
      <c r="J225" s="71"/>
      <c r="K225" s="71"/>
      <c r="L225" s="71"/>
      <c r="M225" s="71"/>
      <c r="N225" s="16"/>
      <c r="O225" s="18"/>
    </row>
    <row r="226" spans="1:64" ht="12.75">
      <c r="A226" s="69" t="s">
        <v>204</v>
      </c>
      <c r="B226" s="17"/>
      <c r="C226" s="17" t="s">
        <v>357</v>
      </c>
      <c r="D226" s="113" t="s">
        <v>588</v>
      </c>
      <c r="E226" s="174"/>
      <c r="F226" s="17" t="s">
        <v>623</v>
      </c>
      <c r="G226" s="55">
        <v>8</v>
      </c>
      <c r="H226" s="92"/>
      <c r="I226" s="55">
        <f>G226*AO226</f>
        <v>0</v>
      </c>
      <c r="J226" s="55">
        <f>G226*AP226</f>
        <v>0</v>
      </c>
      <c r="K226" s="55">
        <f>G226*H226</f>
        <v>0</v>
      </c>
      <c r="L226" s="55">
        <v>0</v>
      </c>
      <c r="M226" s="55">
        <f>G226*L226</f>
        <v>0</v>
      </c>
      <c r="N226" s="70" t="s">
        <v>646</v>
      </c>
      <c r="O226" s="18"/>
      <c r="Z226" s="55">
        <f>IF(AQ226="5",BJ226,0)</f>
        <v>0</v>
      </c>
      <c r="AB226" s="55">
        <f>IF(AQ226="1",BH226,0)</f>
        <v>0</v>
      </c>
      <c r="AC226" s="55">
        <f>IF(AQ226="1",BI226,0)</f>
        <v>0</v>
      </c>
      <c r="AD226" s="55">
        <f>IF(AQ226="7",BH226,0)</f>
        <v>0</v>
      </c>
      <c r="AE226" s="55">
        <f>IF(AQ226="7",BI226,0)</f>
        <v>0</v>
      </c>
      <c r="AF226" s="55">
        <f>IF(AQ226="2",BH226,0)</f>
        <v>0</v>
      </c>
      <c r="AG226" s="55">
        <f>IF(AQ226="2",BI226,0)</f>
        <v>0</v>
      </c>
      <c r="AH226" s="55">
        <f>IF(AQ226="0",BJ226,0)</f>
        <v>0</v>
      </c>
      <c r="AI226" s="50"/>
      <c r="AJ226" s="42">
        <f>IF(AN226=0,K226,0)</f>
        <v>0</v>
      </c>
      <c r="AK226" s="42">
        <f>IF(AN226=15,K226,0)</f>
        <v>0</v>
      </c>
      <c r="AL226" s="42">
        <f>IF(AN226=21,K226,0)</f>
        <v>0</v>
      </c>
      <c r="AN226" s="55">
        <v>21</v>
      </c>
      <c r="AO226" s="55">
        <f>H226*0</f>
        <v>0</v>
      </c>
      <c r="AP226" s="55">
        <f>H226*(1-0)</f>
        <v>0</v>
      </c>
      <c r="AQ226" s="56" t="s">
        <v>74</v>
      </c>
      <c r="AV226" s="55">
        <f>AW226+AX226</f>
        <v>0</v>
      </c>
      <c r="AW226" s="55">
        <f>G226*AO226</f>
        <v>0</v>
      </c>
      <c r="AX226" s="55">
        <f>G226*AP226</f>
        <v>0</v>
      </c>
      <c r="AY226" s="58" t="s">
        <v>676</v>
      </c>
      <c r="AZ226" s="58" t="s">
        <v>689</v>
      </c>
      <c r="BA226" s="50" t="s">
        <v>690</v>
      </c>
      <c r="BC226" s="55">
        <f>AW226+AX226</f>
        <v>0</v>
      </c>
      <c r="BD226" s="55">
        <f>H226/(100-BE226)*100</f>
        <v>0</v>
      </c>
      <c r="BE226" s="55">
        <v>0</v>
      </c>
      <c r="BF226" s="55">
        <f>M226</f>
        <v>0</v>
      </c>
      <c r="BH226" s="42">
        <f>G226*AO226</f>
        <v>0</v>
      </c>
      <c r="BI226" s="42">
        <f>G226*AP226</f>
        <v>0</v>
      </c>
      <c r="BJ226" s="42">
        <f>G226*H226</f>
        <v>0</v>
      </c>
      <c r="BK226" s="42" t="s">
        <v>695</v>
      </c>
      <c r="BL226" s="55">
        <v>96</v>
      </c>
    </row>
    <row r="227" spans="1:64" ht="12.75">
      <c r="A227" s="69" t="s">
        <v>205</v>
      </c>
      <c r="B227" s="17"/>
      <c r="C227" s="17" t="s">
        <v>358</v>
      </c>
      <c r="D227" s="113" t="s">
        <v>589</v>
      </c>
      <c r="E227" s="174"/>
      <c r="F227" s="17" t="s">
        <v>622</v>
      </c>
      <c r="G227" s="55">
        <v>7.2</v>
      </c>
      <c r="H227" s="92"/>
      <c r="I227" s="55">
        <f>G227*AO227</f>
        <v>0</v>
      </c>
      <c r="J227" s="55">
        <f>G227*AP227</f>
        <v>0</v>
      </c>
      <c r="K227" s="55">
        <f>G227*H227</f>
        <v>0</v>
      </c>
      <c r="L227" s="55">
        <v>0.07717</v>
      </c>
      <c r="M227" s="55">
        <f>G227*L227</f>
        <v>0.555624</v>
      </c>
      <c r="N227" s="70" t="s">
        <v>646</v>
      </c>
      <c r="O227" s="18"/>
      <c r="Z227" s="55">
        <f>IF(AQ227="5",BJ227,0)</f>
        <v>0</v>
      </c>
      <c r="AB227" s="55">
        <f>IF(AQ227="1",BH227,0)</f>
        <v>0</v>
      </c>
      <c r="AC227" s="55">
        <f>IF(AQ227="1",BI227,0)</f>
        <v>0</v>
      </c>
      <c r="AD227" s="55">
        <f>IF(AQ227="7",BH227,0)</f>
        <v>0</v>
      </c>
      <c r="AE227" s="55">
        <f>IF(AQ227="7",BI227,0)</f>
        <v>0</v>
      </c>
      <c r="AF227" s="55">
        <f>IF(AQ227="2",BH227,0)</f>
        <v>0</v>
      </c>
      <c r="AG227" s="55">
        <f>IF(AQ227="2",BI227,0)</f>
        <v>0</v>
      </c>
      <c r="AH227" s="55">
        <f>IF(AQ227="0",BJ227,0)</f>
        <v>0</v>
      </c>
      <c r="AI227" s="50"/>
      <c r="AJ227" s="42">
        <f>IF(AN227=0,K227,0)</f>
        <v>0</v>
      </c>
      <c r="AK227" s="42">
        <f>IF(AN227=15,K227,0)</f>
        <v>0</v>
      </c>
      <c r="AL227" s="42">
        <f>IF(AN227=21,K227,0)</f>
        <v>0</v>
      </c>
      <c r="AN227" s="55">
        <v>21</v>
      </c>
      <c r="AO227" s="55">
        <f>H227*0.0757369062119367</f>
        <v>0</v>
      </c>
      <c r="AP227" s="55">
        <f>H227*(1-0.0757369062119367)</f>
        <v>0</v>
      </c>
      <c r="AQ227" s="56" t="s">
        <v>74</v>
      </c>
      <c r="AV227" s="55">
        <f>AW227+AX227</f>
        <v>0</v>
      </c>
      <c r="AW227" s="55">
        <f>G227*AO227</f>
        <v>0</v>
      </c>
      <c r="AX227" s="55">
        <f>G227*AP227</f>
        <v>0</v>
      </c>
      <c r="AY227" s="58" t="s">
        <v>676</v>
      </c>
      <c r="AZ227" s="58" t="s">
        <v>689</v>
      </c>
      <c r="BA227" s="50" t="s">
        <v>690</v>
      </c>
      <c r="BC227" s="55">
        <f>AW227+AX227</f>
        <v>0</v>
      </c>
      <c r="BD227" s="55">
        <f>H227/(100-BE227)*100</f>
        <v>0</v>
      </c>
      <c r="BE227" s="55">
        <v>0</v>
      </c>
      <c r="BF227" s="55">
        <f>M227</f>
        <v>0.555624</v>
      </c>
      <c r="BH227" s="42">
        <f>G227*AO227</f>
        <v>0</v>
      </c>
      <c r="BI227" s="42">
        <f>G227*AP227</f>
        <v>0</v>
      </c>
      <c r="BJ227" s="42">
        <f>G227*H227</f>
        <v>0</v>
      </c>
      <c r="BK227" s="42" t="s">
        <v>695</v>
      </c>
      <c r="BL227" s="55">
        <v>96</v>
      </c>
    </row>
    <row r="228" spans="1:15" ht="12.75">
      <c r="A228" s="18"/>
      <c r="B228" s="71"/>
      <c r="C228" s="71"/>
      <c r="D228" s="72" t="s">
        <v>590</v>
      </c>
      <c r="E228" s="72"/>
      <c r="F228" s="71"/>
      <c r="G228" s="73">
        <v>7.2</v>
      </c>
      <c r="H228" s="71"/>
      <c r="I228" s="71"/>
      <c r="J228" s="71"/>
      <c r="K228" s="71"/>
      <c r="L228" s="71"/>
      <c r="M228" s="71"/>
      <c r="N228" s="16"/>
      <c r="O228" s="18"/>
    </row>
    <row r="229" spans="1:64" ht="12.75">
      <c r="A229" s="69" t="s">
        <v>206</v>
      </c>
      <c r="B229" s="17"/>
      <c r="C229" s="17" t="s">
        <v>359</v>
      </c>
      <c r="D229" s="113" t="s">
        <v>591</v>
      </c>
      <c r="E229" s="174"/>
      <c r="F229" s="17" t="s">
        <v>622</v>
      </c>
      <c r="G229" s="55">
        <v>53.355</v>
      </c>
      <c r="H229" s="92"/>
      <c r="I229" s="55">
        <f>G229*AO229</f>
        <v>0</v>
      </c>
      <c r="J229" s="55">
        <f>G229*AP229</f>
        <v>0</v>
      </c>
      <c r="K229" s="55">
        <f>G229*H229</f>
        <v>0</v>
      </c>
      <c r="L229" s="55">
        <v>0.068</v>
      </c>
      <c r="M229" s="55">
        <f>G229*L229</f>
        <v>3.62814</v>
      </c>
      <c r="N229" s="70" t="s">
        <v>646</v>
      </c>
      <c r="O229" s="18"/>
      <c r="Z229" s="55">
        <f>IF(AQ229="5",BJ229,0)</f>
        <v>0</v>
      </c>
      <c r="AB229" s="55">
        <f>IF(AQ229="1",BH229,0)</f>
        <v>0</v>
      </c>
      <c r="AC229" s="55">
        <f>IF(AQ229="1",BI229,0)</f>
        <v>0</v>
      </c>
      <c r="AD229" s="55">
        <f>IF(AQ229="7",BH229,0)</f>
        <v>0</v>
      </c>
      <c r="AE229" s="55">
        <f>IF(AQ229="7",BI229,0)</f>
        <v>0</v>
      </c>
      <c r="AF229" s="55">
        <f>IF(AQ229="2",BH229,0)</f>
        <v>0</v>
      </c>
      <c r="AG229" s="55">
        <f>IF(AQ229="2",BI229,0)</f>
        <v>0</v>
      </c>
      <c r="AH229" s="55">
        <f>IF(AQ229="0",BJ229,0)</f>
        <v>0</v>
      </c>
      <c r="AI229" s="50"/>
      <c r="AJ229" s="42">
        <f>IF(AN229=0,K229,0)</f>
        <v>0</v>
      </c>
      <c r="AK229" s="42">
        <f>IF(AN229=15,K229,0)</f>
        <v>0</v>
      </c>
      <c r="AL229" s="42">
        <f>IF(AN229=21,K229,0)</f>
        <v>0</v>
      </c>
      <c r="AN229" s="55">
        <v>21</v>
      </c>
      <c r="AO229" s="55">
        <f>H229*0</f>
        <v>0</v>
      </c>
      <c r="AP229" s="55">
        <f>H229*(1-0)</f>
        <v>0</v>
      </c>
      <c r="AQ229" s="56" t="s">
        <v>74</v>
      </c>
      <c r="AV229" s="55">
        <f>AW229+AX229</f>
        <v>0</v>
      </c>
      <c r="AW229" s="55">
        <f>G229*AO229</f>
        <v>0</v>
      </c>
      <c r="AX229" s="55">
        <f>G229*AP229</f>
        <v>0</v>
      </c>
      <c r="AY229" s="58" t="s">
        <v>676</v>
      </c>
      <c r="AZ229" s="58" t="s">
        <v>689</v>
      </c>
      <c r="BA229" s="50" t="s">
        <v>690</v>
      </c>
      <c r="BC229" s="55">
        <f>AW229+AX229</f>
        <v>0</v>
      </c>
      <c r="BD229" s="55">
        <f>H229/(100-BE229)*100</f>
        <v>0</v>
      </c>
      <c r="BE229" s="55">
        <v>0</v>
      </c>
      <c r="BF229" s="55">
        <f>M229</f>
        <v>3.62814</v>
      </c>
      <c r="BH229" s="42">
        <f>G229*AO229</f>
        <v>0</v>
      </c>
      <c r="BI229" s="42">
        <f>G229*AP229</f>
        <v>0</v>
      </c>
      <c r="BJ229" s="42">
        <f>G229*H229</f>
        <v>0</v>
      </c>
      <c r="BK229" s="42" t="s">
        <v>695</v>
      </c>
      <c r="BL229" s="55">
        <v>96</v>
      </c>
    </row>
    <row r="230" spans="1:15" ht="12.75">
      <c r="A230" s="18"/>
      <c r="B230" s="71"/>
      <c r="C230" s="71"/>
      <c r="D230" s="72" t="s">
        <v>592</v>
      </c>
      <c r="E230" s="72"/>
      <c r="F230" s="71"/>
      <c r="G230" s="73">
        <v>23.88</v>
      </c>
      <c r="H230" s="71"/>
      <c r="I230" s="71"/>
      <c r="J230" s="71"/>
      <c r="K230" s="71"/>
      <c r="L230" s="71"/>
      <c r="M230" s="71"/>
      <c r="N230" s="16"/>
      <c r="O230" s="18"/>
    </row>
    <row r="231" spans="1:15" ht="12.75">
      <c r="A231" s="18"/>
      <c r="B231" s="71"/>
      <c r="C231" s="71"/>
      <c r="D231" s="72" t="s">
        <v>593</v>
      </c>
      <c r="E231" s="72"/>
      <c r="F231" s="71"/>
      <c r="G231" s="73">
        <v>17.7</v>
      </c>
      <c r="H231" s="71"/>
      <c r="I231" s="71"/>
      <c r="J231" s="71"/>
      <c r="K231" s="71"/>
      <c r="L231" s="71"/>
      <c r="M231" s="71"/>
      <c r="N231" s="16"/>
      <c r="O231" s="18"/>
    </row>
    <row r="232" spans="1:15" ht="12.75">
      <c r="A232" s="18"/>
      <c r="B232" s="71"/>
      <c r="C232" s="71"/>
      <c r="D232" s="72" t="s">
        <v>594</v>
      </c>
      <c r="E232" s="72"/>
      <c r="F232" s="71"/>
      <c r="G232" s="73">
        <v>11.775</v>
      </c>
      <c r="H232" s="71"/>
      <c r="I232" s="71"/>
      <c r="J232" s="71"/>
      <c r="K232" s="71"/>
      <c r="L232" s="71"/>
      <c r="M232" s="71"/>
      <c r="N232" s="16"/>
      <c r="O232" s="18"/>
    </row>
    <row r="233" spans="1:64" ht="12.75">
      <c r="A233" s="69" t="s">
        <v>207</v>
      </c>
      <c r="B233" s="17"/>
      <c r="C233" s="17" t="s">
        <v>360</v>
      </c>
      <c r="D233" s="113" t="s">
        <v>595</v>
      </c>
      <c r="E233" s="174"/>
      <c r="F233" s="17" t="s">
        <v>621</v>
      </c>
      <c r="G233" s="55">
        <v>15.6</v>
      </c>
      <c r="H233" s="92"/>
      <c r="I233" s="55">
        <f>G233*AO233</f>
        <v>0</v>
      </c>
      <c r="J233" s="55">
        <f>G233*AP233</f>
        <v>0</v>
      </c>
      <c r="K233" s="55">
        <f>G233*H233</f>
        <v>0</v>
      </c>
      <c r="L233" s="55">
        <v>0.0004</v>
      </c>
      <c r="M233" s="55">
        <f>G233*L233</f>
        <v>0.00624</v>
      </c>
      <c r="N233" s="70" t="s">
        <v>646</v>
      </c>
      <c r="O233" s="18"/>
      <c r="Z233" s="55">
        <f>IF(AQ233="5",BJ233,0)</f>
        <v>0</v>
      </c>
      <c r="AB233" s="55">
        <f>IF(AQ233="1",BH233,0)</f>
        <v>0</v>
      </c>
      <c r="AC233" s="55">
        <f>IF(AQ233="1",BI233,0)</f>
        <v>0</v>
      </c>
      <c r="AD233" s="55">
        <f>IF(AQ233="7",BH233,0)</f>
        <v>0</v>
      </c>
      <c r="AE233" s="55">
        <f>IF(AQ233="7",BI233,0)</f>
        <v>0</v>
      </c>
      <c r="AF233" s="55">
        <f>IF(AQ233="2",BH233,0)</f>
        <v>0</v>
      </c>
      <c r="AG233" s="55">
        <f>IF(AQ233="2",BI233,0)</f>
        <v>0</v>
      </c>
      <c r="AH233" s="55">
        <f>IF(AQ233="0",BJ233,0)</f>
        <v>0</v>
      </c>
      <c r="AI233" s="50"/>
      <c r="AJ233" s="42">
        <f>IF(AN233=0,K233,0)</f>
        <v>0</v>
      </c>
      <c r="AK233" s="42">
        <f>IF(AN233=15,K233,0)</f>
        <v>0</v>
      </c>
      <c r="AL233" s="42">
        <f>IF(AN233=21,K233,0)</f>
        <v>0</v>
      </c>
      <c r="AN233" s="55">
        <v>21</v>
      </c>
      <c r="AO233" s="55">
        <f>H233*0</f>
        <v>0</v>
      </c>
      <c r="AP233" s="55">
        <f>H233*(1-0)</f>
        <v>0</v>
      </c>
      <c r="AQ233" s="56" t="s">
        <v>74</v>
      </c>
      <c r="AV233" s="55">
        <f>AW233+AX233</f>
        <v>0</v>
      </c>
      <c r="AW233" s="55">
        <f>G233*AO233</f>
        <v>0</v>
      </c>
      <c r="AX233" s="55">
        <f>G233*AP233</f>
        <v>0</v>
      </c>
      <c r="AY233" s="58" t="s">
        <v>676</v>
      </c>
      <c r="AZ233" s="58" t="s">
        <v>689</v>
      </c>
      <c r="BA233" s="50" t="s">
        <v>690</v>
      </c>
      <c r="BC233" s="55">
        <f>AW233+AX233</f>
        <v>0</v>
      </c>
      <c r="BD233" s="55">
        <f>H233/(100-BE233)*100</f>
        <v>0</v>
      </c>
      <c r="BE233" s="55">
        <v>0</v>
      </c>
      <c r="BF233" s="55">
        <f>M233</f>
        <v>0.00624</v>
      </c>
      <c r="BH233" s="42">
        <f>G233*AO233</f>
        <v>0</v>
      </c>
      <c r="BI233" s="42">
        <f>G233*AP233</f>
        <v>0</v>
      </c>
      <c r="BJ233" s="42">
        <f>G233*H233</f>
        <v>0</v>
      </c>
      <c r="BK233" s="42" t="s">
        <v>695</v>
      </c>
      <c r="BL233" s="55">
        <v>96</v>
      </c>
    </row>
    <row r="234" spans="1:15" ht="12.75">
      <c r="A234" s="18"/>
      <c r="B234" s="71"/>
      <c r="C234" s="71"/>
      <c r="D234" s="72" t="s">
        <v>596</v>
      </c>
      <c r="E234" s="72"/>
      <c r="F234" s="71"/>
      <c r="G234" s="73">
        <v>8.75</v>
      </c>
      <c r="H234" s="71"/>
      <c r="I234" s="71"/>
      <c r="J234" s="71"/>
      <c r="K234" s="71"/>
      <c r="L234" s="71"/>
      <c r="M234" s="71"/>
      <c r="N234" s="16"/>
      <c r="O234" s="18"/>
    </row>
    <row r="235" spans="1:15" ht="12.75">
      <c r="A235" s="18"/>
      <c r="B235" s="71"/>
      <c r="C235" s="71"/>
      <c r="D235" s="72" t="s">
        <v>597</v>
      </c>
      <c r="E235" s="72"/>
      <c r="F235" s="71"/>
      <c r="G235" s="73">
        <v>6.85</v>
      </c>
      <c r="H235" s="71"/>
      <c r="I235" s="71"/>
      <c r="J235" s="71"/>
      <c r="K235" s="71"/>
      <c r="L235" s="71"/>
      <c r="M235" s="71"/>
      <c r="N235" s="16"/>
      <c r="O235" s="18"/>
    </row>
    <row r="236" spans="1:47" ht="12.75">
      <c r="A236" s="63"/>
      <c r="B236" s="64"/>
      <c r="C236" s="64" t="s">
        <v>170</v>
      </c>
      <c r="D236" s="172" t="s">
        <v>598</v>
      </c>
      <c r="E236" s="173"/>
      <c r="F236" s="65" t="s">
        <v>73</v>
      </c>
      <c r="G236" s="65" t="s">
        <v>73</v>
      </c>
      <c r="H236" s="65" t="s">
        <v>73</v>
      </c>
      <c r="I236" s="66">
        <f>SUM(I237:I243)</f>
        <v>0</v>
      </c>
      <c r="J236" s="66">
        <f>SUM(J237:J243)</f>
        <v>0</v>
      </c>
      <c r="K236" s="66">
        <f>SUM(K237:K243)</f>
        <v>0</v>
      </c>
      <c r="L236" s="67"/>
      <c r="M236" s="66">
        <f>SUM(M237:M243)</f>
        <v>0.213516</v>
      </c>
      <c r="N236" s="68"/>
      <c r="O236" s="18"/>
      <c r="AI236" s="50"/>
      <c r="AS236" s="61">
        <f>SUM(AJ237:AJ243)</f>
        <v>0</v>
      </c>
      <c r="AT236" s="61">
        <f>SUM(AK237:AK243)</f>
        <v>0</v>
      </c>
      <c r="AU236" s="61">
        <f>SUM(AL237:AL243)</f>
        <v>0</v>
      </c>
    </row>
    <row r="237" spans="1:64" ht="12.75">
      <c r="A237" s="69" t="s">
        <v>208</v>
      </c>
      <c r="B237" s="17"/>
      <c r="C237" s="17" t="s">
        <v>361</v>
      </c>
      <c r="D237" s="113" t="s">
        <v>599</v>
      </c>
      <c r="E237" s="174"/>
      <c r="F237" s="17" t="s">
        <v>621</v>
      </c>
      <c r="G237" s="55">
        <v>18</v>
      </c>
      <c r="H237" s="92"/>
      <c r="I237" s="55">
        <f>G237*AO237</f>
        <v>0</v>
      </c>
      <c r="J237" s="55">
        <f>G237*AP237</f>
        <v>0</v>
      </c>
      <c r="K237" s="55">
        <f>G237*H237</f>
        <v>0</v>
      </c>
      <c r="L237" s="55">
        <v>0.007</v>
      </c>
      <c r="M237" s="55">
        <f>G237*L237</f>
        <v>0.126</v>
      </c>
      <c r="N237" s="70" t="s">
        <v>646</v>
      </c>
      <c r="O237" s="18"/>
      <c r="Z237" s="55">
        <f>IF(AQ237="5",BJ237,0)</f>
        <v>0</v>
      </c>
      <c r="AB237" s="55">
        <f>IF(AQ237="1",BH237,0)</f>
        <v>0</v>
      </c>
      <c r="AC237" s="55">
        <f>IF(AQ237="1",BI237,0)</f>
        <v>0</v>
      </c>
      <c r="AD237" s="55">
        <f>IF(AQ237="7",BH237,0)</f>
        <v>0</v>
      </c>
      <c r="AE237" s="55">
        <f>IF(AQ237="7",BI237,0)</f>
        <v>0</v>
      </c>
      <c r="AF237" s="55">
        <f>IF(AQ237="2",BH237,0)</f>
        <v>0</v>
      </c>
      <c r="AG237" s="55">
        <f>IF(AQ237="2",BI237,0)</f>
        <v>0</v>
      </c>
      <c r="AH237" s="55">
        <f>IF(AQ237="0",BJ237,0)</f>
        <v>0</v>
      </c>
      <c r="AI237" s="50"/>
      <c r="AJ237" s="42">
        <f>IF(AN237=0,K237,0)</f>
        <v>0</v>
      </c>
      <c r="AK237" s="42">
        <f>IF(AN237=15,K237,0)</f>
        <v>0</v>
      </c>
      <c r="AL237" s="42">
        <f>IF(AN237=21,K237,0)</f>
        <v>0</v>
      </c>
      <c r="AN237" s="55">
        <v>21</v>
      </c>
      <c r="AO237" s="55">
        <f>H237*0</f>
        <v>0</v>
      </c>
      <c r="AP237" s="55">
        <f>H237*(1-0)</f>
        <v>0</v>
      </c>
      <c r="AQ237" s="56" t="s">
        <v>74</v>
      </c>
      <c r="AV237" s="55">
        <f>AW237+AX237</f>
        <v>0</v>
      </c>
      <c r="AW237" s="55">
        <f>G237*AO237</f>
        <v>0</v>
      </c>
      <c r="AX237" s="55">
        <f>G237*AP237</f>
        <v>0</v>
      </c>
      <c r="AY237" s="58" t="s">
        <v>677</v>
      </c>
      <c r="AZ237" s="58" t="s">
        <v>689</v>
      </c>
      <c r="BA237" s="50" t="s">
        <v>690</v>
      </c>
      <c r="BC237" s="55">
        <f>AW237+AX237</f>
        <v>0</v>
      </c>
      <c r="BD237" s="55">
        <f>H237/(100-BE237)*100</f>
        <v>0</v>
      </c>
      <c r="BE237" s="55">
        <v>0</v>
      </c>
      <c r="BF237" s="55">
        <f>M237</f>
        <v>0.126</v>
      </c>
      <c r="BH237" s="42">
        <f>G237*AO237</f>
        <v>0</v>
      </c>
      <c r="BI237" s="42">
        <f>G237*AP237</f>
        <v>0</v>
      </c>
      <c r="BJ237" s="42">
        <f>G237*H237</f>
        <v>0</v>
      </c>
      <c r="BK237" s="42" t="s">
        <v>695</v>
      </c>
      <c r="BL237" s="55">
        <v>97</v>
      </c>
    </row>
    <row r="238" spans="1:15" ht="12.75">
      <c r="A238" s="18"/>
      <c r="B238" s="71"/>
      <c r="C238" s="71"/>
      <c r="D238" s="72" t="s">
        <v>600</v>
      </c>
      <c r="E238" s="72"/>
      <c r="F238" s="71"/>
      <c r="G238" s="73">
        <v>18</v>
      </c>
      <c r="H238" s="71"/>
      <c r="I238" s="71"/>
      <c r="J238" s="71"/>
      <c r="K238" s="71"/>
      <c r="L238" s="71"/>
      <c r="M238" s="71"/>
      <c r="N238" s="16"/>
      <c r="O238" s="18"/>
    </row>
    <row r="239" spans="1:64" ht="12.75">
      <c r="A239" s="69" t="s">
        <v>209</v>
      </c>
      <c r="B239" s="17"/>
      <c r="C239" s="17" t="s">
        <v>362</v>
      </c>
      <c r="D239" s="113" t="s">
        <v>601</v>
      </c>
      <c r="E239" s="174"/>
      <c r="F239" s="17" t="s">
        <v>621</v>
      </c>
      <c r="G239" s="55">
        <v>7.2</v>
      </c>
      <c r="H239" s="92"/>
      <c r="I239" s="55">
        <f>G239*AO239</f>
        <v>0</v>
      </c>
      <c r="J239" s="55">
        <f>G239*AP239</f>
        <v>0</v>
      </c>
      <c r="K239" s="55">
        <f>G239*H239</f>
        <v>0</v>
      </c>
      <c r="L239" s="55">
        <v>0.009</v>
      </c>
      <c r="M239" s="55">
        <f>G239*L239</f>
        <v>0.0648</v>
      </c>
      <c r="N239" s="70" t="s">
        <v>646</v>
      </c>
      <c r="O239" s="18"/>
      <c r="Z239" s="55">
        <f>IF(AQ239="5",BJ239,0)</f>
        <v>0</v>
      </c>
      <c r="AB239" s="55">
        <f>IF(AQ239="1",BH239,0)</f>
        <v>0</v>
      </c>
      <c r="AC239" s="55">
        <f>IF(AQ239="1",BI239,0)</f>
        <v>0</v>
      </c>
      <c r="AD239" s="55">
        <f>IF(AQ239="7",BH239,0)</f>
        <v>0</v>
      </c>
      <c r="AE239" s="55">
        <f>IF(AQ239="7",BI239,0)</f>
        <v>0</v>
      </c>
      <c r="AF239" s="55">
        <f>IF(AQ239="2",BH239,0)</f>
        <v>0</v>
      </c>
      <c r="AG239" s="55">
        <f>IF(AQ239="2",BI239,0)</f>
        <v>0</v>
      </c>
      <c r="AH239" s="55">
        <f>IF(AQ239="0",BJ239,0)</f>
        <v>0</v>
      </c>
      <c r="AI239" s="50"/>
      <c r="AJ239" s="42">
        <f>IF(AN239=0,K239,0)</f>
        <v>0</v>
      </c>
      <c r="AK239" s="42">
        <f>IF(AN239=15,K239,0)</f>
        <v>0</v>
      </c>
      <c r="AL239" s="42">
        <f>IF(AN239=21,K239,0)</f>
        <v>0</v>
      </c>
      <c r="AN239" s="55">
        <v>21</v>
      </c>
      <c r="AO239" s="55">
        <f>H239*0</f>
        <v>0</v>
      </c>
      <c r="AP239" s="55">
        <f>H239*(1-0)</f>
        <v>0</v>
      </c>
      <c r="AQ239" s="56" t="s">
        <v>74</v>
      </c>
      <c r="AV239" s="55">
        <f>AW239+AX239</f>
        <v>0</v>
      </c>
      <c r="AW239" s="55">
        <f>G239*AO239</f>
        <v>0</v>
      </c>
      <c r="AX239" s="55">
        <f>G239*AP239</f>
        <v>0</v>
      </c>
      <c r="AY239" s="58" t="s">
        <v>677</v>
      </c>
      <c r="AZ239" s="58" t="s">
        <v>689</v>
      </c>
      <c r="BA239" s="50" t="s">
        <v>690</v>
      </c>
      <c r="BC239" s="55">
        <f>AW239+AX239</f>
        <v>0</v>
      </c>
      <c r="BD239" s="55">
        <f>H239/(100-BE239)*100</f>
        <v>0</v>
      </c>
      <c r="BE239" s="55">
        <v>0</v>
      </c>
      <c r="BF239" s="55">
        <f>M239</f>
        <v>0.0648</v>
      </c>
      <c r="BH239" s="42">
        <f>G239*AO239</f>
        <v>0</v>
      </c>
      <c r="BI239" s="42">
        <f>G239*AP239</f>
        <v>0</v>
      </c>
      <c r="BJ239" s="42">
        <f>G239*H239</f>
        <v>0</v>
      </c>
      <c r="BK239" s="42" t="s">
        <v>695</v>
      </c>
      <c r="BL239" s="55">
        <v>97</v>
      </c>
    </row>
    <row r="240" spans="1:15" ht="12.75">
      <c r="A240" s="18"/>
      <c r="B240" s="71"/>
      <c r="C240" s="71"/>
      <c r="D240" s="72" t="s">
        <v>602</v>
      </c>
      <c r="E240" s="72"/>
      <c r="F240" s="71"/>
      <c r="G240" s="73">
        <v>7.2</v>
      </c>
      <c r="H240" s="71"/>
      <c r="I240" s="71"/>
      <c r="J240" s="71"/>
      <c r="K240" s="71"/>
      <c r="L240" s="71"/>
      <c r="M240" s="71"/>
      <c r="N240" s="16"/>
      <c r="O240" s="18"/>
    </row>
    <row r="241" spans="1:64" ht="12.75">
      <c r="A241" s="69" t="s">
        <v>210</v>
      </c>
      <c r="B241" s="17"/>
      <c r="C241" s="17" t="s">
        <v>363</v>
      </c>
      <c r="D241" s="113" t="s">
        <v>603</v>
      </c>
      <c r="E241" s="174"/>
      <c r="F241" s="17" t="s">
        <v>621</v>
      </c>
      <c r="G241" s="55">
        <v>0.9</v>
      </c>
      <c r="H241" s="92"/>
      <c r="I241" s="55">
        <f>G241*AO241</f>
        <v>0</v>
      </c>
      <c r="J241" s="55">
        <f>G241*AP241</f>
        <v>0</v>
      </c>
      <c r="K241" s="55">
        <f>G241*H241</f>
        <v>0</v>
      </c>
      <c r="L241" s="55">
        <v>0.0239</v>
      </c>
      <c r="M241" s="55">
        <f>G241*L241</f>
        <v>0.02151</v>
      </c>
      <c r="N241" s="70" t="s">
        <v>646</v>
      </c>
      <c r="O241" s="18"/>
      <c r="Z241" s="55">
        <f>IF(AQ241="5",BJ241,0)</f>
        <v>0</v>
      </c>
      <c r="AB241" s="55">
        <f>IF(AQ241="1",BH241,0)</f>
        <v>0</v>
      </c>
      <c r="AC241" s="55">
        <f>IF(AQ241="1",BI241,0)</f>
        <v>0</v>
      </c>
      <c r="AD241" s="55">
        <f>IF(AQ241="7",BH241,0)</f>
        <v>0</v>
      </c>
      <c r="AE241" s="55">
        <f>IF(AQ241="7",BI241,0)</f>
        <v>0</v>
      </c>
      <c r="AF241" s="55">
        <f>IF(AQ241="2",BH241,0)</f>
        <v>0</v>
      </c>
      <c r="AG241" s="55">
        <f>IF(AQ241="2",BI241,0)</f>
        <v>0</v>
      </c>
      <c r="AH241" s="55">
        <f>IF(AQ241="0",BJ241,0)</f>
        <v>0</v>
      </c>
      <c r="AI241" s="50"/>
      <c r="AJ241" s="42">
        <f>IF(AN241=0,K241,0)</f>
        <v>0</v>
      </c>
      <c r="AK241" s="42">
        <f>IF(AN241=15,K241,0)</f>
        <v>0</v>
      </c>
      <c r="AL241" s="42">
        <f>IF(AN241=21,K241,0)</f>
        <v>0</v>
      </c>
      <c r="AN241" s="55">
        <v>21</v>
      </c>
      <c r="AO241" s="55">
        <f>H241*0.315367028496611</f>
        <v>0</v>
      </c>
      <c r="AP241" s="55">
        <f>H241*(1-0.315367028496611)</f>
        <v>0</v>
      </c>
      <c r="AQ241" s="56" t="s">
        <v>74</v>
      </c>
      <c r="AV241" s="55">
        <f>AW241+AX241</f>
        <v>0</v>
      </c>
      <c r="AW241" s="55">
        <f>G241*AO241</f>
        <v>0</v>
      </c>
      <c r="AX241" s="55">
        <f>G241*AP241</f>
        <v>0</v>
      </c>
      <c r="AY241" s="58" t="s">
        <v>677</v>
      </c>
      <c r="AZ241" s="58" t="s">
        <v>689</v>
      </c>
      <c r="BA241" s="50" t="s">
        <v>690</v>
      </c>
      <c r="BC241" s="55">
        <f>AW241+AX241</f>
        <v>0</v>
      </c>
      <c r="BD241" s="55">
        <f>H241/(100-BE241)*100</f>
        <v>0</v>
      </c>
      <c r="BE241" s="55">
        <v>0</v>
      </c>
      <c r="BF241" s="55">
        <f>M241</f>
        <v>0.02151</v>
      </c>
      <c r="BH241" s="42">
        <f>G241*AO241</f>
        <v>0</v>
      </c>
      <c r="BI241" s="42">
        <f>G241*AP241</f>
        <v>0</v>
      </c>
      <c r="BJ241" s="42">
        <f>G241*H241</f>
        <v>0</v>
      </c>
      <c r="BK241" s="42" t="s">
        <v>695</v>
      </c>
      <c r="BL241" s="55">
        <v>97</v>
      </c>
    </row>
    <row r="242" spans="1:15" ht="12.75">
      <c r="A242" s="18"/>
      <c r="B242" s="71"/>
      <c r="C242" s="71"/>
      <c r="D242" s="72" t="s">
        <v>604</v>
      </c>
      <c r="E242" s="72"/>
      <c r="F242" s="71"/>
      <c r="G242" s="73">
        <v>0.9</v>
      </c>
      <c r="H242" s="71"/>
      <c r="I242" s="71"/>
      <c r="J242" s="71"/>
      <c r="K242" s="71"/>
      <c r="L242" s="71"/>
      <c r="M242" s="71"/>
      <c r="N242" s="16"/>
      <c r="O242" s="18"/>
    </row>
    <row r="243" spans="1:64" ht="12.75">
      <c r="A243" s="69" t="s">
        <v>211</v>
      </c>
      <c r="B243" s="17"/>
      <c r="C243" s="17" t="s">
        <v>364</v>
      </c>
      <c r="D243" s="113" t="s">
        <v>605</v>
      </c>
      <c r="E243" s="174"/>
      <c r="F243" s="17" t="s">
        <v>621</v>
      </c>
      <c r="G243" s="55">
        <v>0.9</v>
      </c>
      <c r="H243" s="92"/>
      <c r="I243" s="55">
        <f>G243*AO243</f>
        <v>0</v>
      </c>
      <c r="J243" s="55">
        <f>G243*AP243</f>
        <v>0</v>
      </c>
      <c r="K243" s="55">
        <f>G243*H243</f>
        <v>0</v>
      </c>
      <c r="L243" s="55">
        <v>0.00134</v>
      </c>
      <c r="M243" s="55">
        <f>G243*L243</f>
        <v>0.001206</v>
      </c>
      <c r="N243" s="70" t="s">
        <v>646</v>
      </c>
      <c r="O243" s="18"/>
      <c r="Z243" s="55">
        <f>IF(AQ243="5",BJ243,0)</f>
        <v>0</v>
      </c>
      <c r="AB243" s="55">
        <f>IF(AQ243="1",BH243,0)</f>
        <v>0</v>
      </c>
      <c r="AC243" s="55">
        <f>IF(AQ243="1",BI243,0)</f>
        <v>0</v>
      </c>
      <c r="AD243" s="55">
        <f>IF(AQ243="7",BH243,0)</f>
        <v>0</v>
      </c>
      <c r="AE243" s="55">
        <f>IF(AQ243="7",BI243,0)</f>
        <v>0</v>
      </c>
      <c r="AF243" s="55">
        <f>IF(AQ243="2",BH243,0)</f>
        <v>0</v>
      </c>
      <c r="AG243" s="55">
        <f>IF(AQ243="2",BI243,0)</f>
        <v>0</v>
      </c>
      <c r="AH243" s="55">
        <f>IF(AQ243="0",BJ243,0)</f>
        <v>0</v>
      </c>
      <c r="AI243" s="50"/>
      <c r="AJ243" s="42">
        <f>IF(AN243=0,K243,0)</f>
        <v>0</v>
      </c>
      <c r="AK243" s="42">
        <f>IF(AN243=15,K243,0)</f>
        <v>0</v>
      </c>
      <c r="AL243" s="42">
        <f>IF(AN243=21,K243,0)</f>
        <v>0</v>
      </c>
      <c r="AN243" s="55">
        <v>21</v>
      </c>
      <c r="AO243" s="55">
        <f>H243*0.098099173553719</f>
        <v>0</v>
      </c>
      <c r="AP243" s="55">
        <f>H243*(1-0.098099173553719)</f>
        <v>0</v>
      </c>
      <c r="AQ243" s="56" t="s">
        <v>74</v>
      </c>
      <c r="AV243" s="55">
        <f>AW243+AX243</f>
        <v>0</v>
      </c>
      <c r="AW243" s="55">
        <f>G243*AO243</f>
        <v>0</v>
      </c>
      <c r="AX243" s="55">
        <f>G243*AP243</f>
        <v>0</v>
      </c>
      <c r="AY243" s="58" t="s">
        <v>677</v>
      </c>
      <c r="AZ243" s="58" t="s">
        <v>689</v>
      </c>
      <c r="BA243" s="50" t="s">
        <v>690</v>
      </c>
      <c r="BC243" s="55">
        <f>AW243+AX243</f>
        <v>0</v>
      </c>
      <c r="BD243" s="55">
        <f>H243/(100-BE243)*100</f>
        <v>0</v>
      </c>
      <c r="BE243" s="55">
        <v>0</v>
      </c>
      <c r="BF243" s="55">
        <f>M243</f>
        <v>0.001206</v>
      </c>
      <c r="BH243" s="42">
        <f>G243*AO243</f>
        <v>0</v>
      </c>
      <c r="BI243" s="42">
        <f>G243*AP243</f>
        <v>0</v>
      </c>
      <c r="BJ243" s="42">
        <f>G243*H243</f>
        <v>0</v>
      </c>
      <c r="BK243" s="42" t="s">
        <v>695</v>
      </c>
      <c r="BL243" s="55">
        <v>97</v>
      </c>
    </row>
    <row r="244" spans="1:15" ht="12.75">
      <c r="A244" s="18"/>
      <c r="B244" s="71"/>
      <c r="C244" s="71"/>
      <c r="D244" s="72" t="s">
        <v>604</v>
      </c>
      <c r="E244" s="72"/>
      <c r="F244" s="71"/>
      <c r="G244" s="73">
        <v>0.9</v>
      </c>
      <c r="H244" s="71"/>
      <c r="I244" s="71"/>
      <c r="J244" s="71"/>
      <c r="K244" s="71"/>
      <c r="L244" s="71"/>
      <c r="M244" s="71"/>
      <c r="N244" s="16"/>
      <c r="O244" s="18"/>
    </row>
    <row r="245" spans="1:47" ht="12.75">
      <c r="A245" s="63"/>
      <c r="B245" s="64"/>
      <c r="C245" s="64" t="s">
        <v>365</v>
      </c>
      <c r="D245" s="172" t="s">
        <v>606</v>
      </c>
      <c r="E245" s="173"/>
      <c r="F245" s="65" t="s">
        <v>73</v>
      </c>
      <c r="G245" s="65" t="s">
        <v>73</v>
      </c>
      <c r="H245" s="65" t="s">
        <v>73</v>
      </c>
      <c r="I245" s="66">
        <f>SUM(I246:I246)</f>
        <v>0</v>
      </c>
      <c r="J245" s="66">
        <f>SUM(J246:J246)</f>
        <v>0</v>
      </c>
      <c r="K245" s="66">
        <f>SUM(K246:K246)</f>
        <v>0</v>
      </c>
      <c r="L245" s="67"/>
      <c r="M245" s="66">
        <f>SUM(M246:M246)</f>
        <v>0</v>
      </c>
      <c r="N245" s="68"/>
      <c r="O245" s="18"/>
      <c r="AI245" s="50"/>
      <c r="AS245" s="61">
        <f>SUM(AJ246:AJ246)</f>
        <v>0</v>
      </c>
      <c r="AT245" s="61">
        <f>SUM(AK246:AK246)</f>
        <v>0</v>
      </c>
      <c r="AU245" s="61">
        <f>SUM(AL246:AL246)</f>
        <v>0</v>
      </c>
    </row>
    <row r="246" spans="1:64" ht="12.75">
      <c r="A246" s="69" t="s">
        <v>212</v>
      </c>
      <c r="B246" s="17"/>
      <c r="C246" s="17" t="s">
        <v>366</v>
      </c>
      <c r="D246" s="113" t="s">
        <v>607</v>
      </c>
      <c r="E246" s="174"/>
      <c r="F246" s="17" t="s">
        <v>625</v>
      </c>
      <c r="G246" s="55">
        <v>10.14813</v>
      </c>
      <c r="H246" s="92"/>
      <c r="I246" s="55">
        <f>G246*AO246</f>
        <v>0</v>
      </c>
      <c r="J246" s="55">
        <f>G246*AP246</f>
        <v>0</v>
      </c>
      <c r="K246" s="55">
        <f>G246*H246</f>
        <v>0</v>
      </c>
      <c r="L246" s="55">
        <v>0</v>
      </c>
      <c r="M246" s="55">
        <f>G246*L246</f>
        <v>0</v>
      </c>
      <c r="N246" s="70" t="s">
        <v>646</v>
      </c>
      <c r="O246" s="18"/>
      <c r="Z246" s="55">
        <f>IF(AQ246="5",BJ246,0)</f>
        <v>0</v>
      </c>
      <c r="AB246" s="55">
        <f>IF(AQ246="1",BH246,0)</f>
        <v>0</v>
      </c>
      <c r="AC246" s="55">
        <f>IF(AQ246="1",BI246,0)</f>
        <v>0</v>
      </c>
      <c r="AD246" s="55">
        <f>IF(AQ246="7",BH246,0)</f>
        <v>0</v>
      </c>
      <c r="AE246" s="55">
        <f>IF(AQ246="7",BI246,0)</f>
        <v>0</v>
      </c>
      <c r="AF246" s="55">
        <f>IF(AQ246="2",BH246,0)</f>
        <v>0</v>
      </c>
      <c r="AG246" s="55">
        <f>IF(AQ246="2",BI246,0)</f>
        <v>0</v>
      </c>
      <c r="AH246" s="55">
        <f>IF(AQ246="0",BJ246,0)</f>
        <v>0</v>
      </c>
      <c r="AI246" s="50"/>
      <c r="AJ246" s="42">
        <f>IF(AN246=0,K246,0)</f>
        <v>0</v>
      </c>
      <c r="AK246" s="42">
        <f>IF(AN246=15,K246,0)</f>
        <v>0</v>
      </c>
      <c r="AL246" s="42">
        <f>IF(AN246=21,K246,0)</f>
        <v>0</v>
      </c>
      <c r="AN246" s="55">
        <v>21</v>
      </c>
      <c r="AO246" s="55">
        <f>H246*0</f>
        <v>0</v>
      </c>
      <c r="AP246" s="55">
        <f>H246*(1-0)</f>
        <v>0</v>
      </c>
      <c r="AQ246" s="56" t="s">
        <v>78</v>
      </c>
      <c r="AV246" s="55">
        <f>AW246+AX246</f>
        <v>0</v>
      </c>
      <c r="AW246" s="55">
        <f>G246*AO246</f>
        <v>0</v>
      </c>
      <c r="AX246" s="55">
        <f>G246*AP246</f>
        <v>0</v>
      </c>
      <c r="AY246" s="58" t="s">
        <v>678</v>
      </c>
      <c r="AZ246" s="58" t="s">
        <v>689</v>
      </c>
      <c r="BA246" s="50" t="s">
        <v>690</v>
      </c>
      <c r="BC246" s="55">
        <f>AW246+AX246</f>
        <v>0</v>
      </c>
      <c r="BD246" s="55">
        <f>H246/(100-BE246)*100</f>
        <v>0</v>
      </c>
      <c r="BE246" s="55">
        <v>0</v>
      </c>
      <c r="BF246" s="55">
        <f>M246</f>
        <v>0</v>
      </c>
      <c r="BH246" s="42">
        <f>G246*AO246</f>
        <v>0</v>
      </c>
      <c r="BI246" s="42">
        <f>G246*AP246</f>
        <v>0</v>
      </c>
      <c r="BJ246" s="42">
        <f>G246*H246</f>
        <v>0</v>
      </c>
      <c r="BK246" s="42" t="s">
        <v>695</v>
      </c>
      <c r="BL246" s="55" t="s">
        <v>365</v>
      </c>
    </row>
    <row r="247" spans="1:47" ht="12.75">
      <c r="A247" s="63"/>
      <c r="B247" s="64"/>
      <c r="C247" s="64" t="s">
        <v>367</v>
      </c>
      <c r="D247" s="172" t="s">
        <v>608</v>
      </c>
      <c r="E247" s="173"/>
      <c r="F247" s="65" t="s">
        <v>73</v>
      </c>
      <c r="G247" s="65" t="s">
        <v>73</v>
      </c>
      <c r="H247" s="65" t="s">
        <v>73</v>
      </c>
      <c r="I247" s="66">
        <f>SUM(I248:I248)</f>
        <v>0</v>
      </c>
      <c r="J247" s="66">
        <f>SUM(J248:J248)</f>
        <v>0</v>
      </c>
      <c r="K247" s="66">
        <f>SUM(K248:K248)</f>
        <v>0</v>
      </c>
      <c r="L247" s="67"/>
      <c r="M247" s="66">
        <f>SUM(M248:M248)</f>
        <v>0</v>
      </c>
      <c r="N247" s="68"/>
      <c r="O247" s="18"/>
      <c r="AI247" s="50"/>
      <c r="AS247" s="61">
        <f>SUM(AJ248:AJ248)</f>
        <v>0</v>
      </c>
      <c r="AT247" s="61">
        <f>SUM(AK248:AK248)</f>
        <v>0</v>
      </c>
      <c r="AU247" s="61">
        <f>SUM(AL248:AL248)</f>
        <v>0</v>
      </c>
    </row>
    <row r="248" spans="1:64" ht="12.75">
      <c r="A248" s="69" t="s">
        <v>213</v>
      </c>
      <c r="B248" s="17"/>
      <c r="C248" s="17" t="s">
        <v>303</v>
      </c>
      <c r="D248" s="113" t="s">
        <v>609</v>
      </c>
      <c r="E248" s="174"/>
      <c r="F248" s="17" t="s">
        <v>623</v>
      </c>
      <c r="G248" s="55">
        <v>1</v>
      </c>
      <c r="H248" s="92"/>
      <c r="I248" s="55">
        <f>G248*AO248</f>
        <v>0</v>
      </c>
      <c r="J248" s="55">
        <f>G248*AP248</f>
        <v>0</v>
      </c>
      <c r="K248" s="55">
        <f>G248*H248</f>
        <v>0</v>
      </c>
      <c r="L248" s="55">
        <v>0</v>
      </c>
      <c r="M248" s="55">
        <f>G248*L248</f>
        <v>0</v>
      </c>
      <c r="N248" s="70" t="s">
        <v>303</v>
      </c>
      <c r="O248" s="18"/>
      <c r="Z248" s="55">
        <f>IF(AQ248="5",BJ248,0)</f>
        <v>0</v>
      </c>
      <c r="AB248" s="55">
        <f>IF(AQ248="1",BH248,0)</f>
        <v>0</v>
      </c>
      <c r="AC248" s="55">
        <f>IF(AQ248="1",BI248,0)</f>
        <v>0</v>
      </c>
      <c r="AD248" s="55">
        <f>IF(AQ248="7",BH248,0)</f>
        <v>0</v>
      </c>
      <c r="AE248" s="55">
        <f>IF(AQ248="7",BI248,0)</f>
        <v>0</v>
      </c>
      <c r="AF248" s="55">
        <f>IF(AQ248="2",BH248,0)</f>
        <v>0</v>
      </c>
      <c r="AG248" s="55">
        <f>IF(AQ248="2",BI248,0)</f>
        <v>0</v>
      </c>
      <c r="AH248" s="55">
        <f>IF(AQ248="0",BJ248,0)</f>
        <v>0</v>
      </c>
      <c r="AI248" s="50"/>
      <c r="AJ248" s="42">
        <f>IF(AN248=0,K248,0)</f>
        <v>0</v>
      </c>
      <c r="AK248" s="42">
        <f>IF(AN248=15,K248,0)</f>
        <v>0</v>
      </c>
      <c r="AL248" s="42">
        <f>IF(AN248=21,K248,0)</f>
        <v>0</v>
      </c>
      <c r="AN248" s="55">
        <v>21</v>
      </c>
      <c r="AO248" s="55">
        <f>H248*0</f>
        <v>0</v>
      </c>
      <c r="AP248" s="55">
        <f>H248*(1-0)</f>
        <v>0</v>
      </c>
      <c r="AQ248" s="56" t="s">
        <v>75</v>
      </c>
      <c r="AV248" s="55">
        <f>AW248+AX248</f>
        <v>0</v>
      </c>
      <c r="AW248" s="55">
        <f>G248*AO248</f>
        <v>0</v>
      </c>
      <c r="AX248" s="55">
        <f>G248*AP248</f>
        <v>0</v>
      </c>
      <c r="AY248" s="58" t="s">
        <v>679</v>
      </c>
      <c r="AZ248" s="58" t="s">
        <v>689</v>
      </c>
      <c r="BA248" s="50" t="s">
        <v>690</v>
      </c>
      <c r="BC248" s="55">
        <f>AW248+AX248</f>
        <v>0</v>
      </c>
      <c r="BD248" s="55">
        <f>H248/(100-BE248)*100</f>
        <v>0</v>
      </c>
      <c r="BE248" s="55">
        <v>0</v>
      </c>
      <c r="BF248" s="55">
        <f>M248</f>
        <v>0</v>
      </c>
      <c r="BH248" s="42">
        <f>G248*AO248</f>
        <v>0</v>
      </c>
      <c r="BI248" s="42">
        <f>G248*AP248</f>
        <v>0</v>
      </c>
      <c r="BJ248" s="42">
        <f>G248*H248</f>
        <v>0</v>
      </c>
      <c r="BK248" s="42" t="s">
        <v>695</v>
      </c>
      <c r="BL248" s="55" t="s">
        <v>367</v>
      </c>
    </row>
    <row r="249" spans="1:47" ht="12.75">
      <c r="A249" s="63"/>
      <c r="B249" s="64"/>
      <c r="C249" s="64" t="s">
        <v>368</v>
      </c>
      <c r="D249" s="172" t="s">
        <v>610</v>
      </c>
      <c r="E249" s="173"/>
      <c r="F249" s="65" t="s">
        <v>73</v>
      </c>
      <c r="G249" s="65" t="s">
        <v>73</v>
      </c>
      <c r="H249" s="65" t="s">
        <v>73</v>
      </c>
      <c r="I249" s="66">
        <f>SUM(I250:I255)</f>
        <v>0</v>
      </c>
      <c r="J249" s="66">
        <f>SUM(J250:J255)</f>
        <v>0</v>
      </c>
      <c r="K249" s="66">
        <f>SUM(K250:K255)</f>
        <v>0</v>
      </c>
      <c r="L249" s="67"/>
      <c r="M249" s="66">
        <f>SUM(M250:M255)</f>
        <v>0</v>
      </c>
      <c r="N249" s="68"/>
      <c r="O249" s="18"/>
      <c r="AI249" s="50"/>
      <c r="AS249" s="61">
        <f>SUM(AJ250:AJ255)</f>
        <v>0</v>
      </c>
      <c r="AT249" s="61">
        <f>SUM(AK250:AK255)</f>
        <v>0</v>
      </c>
      <c r="AU249" s="61">
        <f>SUM(AL250:AL255)</f>
        <v>0</v>
      </c>
    </row>
    <row r="250" spans="1:64" ht="12.75">
      <c r="A250" s="69" t="s">
        <v>214</v>
      </c>
      <c r="B250" s="17"/>
      <c r="C250" s="17" t="s">
        <v>369</v>
      </c>
      <c r="D250" s="113" t="s">
        <v>611</v>
      </c>
      <c r="E250" s="174"/>
      <c r="F250" s="17" t="s">
        <v>625</v>
      </c>
      <c r="G250" s="55">
        <v>12.8626</v>
      </c>
      <c r="H250" s="92"/>
      <c r="I250" s="55">
        <f>G250*AO250</f>
        <v>0</v>
      </c>
      <c r="J250" s="55">
        <f>G250*AP250</f>
        <v>0</v>
      </c>
      <c r="K250" s="55">
        <f>G250*H250</f>
        <v>0</v>
      </c>
      <c r="L250" s="55">
        <v>0</v>
      </c>
      <c r="M250" s="55">
        <f>G250*L250</f>
        <v>0</v>
      </c>
      <c r="N250" s="70" t="s">
        <v>646</v>
      </c>
      <c r="O250" s="18"/>
      <c r="Z250" s="55">
        <f>IF(AQ250="5",BJ250,0)</f>
        <v>0</v>
      </c>
      <c r="AB250" s="55">
        <f>IF(AQ250="1",BH250,0)</f>
        <v>0</v>
      </c>
      <c r="AC250" s="55">
        <f>IF(AQ250="1",BI250,0)</f>
        <v>0</v>
      </c>
      <c r="AD250" s="55">
        <f>IF(AQ250="7",BH250,0)</f>
        <v>0</v>
      </c>
      <c r="AE250" s="55">
        <f>IF(AQ250="7",BI250,0)</f>
        <v>0</v>
      </c>
      <c r="AF250" s="55">
        <f>IF(AQ250="2",BH250,0)</f>
        <v>0</v>
      </c>
      <c r="AG250" s="55">
        <f>IF(AQ250="2",BI250,0)</f>
        <v>0</v>
      </c>
      <c r="AH250" s="55">
        <f>IF(AQ250="0",BJ250,0)</f>
        <v>0</v>
      </c>
      <c r="AI250" s="50"/>
      <c r="AJ250" s="42">
        <f>IF(AN250=0,K250,0)</f>
        <v>0</v>
      </c>
      <c r="AK250" s="42">
        <f>IF(AN250=15,K250,0)</f>
        <v>0</v>
      </c>
      <c r="AL250" s="42">
        <f>IF(AN250=21,K250,0)</f>
        <v>0</v>
      </c>
      <c r="AN250" s="55">
        <v>21</v>
      </c>
      <c r="AO250" s="55">
        <f>H250*0</f>
        <v>0</v>
      </c>
      <c r="AP250" s="55">
        <f>H250*(1-0)</f>
        <v>0</v>
      </c>
      <c r="AQ250" s="56" t="s">
        <v>78</v>
      </c>
      <c r="AV250" s="55">
        <f>AW250+AX250</f>
        <v>0</v>
      </c>
      <c r="AW250" s="55">
        <f>G250*AO250</f>
        <v>0</v>
      </c>
      <c r="AX250" s="55">
        <f>G250*AP250</f>
        <v>0</v>
      </c>
      <c r="AY250" s="58" t="s">
        <v>680</v>
      </c>
      <c r="AZ250" s="58" t="s">
        <v>689</v>
      </c>
      <c r="BA250" s="50" t="s">
        <v>690</v>
      </c>
      <c r="BC250" s="55">
        <f>AW250+AX250</f>
        <v>0</v>
      </c>
      <c r="BD250" s="55">
        <f>H250/(100-BE250)*100</f>
        <v>0</v>
      </c>
      <c r="BE250" s="55">
        <v>0</v>
      </c>
      <c r="BF250" s="55">
        <f>M250</f>
        <v>0</v>
      </c>
      <c r="BH250" s="42">
        <f>G250*AO250</f>
        <v>0</v>
      </c>
      <c r="BI250" s="42">
        <f>G250*AP250</f>
        <v>0</v>
      </c>
      <c r="BJ250" s="42">
        <f>G250*H250</f>
        <v>0</v>
      </c>
      <c r="BK250" s="42" t="s">
        <v>695</v>
      </c>
      <c r="BL250" s="55" t="s">
        <v>368</v>
      </c>
    </row>
    <row r="251" spans="1:64" ht="12.75">
      <c r="A251" s="69" t="s">
        <v>215</v>
      </c>
      <c r="B251" s="17"/>
      <c r="C251" s="17" t="s">
        <v>370</v>
      </c>
      <c r="D251" s="113" t="s">
        <v>612</v>
      </c>
      <c r="E251" s="174"/>
      <c r="F251" s="17" t="s">
        <v>625</v>
      </c>
      <c r="G251" s="55">
        <v>192.939</v>
      </c>
      <c r="H251" s="92"/>
      <c r="I251" s="55">
        <f>G251*AO251</f>
        <v>0</v>
      </c>
      <c r="J251" s="55">
        <f>G251*AP251</f>
        <v>0</v>
      </c>
      <c r="K251" s="55">
        <f>G251*H251</f>
        <v>0</v>
      </c>
      <c r="L251" s="55">
        <v>0</v>
      </c>
      <c r="M251" s="55">
        <f>G251*L251</f>
        <v>0</v>
      </c>
      <c r="N251" s="70" t="s">
        <v>646</v>
      </c>
      <c r="O251" s="18"/>
      <c r="Z251" s="55">
        <f>IF(AQ251="5",BJ251,0)</f>
        <v>0</v>
      </c>
      <c r="AB251" s="55">
        <f>IF(AQ251="1",BH251,0)</f>
        <v>0</v>
      </c>
      <c r="AC251" s="55">
        <f>IF(AQ251="1",BI251,0)</f>
        <v>0</v>
      </c>
      <c r="AD251" s="55">
        <f>IF(AQ251="7",BH251,0)</f>
        <v>0</v>
      </c>
      <c r="AE251" s="55">
        <f>IF(AQ251="7",BI251,0)</f>
        <v>0</v>
      </c>
      <c r="AF251" s="55">
        <f>IF(AQ251="2",BH251,0)</f>
        <v>0</v>
      </c>
      <c r="AG251" s="55">
        <f>IF(AQ251="2",BI251,0)</f>
        <v>0</v>
      </c>
      <c r="AH251" s="55">
        <f>IF(AQ251="0",BJ251,0)</f>
        <v>0</v>
      </c>
      <c r="AI251" s="50"/>
      <c r="AJ251" s="42">
        <f>IF(AN251=0,K251,0)</f>
        <v>0</v>
      </c>
      <c r="AK251" s="42">
        <f>IF(AN251=15,K251,0)</f>
        <v>0</v>
      </c>
      <c r="AL251" s="42">
        <f>IF(AN251=21,K251,0)</f>
        <v>0</v>
      </c>
      <c r="AN251" s="55">
        <v>21</v>
      </c>
      <c r="AO251" s="55">
        <f>H251*0</f>
        <v>0</v>
      </c>
      <c r="AP251" s="55">
        <f>H251*(1-0)</f>
        <v>0</v>
      </c>
      <c r="AQ251" s="56" t="s">
        <v>78</v>
      </c>
      <c r="AV251" s="55">
        <f>AW251+AX251</f>
        <v>0</v>
      </c>
      <c r="AW251" s="55">
        <f>G251*AO251</f>
        <v>0</v>
      </c>
      <c r="AX251" s="55">
        <f>G251*AP251</f>
        <v>0</v>
      </c>
      <c r="AY251" s="58" t="s">
        <v>680</v>
      </c>
      <c r="AZ251" s="58" t="s">
        <v>689</v>
      </c>
      <c r="BA251" s="50" t="s">
        <v>690</v>
      </c>
      <c r="BC251" s="55">
        <f>AW251+AX251</f>
        <v>0</v>
      </c>
      <c r="BD251" s="55">
        <f>H251/(100-BE251)*100</f>
        <v>0</v>
      </c>
      <c r="BE251" s="55">
        <v>0</v>
      </c>
      <c r="BF251" s="55">
        <f>M251</f>
        <v>0</v>
      </c>
      <c r="BH251" s="42">
        <f>G251*AO251</f>
        <v>0</v>
      </c>
      <c r="BI251" s="42">
        <f>G251*AP251</f>
        <v>0</v>
      </c>
      <c r="BJ251" s="42">
        <f>G251*H251</f>
        <v>0</v>
      </c>
      <c r="BK251" s="42" t="s">
        <v>695</v>
      </c>
      <c r="BL251" s="55" t="s">
        <v>368</v>
      </c>
    </row>
    <row r="252" spans="1:15" ht="12.75">
      <c r="A252" s="18"/>
      <c r="B252" s="71"/>
      <c r="C252" s="71"/>
      <c r="D252" s="72" t="s">
        <v>613</v>
      </c>
      <c r="E252" s="72"/>
      <c r="F252" s="71"/>
      <c r="G252" s="73">
        <v>192.939</v>
      </c>
      <c r="H252" s="71"/>
      <c r="I252" s="71"/>
      <c r="J252" s="71"/>
      <c r="K252" s="71"/>
      <c r="L252" s="71"/>
      <c r="M252" s="71"/>
      <c r="N252" s="16"/>
      <c r="O252" s="18"/>
    </row>
    <row r="253" spans="1:64" ht="12.75">
      <c r="A253" s="69" t="s">
        <v>58</v>
      </c>
      <c r="B253" s="17"/>
      <c r="C253" s="17" t="s">
        <v>371</v>
      </c>
      <c r="D253" s="113" t="s">
        <v>614</v>
      </c>
      <c r="E253" s="174"/>
      <c r="F253" s="17" t="s">
        <v>625</v>
      </c>
      <c r="G253" s="55">
        <v>12.8626</v>
      </c>
      <c r="H253" s="92"/>
      <c r="I253" s="55">
        <f>G253*AO253</f>
        <v>0</v>
      </c>
      <c r="J253" s="55">
        <f>G253*AP253</f>
        <v>0</v>
      </c>
      <c r="K253" s="55">
        <f>G253*H253</f>
        <v>0</v>
      </c>
      <c r="L253" s="55">
        <v>0</v>
      </c>
      <c r="M253" s="55">
        <f>G253*L253</f>
        <v>0</v>
      </c>
      <c r="N253" s="70" t="s">
        <v>646</v>
      </c>
      <c r="O253" s="18"/>
      <c r="Z253" s="55">
        <f>IF(AQ253="5",BJ253,0)</f>
        <v>0</v>
      </c>
      <c r="AB253" s="55">
        <f>IF(AQ253="1",BH253,0)</f>
        <v>0</v>
      </c>
      <c r="AC253" s="55">
        <f>IF(AQ253="1",BI253,0)</f>
        <v>0</v>
      </c>
      <c r="AD253" s="55">
        <f>IF(AQ253="7",BH253,0)</f>
        <v>0</v>
      </c>
      <c r="AE253" s="55">
        <f>IF(AQ253="7",BI253,0)</f>
        <v>0</v>
      </c>
      <c r="AF253" s="55">
        <f>IF(AQ253="2",BH253,0)</f>
        <v>0</v>
      </c>
      <c r="AG253" s="55">
        <f>IF(AQ253="2",BI253,0)</f>
        <v>0</v>
      </c>
      <c r="AH253" s="55">
        <f>IF(AQ253="0",BJ253,0)</f>
        <v>0</v>
      </c>
      <c r="AI253" s="50"/>
      <c r="AJ253" s="42">
        <f>IF(AN253=0,K253,0)</f>
        <v>0</v>
      </c>
      <c r="AK253" s="42">
        <f>IF(AN253=15,K253,0)</f>
        <v>0</v>
      </c>
      <c r="AL253" s="42">
        <f>IF(AN253=21,K253,0)</f>
        <v>0</v>
      </c>
      <c r="AN253" s="55">
        <v>21</v>
      </c>
      <c r="AO253" s="55">
        <f>H253*0</f>
        <v>0</v>
      </c>
      <c r="AP253" s="55">
        <f>H253*(1-0)</f>
        <v>0</v>
      </c>
      <c r="AQ253" s="56" t="s">
        <v>78</v>
      </c>
      <c r="AV253" s="55">
        <f>AW253+AX253</f>
        <v>0</v>
      </c>
      <c r="AW253" s="55">
        <f>G253*AO253</f>
        <v>0</v>
      </c>
      <c r="AX253" s="55">
        <f>G253*AP253</f>
        <v>0</v>
      </c>
      <c r="AY253" s="58" t="s">
        <v>680</v>
      </c>
      <c r="AZ253" s="58" t="s">
        <v>689</v>
      </c>
      <c r="BA253" s="50" t="s">
        <v>690</v>
      </c>
      <c r="BC253" s="55">
        <f>AW253+AX253</f>
        <v>0</v>
      </c>
      <c r="BD253" s="55">
        <f>H253/(100-BE253)*100</f>
        <v>0</v>
      </c>
      <c r="BE253" s="55">
        <v>0</v>
      </c>
      <c r="BF253" s="55">
        <f>M253</f>
        <v>0</v>
      </c>
      <c r="BH253" s="42">
        <f>G253*AO253</f>
        <v>0</v>
      </c>
      <c r="BI253" s="42">
        <f>G253*AP253</f>
        <v>0</v>
      </c>
      <c r="BJ253" s="42">
        <f>G253*H253</f>
        <v>0</v>
      </c>
      <c r="BK253" s="42" t="s">
        <v>695</v>
      </c>
      <c r="BL253" s="55" t="s">
        <v>368</v>
      </c>
    </row>
    <row r="254" spans="1:64" ht="12.75">
      <c r="A254" s="69" t="s">
        <v>702</v>
      </c>
      <c r="B254" s="17"/>
      <c r="C254" s="17" t="s">
        <v>372</v>
      </c>
      <c r="D254" s="113" t="s">
        <v>615</v>
      </c>
      <c r="E254" s="174"/>
      <c r="F254" s="17" t="s">
        <v>625</v>
      </c>
      <c r="G254" s="55">
        <v>12.8626</v>
      </c>
      <c r="H254" s="92"/>
      <c r="I254" s="55">
        <f>G254*AO254</f>
        <v>0</v>
      </c>
      <c r="J254" s="55">
        <f>G254*AP254</f>
        <v>0</v>
      </c>
      <c r="K254" s="55">
        <f>G254*H254</f>
        <v>0</v>
      </c>
      <c r="L254" s="55">
        <v>0</v>
      </c>
      <c r="M254" s="55">
        <f>G254*L254</f>
        <v>0</v>
      </c>
      <c r="N254" s="70" t="s">
        <v>646</v>
      </c>
      <c r="O254" s="18"/>
      <c r="Z254" s="55">
        <f>IF(AQ254="5",BJ254,0)</f>
        <v>0</v>
      </c>
      <c r="AB254" s="55">
        <f>IF(AQ254="1",BH254,0)</f>
        <v>0</v>
      </c>
      <c r="AC254" s="55">
        <f>IF(AQ254="1",BI254,0)</f>
        <v>0</v>
      </c>
      <c r="AD254" s="55">
        <f>IF(AQ254="7",BH254,0)</f>
        <v>0</v>
      </c>
      <c r="AE254" s="55">
        <f>IF(AQ254="7",BI254,0)</f>
        <v>0</v>
      </c>
      <c r="AF254" s="55">
        <f>IF(AQ254="2",BH254,0)</f>
        <v>0</v>
      </c>
      <c r="AG254" s="55">
        <f>IF(AQ254="2",BI254,0)</f>
        <v>0</v>
      </c>
      <c r="AH254" s="55">
        <f>IF(AQ254="0",BJ254,0)</f>
        <v>0</v>
      </c>
      <c r="AI254" s="50"/>
      <c r="AJ254" s="42">
        <f>IF(AN254=0,K254,0)</f>
        <v>0</v>
      </c>
      <c r="AK254" s="42">
        <f>IF(AN254=15,K254,0)</f>
        <v>0</v>
      </c>
      <c r="AL254" s="42">
        <f>IF(AN254=21,K254,0)</f>
        <v>0</v>
      </c>
      <c r="AN254" s="55">
        <v>21</v>
      </c>
      <c r="AO254" s="55">
        <f>H254*0</f>
        <v>0</v>
      </c>
      <c r="AP254" s="55">
        <f>H254*(1-0)</f>
        <v>0</v>
      </c>
      <c r="AQ254" s="56" t="s">
        <v>78</v>
      </c>
      <c r="AV254" s="55">
        <f>AW254+AX254</f>
        <v>0</v>
      </c>
      <c r="AW254" s="55">
        <f>G254*AO254</f>
        <v>0</v>
      </c>
      <c r="AX254" s="55">
        <f>G254*AP254</f>
        <v>0</v>
      </c>
      <c r="AY254" s="58" t="s">
        <v>680</v>
      </c>
      <c r="AZ254" s="58" t="s">
        <v>689</v>
      </c>
      <c r="BA254" s="50" t="s">
        <v>690</v>
      </c>
      <c r="BC254" s="55">
        <f>AW254+AX254</f>
        <v>0</v>
      </c>
      <c r="BD254" s="55">
        <f>H254/(100-BE254)*100</f>
        <v>0</v>
      </c>
      <c r="BE254" s="55">
        <v>0</v>
      </c>
      <c r="BF254" s="55">
        <f>M254</f>
        <v>0</v>
      </c>
      <c r="BH254" s="42">
        <f>G254*AO254</f>
        <v>0</v>
      </c>
      <c r="BI254" s="42">
        <f>G254*AP254</f>
        <v>0</v>
      </c>
      <c r="BJ254" s="42">
        <f>G254*H254</f>
        <v>0</v>
      </c>
      <c r="BK254" s="42" t="s">
        <v>695</v>
      </c>
      <c r="BL254" s="55" t="s">
        <v>368</v>
      </c>
    </row>
    <row r="255" spans="1:64" ht="12.75">
      <c r="A255" s="86" t="s">
        <v>703</v>
      </c>
      <c r="B255" s="87"/>
      <c r="C255" s="87" t="s">
        <v>373</v>
      </c>
      <c r="D255" s="181" t="s">
        <v>616</v>
      </c>
      <c r="E255" s="182"/>
      <c r="F255" s="87" t="s">
        <v>625</v>
      </c>
      <c r="G255" s="88">
        <v>12.8626</v>
      </c>
      <c r="H255" s="97"/>
      <c r="I255" s="88">
        <f>G255*AO255</f>
        <v>0</v>
      </c>
      <c r="J255" s="88">
        <f>G255*AP255</f>
        <v>0</v>
      </c>
      <c r="K255" s="88">
        <f>G255*H255</f>
        <v>0</v>
      </c>
      <c r="L255" s="88">
        <v>0</v>
      </c>
      <c r="M255" s="88">
        <f>G255*L255</f>
        <v>0</v>
      </c>
      <c r="N255" s="89" t="s">
        <v>646</v>
      </c>
      <c r="O255" s="18"/>
      <c r="Z255" s="55">
        <f>IF(AQ255="5",BJ255,0)</f>
        <v>0</v>
      </c>
      <c r="AB255" s="55">
        <f>IF(AQ255="1",BH255,0)</f>
        <v>0</v>
      </c>
      <c r="AC255" s="55">
        <f>IF(AQ255="1",BI255,0)</f>
        <v>0</v>
      </c>
      <c r="AD255" s="55">
        <f>IF(AQ255="7",BH255,0)</f>
        <v>0</v>
      </c>
      <c r="AE255" s="55">
        <f>IF(AQ255="7",BI255,0)</f>
        <v>0</v>
      </c>
      <c r="AF255" s="55">
        <f>IF(AQ255="2",BH255,0)</f>
        <v>0</v>
      </c>
      <c r="AG255" s="55">
        <f>IF(AQ255="2",BI255,0)</f>
        <v>0</v>
      </c>
      <c r="AH255" s="55">
        <f>IF(AQ255="0",BJ255,0)</f>
        <v>0</v>
      </c>
      <c r="AI255" s="50"/>
      <c r="AJ255" s="42">
        <f>IF(AN255=0,K255,0)</f>
        <v>0</v>
      </c>
      <c r="AK255" s="42">
        <f>IF(AN255=15,K255,0)</f>
        <v>0</v>
      </c>
      <c r="AL255" s="42">
        <f>IF(AN255=21,K255,0)</f>
        <v>0</v>
      </c>
      <c r="AN255" s="55">
        <v>21</v>
      </c>
      <c r="AO255" s="55">
        <f>H255*0</f>
        <v>0</v>
      </c>
      <c r="AP255" s="55">
        <f>H255*(1-0)</f>
        <v>0</v>
      </c>
      <c r="AQ255" s="56" t="s">
        <v>78</v>
      </c>
      <c r="AV255" s="55">
        <f>AW255+AX255</f>
        <v>0</v>
      </c>
      <c r="AW255" s="55">
        <f>G255*AO255</f>
        <v>0</v>
      </c>
      <c r="AX255" s="55">
        <f>G255*AP255</f>
        <v>0</v>
      </c>
      <c r="AY255" s="58" t="s">
        <v>680</v>
      </c>
      <c r="AZ255" s="58" t="s">
        <v>689</v>
      </c>
      <c r="BA255" s="50" t="s">
        <v>690</v>
      </c>
      <c r="BC255" s="55">
        <f>AW255+AX255</f>
        <v>0</v>
      </c>
      <c r="BD255" s="55">
        <f>H255/(100-BE255)*100</f>
        <v>0</v>
      </c>
      <c r="BE255" s="55">
        <v>0</v>
      </c>
      <c r="BF255" s="55">
        <f>M255</f>
        <v>0</v>
      </c>
      <c r="BH255" s="42">
        <f>G255*AO255</f>
        <v>0</v>
      </c>
      <c r="BI255" s="42">
        <f>G255*AP255</f>
        <v>0</v>
      </c>
      <c r="BJ255" s="42">
        <f>G255*H255</f>
        <v>0</v>
      </c>
      <c r="BK255" s="42" t="s">
        <v>695</v>
      </c>
      <c r="BL255" s="55" t="s">
        <v>368</v>
      </c>
    </row>
    <row r="256" spans="1:14" ht="12.75">
      <c r="A256" s="5"/>
      <c r="B256" s="5"/>
      <c r="C256" s="5"/>
      <c r="D256" s="5"/>
      <c r="E256" s="5"/>
      <c r="F256" s="5"/>
      <c r="G256" s="5"/>
      <c r="H256" s="5"/>
      <c r="I256" s="183" t="s">
        <v>640</v>
      </c>
      <c r="J256" s="105"/>
      <c r="K256" s="62">
        <f>K13+K25+K43+K46+K49+K61+K77+K90+K119+K133+K138+K150+K160+K163+K196+K202+K204+K206+K209+K211+K236+K245+K247+K249</f>
        <v>0</v>
      </c>
      <c r="L256" s="5"/>
      <c r="M256" s="5"/>
      <c r="N256" s="5"/>
    </row>
    <row r="257" ht="11.25" customHeight="1">
      <c r="A257" s="35" t="s">
        <v>18</v>
      </c>
    </row>
    <row r="258" spans="1:14" ht="12.75">
      <c r="A258" s="111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</row>
  </sheetData>
  <sheetProtection/>
  <mergeCells count="199">
    <mergeCell ref="D251:E251"/>
    <mergeCell ref="D253:E253"/>
    <mergeCell ref="D254:E254"/>
    <mergeCell ref="D255:E255"/>
    <mergeCell ref="I256:J256"/>
    <mergeCell ref="A258:N258"/>
    <mergeCell ref="D245:E245"/>
    <mergeCell ref="D246:E246"/>
    <mergeCell ref="D247:E247"/>
    <mergeCell ref="D248:E248"/>
    <mergeCell ref="D249:E249"/>
    <mergeCell ref="D250:E250"/>
    <mergeCell ref="D233:E233"/>
    <mergeCell ref="D236:E236"/>
    <mergeCell ref="D237:E237"/>
    <mergeCell ref="D239:E239"/>
    <mergeCell ref="D241:E241"/>
    <mergeCell ref="D243:E243"/>
    <mergeCell ref="D217:E217"/>
    <mergeCell ref="D221:E221"/>
    <mergeCell ref="D223:E223"/>
    <mergeCell ref="D226:E226"/>
    <mergeCell ref="D227:E227"/>
    <mergeCell ref="D229:E229"/>
    <mergeCell ref="D208:E208"/>
    <mergeCell ref="D209:E209"/>
    <mergeCell ref="D210:E210"/>
    <mergeCell ref="D211:E211"/>
    <mergeCell ref="D212:E212"/>
    <mergeCell ref="D215:E215"/>
    <mergeCell ref="D202:E202"/>
    <mergeCell ref="D203:E203"/>
    <mergeCell ref="D204:E204"/>
    <mergeCell ref="D205:E205"/>
    <mergeCell ref="D206:E206"/>
    <mergeCell ref="D207:E207"/>
    <mergeCell ref="D191:E191"/>
    <mergeCell ref="D195:E195"/>
    <mergeCell ref="D196:E196"/>
    <mergeCell ref="D197:E197"/>
    <mergeCell ref="D200:E200"/>
    <mergeCell ref="D201:E201"/>
    <mergeCell ref="D164:E164"/>
    <mergeCell ref="D185:E185"/>
    <mergeCell ref="D186:E186"/>
    <mergeCell ref="D187:E187"/>
    <mergeCell ref="D188:E188"/>
    <mergeCell ref="D190:E190"/>
    <mergeCell ref="D156:E156"/>
    <mergeCell ref="D157:E157"/>
    <mergeCell ref="D159:E159"/>
    <mergeCell ref="D160:E160"/>
    <mergeCell ref="D161:E161"/>
    <mergeCell ref="D163:E163"/>
    <mergeCell ref="D148:E148"/>
    <mergeCell ref="D149:E149"/>
    <mergeCell ref="D150:E150"/>
    <mergeCell ref="D151:E151"/>
    <mergeCell ref="D154:E154"/>
    <mergeCell ref="D155:E155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7:E117"/>
    <mergeCell ref="D118:E118"/>
    <mergeCell ref="D119:E119"/>
    <mergeCell ref="D120:E120"/>
    <mergeCell ref="D122:E122"/>
    <mergeCell ref="D123:E123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2:E72"/>
    <mergeCell ref="D74:E74"/>
    <mergeCell ref="D75:E75"/>
    <mergeCell ref="D76:E76"/>
    <mergeCell ref="D77:E77"/>
    <mergeCell ref="D78:E78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48:E48"/>
    <mergeCell ref="D49:E49"/>
    <mergeCell ref="D50:E50"/>
    <mergeCell ref="D55:E55"/>
    <mergeCell ref="D56:E56"/>
    <mergeCell ref="D58:E58"/>
    <mergeCell ref="D39:E39"/>
    <mergeCell ref="D40:E40"/>
    <mergeCell ref="D43:E43"/>
    <mergeCell ref="D44:E44"/>
    <mergeCell ref="D46:E46"/>
    <mergeCell ref="D47:E47"/>
    <mergeCell ref="D26:E26"/>
    <mergeCell ref="D27:E27"/>
    <mergeCell ref="D28:E28"/>
    <mergeCell ref="D32:E32"/>
    <mergeCell ref="D34:E34"/>
    <mergeCell ref="D38:E38"/>
    <mergeCell ref="D14:E14"/>
    <mergeCell ref="D16:E16"/>
    <mergeCell ref="D18:E18"/>
    <mergeCell ref="D20:E20"/>
    <mergeCell ref="D22:E22"/>
    <mergeCell ref="D25:E25"/>
    <mergeCell ref="D10:E10"/>
    <mergeCell ref="I10:K10"/>
    <mergeCell ref="L10:M10"/>
    <mergeCell ref="D11:E11"/>
    <mergeCell ref="D12:E12"/>
    <mergeCell ref="D13:E13"/>
    <mergeCell ref="A8:C9"/>
    <mergeCell ref="D8:D9"/>
    <mergeCell ref="E8:E9"/>
    <mergeCell ref="F8:G9"/>
    <mergeCell ref="H8:H9"/>
    <mergeCell ref="I8:N9"/>
    <mergeCell ref="A6:C7"/>
    <mergeCell ref="D6:D7"/>
    <mergeCell ref="E6:E7"/>
    <mergeCell ref="F6:G7"/>
    <mergeCell ref="H6:H7"/>
    <mergeCell ref="I6:N7"/>
    <mergeCell ref="A4:C5"/>
    <mergeCell ref="D4:D5"/>
    <mergeCell ref="E4:E5"/>
    <mergeCell ref="F4:G5"/>
    <mergeCell ref="H4:H5"/>
    <mergeCell ref="I4:N5"/>
    <mergeCell ref="A1:N1"/>
    <mergeCell ref="A2:C3"/>
    <mergeCell ref="D2:D3"/>
    <mergeCell ref="E2:E3"/>
    <mergeCell ref="F2:G3"/>
    <mergeCell ref="H2:H3"/>
    <mergeCell ref="I2:N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Milan Ing.</dc:creator>
  <cp:keywords/>
  <dc:description/>
  <cp:lastModifiedBy>Petr Milan Ing.</cp:lastModifiedBy>
  <dcterms:created xsi:type="dcterms:W3CDTF">2022-04-08T07:21:14Z</dcterms:created>
  <dcterms:modified xsi:type="dcterms:W3CDTF">2022-05-18T12:08:32Z</dcterms:modified>
  <cp:category/>
  <cp:version/>
  <cp:contentType/>
  <cp:contentStatus/>
</cp:coreProperties>
</file>