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VORN!$I$45</definedName>
  </definedNames>
  <calcPr calcId="124519"/>
</workbook>
</file>

<file path=xl/calcChain.xml><?xml version="1.0" encoding="utf-8"?>
<calcChain xmlns="http://schemas.openxmlformats.org/spreadsheetml/2006/main">
  <c r="BR263" i="3"/>
  <c r="BJ263"/>
  <c r="BF263"/>
  <c r="BD263"/>
  <c r="AX263"/>
  <c r="AP263"/>
  <c r="BI263" s="1"/>
  <c r="AO263"/>
  <c r="AW263" s="1"/>
  <c r="AL263"/>
  <c r="AJ263"/>
  <c r="AH263"/>
  <c r="AG263"/>
  <c r="AF263"/>
  <c r="AE263"/>
  <c r="AD263"/>
  <c r="AC263"/>
  <c r="AB263"/>
  <c r="Z263"/>
  <c r="H263"/>
  <c r="AK263" s="1"/>
  <c r="AT262" s="1"/>
  <c r="AU262"/>
  <c r="AS262"/>
  <c r="BO261"/>
  <c r="BJ261"/>
  <c r="BF261"/>
  <c r="BD261"/>
  <c r="AX261"/>
  <c r="AP261"/>
  <c r="BI261" s="1"/>
  <c r="AO261"/>
  <c r="AW261" s="1"/>
  <c r="AL261"/>
  <c r="AJ261"/>
  <c r="AH261"/>
  <c r="AG261"/>
  <c r="AF261"/>
  <c r="AE261"/>
  <c r="AD261"/>
  <c r="AC261"/>
  <c r="AB261"/>
  <c r="Z261"/>
  <c r="H261"/>
  <c r="AK261" s="1"/>
  <c r="AT260" s="1"/>
  <c r="AU260"/>
  <c r="AS260"/>
  <c r="H260"/>
  <c r="BJ258"/>
  <c r="BH258"/>
  <c r="AF258" s="1"/>
  <c r="BF258"/>
  <c r="BD258"/>
  <c r="AX258"/>
  <c r="AP258"/>
  <c r="BI258" s="1"/>
  <c r="AG258" s="1"/>
  <c r="AO258"/>
  <c r="AW258" s="1"/>
  <c r="AL258"/>
  <c r="AJ258"/>
  <c r="AH258"/>
  <c r="AE258"/>
  <c r="AD258"/>
  <c r="AC258"/>
  <c r="AB258"/>
  <c r="Z258"/>
  <c r="H258"/>
  <c r="AK258" s="1"/>
  <c r="BJ257"/>
  <c r="BF257"/>
  <c r="BD257"/>
  <c r="AW257"/>
  <c r="AP257"/>
  <c r="AX257" s="1"/>
  <c r="AO257"/>
  <c r="BH257" s="1"/>
  <c r="AF257" s="1"/>
  <c r="AL257"/>
  <c r="AU253" s="1"/>
  <c r="AK257"/>
  <c r="AJ257"/>
  <c r="AH257"/>
  <c r="AE257"/>
  <c r="AD257"/>
  <c r="AC257"/>
  <c r="AB257"/>
  <c r="Z257"/>
  <c r="H257"/>
  <c r="BJ256"/>
  <c r="BF256"/>
  <c r="BD256"/>
  <c r="AP256"/>
  <c r="AX256" s="1"/>
  <c r="AO256"/>
  <c r="AW256" s="1"/>
  <c r="AV256" s="1"/>
  <c r="AL256"/>
  <c r="AK256"/>
  <c r="AJ256"/>
  <c r="AH256"/>
  <c r="AE256"/>
  <c r="AD256"/>
  <c r="AC256"/>
  <c r="AB256"/>
  <c r="Z256"/>
  <c r="H256"/>
  <c r="BJ255"/>
  <c r="BF255"/>
  <c r="BD255"/>
  <c r="AP255"/>
  <c r="AX255" s="1"/>
  <c r="BC255" s="1"/>
  <c r="AO255"/>
  <c r="AW255" s="1"/>
  <c r="AL255"/>
  <c r="AJ255"/>
  <c r="AS253" s="1"/>
  <c r="AH255"/>
  <c r="AE255"/>
  <c r="AD255"/>
  <c r="AC255"/>
  <c r="AB255"/>
  <c r="Z255"/>
  <c r="H255"/>
  <c r="AK255" s="1"/>
  <c r="BJ254"/>
  <c r="BH254"/>
  <c r="AF254" s="1"/>
  <c r="BF254"/>
  <c r="BD254"/>
  <c r="AX254"/>
  <c r="AP254"/>
  <c r="BI254" s="1"/>
  <c r="AG254" s="1"/>
  <c r="AO254"/>
  <c r="AW254" s="1"/>
  <c r="AL254"/>
  <c r="AJ254"/>
  <c r="AH254"/>
  <c r="AE254"/>
  <c r="AD254"/>
  <c r="AC254"/>
  <c r="AB254"/>
  <c r="Z254"/>
  <c r="H254"/>
  <c r="AK254" s="1"/>
  <c r="BJ251"/>
  <c r="BF251"/>
  <c r="BD251"/>
  <c r="AW251"/>
  <c r="AP251"/>
  <c r="AX251" s="1"/>
  <c r="AO251"/>
  <c r="BH251" s="1"/>
  <c r="AD251" s="1"/>
  <c r="AL251"/>
  <c r="AU246" s="1"/>
  <c r="AK251"/>
  <c r="AJ251"/>
  <c r="AH251"/>
  <c r="AG251"/>
  <c r="AF251"/>
  <c r="AC251"/>
  <c r="AB251"/>
  <c r="Z251"/>
  <c r="H251"/>
  <c r="BJ250"/>
  <c r="BF250"/>
  <c r="BD250"/>
  <c r="AP250"/>
  <c r="AX250" s="1"/>
  <c r="AO250"/>
  <c r="AW250" s="1"/>
  <c r="AL250"/>
  <c r="AK250"/>
  <c r="AJ250"/>
  <c r="AH250"/>
  <c r="AG250"/>
  <c r="AF250"/>
  <c r="AC250"/>
  <c r="AB250"/>
  <c r="Z250"/>
  <c r="H250"/>
  <c r="BJ247"/>
  <c r="BF247"/>
  <c r="BD247"/>
  <c r="BC247"/>
  <c r="AP247"/>
  <c r="AX247" s="1"/>
  <c r="AO247"/>
  <c r="AW247" s="1"/>
  <c r="AV247" s="1"/>
  <c r="AL247"/>
  <c r="AJ247"/>
  <c r="AS246" s="1"/>
  <c r="AH247"/>
  <c r="AG247"/>
  <c r="AF247"/>
  <c r="AC247"/>
  <c r="AB247"/>
  <c r="Z247"/>
  <c r="H247"/>
  <c r="AK247" s="1"/>
  <c r="AT246" s="1"/>
  <c r="H246"/>
  <c r="BJ245"/>
  <c r="BH245"/>
  <c r="AD245" s="1"/>
  <c r="BF245"/>
  <c r="BD245"/>
  <c r="AX245"/>
  <c r="AP245"/>
  <c r="BI245" s="1"/>
  <c r="AE245" s="1"/>
  <c r="AO245"/>
  <c r="AW245" s="1"/>
  <c r="AL245"/>
  <c r="AJ245"/>
  <c r="AH245"/>
  <c r="AG245"/>
  <c r="AF245"/>
  <c r="AC245"/>
  <c r="AB245"/>
  <c r="Z245"/>
  <c r="H245"/>
  <c r="BJ244"/>
  <c r="BF244"/>
  <c r="BD244"/>
  <c r="AW244"/>
  <c r="AP244"/>
  <c r="AX244" s="1"/>
  <c r="AO244"/>
  <c r="BH244" s="1"/>
  <c r="AD244" s="1"/>
  <c r="AL244"/>
  <c r="AU241" s="1"/>
  <c r="AK244"/>
  <c r="AJ244"/>
  <c r="AH244"/>
  <c r="AG244"/>
  <c r="AF244"/>
  <c r="AC244"/>
  <c r="AB244"/>
  <c r="Z244"/>
  <c r="H244"/>
  <c r="BJ242"/>
  <c r="BF242"/>
  <c r="BD242"/>
  <c r="AP242"/>
  <c r="AX242" s="1"/>
  <c r="AO242"/>
  <c r="AW242" s="1"/>
  <c r="AL242"/>
  <c r="AK242"/>
  <c r="AJ242"/>
  <c r="AH242"/>
  <c r="AG242"/>
  <c r="AF242"/>
  <c r="AC242"/>
  <c r="AB242"/>
  <c r="Z242"/>
  <c r="H242"/>
  <c r="AS241"/>
  <c r="BJ240"/>
  <c r="BF240"/>
  <c r="BD240"/>
  <c r="AP240"/>
  <c r="AX240" s="1"/>
  <c r="AO240"/>
  <c r="AW240" s="1"/>
  <c r="AV240" s="1"/>
  <c r="AL240"/>
  <c r="AJ240"/>
  <c r="AH240"/>
  <c r="AG240"/>
  <c r="AF240"/>
  <c r="AE240"/>
  <c r="AD240"/>
  <c r="AC240"/>
  <c r="AB240"/>
  <c r="Z240"/>
  <c r="H240"/>
  <c r="AK240" s="1"/>
  <c r="BJ238"/>
  <c r="BF238"/>
  <c r="BD238"/>
  <c r="AX238"/>
  <c r="AP238"/>
  <c r="BI238" s="1"/>
  <c r="AE238" s="1"/>
  <c r="AO238"/>
  <c r="AW238" s="1"/>
  <c r="AL238"/>
  <c r="AJ238"/>
  <c r="AH238"/>
  <c r="AG238"/>
  <c r="AF238"/>
  <c r="AC238"/>
  <c r="AB238"/>
  <c r="Z238"/>
  <c r="H238"/>
  <c r="AK238" s="1"/>
  <c r="BJ237"/>
  <c r="BF237"/>
  <c r="BD237"/>
  <c r="AW237"/>
  <c r="AP237"/>
  <c r="AX237" s="1"/>
  <c r="AO237"/>
  <c r="BH237" s="1"/>
  <c r="AD237" s="1"/>
  <c r="AL237"/>
  <c r="AU228" s="1"/>
  <c r="AK237"/>
  <c r="AJ237"/>
  <c r="AH237"/>
  <c r="AG237"/>
  <c r="AF237"/>
  <c r="AC237"/>
  <c r="AB237"/>
  <c r="Z237"/>
  <c r="H237"/>
  <c r="BJ235"/>
  <c r="BF235"/>
  <c r="BD235"/>
  <c r="AV235"/>
  <c r="AP235"/>
  <c r="AX235" s="1"/>
  <c r="AO235"/>
  <c r="AW235" s="1"/>
  <c r="BC235" s="1"/>
  <c r="AL235"/>
  <c r="AK235"/>
  <c r="AJ235"/>
  <c r="AH235"/>
  <c r="AG235"/>
  <c r="AF235"/>
  <c r="AC235"/>
  <c r="AB235"/>
  <c r="Z235"/>
  <c r="H235"/>
  <c r="BJ233"/>
  <c r="BF233"/>
  <c r="BD233"/>
  <c r="AP233"/>
  <c r="AX233" s="1"/>
  <c r="AO233"/>
  <c r="AW233" s="1"/>
  <c r="BC233" s="1"/>
  <c r="AL233"/>
  <c r="AJ233"/>
  <c r="AH233"/>
  <c r="AG233"/>
  <c r="AF233"/>
  <c r="AC233"/>
  <c r="AB233"/>
  <c r="Z233"/>
  <c r="H233"/>
  <c r="AK233" s="1"/>
  <c r="BJ229"/>
  <c r="BF229"/>
  <c r="BD229"/>
  <c r="AX229"/>
  <c r="AP229"/>
  <c r="BI229" s="1"/>
  <c r="AE229" s="1"/>
  <c r="AO229"/>
  <c r="AW229" s="1"/>
  <c r="AL229"/>
  <c r="AJ229"/>
  <c r="AH229"/>
  <c r="AG229"/>
  <c r="AF229"/>
  <c r="AC229"/>
  <c r="AB229"/>
  <c r="Z229"/>
  <c r="H229"/>
  <c r="AK229" s="1"/>
  <c r="BJ227"/>
  <c r="Z227" s="1"/>
  <c r="BF227"/>
  <c r="BD227"/>
  <c r="AW227"/>
  <c r="AP227"/>
  <c r="AX227" s="1"/>
  <c r="AO227"/>
  <c r="BH227" s="1"/>
  <c r="AL227"/>
  <c r="AK227"/>
  <c r="AJ227"/>
  <c r="AH227"/>
  <c r="AG227"/>
  <c r="AF227"/>
  <c r="AE227"/>
  <c r="AD227"/>
  <c r="AC227"/>
  <c r="AB227"/>
  <c r="H227"/>
  <c r="BJ225"/>
  <c r="BF225"/>
  <c r="BD225"/>
  <c r="AV225"/>
  <c r="AP225"/>
  <c r="AX225" s="1"/>
  <c r="AO225"/>
  <c r="AW225" s="1"/>
  <c r="BC225" s="1"/>
  <c r="AL225"/>
  <c r="AK225"/>
  <c r="AJ225"/>
  <c r="AH225"/>
  <c r="AG225"/>
  <c r="AF225"/>
  <c r="AC225"/>
  <c r="AB225"/>
  <c r="Z225"/>
  <c r="H225"/>
  <c r="BJ224"/>
  <c r="BF224"/>
  <c r="BD224"/>
  <c r="AP224"/>
  <c r="AX224" s="1"/>
  <c r="AO224"/>
  <c r="AW224" s="1"/>
  <c r="BC224" s="1"/>
  <c r="AL224"/>
  <c r="AJ224"/>
  <c r="AH224"/>
  <c r="AG224"/>
  <c r="AF224"/>
  <c r="AC224"/>
  <c r="AB224"/>
  <c r="Z224"/>
  <c r="H224"/>
  <c r="AK224" s="1"/>
  <c r="BJ222"/>
  <c r="BF222"/>
  <c r="BD222"/>
  <c r="AX222"/>
  <c r="AP222"/>
  <c r="BI222" s="1"/>
  <c r="AE222" s="1"/>
  <c r="AO222"/>
  <c r="AW222" s="1"/>
  <c r="AL222"/>
  <c r="AJ222"/>
  <c r="AH222"/>
  <c r="AG222"/>
  <c r="AF222"/>
  <c r="AC222"/>
  <c r="AB222"/>
  <c r="Z222"/>
  <c r="H222"/>
  <c r="BJ215"/>
  <c r="BF215"/>
  <c r="BD215"/>
  <c r="AW215"/>
  <c r="AP215"/>
  <c r="AX215" s="1"/>
  <c r="AO215"/>
  <c r="BH215" s="1"/>
  <c r="AD215" s="1"/>
  <c r="AL215"/>
  <c r="AK215"/>
  <c r="AJ215"/>
  <c r="AH215"/>
  <c r="AG215"/>
  <c r="AF215"/>
  <c r="AC215"/>
  <c r="AB215"/>
  <c r="Z215"/>
  <c r="H215"/>
  <c r="BJ213"/>
  <c r="BF213"/>
  <c r="BD213"/>
  <c r="AP213"/>
  <c r="AX213" s="1"/>
  <c r="AO213"/>
  <c r="AW213" s="1"/>
  <c r="BC213" s="1"/>
  <c r="AL213"/>
  <c r="AK213"/>
  <c r="AJ213"/>
  <c r="AH213"/>
  <c r="AG213"/>
  <c r="AF213"/>
  <c r="AC213"/>
  <c r="AB213"/>
  <c r="Z213"/>
  <c r="H213"/>
  <c r="BJ207"/>
  <c r="BF207"/>
  <c r="BD207"/>
  <c r="AP207"/>
  <c r="AX207" s="1"/>
  <c r="AO207"/>
  <c r="AW207" s="1"/>
  <c r="AL207"/>
  <c r="AJ207"/>
  <c r="AH207"/>
  <c r="AG207"/>
  <c r="AF207"/>
  <c r="AC207"/>
  <c r="AB207"/>
  <c r="Z207"/>
  <c r="H207"/>
  <c r="AK207" s="1"/>
  <c r="AS206"/>
  <c r="BJ205"/>
  <c r="BH205"/>
  <c r="BF205"/>
  <c r="BD205"/>
  <c r="AX205"/>
  <c r="AP205"/>
  <c r="BI205" s="1"/>
  <c r="AO205"/>
  <c r="AW205" s="1"/>
  <c r="AL205"/>
  <c r="AJ205"/>
  <c r="AH205"/>
  <c r="AG205"/>
  <c r="AF205"/>
  <c r="AE205"/>
  <c r="AD205"/>
  <c r="AC205"/>
  <c r="AB205"/>
  <c r="Z205"/>
  <c r="H205"/>
  <c r="AK205" s="1"/>
  <c r="BJ203"/>
  <c r="BF203"/>
  <c r="BD203"/>
  <c r="AW203"/>
  <c r="AP203"/>
  <c r="AX203" s="1"/>
  <c r="AO203"/>
  <c r="BH203" s="1"/>
  <c r="AD203" s="1"/>
  <c r="AL203"/>
  <c r="AK203"/>
  <c r="AJ203"/>
  <c r="AH203"/>
  <c r="AG203"/>
  <c r="AF203"/>
  <c r="AC203"/>
  <c r="AB203"/>
  <c r="Z203"/>
  <c r="H203"/>
  <c r="BJ202"/>
  <c r="BF202"/>
  <c r="BD202"/>
  <c r="AP202"/>
  <c r="AX202" s="1"/>
  <c r="AO202"/>
  <c r="AW202" s="1"/>
  <c r="BC202" s="1"/>
  <c r="AL202"/>
  <c r="AK202"/>
  <c r="AJ202"/>
  <c r="AH202"/>
  <c r="AG202"/>
  <c r="AF202"/>
  <c r="AC202"/>
  <c r="AB202"/>
  <c r="Z202"/>
  <c r="H202"/>
  <c r="BJ198"/>
  <c r="BF198"/>
  <c r="BD198"/>
  <c r="AP198"/>
  <c r="AX198" s="1"/>
  <c r="BC198" s="1"/>
  <c r="AO198"/>
  <c r="AW198" s="1"/>
  <c r="AL198"/>
  <c r="AJ198"/>
  <c r="AS193" s="1"/>
  <c r="AH198"/>
  <c r="AG198"/>
  <c r="AF198"/>
  <c r="AC198"/>
  <c r="AB198"/>
  <c r="Z198"/>
  <c r="H198"/>
  <c r="AK198" s="1"/>
  <c r="BJ195"/>
  <c r="BF195"/>
  <c r="BD195"/>
  <c r="AX195"/>
  <c r="AP195"/>
  <c r="BI195" s="1"/>
  <c r="AE195" s="1"/>
  <c r="AO195"/>
  <c r="AW195" s="1"/>
  <c r="AL195"/>
  <c r="AJ195"/>
  <c r="AH195"/>
  <c r="AG195"/>
  <c r="AF195"/>
  <c r="AC195"/>
  <c r="AB195"/>
  <c r="Z195"/>
  <c r="H195"/>
  <c r="BJ194"/>
  <c r="BF194"/>
  <c r="BD194"/>
  <c r="AW194"/>
  <c r="AP194"/>
  <c r="AX194" s="1"/>
  <c r="AO194"/>
  <c r="BH194" s="1"/>
  <c r="AD194" s="1"/>
  <c r="AL194"/>
  <c r="AU193" s="1"/>
  <c r="AK194"/>
  <c r="AJ194"/>
  <c r="AH194"/>
  <c r="AG194"/>
  <c r="AF194"/>
  <c r="AC194"/>
  <c r="AB194"/>
  <c r="Z194"/>
  <c r="H194"/>
  <c r="BJ192"/>
  <c r="Z192" s="1"/>
  <c r="BF192"/>
  <c r="BD192"/>
  <c r="AP192"/>
  <c r="AX192" s="1"/>
  <c r="AO192"/>
  <c r="AW192" s="1"/>
  <c r="AV192" s="1"/>
  <c r="AL192"/>
  <c r="AK192"/>
  <c r="AJ192"/>
  <c r="AH192"/>
  <c r="AG192"/>
  <c r="AF192"/>
  <c r="AE192"/>
  <c r="AD192"/>
  <c r="AC192"/>
  <c r="AB192"/>
  <c r="H192"/>
  <c r="BJ191"/>
  <c r="BF191"/>
  <c r="BD191"/>
  <c r="AP191"/>
  <c r="AX191" s="1"/>
  <c r="AO191"/>
  <c r="AW191" s="1"/>
  <c r="AL191"/>
  <c r="AJ191"/>
  <c r="AH191"/>
  <c r="AG191"/>
  <c r="AF191"/>
  <c r="AC191"/>
  <c r="AB191"/>
  <c r="Z191"/>
  <c r="H191"/>
  <c r="AK191" s="1"/>
  <c r="BJ190"/>
  <c r="BF190"/>
  <c r="BD190"/>
  <c r="AX190"/>
  <c r="AP190"/>
  <c r="BI190" s="1"/>
  <c r="AE190" s="1"/>
  <c r="AO190"/>
  <c r="AW190" s="1"/>
  <c r="AL190"/>
  <c r="AJ190"/>
  <c r="AH190"/>
  <c r="AG190"/>
  <c r="AF190"/>
  <c r="AC190"/>
  <c r="AB190"/>
  <c r="Z190"/>
  <c r="H190"/>
  <c r="AK190" s="1"/>
  <c r="BJ189"/>
  <c r="BF189"/>
  <c r="BD189"/>
  <c r="AW189"/>
  <c r="AP189"/>
  <c r="AX189" s="1"/>
  <c r="AO189"/>
  <c r="BH189" s="1"/>
  <c r="AD189" s="1"/>
  <c r="AL189"/>
  <c r="AK189"/>
  <c r="AJ189"/>
  <c r="AH189"/>
  <c r="AG189"/>
  <c r="AF189"/>
  <c r="AC189"/>
  <c r="AB189"/>
  <c r="Z189"/>
  <c r="H189"/>
  <c r="BJ188"/>
  <c r="BF188"/>
  <c r="BD188"/>
  <c r="AV188"/>
  <c r="AP188"/>
  <c r="AX188" s="1"/>
  <c r="AO188"/>
  <c r="AW188" s="1"/>
  <c r="BC188" s="1"/>
  <c r="AL188"/>
  <c r="AK188"/>
  <c r="AJ188"/>
  <c r="AH188"/>
  <c r="AG188"/>
  <c r="AF188"/>
  <c r="AC188"/>
  <c r="AB188"/>
  <c r="Z188"/>
  <c r="H188"/>
  <c r="BJ187"/>
  <c r="BF187"/>
  <c r="BD187"/>
  <c r="AP187"/>
  <c r="AX187" s="1"/>
  <c r="BC187" s="1"/>
  <c r="AO187"/>
  <c r="AW187" s="1"/>
  <c r="AL187"/>
  <c r="AJ187"/>
  <c r="AH187"/>
  <c r="AG187"/>
  <c r="AF187"/>
  <c r="AC187"/>
  <c r="AB187"/>
  <c r="Z187"/>
  <c r="H187"/>
  <c r="AK187" s="1"/>
  <c r="BJ186"/>
  <c r="BF186"/>
  <c r="BD186"/>
  <c r="AX186"/>
  <c r="AP186"/>
  <c r="BI186" s="1"/>
  <c r="AE186" s="1"/>
  <c r="AO186"/>
  <c r="AW186" s="1"/>
  <c r="AL186"/>
  <c r="AJ186"/>
  <c r="AH186"/>
  <c r="AG186"/>
  <c r="AF186"/>
  <c r="AC186"/>
  <c r="AB186"/>
  <c r="Z186"/>
  <c r="H186"/>
  <c r="AK186" s="1"/>
  <c r="BJ185"/>
  <c r="BF185"/>
  <c r="BD185"/>
  <c r="AW185"/>
  <c r="AP185"/>
  <c r="AX185" s="1"/>
  <c r="AO185"/>
  <c r="BH185" s="1"/>
  <c r="AD185" s="1"/>
  <c r="AL185"/>
  <c r="AK185"/>
  <c r="AJ185"/>
  <c r="AH185"/>
  <c r="AG185"/>
  <c r="AF185"/>
  <c r="AC185"/>
  <c r="AB185"/>
  <c r="Z185"/>
  <c r="H185"/>
  <c r="BJ184"/>
  <c r="BF184"/>
  <c r="BD184"/>
  <c r="AP184"/>
  <c r="AX184" s="1"/>
  <c r="AO184"/>
  <c r="AW184" s="1"/>
  <c r="BC184" s="1"/>
  <c r="AL184"/>
  <c r="AK184"/>
  <c r="AJ184"/>
  <c r="AH184"/>
  <c r="AG184"/>
  <c r="AF184"/>
  <c r="AC184"/>
  <c r="AB184"/>
  <c r="Z184"/>
  <c r="H184"/>
  <c r="BJ183"/>
  <c r="BF183"/>
  <c r="BD183"/>
  <c r="AP183"/>
  <c r="AX183" s="1"/>
  <c r="AO183"/>
  <c r="AW183" s="1"/>
  <c r="AL183"/>
  <c r="AJ183"/>
  <c r="AS178" s="1"/>
  <c r="AH183"/>
  <c r="AG183"/>
  <c r="AF183"/>
  <c r="AC183"/>
  <c r="AB183"/>
  <c r="Z183"/>
  <c r="H183"/>
  <c r="AK183" s="1"/>
  <c r="BJ182"/>
  <c r="BF182"/>
  <c r="BD182"/>
  <c r="AX182"/>
  <c r="AP182"/>
  <c r="BI182" s="1"/>
  <c r="AE182" s="1"/>
  <c r="AO182"/>
  <c r="AW182" s="1"/>
  <c r="AL182"/>
  <c r="AJ182"/>
  <c r="AH182"/>
  <c r="AG182"/>
  <c r="AF182"/>
  <c r="AC182"/>
  <c r="AB182"/>
  <c r="Z182"/>
  <c r="H182"/>
  <c r="BJ181"/>
  <c r="BF181"/>
  <c r="BD181"/>
  <c r="AW181"/>
  <c r="AP181"/>
  <c r="AX181" s="1"/>
  <c r="AO181"/>
  <c r="BH181" s="1"/>
  <c r="AD181" s="1"/>
  <c r="AL181"/>
  <c r="AU178" s="1"/>
  <c r="AK181"/>
  <c r="AJ181"/>
  <c r="AH181"/>
  <c r="AG181"/>
  <c r="AF181"/>
  <c r="AC181"/>
  <c r="AB181"/>
  <c r="Z181"/>
  <c r="H181"/>
  <c r="BJ179"/>
  <c r="BF179"/>
  <c r="BD179"/>
  <c r="AV179"/>
  <c r="AP179"/>
  <c r="AX179" s="1"/>
  <c r="AO179"/>
  <c r="AW179" s="1"/>
  <c r="BC179" s="1"/>
  <c r="AL179"/>
  <c r="AK179"/>
  <c r="AJ179"/>
  <c r="AH179"/>
  <c r="AG179"/>
  <c r="AF179"/>
  <c r="AC179"/>
  <c r="AB179"/>
  <c r="Z179"/>
  <c r="H179"/>
  <c r="BJ177"/>
  <c r="BF177"/>
  <c r="BD177"/>
  <c r="AP177"/>
  <c r="AX177" s="1"/>
  <c r="AO177"/>
  <c r="AW177" s="1"/>
  <c r="AV177" s="1"/>
  <c r="AL177"/>
  <c r="AJ177"/>
  <c r="AH177"/>
  <c r="AG177"/>
  <c r="AF177"/>
  <c r="AC177"/>
  <c r="AB177"/>
  <c r="Z177"/>
  <c r="H177"/>
  <c r="AK177" s="1"/>
  <c r="AT176" s="1"/>
  <c r="AU176"/>
  <c r="AS176"/>
  <c r="H176"/>
  <c r="BJ175"/>
  <c r="BF175"/>
  <c r="BD175"/>
  <c r="AX175"/>
  <c r="AP175"/>
  <c r="BI175" s="1"/>
  <c r="AE175" s="1"/>
  <c r="AO175"/>
  <c r="AW175" s="1"/>
  <c r="AL175"/>
  <c r="AJ175"/>
  <c r="AH175"/>
  <c r="AG175"/>
  <c r="AF175"/>
  <c r="AC175"/>
  <c r="AB175"/>
  <c r="Z175"/>
  <c r="H175"/>
  <c r="BJ174"/>
  <c r="BF174"/>
  <c r="BD174"/>
  <c r="AW174"/>
  <c r="AP174"/>
  <c r="AX174" s="1"/>
  <c r="AO174"/>
  <c r="BH174" s="1"/>
  <c r="AD174" s="1"/>
  <c r="AL174"/>
  <c r="AU172" s="1"/>
  <c r="AK174"/>
  <c r="AJ174"/>
  <c r="AH174"/>
  <c r="AG174"/>
  <c r="AF174"/>
  <c r="AC174"/>
  <c r="AB174"/>
  <c r="Z174"/>
  <c r="H174"/>
  <c r="BJ173"/>
  <c r="BF173"/>
  <c r="BD173"/>
  <c r="AP173"/>
  <c r="AX173" s="1"/>
  <c r="AO173"/>
  <c r="AW173" s="1"/>
  <c r="BC173" s="1"/>
  <c r="AL173"/>
  <c r="AK173"/>
  <c r="AJ173"/>
  <c r="AH173"/>
  <c r="AG173"/>
  <c r="AF173"/>
  <c r="AC173"/>
  <c r="AB173"/>
  <c r="Z173"/>
  <c r="H173"/>
  <c r="AS172"/>
  <c r="BJ171"/>
  <c r="BF171"/>
  <c r="BD171"/>
  <c r="AP171"/>
  <c r="AX171" s="1"/>
  <c r="AO171"/>
  <c r="AW171" s="1"/>
  <c r="BC171" s="1"/>
  <c r="AL171"/>
  <c r="AJ171"/>
  <c r="AH171"/>
  <c r="AG171"/>
  <c r="AF171"/>
  <c r="AC171"/>
  <c r="AB171"/>
  <c r="Z171"/>
  <c r="H171"/>
  <c r="AK171" s="1"/>
  <c r="BJ170"/>
  <c r="BF170"/>
  <c r="BD170"/>
  <c r="AX170"/>
  <c r="AP170"/>
  <c r="BI170" s="1"/>
  <c r="AE170" s="1"/>
  <c r="AO170"/>
  <c r="AW170" s="1"/>
  <c r="AL170"/>
  <c r="AJ170"/>
  <c r="AH170"/>
  <c r="AG170"/>
  <c r="AF170"/>
  <c r="AC170"/>
  <c r="AB170"/>
  <c r="Z170"/>
  <c r="H170"/>
  <c r="AK170" s="1"/>
  <c r="BJ169"/>
  <c r="BF169"/>
  <c r="BD169"/>
  <c r="AW169"/>
  <c r="AP169"/>
  <c r="AX169" s="1"/>
  <c r="AO169"/>
  <c r="BH169" s="1"/>
  <c r="AD169" s="1"/>
  <c r="AL169"/>
  <c r="AK169"/>
  <c r="AJ169"/>
  <c r="AH169"/>
  <c r="AG169"/>
  <c r="AF169"/>
  <c r="AC169"/>
  <c r="AB169"/>
  <c r="Z169"/>
  <c r="H169"/>
  <c r="BJ168"/>
  <c r="BF168"/>
  <c r="BD168"/>
  <c r="AP168"/>
  <c r="AX168" s="1"/>
  <c r="AO168"/>
  <c r="AW168" s="1"/>
  <c r="BC168" s="1"/>
  <c r="AL168"/>
  <c r="AK168"/>
  <c r="AJ168"/>
  <c r="AH168"/>
  <c r="AG168"/>
  <c r="AF168"/>
  <c r="AC168"/>
  <c r="AB168"/>
  <c r="Z168"/>
  <c r="H168"/>
  <c r="BJ167"/>
  <c r="BF167"/>
  <c r="BD167"/>
  <c r="AP167"/>
  <c r="AX167" s="1"/>
  <c r="BC167" s="1"/>
  <c r="AO167"/>
  <c r="AW167" s="1"/>
  <c r="AL167"/>
  <c r="AJ167"/>
  <c r="AH167"/>
  <c r="AG167"/>
  <c r="AF167"/>
  <c r="AC167"/>
  <c r="AB167"/>
  <c r="Z167"/>
  <c r="H167"/>
  <c r="AK167" s="1"/>
  <c r="BJ166"/>
  <c r="BF166"/>
  <c r="BD166"/>
  <c r="AX166"/>
  <c r="AP166"/>
  <c r="BI166" s="1"/>
  <c r="AE166" s="1"/>
  <c r="AO166"/>
  <c r="AW166" s="1"/>
  <c r="AL166"/>
  <c r="AJ166"/>
  <c r="AH166"/>
  <c r="AG166"/>
  <c r="AF166"/>
  <c r="AC166"/>
  <c r="AB166"/>
  <c r="Z166"/>
  <c r="H166"/>
  <c r="AK166" s="1"/>
  <c r="BJ165"/>
  <c r="BF165"/>
  <c r="BD165"/>
  <c r="AW165"/>
  <c r="AP165"/>
  <c r="AX165" s="1"/>
  <c r="AO165"/>
  <c r="BH165" s="1"/>
  <c r="AD165" s="1"/>
  <c r="AL165"/>
  <c r="AK165"/>
  <c r="AJ165"/>
  <c r="AH165"/>
  <c r="AG165"/>
  <c r="AF165"/>
  <c r="AC165"/>
  <c r="AB165"/>
  <c r="Z165"/>
  <c r="H165"/>
  <c r="BJ164"/>
  <c r="BF164"/>
  <c r="BD164"/>
  <c r="AV164"/>
  <c r="AP164"/>
  <c r="AX164" s="1"/>
  <c r="AO164"/>
  <c r="AW164" s="1"/>
  <c r="BC164" s="1"/>
  <c r="AL164"/>
  <c r="AK164"/>
  <c r="AJ164"/>
  <c r="AH164"/>
  <c r="AG164"/>
  <c r="AF164"/>
  <c r="AC164"/>
  <c r="AB164"/>
  <c r="Z164"/>
  <c r="H164"/>
  <c r="BJ163"/>
  <c r="BF163"/>
  <c r="BD163"/>
  <c r="AP163"/>
  <c r="AX163" s="1"/>
  <c r="BC163" s="1"/>
  <c r="AO163"/>
  <c r="AW163" s="1"/>
  <c r="AL163"/>
  <c r="AJ163"/>
  <c r="AH163"/>
  <c r="AG163"/>
  <c r="AF163"/>
  <c r="AC163"/>
  <c r="AB163"/>
  <c r="Z163"/>
  <c r="H163"/>
  <c r="AK163" s="1"/>
  <c r="BJ162"/>
  <c r="BF162"/>
  <c r="BD162"/>
  <c r="AX162"/>
  <c r="AP162"/>
  <c r="BI162" s="1"/>
  <c r="AE162" s="1"/>
  <c r="AO162"/>
  <c r="AW162" s="1"/>
  <c r="AL162"/>
  <c r="AJ162"/>
  <c r="AH162"/>
  <c r="AG162"/>
  <c r="AF162"/>
  <c r="AC162"/>
  <c r="AB162"/>
  <c r="Z162"/>
  <c r="H162"/>
  <c r="AK162" s="1"/>
  <c r="BJ160"/>
  <c r="BF160"/>
  <c r="BD160"/>
  <c r="AW160"/>
  <c r="AP160"/>
  <c r="AX160" s="1"/>
  <c r="AO160"/>
  <c r="BH160" s="1"/>
  <c r="AD160" s="1"/>
  <c r="AL160"/>
  <c r="AK160"/>
  <c r="AJ160"/>
  <c r="AH160"/>
  <c r="AG160"/>
  <c r="AF160"/>
  <c r="AC160"/>
  <c r="AB160"/>
  <c r="Z160"/>
  <c r="H160"/>
  <c r="BJ159"/>
  <c r="BF159"/>
  <c r="BD159"/>
  <c r="AP159"/>
  <c r="AX159" s="1"/>
  <c r="AO159"/>
  <c r="AW159" s="1"/>
  <c r="BC159" s="1"/>
  <c r="AL159"/>
  <c r="AK159"/>
  <c r="AJ159"/>
  <c r="AH159"/>
  <c r="AG159"/>
  <c r="AF159"/>
  <c r="AC159"/>
  <c r="AB159"/>
  <c r="Z159"/>
  <c r="H159"/>
  <c r="BJ158"/>
  <c r="BF158"/>
  <c r="BD158"/>
  <c r="AP158"/>
  <c r="AX158" s="1"/>
  <c r="AO158"/>
  <c r="AW158" s="1"/>
  <c r="AL158"/>
  <c r="AJ158"/>
  <c r="AH158"/>
  <c r="AG158"/>
  <c r="AF158"/>
  <c r="AC158"/>
  <c r="AB158"/>
  <c r="Z158"/>
  <c r="H158"/>
  <c r="AK158" s="1"/>
  <c r="BJ157"/>
  <c r="BF157"/>
  <c r="BD157"/>
  <c r="AX157"/>
  <c r="AP157"/>
  <c r="BI157" s="1"/>
  <c r="AE157" s="1"/>
  <c r="AO157"/>
  <c r="AW157" s="1"/>
  <c r="AL157"/>
  <c r="AJ157"/>
  <c r="AH157"/>
  <c r="AG157"/>
  <c r="AF157"/>
  <c r="AC157"/>
  <c r="AB157"/>
  <c r="Z157"/>
  <c r="H157"/>
  <c r="BJ156"/>
  <c r="BF156"/>
  <c r="BD156"/>
  <c r="AW156"/>
  <c r="AP156"/>
  <c r="AX156" s="1"/>
  <c r="AO156"/>
  <c r="BH156" s="1"/>
  <c r="AD156" s="1"/>
  <c r="AL156"/>
  <c r="AU153" s="1"/>
  <c r="AK156"/>
  <c r="AJ156"/>
  <c r="AH156"/>
  <c r="AG156"/>
  <c r="AF156"/>
  <c r="AC156"/>
  <c r="AB156"/>
  <c r="Z156"/>
  <c r="H156"/>
  <c r="BJ155"/>
  <c r="BF155"/>
  <c r="BD155"/>
  <c r="AV155"/>
  <c r="AP155"/>
  <c r="AX155" s="1"/>
  <c r="AO155"/>
  <c r="AW155" s="1"/>
  <c r="BC155" s="1"/>
  <c r="AL155"/>
  <c r="AK155"/>
  <c r="AJ155"/>
  <c r="AH155"/>
  <c r="AG155"/>
  <c r="AF155"/>
  <c r="AC155"/>
  <c r="AB155"/>
  <c r="Z155"/>
  <c r="H155"/>
  <c r="BJ154"/>
  <c r="BF154"/>
  <c r="BD154"/>
  <c r="AP154"/>
  <c r="AX154" s="1"/>
  <c r="BC154" s="1"/>
  <c r="AO154"/>
  <c r="AW154" s="1"/>
  <c r="AL154"/>
  <c r="AJ154"/>
  <c r="AH154"/>
  <c r="AG154"/>
  <c r="AF154"/>
  <c r="AC154"/>
  <c r="AB154"/>
  <c r="Z154"/>
  <c r="H154"/>
  <c r="AK154" s="1"/>
  <c r="AS153"/>
  <c r="BJ152"/>
  <c r="BH152"/>
  <c r="BF152"/>
  <c r="BD152"/>
  <c r="AX152"/>
  <c r="AP152"/>
  <c r="BI152" s="1"/>
  <c r="AO152"/>
  <c r="AW152" s="1"/>
  <c r="AL152"/>
  <c r="AJ152"/>
  <c r="AH152"/>
  <c r="AG152"/>
  <c r="AF152"/>
  <c r="AE152"/>
  <c r="AD152"/>
  <c r="AC152"/>
  <c r="AB152"/>
  <c r="Z152"/>
  <c r="H152"/>
  <c r="AK152" s="1"/>
  <c r="BJ151"/>
  <c r="BF151"/>
  <c r="BD151"/>
  <c r="AW151"/>
  <c r="AP151"/>
  <c r="AX151" s="1"/>
  <c r="AO151"/>
  <c r="BH151" s="1"/>
  <c r="AD151" s="1"/>
  <c r="AL151"/>
  <c r="AK151"/>
  <c r="AJ151"/>
  <c r="AH151"/>
  <c r="AG151"/>
  <c r="AF151"/>
  <c r="AC151"/>
  <c r="AB151"/>
  <c r="Z151"/>
  <c r="H151"/>
  <c r="BJ150"/>
  <c r="BF150"/>
  <c r="BD150"/>
  <c r="AV150"/>
  <c r="AP150"/>
  <c r="AX150" s="1"/>
  <c r="AO150"/>
  <c r="AW150" s="1"/>
  <c r="BC150" s="1"/>
  <c r="AL150"/>
  <c r="AK150"/>
  <c r="AJ150"/>
  <c r="AH150"/>
  <c r="AG150"/>
  <c r="AF150"/>
  <c r="AC150"/>
  <c r="AB150"/>
  <c r="Z150"/>
  <c r="H150"/>
  <c r="BJ149"/>
  <c r="BF149"/>
  <c r="BD149"/>
  <c r="AP149"/>
  <c r="AX149" s="1"/>
  <c r="AO149"/>
  <c r="AW149" s="1"/>
  <c r="BC149" s="1"/>
  <c r="AL149"/>
  <c r="AJ149"/>
  <c r="AH149"/>
  <c r="AG149"/>
  <c r="AF149"/>
  <c r="AC149"/>
  <c r="AB149"/>
  <c r="Z149"/>
  <c r="H149"/>
  <c r="AK149" s="1"/>
  <c r="BJ147"/>
  <c r="BF147"/>
  <c r="BD147"/>
  <c r="AX147"/>
  <c r="AP147"/>
  <c r="BI147" s="1"/>
  <c r="AE147" s="1"/>
  <c r="AO147"/>
  <c r="AW147" s="1"/>
  <c r="AL147"/>
  <c r="AJ147"/>
  <c r="AH147"/>
  <c r="AG147"/>
  <c r="AF147"/>
  <c r="AC147"/>
  <c r="AB147"/>
  <c r="Z147"/>
  <c r="H147"/>
  <c r="AK147" s="1"/>
  <c r="BJ146"/>
  <c r="BF146"/>
  <c r="BD146"/>
  <c r="AX146"/>
  <c r="AW146"/>
  <c r="AP146"/>
  <c r="BI146" s="1"/>
  <c r="AE146" s="1"/>
  <c r="AO146"/>
  <c r="BH146" s="1"/>
  <c r="AD146" s="1"/>
  <c r="AL146"/>
  <c r="AK146"/>
  <c r="AJ146"/>
  <c r="AH146"/>
  <c r="AG146"/>
  <c r="AF146"/>
  <c r="AC146"/>
  <c r="AB146"/>
  <c r="Z146"/>
  <c r="H146"/>
  <c r="BJ145"/>
  <c r="BF145"/>
  <c r="BD145"/>
  <c r="AW145"/>
  <c r="AV145"/>
  <c r="AP145"/>
  <c r="AX145" s="1"/>
  <c r="BC145" s="1"/>
  <c r="AO145"/>
  <c r="BH145" s="1"/>
  <c r="AD145" s="1"/>
  <c r="AL145"/>
  <c r="AK145"/>
  <c r="AJ145"/>
  <c r="AH145"/>
  <c r="AG145"/>
  <c r="AF145"/>
  <c r="AC145"/>
  <c r="AB145"/>
  <c r="Z145"/>
  <c r="H145"/>
  <c r="BJ144"/>
  <c r="BF144"/>
  <c r="BD144"/>
  <c r="AP144"/>
  <c r="AX144" s="1"/>
  <c r="BC144" s="1"/>
  <c r="AO144"/>
  <c r="AW144" s="1"/>
  <c r="AL144"/>
  <c r="AJ144"/>
  <c r="AS141" s="1"/>
  <c r="AH144"/>
  <c r="AG144"/>
  <c r="AF144"/>
  <c r="AC144"/>
  <c r="AB144"/>
  <c r="Z144"/>
  <c r="H144"/>
  <c r="AK144" s="1"/>
  <c r="BJ143"/>
  <c r="BF143"/>
  <c r="BD143"/>
  <c r="AX143"/>
  <c r="AP143"/>
  <c r="BI143" s="1"/>
  <c r="AE143" s="1"/>
  <c r="AO143"/>
  <c r="AW143" s="1"/>
  <c r="AL143"/>
  <c r="AJ143"/>
  <c r="AH143"/>
  <c r="AG143"/>
  <c r="AF143"/>
  <c r="AC143"/>
  <c r="AB143"/>
  <c r="Z143"/>
  <c r="H143"/>
  <c r="BJ142"/>
  <c r="BF142"/>
  <c r="BD142"/>
  <c r="AW142"/>
  <c r="AP142"/>
  <c r="AX142" s="1"/>
  <c r="AO142"/>
  <c r="BH142" s="1"/>
  <c r="AD142" s="1"/>
  <c r="AL142"/>
  <c r="AU141" s="1"/>
  <c r="AK142"/>
  <c r="AJ142"/>
  <c r="AH142"/>
  <c r="AG142"/>
  <c r="AF142"/>
  <c r="AC142"/>
  <c r="AB142"/>
  <c r="Z142"/>
  <c r="H142"/>
  <c r="BJ140"/>
  <c r="Z140" s="1"/>
  <c r="BF140"/>
  <c r="BD140"/>
  <c r="AP140"/>
  <c r="AX140" s="1"/>
  <c r="AO140"/>
  <c r="AW140" s="1"/>
  <c r="AL140"/>
  <c r="AK140"/>
  <c r="AJ140"/>
  <c r="AH140"/>
  <c r="AG140"/>
  <c r="AF140"/>
  <c r="AE140"/>
  <c r="AD140"/>
  <c r="AC140"/>
  <c r="AB140"/>
  <c r="H140"/>
  <c r="BJ139"/>
  <c r="BF139"/>
  <c r="BD139"/>
  <c r="AP139"/>
  <c r="AX139" s="1"/>
  <c r="AO139"/>
  <c r="AW139" s="1"/>
  <c r="BC139" s="1"/>
  <c r="AL139"/>
  <c r="AJ139"/>
  <c r="AH139"/>
  <c r="AG139"/>
  <c r="AF139"/>
  <c r="AC139"/>
  <c r="AB139"/>
  <c r="Z139"/>
  <c r="H139"/>
  <c r="AK139" s="1"/>
  <c r="BJ138"/>
  <c r="BF138"/>
  <c r="BD138"/>
  <c r="AX138"/>
  <c r="AP138"/>
  <c r="BI138" s="1"/>
  <c r="AE138" s="1"/>
  <c r="AO138"/>
  <c r="AW138" s="1"/>
  <c r="AL138"/>
  <c r="AJ138"/>
  <c r="AH138"/>
  <c r="AG138"/>
  <c r="AF138"/>
  <c r="AC138"/>
  <c r="AB138"/>
  <c r="Z138"/>
  <c r="H138"/>
  <c r="AK138" s="1"/>
  <c r="BJ137"/>
  <c r="BF137"/>
  <c r="BD137"/>
  <c r="AW137"/>
  <c r="AP137"/>
  <c r="AX137" s="1"/>
  <c r="AO137"/>
  <c r="BH137" s="1"/>
  <c r="AF137" s="1"/>
  <c r="AL137"/>
  <c r="AK137"/>
  <c r="AJ137"/>
  <c r="AH137"/>
  <c r="AE137"/>
  <c r="AD137"/>
  <c r="AC137"/>
  <c r="AB137"/>
  <c r="Z137"/>
  <c r="H137"/>
  <c r="BJ136"/>
  <c r="BF136"/>
  <c r="BD136"/>
  <c r="AP136"/>
  <c r="AX136" s="1"/>
  <c r="AV136" s="1"/>
  <c r="AO136"/>
  <c r="AW136" s="1"/>
  <c r="AL136"/>
  <c r="AK136"/>
  <c r="AJ136"/>
  <c r="AH136"/>
  <c r="AG136"/>
  <c r="AF136"/>
  <c r="AC136"/>
  <c r="AB136"/>
  <c r="Z136"/>
  <c r="H136"/>
  <c r="BJ135"/>
  <c r="BF135"/>
  <c r="BD135"/>
  <c r="BC135"/>
  <c r="AP135"/>
  <c r="AX135" s="1"/>
  <c r="AO135"/>
  <c r="AW135" s="1"/>
  <c r="AV135" s="1"/>
  <c r="AL135"/>
  <c r="AJ135"/>
  <c r="AH135"/>
  <c r="AG135"/>
  <c r="AF135"/>
  <c r="AC135"/>
  <c r="AB135"/>
  <c r="Z135"/>
  <c r="H135"/>
  <c r="AK135" s="1"/>
  <c r="BJ134"/>
  <c r="BH134"/>
  <c r="AD134" s="1"/>
  <c r="BF134"/>
  <c r="BD134"/>
  <c r="AX134"/>
  <c r="AP134"/>
  <c r="BI134" s="1"/>
  <c r="AE134" s="1"/>
  <c r="AO134"/>
  <c r="AW134" s="1"/>
  <c r="AL134"/>
  <c r="AJ134"/>
  <c r="AH134"/>
  <c r="AG134"/>
  <c r="AF134"/>
  <c r="AC134"/>
  <c r="AB134"/>
  <c r="Z134"/>
  <c r="H134"/>
  <c r="BJ133"/>
  <c r="BF133"/>
  <c r="BD133"/>
  <c r="AW133"/>
  <c r="AP133"/>
  <c r="AX133" s="1"/>
  <c r="AO133"/>
  <c r="BH133" s="1"/>
  <c r="AD133" s="1"/>
  <c r="AL133"/>
  <c r="AU130" s="1"/>
  <c r="AK133"/>
  <c r="AJ133"/>
  <c r="AH133"/>
  <c r="AG133"/>
  <c r="AF133"/>
  <c r="AC133"/>
  <c r="AB133"/>
  <c r="Z133"/>
  <c r="H133"/>
  <c r="BJ132"/>
  <c r="BF132"/>
  <c r="BD132"/>
  <c r="AP132"/>
  <c r="AX132" s="1"/>
  <c r="AV132" s="1"/>
  <c r="AO132"/>
  <c r="AW132" s="1"/>
  <c r="AL132"/>
  <c r="AK132"/>
  <c r="AJ132"/>
  <c r="AH132"/>
  <c r="AG132"/>
  <c r="AF132"/>
  <c r="AC132"/>
  <c r="AB132"/>
  <c r="Z132"/>
  <c r="H132"/>
  <c r="BJ131"/>
  <c r="BF131"/>
  <c r="BD131"/>
  <c r="AP131"/>
  <c r="AX131" s="1"/>
  <c r="AO131"/>
  <c r="AW131" s="1"/>
  <c r="AV131" s="1"/>
  <c r="AL131"/>
  <c r="AJ131"/>
  <c r="AS130" s="1"/>
  <c r="AH131"/>
  <c r="AG131"/>
  <c r="AF131"/>
  <c r="AC131"/>
  <c r="AB131"/>
  <c r="Z131"/>
  <c r="H131"/>
  <c r="AK131" s="1"/>
  <c r="BJ129"/>
  <c r="BF129"/>
  <c r="BD129"/>
  <c r="AX129"/>
  <c r="AP129"/>
  <c r="BI129" s="1"/>
  <c r="AO129"/>
  <c r="AW129" s="1"/>
  <c r="AL129"/>
  <c r="AJ129"/>
  <c r="AH129"/>
  <c r="AG129"/>
  <c r="AF129"/>
  <c r="AE129"/>
  <c r="AD129"/>
  <c r="AC129"/>
  <c r="AB129"/>
  <c r="Z129"/>
  <c r="H129"/>
  <c r="BJ125"/>
  <c r="BF125"/>
  <c r="BD125"/>
  <c r="AW125"/>
  <c r="AP125"/>
  <c r="AX125" s="1"/>
  <c r="AO125"/>
  <c r="BH125" s="1"/>
  <c r="AD125" s="1"/>
  <c r="AL125"/>
  <c r="AJ125"/>
  <c r="AH125"/>
  <c r="AG125"/>
  <c r="AF125"/>
  <c r="AC125"/>
  <c r="AB125"/>
  <c r="Z125"/>
  <c r="H125"/>
  <c r="AK125" s="1"/>
  <c r="BJ120"/>
  <c r="BF120"/>
  <c r="BD120"/>
  <c r="AW120"/>
  <c r="BC120" s="1"/>
  <c r="AP120"/>
  <c r="AX120" s="1"/>
  <c r="AV120" s="1"/>
  <c r="AO120"/>
  <c r="BH120" s="1"/>
  <c r="AD120" s="1"/>
  <c r="AL120"/>
  <c r="AU118" s="1"/>
  <c r="AK120"/>
  <c r="AJ120"/>
  <c r="AH120"/>
  <c r="AG120"/>
  <c r="AF120"/>
  <c r="AC120"/>
  <c r="AB120"/>
  <c r="Z120"/>
  <c r="H120"/>
  <c r="BJ119"/>
  <c r="BF119"/>
  <c r="BD119"/>
  <c r="AP119"/>
  <c r="AX119" s="1"/>
  <c r="AO119"/>
  <c r="AW119" s="1"/>
  <c r="AV119" s="1"/>
  <c r="AL119"/>
  <c r="AK119"/>
  <c r="AJ119"/>
  <c r="AH119"/>
  <c r="AG119"/>
  <c r="AF119"/>
  <c r="AC119"/>
  <c r="AB119"/>
  <c r="Z119"/>
  <c r="H119"/>
  <c r="AS118"/>
  <c r="BJ117"/>
  <c r="BH117"/>
  <c r="BF117"/>
  <c r="BD117"/>
  <c r="AX117"/>
  <c r="AP117"/>
  <c r="BI117" s="1"/>
  <c r="AO117"/>
  <c r="AW117" s="1"/>
  <c r="AL117"/>
  <c r="AJ117"/>
  <c r="AH117"/>
  <c r="AG117"/>
  <c r="AF117"/>
  <c r="AE117"/>
  <c r="AD117"/>
  <c r="AC117"/>
  <c r="AB117"/>
  <c r="Z117"/>
  <c r="H117"/>
  <c r="AK117" s="1"/>
  <c r="AT116" s="1"/>
  <c r="AU116"/>
  <c r="AS116"/>
  <c r="BJ113"/>
  <c r="Z113" s="1"/>
  <c r="BF113"/>
  <c r="BD113"/>
  <c r="AX113"/>
  <c r="AW113"/>
  <c r="AP113"/>
  <c r="BI113" s="1"/>
  <c r="AO113"/>
  <c r="BH113" s="1"/>
  <c r="AL113"/>
  <c r="AJ113"/>
  <c r="AH113"/>
  <c r="AG113"/>
  <c r="AF113"/>
  <c r="AE113"/>
  <c r="AD113"/>
  <c r="AC113"/>
  <c r="AB113"/>
  <c r="H113"/>
  <c r="AK113" s="1"/>
  <c r="BJ111"/>
  <c r="Z111" s="1"/>
  <c r="BF111"/>
  <c r="BD111"/>
  <c r="AW111"/>
  <c r="AP111"/>
  <c r="AX111" s="1"/>
  <c r="AV111" s="1"/>
  <c r="AO111"/>
  <c r="BH111" s="1"/>
  <c r="AL111"/>
  <c r="AK111"/>
  <c r="AJ111"/>
  <c r="AH111"/>
  <c r="AG111"/>
  <c r="AF111"/>
  <c r="AE111"/>
  <c r="AD111"/>
  <c r="AC111"/>
  <c r="AB111"/>
  <c r="H111"/>
  <c r="BJ109"/>
  <c r="BF109"/>
  <c r="BD109"/>
  <c r="AP109"/>
  <c r="AX109" s="1"/>
  <c r="AO109"/>
  <c r="AW109" s="1"/>
  <c r="BC109" s="1"/>
  <c r="AL109"/>
  <c r="AK109"/>
  <c r="AJ109"/>
  <c r="AH109"/>
  <c r="AG109"/>
  <c r="AF109"/>
  <c r="AE109"/>
  <c r="AD109"/>
  <c r="AC109"/>
  <c r="AB109"/>
  <c r="Z109"/>
  <c r="H109"/>
  <c r="BJ108"/>
  <c r="BF108"/>
  <c r="BD108"/>
  <c r="AX108"/>
  <c r="AP108"/>
  <c r="BI108" s="1"/>
  <c r="AO108"/>
  <c r="AW108" s="1"/>
  <c r="AL108"/>
  <c r="AJ108"/>
  <c r="AH108"/>
  <c r="AG108"/>
  <c r="AF108"/>
  <c r="AE108"/>
  <c r="AD108"/>
  <c r="AC108"/>
  <c r="AB108"/>
  <c r="Z108"/>
  <c r="H108"/>
  <c r="AK108" s="1"/>
  <c r="BJ106"/>
  <c r="Z106" s="1"/>
  <c r="BF106"/>
  <c r="BD106"/>
  <c r="AX106"/>
  <c r="AW106"/>
  <c r="AP106"/>
  <c r="BI106" s="1"/>
  <c r="AO106"/>
  <c r="BH106" s="1"/>
  <c r="AL106"/>
  <c r="AJ106"/>
  <c r="AH106"/>
  <c r="AG106"/>
  <c r="AF106"/>
  <c r="AE106"/>
  <c r="AD106"/>
  <c r="AC106"/>
  <c r="AB106"/>
  <c r="H106"/>
  <c r="AK106" s="1"/>
  <c r="BJ105"/>
  <c r="Z105" s="1"/>
  <c r="BF105"/>
  <c r="BD105"/>
  <c r="AW105"/>
  <c r="AP105"/>
  <c r="AX105" s="1"/>
  <c r="AV105" s="1"/>
  <c r="AO105"/>
  <c r="BH105" s="1"/>
  <c r="AL105"/>
  <c r="AK105"/>
  <c r="AJ105"/>
  <c r="AH105"/>
  <c r="AG105"/>
  <c r="AF105"/>
  <c r="AE105"/>
  <c r="AD105"/>
  <c r="AC105"/>
  <c r="AB105"/>
  <c r="H105"/>
  <c r="BJ104"/>
  <c r="BF104"/>
  <c r="BD104"/>
  <c r="AP104"/>
  <c r="AX104" s="1"/>
  <c r="AO104"/>
  <c r="AW104" s="1"/>
  <c r="BC104" s="1"/>
  <c r="AL104"/>
  <c r="AK104"/>
  <c r="AJ104"/>
  <c r="AH104"/>
  <c r="AG104"/>
  <c r="AF104"/>
  <c r="AE104"/>
  <c r="AD104"/>
  <c r="AC104"/>
  <c r="AB104"/>
  <c r="Z104"/>
  <c r="H104"/>
  <c r="BJ103"/>
  <c r="BF103"/>
  <c r="BD103"/>
  <c r="AX103"/>
  <c r="AP103"/>
  <c r="BI103" s="1"/>
  <c r="AO103"/>
  <c r="AW103" s="1"/>
  <c r="AL103"/>
  <c r="AJ103"/>
  <c r="AH103"/>
  <c r="AG103"/>
  <c r="AF103"/>
  <c r="AE103"/>
  <c r="AD103"/>
  <c r="AC103"/>
  <c r="AB103"/>
  <c r="Z103"/>
  <c r="H103"/>
  <c r="AK103" s="1"/>
  <c r="BJ101"/>
  <c r="BF101"/>
  <c r="BD101"/>
  <c r="AX101"/>
  <c r="AW101"/>
  <c r="AP101"/>
  <c r="BI101" s="1"/>
  <c r="AO101"/>
  <c r="BH101" s="1"/>
  <c r="AB101" s="1"/>
  <c r="AL101"/>
  <c r="AJ101"/>
  <c r="AH101"/>
  <c r="AG101"/>
  <c r="AF101"/>
  <c r="AE101"/>
  <c r="AD101"/>
  <c r="AC101"/>
  <c r="Z101"/>
  <c r="H101"/>
  <c r="AK101" s="1"/>
  <c r="BJ100"/>
  <c r="BF100"/>
  <c r="BD100"/>
  <c r="AW100"/>
  <c r="AP100"/>
  <c r="AX100" s="1"/>
  <c r="AO100"/>
  <c r="BH100" s="1"/>
  <c r="AL100"/>
  <c r="AK100"/>
  <c r="AJ100"/>
  <c r="AH100"/>
  <c r="AG100"/>
  <c r="AF100"/>
  <c r="AE100"/>
  <c r="AD100"/>
  <c r="AB100"/>
  <c r="Z100"/>
  <c r="H100"/>
  <c r="BJ99"/>
  <c r="BH99"/>
  <c r="BF99"/>
  <c r="BD99"/>
  <c r="AX99"/>
  <c r="AP99"/>
  <c r="BI99" s="1"/>
  <c r="AC99" s="1"/>
  <c r="AO99"/>
  <c r="AW99" s="1"/>
  <c r="BC99" s="1"/>
  <c r="AL99"/>
  <c r="AJ99"/>
  <c r="AH99"/>
  <c r="AG99"/>
  <c r="AF99"/>
  <c r="AE99"/>
  <c r="AD99"/>
  <c r="AB99"/>
  <c r="Z99"/>
  <c r="H99"/>
  <c r="AK99" s="1"/>
  <c r="BJ98"/>
  <c r="BI98"/>
  <c r="BF98"/>
  <c r="BD98"/>
  <c r="AX98"/>
  <c r="AP98"/>
  <c r="AO98"/>
  <c r="AW98" s="1"/>
  <c r="AL98"/>
  <c r="AU97" s="1"/>
  <c r="AJ98"/>
  <c r="AH98"/>
  <c r="AG98"/>
  <c r="AF98"/>
  <c r="AE98"/>
  <c r="AD98"/>
  <c r="AC98"/>
  <c r="Z98"/>
  <c r="H98"/>
  <c r="AK98" s="1"/>
  <c r="AS97"/>
  <c r="BJ95"/>
  <c r="BF95"/>
  <c r="BD95"/>
  <c r="AX95"/>
  <c r="AP95"/>
  <c r="BI95" s="1"/>
  <c r="AC95" s="1"/>
  <c r="AO95"/>
  <c r="BH95" s="1"/>
  <c r="AB95" s="1"/>
  <c r="AL95"/>
  <c r="AK95"/>
  <c r="AJ95"/>
  <c r="AH95"/>
  <c r="AG95"/>
  <c r="AF95"/>
  <c r="AE95"/>
  <c r="AD95"/>
  <c r="Z95"/>
  <c r="H95"/>
  <c r="BJ94"/>
  <c r="BI94"/>
  <c r="BF94"/>
  <c r="BD94"/>
  <c r="AW94"/>
  <c r="BC94" s="1"/>
  <c r="AP94"/>
  <c r="AX94" s="1"/>
  <c r="AO94"/>
  <c r="BH94" s="1"/>
  <c r="AL94"/>
  <c r="AU88" s="1"/>
  <c r="AK94"/>
  <c r="AJ94"/>
  <c r="AH94"/>
  <c r="AG94"/>
  <c r="AF94"/>
  <c r="AE94"/>
  <c r="AD94"/>
  <c r="AC94"/>
  <c r="AB94"/>
  <c r="Z94"/>
  <c r="H94"/>
  <c r="BJ92"/>
  <c r="BH92"/>
  <c r="BF92"/>
  <c r="BD92"/>
  <c r="AP92"/>
  <c r="AX92" s="1"/>
  <c r="AO92"/>
  <c r="AW92" s="1"/>
  <c r="AL92"/>
  <c r="AJ92"/>
  <c r="AH92"/>
  <c r="AG92"/>
  <c r="AF92"/>
  <c r="AE92"/>
  <c r="AD92"/>
  <c r="AB92"/>
  <c r="Z92"/>
  <c r="H92"/>
  <c r="AK92" s="1"/>
  <c r="BJ91"/>
  <c r="BI91"/>
  <c r="BF91"/>
  <c r="BD91"/>
  <c r="AW91"/>
  <c r="BC91" s="1"/>
  <c r="AP91"/>
  <c r="AX91" s="1"/>
  <c r="AO91"/>
  <c r="BH91" s="1"/>
  <c r="AB91" s="1"/>
  <c r="AL91"/>
  <c r="AJ91"/>
  <c r="AS88" s="1"/>
  <c r="AH91"/>
  <c r="AG91"/>
  <c r="AF91"/>
  <c r="AE91"/>
  <c r="AD91"/>
  <c r="AC91"/>
  <c r="Z91"/>
  <c r="H91"/>
  <c r="AK91" s="1"/>
  <c r="BJ89"/>
  <c r="BH89"/>
  <c r="AB89" s="1"/>
  <c r="BF89"/>
  <c r="BD89"/>
  <c r="AX89"/>
  <c r="AW89"/>
  <c r="BC89" s="1"/>
  <c r="AP89"/>
  <c r="BI89" s="1"/>
  <c r="AC89" s="1"/>
  <c r="AO89"/>
  <c r="AL89"/>
  <c r="AJ89"/>
  <c r="AH89"/>
  <c r="AG89"/>
  <c r="AF89"/>
  <c r="AE89"/>
  <c r="AD89"/>
  <c r="Z89"/>
  <c r="H89"/>
  <c r="AK89" s="1"/>
  <c r="AT88" s="1"/>
  <c r="H88"/>
  <c r="BJ87"/>
  <c r="BI87"/>
  <c r="AC87" s="1"/>
  <c r="BF87"/>
  <c r="BD87"/>
  <c r="AX87"/>
  <c r="AP87"/>
  <c r="AO87"/>
  <c r="BH87" s="1"/>
  <c r="AL87"/>
  <c r="AK87"/>
  <c r="AJ87"/>
  <c r="AH87"/>
  <c r="AG87"/>
  <c r="AF87"/>
  <c r="AE87"/>
  <c r="AD87"/>
  <c r="AB87"/>
  <c r="Z87"/>
  <c r="H87"/>
  <c r="BJ84"/>
  <c r="BF84"/>
  <c r="BD84"/>
  <c r="AW84"/>
  <c r="AV84" s="1"/>
  <c r="AP84"/>
  <c r="AX84" s="1"/>
  <c r="BC84" s="1"/>
  <c r="AO84"/>
  <c r="BH84" s="1"/>
  <c r="AB84" s="1"/>
  <c r="AL84"/>
  <c r="AU80" s="1"/>
  <c r="AJ84"/>
  <c r="AS80" s="1"/>
  <c r="AH84"/>
  <c r="AG84"/>
  <c r="AF84"/>
  <c r="AE84"/>
  <c r="AD84"/>
  <c r="Z84"/>
  <c r="H84"/>
  <c r="AK84" s="1"/>
  <c r="BJ81"/>
  <c r="BF81"/>
  <c r="BD81"/>
  <c r="AX81"/>
  <c r="AP81"/>
  <c r="BI81" s="1"/>
  <c r="AC81" s="1"/>
  <c r="AO81"/>
  <c r="BH81" s="1"/>
  <c r="AB81" s="1"/>
  <c r="AL81"/>
  <c r="AJ81"/>
  <c r="AH81"/>
  <c r="AG81"/>
  <c r="AF81"/>
  <c r="AE81"/>
  <c r="AD81"/>
  <c r="Z81"/>
  <c r="H81"/>
  <c r="AK81" s="1"/>
  <c r="H80"/>
  <c r="BJ77"/>
  <c r="BF77"/>
  <c r="BD77"/>
  <c r="AW77"/>
  <c r="AP77"/>
  <c r="AX77" s="1"/>
  <c r="AO77"/>
  <c r="BH77" s="1"/>
  <c r="AB77" s="1"/>
  <c r="AL77"/>
  <c r="AK77"/>
  <c r="AJ77"/>
  <c r="AH77"/>
  <c r="AG77"/>
  <c r="AF77"/>
  <c r="AE77"/>
  <c r="AD77"/>
  <c r="Z77"/>
  <c r="H77"/>
  <c r="BJ75"/>
  <c r="BF75"/>
  <c r="BD75"/>
  <c r="AX75"/>
  <c r="AP75"/>
  <c r="BI75" s="1"/>
  <c r="AC75" s="1"/>
  <c r="AO75"/>
  <c r="AW75" s="1"/>
  <c r="AL75"/>
  <c r="AK75"/>
  <c r="AJ75"/>
  <c r="AH75"/>
  <c r="AG75"/>
  <c r="AF75"/>
  <c r="AE75"/>
  <c r="AD75"/>
  <c r="Z75"/>
  <c r="H75"/>
  <c r="BJ72"/>
  <c r="BF72"/>
  <c r="BD72"/>
  <c r="AW72"/>
  <c r="AP72"/>
  <c r="AX72" s="1"/>
  <c r="BC72" s="1"/>
  <c r="AO72"/>
  <c r="BH72" s="1"/>
  <c r="AB72" s="1"/>
  <c r="AL72"/>
  <c r="AJ72"/>
  <c r="AH72"/>
  <c r="AG72"/>
  <c r="AF72"/>
  <c r="AE72"/>
  <c r="AD72"/>
  <c r="Z72"/>
  <c r="H72"/>
  <c r="AK72" s="1"/>
  <c r="BJ66"/>
  <c r="BF66"/>
  <c r="BD66"/>
  <c r="AX66"/>
  <c r="AP66"/>
  <c r="BI66" s="1"/>
  <c r="AC66" s="1"/>
  <c r="AO66"/>
  <c r="BH66" s="1"/>
  <c r="AB66" s="1"/>
  <c r="AL66"/>
  <c r="AJ66"/>
  <c r="AH66"/>
  <c r="AG66"/>
  <c r="AF66"/>
  <c r="AE66"/>
  <c r="AD66"/>
  <c r="Z66"/>
  <c r="H66"/>
  <c r="AK66" s="1"/>
  <c r="BJ64"/>
  <c r="BF64"/>
  <c r="BD64"/>
  <c r="AW64"/>
  <c r="BC64" s="1"/>
  <c r="AP64"/>
  <c r="AX64" s="1"/>
  <c r="AO64"/>
  <c r="BH64" s="1"/>
  <c r="AB64" s="1"/>
  <c r="AL64"/>
  <c r="AK64"/>
  <c r="AJ64"/>
  <c r="AH64"/>
  <c r="AG64"/>
  <c r="AF64"/>
  <c r="AE64"/>
  <c r="AD64"/>
  <c r="Z64"/>
  <c r="H64"/>
  <c r="BJ52"/>
  <c r="BF52"/>
  <c r="BD52"/>
  <c r="AX52"/>
  <c r="AP52"/>
  <c r="BI52" s="1"/>
  <c r="AC52" s="1"/>
  <c r="AO52"/>
  <c r="AW52" s="1"/>
  <c r="AL52"/>
  <c r="AK52"/>
  <c r="AJ52"/>
  <c r="AH52"/>
  <c r="AG52"/>
  <c r="AF52"/>
  <c r="AE52"/>
  <c r="AD52"/>
  <c r="Z52"/>
  <c r="H52"/>
  <c r="BJ44"/>
  <c r="BF44"/>
  <c r="BD44"/>
  <c r="AW44"/>
  <c r="AP44"/>
  <c r="BI44" s="1"/>
  <c r="AC44" s="1"/>
  <c r="AO44"/>
  <c r="BH44" s="1"/>
  <c r="AB44" s="1"/>
  <c r="AL44"/>
  <c r="AJ44"/>
  <c r="AH44"/>
  <c r="AG44"/>
  <c r="AF44"/>
  <c r="AE44"/>
  <c r="AD44"/>
  <c r="Z44"/>
  <c r="H44"/>
  <c r="AK44" s="1"/>
  <c r="BJ42"/>
  <c r="BF42"/>
  <c r="BD42"/>
  <c r="AX42"/>
  <c r="AP42"/>
  <c r="BI42" s="1"/>
  <c r="AC42" s="1"/>
  <c r="AO42"/>
  <c r="AW42" s="1"/>
  <c r="AL42"/>
  <c r="AJ42"/>
  <c r="AH42"/>
  <c r="AG42"/>
  <c r="AF42"/>
  <c r="AE42"/>
  <c r="AD42"/>
  <c r="Z42"/>
  <c r="H42"/>
  <c r="AK42" s="1"/>
  <c r="BJ32"/>
  <c r="BF32"/>
  <c r="BD32"/>
  <c r="AW32"/>
  <c r="AP32"/>
  <c r="AX32" s="1"/>
  <c r="AO32"/>
  <c r="BH32" s="1"/>
  <c r="AB32" s="1"/>
  <c r="AL32"/>
  <c r="AK32"/>
  <c r="AJ32"/>
  <c r="AH32"/>
  <c r="AG32"/>
  <c r="AF32"/>
  <c r="AE32"/>
  <c r="AD32"/>
  <c r="Z32"/>
  <c r="H32"/>
  <c r="BJ31"/>
  <c r="BF31"/>
  <c r="BD31"/>
  <c r="AX31"/>
  <c r="AP31"/>
  <c r="BI31" s="1"/>
  <c r="AC31" s="1"/>
  <c r="AO31"/>
  <c r="AW31" s="1"/>
  <c r="AL31"/>
  <c r="AK31"/>
  <c r="AJ31"/>
  <c r="AH31"/>
  <c r="AG31"/>
  <c r="AF31"/>
  <c r="AE31"/>
  <c r="AD31"/>
  <c r="Z31"/>
  <c r="H31"/>
  <c r="BJ30"/>
  <c r="BF30"/>
  <c r="BD30"/>
  <c r="AW30"/>
  <c r="AP30"/>
  <c r="BI30" s="1"/>
  <c r="AC30" s="1"/>
  <c r="AO30"/>
  <c r="BH30" s="1"/>
  <c r="AB30" s="1"/>
  <c r="AL30"/>
  <c r="AJ30"/>
  <c r="AS25" s="1"/>
  <c r="AH30"/>
  <c r="AG30"/>
  <c r="AF30"/>
  <c r="AE30"/>
  <c r="AD30"/>
  <c r="Z30"/>
  <c r="H30"/>
  <c r="AK30" s="1"/>
  <c r="BJ28"/>
  <c r="BF28"/>
  <c r="BD28"/>
  <c r="AX28"/>
  <c r="AP28"/>
  <c r="BI28" s="1"/>
  <c r="AC28" s="1"/>
  <c r="AO28"/>
  <c r="BH28" s="1"/>
  <c r="AB28" s="1"/>
  <c r="AL28"/>
  <c r="AJ28"/>
  <c r="AH28"/>
  <c r="AG28"/>
  <c r="AF28"/>
  <c r="AE28"/>
  <c r="AD28"/>
  <c r="Z28"/>
  <c r="H28"/>
  <c r="H25" s="1"/>
  <c r="BJ26"/>
  <c r="BF26"/>
  <c r="BD26"/>
  <c r="AW26"/>
  <c r="BC26" s="1"/>
  <c r="AP26"/>
  <c r="AX26" s="1"/>
  <c r="AO26"/>
  <c r="BH26" s="1"/>
  <c r="AB26" s="1"/>
  <c r="AL26"/>
  <c r="AK26"/>
  <c r="AJ26"/>
  <c r="AH26"/>
  <c r="AG26"/>
  <c r="AF26"/>
  <c r="AE26"/>
  <c r="AD26"/>
  <c r="Z26"/>
  <c r="H26"/>
  <c r="AU25"/>
  <c r="BJ23"/>
  <c r="BF23"/>
  <c r="BD23"/>
  <c r="AX23"/>
  <c r="AP23"/>
  <c r="BI23" s="1"/>
  <c r="AC23" s="1"/>
  <c r="AO23"/>
  <c r="AW23" s="1"/>
  <c r="AL23"/>
  <c r="AK23"/>
  <c r="AJ23"/>
  <c r="AH23"/>
  <c r="AG23"/>
  <c r="AF23"/>
  <c r="AE23"/>
  <c r="AD23"/>
  <c r="Z23"/>
  <c r="H23"/>
  <c r="BJ21"/>
  <c r="BF21"/>
  <c r="BD21"/>
  <c r="AW21"/>
  <c r="AP21"/>
  <c r="BI21" s="1"/>
  <c r="AC21" s="1"/>
  <c r="AO21"/>
  <c r="BH21" s="1"/>
  <c r="AB21" s="1"/>
  <c r="AL21"/>
  <c r="AJ21"/>
  <c r="AH21"/>
  <c r="AG21"/>
  <c r="AF21"/>
  <c r="AE21"/>
  <c r="AD21"/>
  <c r="Z21"/>
  <c r="C21" i="1" s="1"/>
  <c r="H21" i="3"/>
  <c r="AK21" s="1"/>
  <c r="BJ19"/>
  <c r="BF19"/>
  <c r="BD19"/>
  <c r="AX19"/>
  <c r="AP19"/>
  <c r="BI19" s="1"/>
  <c r="AC19" s="1"/>
  <c r="AO19"/>
  <c r="BH19" s="1"/>
  <c r="AB19" s="1"/>
  <c r="AL19"/>
  <c r="AJ19"/>
  <c r="AH19"/>
  <c r="AG19"/>
  <c r="AF19"/>
  <c r="AE19"/>
  <c r="AD19"/>
  <c r="Z19"/>
  <c r="H19"/>
  <c r="AK19" s="1"/>
  <c r="BJ16"/>
  <c r="BF16"/>
  <c r="BD16"/>
  <c r="AW16"/>
  <c r="BC16" s="1"/>
  <c r="AP16"/>
  <c r="AX16" s="1"/>
  <c r="AO16"/>
  <c r="BH16" s="1"/>
  <c r="AB16" s="1"/>
  <c r="AL16"/>
  <c r="AU13" s="1"/>
  <c r="AK16"/>
  <c r="AJ16"/>
  <c r="AS13" s="1"/>
  <c r="AH16"/>
  <c r="AG16"/>
  <c r="AF16"/>
  <c r="AE16"/>
  <c r="AD16"/>
  <c r="Z16"/>
  <c r="H16"/>
  <c r="BJ14"/>
  <c r="BF14"/>
  <c r="BD14"/>
  <c r="AX14"/>
  <c r="AP14"/>
  <c r="BI14" s="1"/>
  <c r="AC14" s="1"/>
  <c r="AO14"/>
  <c r="AW14" s="1"/>
  <c r="AL14"/>
  <c r="AK14"/>
  <c r="AJ14"/>
  <c r="AH14"/>
  <c r="C20" i="1" s="1"/>
  <c r="AG14" i="3"/>
  <c r="AF14"/>
  <c r="AE14"/>
  <c r="AD14"/>
  <c r="Z14"/>
  <c r="H14"/>
  <c r="H13" s="1"/>
  <c r="AU1"/>
  <c r="AT1"/>
  <c r="AS1"/>
  <c r="I44" i="2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I45" s="1"/>
  <c r="I24" i="1" s="1"/>
  <c r="F35" i="2"/>
  <c r="I26"/>
  <c r="I25"/>
  <c r="I24"/>
  <c r="I23"/>
  <c r="I22"/>
  <c r="I15" i="1" s="1"/>
  <c r="I21" i="2"/>
  <c r="I27" s="1"/>
  <c r="I18"/>
  <c r="I17"/>
  <c r="I16"/>
  <c r="I15"/>
  <c r="I10"/>
  <c r="F10"/>
  <c r="C10"/>
  <c r="F8"/>
  <c r="C8"/>
  <c r="F6"/>
  <c r="C6"/>
  <c r="F4"/>
  <c r="C4"/>
  <c r="F2"/>
  <c r="C2"/>
  <c r="F22" i="1"/>
  <c r="I19"/>
  <c r="I18"/>
  <c r="I17"/>
  <c r="I16"/>
  <c r="F16"/>
  <c r="F15"/>
  <c r="I14"/>
  <c r="I22" s="1"/>
  <c r="F14"/>
  <c r="I10"/>
  <c r="F10"/>
  <c r="C10"/>
  <c r="F8"/>
  <c r="C8"/>
  <c r="F6"/>
  <c r="C6"/>
  <c r="F4"/>
  <c r="C4"/>
  <c r="F2"/>
  <c r="C2"/>
  <c r="AV31" i="3" l="1"/>
  <c r="BC31"/>
  <c r="BC75"/>
  <c r="AV75"/>
  <c r="AV14"/>
  <c r="BC14"/>
  <c r="BC42"/>
  <c r="AV42"/>
  <c r="AT80"/>
  <c r="AT13"/>
  <c r="BC23"/>
  <c r="AV23"/>
  <c r="AV98"/>
  <c r="BC98"/>
  <c r="BC52"/>
  <c r="AV52"/>
  <c r="AV44"/>
  <c r="AV92"/>
  <c r="F29" i="2"/>
  <c r="AV30" i="3"/>
  <c r="BC32"/>
  <c r="AV72"/>
  <c r="BC77"/>
  <c r="AT172"/>
  <c r="BC138"/>
  <c r="AV138"/>
  <c r="BC143"/>
  <c r="AV143"/>
  <c r="BC147"/>
  <c r="AV147"/>
  <c r="BC156"/>
  <c r="AV156"/>
  <c r="BC189"/>
  <c r="AV189"/>
  <c r="H193"/>
  <c r="AK195"/>
  <c r="AT193" s="1"/>
  <c r="BC222"/>
  <c r="AV222"/>
  <c r="BC229"/>
  <c r="AV229"/>
  <c r="BC237"/>
  <c r="AV237"/>
  <c r="BC257"/>
  <c r="AV257"/>
  <c r="BC263"/>
  <c r="AV263"/>
  <c r="BC125"/>
  <c r="AV125"/>
  <c r="AK129"/>
  <c r="H118"/>
  <c r="BC133"/>
  <c r="AV133"/>
  <c r="AK134"/>
  <c r="AT130" s="1"/>
  <c r="H130"/>
  <c r="BC152"/>
  <c r="AV152"/>
  <c r="BC245"/>
  <c r="AV245"/>
  <c r="BC254"/>
  <c r="AV254"/>
  <c r="BH42"/>
  <c r="AB42" s="1"/>
  <c r="BI72"/>
  <c r="AC72" s="1"/>
  <c r="BI84"/>
  <c r="AC84" s="1"/>
  <c r="BI158"/>
  <c r="AE158" s="1"/>
  <c r="BI167"/>
  <c r="AE167" s="1"/>
  <c r="BI191"/>
  <c r="AE191" s="1"/>
  <c r="BI207"/>
  <c r="AE207" s="1"/>
  <c r="BI255"/>
  <c r="AG255" s="1"/>
  <c r="H259"/>
  <c r="C27" i="1"/>
  <c r="C29"/>
  <c r="F29" s="1"/>
  <c r="AV16" i="3"/>
  <c r="AW19"/>
  <c r="AX21"/>
  <c r="BC21" s="1"/>
  <c r="AV26"/>
  <c r="AW28"/>
  <c r="AX30"/>
  <c r="BC30" s="1"/>
  <c r="AV32"/>
  <c r="AX44"/>
  <c r="BC44" s="1"/>
  <c r="AV64"/>
  <c r="AW66"/>
  <c r="AV77"/>
  <c r="AW81"/>
  <c r="BC92"/>
  <c r="BI92"/>
  <c r="AC92" s="1"/>
  <c r="AV94"/>
  <c r="H97"/>
  <c r="BH98"/>
  <c r="AB98" s="1"/>
  <c r="AV99"/>
  <c r="BH103"/>
  <c r="BH108"/>
  <c r="H116"/>
  <c r="H12" s="1"/>
  <c r="AT118"/>
  <c r="BH129"/>
  <c r="BI135"/>
  <c r="AE135" s="1"/>
  <c r="BC136"/>
  <c r="BC140"/>
  <c r="BH157"/>
  <c r="AD157" s="1"/>
  <c r="AV158"/>
  <c r="BH166"/>
  <c r="AD166" s="1"/>
  <c r="AV167"/>
  <c r="BH182"/>
  <c r="AD182" s="1"/>
  <c r="AV183"/>
  <c r="BH190"/>
  <c r="AD190" s="1"/>
  <c r="AV191"/>
  <c r="BH195"/>
  <c r="AD195" s="1"/>
  <c r="AV198"/>
  <c r="AV207"/>
  <c r="AU206"/>
  <c r="AS228"/>
  <c r="BH238"/>
  <c r="AD238" s="1"/>
  <c r="BC242"/>
  <c r="BI247"/>
  <c r="AE247" s="1"/>
  <c r="BC250"/>
  <c r="AV255"/>
  <c r="BH261"/>
  <c r="BC151"/>
  <c r="AV151"/>
  <c r="AK157"/>
  <c r="AT153" s="1"/>
  <c r="H153"/>
  <c r="BC162"/>
  <c r="AV162"/>
  <c r="BC170"/>
  <c r="AV170"/>
  <c r="BC175"/>
  <c r="AV175"/>
  <c r="AK182"/>
  <c r="AT178" s="1"/>
  <c r="H178"/>
  <c r="BC101"/>
  <c r="AV101"/>
  <c r="BC103"/>
  <c r="AV103"/>
  <c r="BC106"/>
  <c r="AV106"/>
  <c r="BC108"/>
  <c r="AV108"/>
  <c r="BC113"/>
  <c r="AV113"/>
  <c r="BC129"/>
  <c r="AV129"/>
  <c r="BC137"/>
  <c r="AV137"/>
  <c r="BC142"/>
  <c r="AV142"/>
  <c r="H141"/>
  <c r="AK143"/>
  <c r="AT141" s="1"/>
  <c r="BC157"/>
  <c r="AV157"/>
  <c r="BC160"/>
  <c r="AV160"/>
  <c r="BC166"/>
  <c r="AV166"/>
  <c r="BC169"/>
  <c r="AV169"/>
  <c r="BC174"/>
  <c r="AV174"/>
  <c r="AK175"/>
  <c r="H172"/>
  <c r="BC182"/>
  <c r="AV182"/>
  <c r="BC185"/>
  <c r="AV185"/>
  <c r="BC190"/>
  <c r="AV190"/>
  <c r="BC195"/>
  <c r="AV195"/>
  <c r="BC203"/>
  <c r="AV203"/>
  <c r="BC215"/>
  <c r="AV215"/>
  <c r="AK222"/>
  <c r="H206"/>
  <c r="BC238"/>
  <c r="AV238"/>
  <c r="BC261"/>
  <c r="AV261"/>
  <c r="BI183"/>
  <c r="AE183" s="1"/>
  <c r="BI198"/>
  <c r="AE198" s="1"/>
  <c r="BH14"/>
  <c r="AB14" s="1"/>
  <c r="BH31"/>
  <c r="AB31" s="1"/>
  <c r="BI32"/>
  <c r="AC32" s="1"/>
  <c r="BH52"/>
  <c r="AB52" s="1"/>
  <c r="BI64"/>
  <c r="AC64" s="1"/>
  <c r="BH75"/>
  <c r="AB75" s="1"/>
  <c r="BI77"/>
  <c r="AC77" s="1"/>
  <c r="AT97"/>
  <c r="BC100"/>
  <c r="BI104"/>
  <c r="BC105"/>
  <c r="BI109"/>
  <c r="BC111"/>
  <c r="BC119"/>
  <c r="BC131"/>
  <c r="BI139"/>
  <c r="AE139" s="1"/>
  <c r="BI144"/>
  <c r="AE144" s="1"/>
  <c r="BI149"/>
  <c r="AE149" s="1"/>
  <c r="BI154"/>
  <c r="AE154" s="1"/>
  <c r="AV159"/>
  <c r="BI163"/>
  <c r="AE163" s="1"/>
  <c r="AV168"/>
  <c r="BI171"/>
  <c r="AE171" s="1"/>
  <c r="AV173"/>
  <c r="BC177"/>
  <c r="AV184"/>
  <c r="BI187"/>
  <c r="AE187" s="1"/>
  <c r="AV202"/>
  <c r="AV213"/>
  <c r="BI224"/>
  <c r="AE224" s="1"/>
  <c r="AT228"/>
  <c r="BI233"/>
  <c r="AE233" s="1"/>
  <c r="BC240"/>
  <c r="AT253"/>
  <c r="H262"/>
  <c r="BC165"/>
  <c r="AV165"/>
  <c r="BC181"/>
  <c r="AV181"/>
  <c r="BC186"/>
  <c r="AV186"/>
  <c r="BC194"/>
  <c r="AV194"/>
  <c r="BC117"/>
  <c r="AV117"/>
  <c r="BC134"/>
  <c r="AV134"/>
  <c r="BC146"/>
  <c r="AV146"/>
  <c r="BC205"/>
  <c r="AV205"/>
  <c r="BC227"/>
  <c r="AV227"/>
  <c r="BC244"/>
  <c r="AV244"/>
  <c r="AK245"/>
  <c r="AT241" s="1"/>
  <c r="H241"/>
  <c r="BC251"/>
  <c r="AV251"/>
  <c r="BC258"/>
  <c r="AV258"/>
  <c r="AV91"/>
  <c r="BI16"/>
  <c r="AC16" s="1"/>
  <c r="BH23"/>
  <c r="AB23" s="1"/>
  <c r="BI26"/>
  <c r="AC26" s="1"/>
  <c r="C15" i="1" s="1"/>
  <c r="AK28" i="3"/>
  <c r="AT25" s="1"/>
  <c r="AW87"/>
  <c r="AV89"/>
  <c r="AW95"/>
  <c r="AV100"/>
  <c r="AV104"/>
  <c r="AV109"/>
  <c r="BI119"/>
  <c r="AE119" s="1"/>
  <c r="C17" i="1" s="1"/>
  <c r="BI131" i="3"/>
  <c r="AE131" s="1"/>
  <c r="BC132"/>
  <c r="BH138"/>
  <c r="AD138" s="1"/>
  <c r="AV139"/>
  <c r="AV140"/>
  <c r="BH143"/>
  <c r="AD143" s="1"/>
  <c r="AV144"/>
  <c r="BH147"/>
  <c r="AD147" s="1"/>
  <c r="AV149"/>
  <c r="AV154"/>
  <c r="BC158"/>
  <c r="BH162"/>
  <c r="AD162" s="1"/>
  <c r="AV163"/>
  <c r="BH170"/>
  <c r="AD170" s="1"/>
  <c r="AV171"/>
  <c r="BH175"/>
  <c r="AD175" s="1"/>
  <c r="BI177"/>
  <c r="AE177" s="1"/>
  <c r="BC183"/>
  <c r="BH186"/>
  <c r="AD186" s="1"/>
  <c r="AV187"/>
  <c r="BC191"/>
  <c r="BC192"/>
  <c r="AT206"/>
  <c r="BC207"/>
  <c r="BH222"/>
  <c r="AD222" s="1"/>
  <c r="AV224"/>
  <c r="H228"/>
  <c r="BH229"/>
  <c r="AD229" s="1"/>
  <c r="AV233"/>
  <c r="BI240"/>
  <c r="AV242"/>
  <c r="AV250"/>
  <c r="H253"/>
  <c r="BC256"/>
  <c r="BH263"/>
  <c r="BI100"/>
  <c r="AC100" s="1"/>
  <c r="BH104"/>
  <c r="BI105"/>
  <c r="BH109"/>
  <c r="BI111"/>
  <c r="BH119"/>
  <c r="AD119" s="1"/>
  <c r="BI120"/>
  <c r="AE120" s="1"/>
  <c r="BH131"/>
  <c r="AD131" s="1"/>
  <c r="BI132"/>
  <c r="AE132" s="1"/>
  <c r="BH135"/>
  <c r="AD135" s="1"/>
  <c r="BI136"/>
  <c r="AE136" s="1"/>
  <c r="BH139"/>
  <c r="AD139" s="1"/>
  <c r="BI140"/>
  <c r="BH144"/>
  <c r="AD144" s="1"/>
  <c r="BI145"/>
  <c r="AE145" s="1"/>
  <c r="BH149"/>
  <c r="AD149" s="1"/>
  <c r="BI150"/>
  <c r="AE150" s="1"/>
  <c r="BH154"/>
  <c r="AD154" s="1"/>
  <c r="BI155"/>
  <c r="AE155" s="1"/>
  <c r="BH158"/>
  <c r="AD158" s="1"/>
  <c r="BI159"/>
  <c r="AE159" s="1"/>
  <c r="BH163"/>
  <c r="AD163" s="1"/>
  <c r="BI164"/>
  <c r="AE164" s="1"/>
  <c r="BH167"/>
  <c r="AD167" s="1"/>
  <c r="BI168"/>
  <c r="AE168" s="1"/>
  <c r="BH171"/>
  <c r="AD171" s="1"/>
  <c r="BI173"/>
  <c r="AE173" s="1"/>
  <c r="BH177"/>
  <c r="AD177" s="1"/>
  <c r="BI179"/>
  <c r="AE179" s="1"/>
  <c r="BH183"/>
  <c r="AD183" s="1"/>
  <c r="BI184"/>
  <c r="AE184" s="1"/>
  <c r="BH187"/>
  <c r="AD187" s="1"/>
  <c r="BI188"/>
  <c r="AE188" s="1"/>
  <c r="BH191"/>
  <c r="AD191" s="1"/>
  <c r="BI192"/>
  <c r="BH198"/>
  <c r="AD198" s="1"/>
  <c r="BI202"/>
  <c r="AE202" s="1"/>
  <c r="BH207"/>
  <c r="AD207" s="1"/>
  <c r="BI213"/>
  <c r="AE213" s="1"/>
  <c r="BH224"/>
  <c r="AD224" s="1"/>
  <c r="BI225"/>
  <c r="AE225" s="1"/>
  <c r="BH233"/>
  <c r="AD233" s="1"/>
  <c r="BI235"/>
  <c r="AE235" s="1"/>
  <c r="BH240"/>
  <c r="BI242"/>
  <c r="AE242" s="1"/>
  <c r="BH247"/>
  <c r="AD247" s="1"/>
  <c r="BI250"/>
  <c r="AE250" s="1"/>
  <c r="BH255"/>
  <c r="AF255" s="1"/>
  <c r="C18" i="1" s="1"/>
  <c r="BI256" i="3"/>
  <c r="AG256" s="1"/>
  <c r="BI125"/>
  <c r="AE125" s="1"/>
  <c r="BH132"/>
  <c r="AD132" s="1"/>
  <c r="BI133"/>
  <c r="AE133" s="1"/>
  <c r="BH136"/>
  <c r="AD136" s="1"/>
  <c r="BI137"/>
  <c r="AG137" s="1"/>
  <c r="C19" i="1" s="1"/>
  <c r="BH140" i="3"/>
  <c r="BI142"/>
  <c r="AE142" s="1"/>
  <c r="BH150"/>
  <c r="AD150" s="1"/>
  <c r="BI151"/>
  <c r="AE151" s="1"/>
  <c r="BH155"/>
  <c r="AD155" s="1"/>
  <c r="BI156"/>
  <c r="AE156" s="1"/>
  <c r="BH159"/>
  <c r="AD159" s="1"/>
  <c r="BI160"/>
  <c r="AE160" s="1"/>
  <c r="BH164"/>
  <c r="AD164" s="1"/>
  <c r="BI165"/>
  <c r="AE165" s="1"/>
  <c r="BH168"/>
  <c r="AD168" s="1"/>
  <c r="BI169"/>
  <c r="AE169" s="1"/>
  <c r="BH173"/>
  <c r="AD173" s="1"/>
  <c r="BI174"/>
  <c r="AE174" s="1"/>
  <c r="BH179"/>
  <c r="AD179" s="1"/>
  <c r="BI181"/>
  <c r="AE181" s="1"/>
  <c r="BH184"/>
  <c r="AD184" s="1"/>
  <c r="BI185"/>
  <c r="AE185" s="1"/>
  <c r="BH188"/>
  <c r="AD188" s="1"/>
  <c r="BI189"/>
  <c r="AE189" s="1"/>
  <c r="BH192"/>
  <c r="BI194"/>
  <c r="AE194" s="1"/>
  <c r="BH202"/>
  <c r="AD202" s="1"/>
  <c r="BI203"/>
  <c r="AE203" s="1"/>
  <c r="BH213"/>
  <c r="AD213" s="1"/>
  <c r="BI215"/>
  <c r="AE215" s="1"/>
  <c r="BH225"/>
  <c r="AD225" s="1"/>
  <c r="BI227"/>
  <c r="BH235"/>
  <c r="AD235" s="1"/>
  <c r="BI237"/>
  <c r="AE237" s="1"/>
  <c r="BH242"/>
  <c r="AD242" s="1"/>
  <c r="BI244"/>
  <c r="AE244" s="1"/>
  <c r="BH250"/>
  <c r="AD250" s="1"/>
  <c r="BI251"/>
  <c r="AE251" s="1"/>
  <c r="BH256"/>
  <c r="AF256" s="1"/>
  <c r="BI257"/>
  <c r="AG257" s="1"/>
  <c r="BC95" l="1"/>
  <c r="AV95"/>
  <c r="BC66"/>
  <c r="AV66"/>
  <c r="BC19"/>
  <c r="AV19"/>
  <c r="H264"/>
  <c r="C16" i="1"/>
  <c r="AV21" i="3"/>
  <c r="BC28"/>
  <c r="AV28"/>
  <c r="AV87"/>
  <c r="BC87"/>
  <c r="BC81"/>
  <c r="AV81"/>
  <c r="C14" i="1"/>
  <c r="C22" s="1"/>
  <c r="C28"/>
  <c r="F28" s="1"/>
  <c r="I28" l="1"/>
  <c r="I29" s="1"/>
</calcChain>
</file>

<file path=xl/sharedStrings.xml><?xml version="1.0" encoding="utf-8"?>
<sst xmlns="http://schemas.openxmlformats.org/spreadsheetml/2006/main" count="1905" uniqueCount="676">
  <si>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</si>
  <si>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</si>
  <si>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</si>
  <si>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</si>
  <si>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</si>
  <si>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</si>
  <si>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</si>
  <si>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</si>
  <si>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</si>
  <si>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</si>
  <si>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</si>
  <si>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</si>
  <si>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</si>
  <si>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</si>
  <si>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</si>
  <si>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</si>
  <si>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</si>
  <si>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</si>
  <si>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</si>
  <si>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</si>
  <si>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</si>
  <si>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</si>
  <si>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</si>
  <si>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</si>
  <si>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</si>
  <si>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</si>
  <si>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</si>
  <si>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</si>
  <si>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</si>
  <si>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</si>
  <si>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</si>
  <si>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</si>
  <si>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</si>
  <si>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</si>
  <si>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</si>
  <si>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</si>
  <si>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</si>
  <si>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</si>
  <si>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</si>
  <si>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</si>
  <si>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</si>
  <si>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</si>
  <si>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</si>
  <si>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</si>
  <si>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</si>
  <si>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</si>
  <si>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</si>
  <si>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</si>
  <si>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</si>
  <si>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</si>
  <si>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</si>
  <si>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</si>
  <si>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</si>
  <si>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</si>
  <si>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</si>
  <si>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</si>
  <si>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</si>
  <si>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</si>
  <si>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</si>
  <si>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</si>
  <si>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</si>
  <si>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</si>
  <si>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</si>
  <si>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</si>
  <si>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</si>
  <si>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</si>
  <si>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</si>
  <si>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</si>
  <si>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</si>
  <si>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</si>
  <si>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</si>
  <si>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</si>
  <si>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</si>
  <si>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</si>
  <si>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</si>
  <si>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</si>
  <si>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Slepý stavební rozpočet</t>
  </si>
  <si>
    <t>140-2024 Haškova 2169/8 byt č. 14  2+1</t>
  </si>
  <si>
    <t>Doba výstavby:</t>
  </si>
  <si>
    <t xml:space="preserve"> </t>
  </si>
  <si>
    <t> </t>
  </si>
  <si>
    <t>Stavební úpravy bytu 2+1</t>
  </si>
  <si>
    <t>Zpracováno dne: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</si>
  <si>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</si>
  <si>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</si>
  <si>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</si>
  <si>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</si>
  <si>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</si>
  <si>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</si>
  <si>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</si>
  <si>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ISWORK</t>
  </si>
  <si>
    <t>GROUPCODE</t>
  </si>
  <si>
    <t>VATTAX</t>
  </si>
  <si>
    <t>Rozměry</t>
  </si>
  <si>
    <t>(Kč)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</si>
  <si>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</si>
  <si>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</si>
  <si>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</si>
  <si>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</si>
  <si>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</si>
  <si>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</si>
  <si>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</si>
  <si>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</si>
  <si>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</si>
  <si>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</si>
  <si>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</si>
  <si>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</si>
  <si>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</si>
  <si>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</si>
  <si>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34</t>
  </si>
  <si>
    <t>Stěny a příčky</t>
  </si>
  <si>
    <t>1</t>
  </si>
  <si>
    <t>342270040RA0</t>
  </si>
  <si>
    <t>Příčka z desek  Pórobetonových hladkých, tloušťka 5 cm</t>
  </si>
  <si>
    <t>m2</t>
  </si>
  <si>
    <t>34_</t>
  </si>
  <si>
    <t>_3_</t>
  </si>
  <si>
    <t>_</t>
  </si>
  <si>
    <t>0,9*2,6-0,5*0,5</t>
  </si>
  <si>
    <t>koupelna obezdění šachty</t>
  </si>
  <si>
    <t>2</t>
  </si>
  <si>
    <t>342270042RA0</t>
  </si>
  <si>
    <t>Příčka z desek  Pórobetonových hladkých, tloušťka 10 cm</t>
  </si>
  <si>
    <t>(1,55*2+2,8+3,45)*2,6</t>
  </si>
  <si>
    <t>bytové jádro</t>
  </si>
  <si>
    <t>-02,8*2*2-0,7*2</t>
  </si>
  <si>
    <t>3</t>
  </si>
  <si>
    <t>317121047RT2</t>
  </si>
  <si>
    <t>Překlad nenosný pórobetonový, světlost otvoru do 1050 mm</t>
  </si>
  <si>
    <t>kus</t>
  </si>
  <si>
    <t>Varianta:</t>
  </si>
  <si>
    <t>překlad nenosný  124 x 24,9 x 10 cm</t>
  </si>
  <si>
    <t>4</t>
  </si>
  <si>
    <t>342668111R00</t>
  </si>
  <si>
    <t>Těsnění styku příčky se stáv. konstrukcí PU pěnou</t>
  </si>
  <si>
    <t>m</t>
  </si>
  <si>
    <t>(1,55*2+2,8+3,45)</t>
  </si>
  <si>
    <t>5</t>
  </si>
  <si>
    <t>342948111R00</t>
  </si>
  <si>
    <t>Ukotvení příček ke konstrukci kotvami na hmoždinky</t>
  </si>
  <si>
    <t>2,6*4</t>
  </si>
  <si>
    <t>61</t>
  </si>
  <si>
    <t>Úprava povrchů vnitřní</t>
  </si>
  <si>
    <t>6</t>
  </si>
  <si>
    <t>611421321R00</t>
  </si>
  <si>
    <t>Oprava váp.omítek stropů do 30% plochy - hladkých</t>
  </si>
  <si>
    <t>61_</t>
  </si>
  <si>
    <t>_6_</t>
  </si>
  <si>
    <t>6,7+1,08+2,64+11,9+16,47+2,43+16</t>
  </si>
  <si>
    <t>7</t>
  </si>
  <si>
    <t>620991111R00</t>
  </si>
  <si>
    <t>Zakrývání spár panelů páskou</t>
  </si>
  <si>
    <t>13*3,45</t>
  </si>
  <si>
    <t>8</t>
  </si>
  <si>
    <t>601016191R00</t>
  </si>
  <si>
    <t>Penetrační nátěr stropů</t>
  </si>
  <si>
    <t>9</t>
  </si>
  <si>
    <t>611471411R00</t>
  </si>
  <si>
    <t>Úprava stropů aktivovaným štukem tl. 2 - 3 mm</t>
  </si>
  <si>
    <t>10</t>
  </si>
  <si>
    <t>602016191R00</t>
  </si>
  <si>
    <t>Penetrační nátěr stěn</t>
  </si>
  <si>
    <t>(5,25+1,2)*2*2,6-0,8*2*4-0,7*2-0,6*2</t>
  </si>
  <si>
    <t>chodba</t>
  </si>
  <si>
    <t>(1,2+0,9)*2*2,6-0,7*2</t>
  </si>
  <si>
    <t>WC</t>
  </si>
  <si>
    <t>(1,55+1,7)*2*2,6-0,8*2</t>
  </si>
  <si>
    <t>koupelna</t>
  </si>
  <si>
    <t>(3,45+4,765)*2*2,6-0,8*2*2-2,12*1,62</t>
  </si>
  <si>
    <t>kuchyň</t>
  </si>
  <si>
    <t>(3,45+4,765)*2*2,6-0,8*2-2,12*1,62</t>
  </si>
  <si>
    <t>pokoj</t>
  </si>
  <si>
    <t>(1,8+1,35)*2*2,6-0,6*2</t>
  </si>
  <si>
    <t>komora</t>
  </si>
  <si>
    <t>(3,45+4,455)*2*2,6-0,8*2-2,12*1,62</t>
  </si>
  <si>
    <t>(2,12+1,62*2)*0,2*3</t>
  </si>
  <si>
    <t>ostění otvorů</t>
  </si>
  <si>
    <t>(1+2,1*2)*0,2</t>
  </si>
  <si>
    <t>11</t>
  </si>
  <si>
    <t>612403399R00</t>
  </si>
  <si>
    <t>Hrubá výplň rýh ve stěnách maltou</t>
  </si>
  <si>
    <t>70*0,1</t>
  </si>
  <si>
    <t>po instalacích</t>
  </si>
  <si>
    <t>12</t>
  </si>
  <si>
    <t>612421321R00</t>
  </si>
  <si>
    <t>Oprava vápen.omítek stěn do 30 % pl. - hladkých</t>
  </si>
  <si>
    <t>(5,25+1,2*2+1,8)*2,6-0,8*2*3-0,6*2</t>
  </si>
  <si>
    <t>stávající stěny chodba</t>
  </si>
  <si>
    <t>(1,965+3,45+4,765)*2,6-2,12*1,62</t>
  </si>
  <si>
    <t>13</t>
  </si>
  <si>
    <t>612471411RT2</t>
  </si>
  <si>
    <t>Úprava vnitřních stěn aktivovaným štukem</t>
  </si>
  <si>
    <t>s použitím suché maltové směsi</t>
  </si>
  <si>
    <t>(1,2+0,9)*2*0,8</t>
  </si>
  <si>
    <t>WC nad obklady</t>
  </si>
  <si>
    <t>(1,55+1,7)*2*0,5</t>
  </si>
  <si>
    <t>koupelna nad obklady</t>
  </si>
  <si>
    <t>-(0,6+2,7)*0,6</t>
  </si>
  <si>
    <t>14</t>
  </si>
  <si>
    <t>610991111R00</t>
  </si>
  <si>
    <t>Zakrývání výplní vnitřních otvorů</t>
  </si>
  <si>
    <t>2,12*1,62*3</t>
  </si>
  <si>
    <t>okna</t>
  </si>
  <si>
    <t>15</t>
  </si>
  <si>
    <t>612481211RT2</t>
  </si>
  <si>
    <t>Montáž výztužné sítě(perlinky)do stěrky-vnit.stěny</t>
  </si>
  <si>
    <t>včetně výztužné sítě a stěrkového tmelu</t>
  </si>
  <si>
    <t>(1,65+2,8+1,8)*2,6-0,8*2*2</t>
  </si>
  <si>
    <t>(3,45*2,6-0,8*2-0,7*2</t>
  </si>
  <si>
    <t>16</t>
  </si>
  <si>
    <t>642942111RT3</t>
  </si>
  <si>
    <t>Osazení zárubní dveřních ocelových, pl. do 2,5 m2</t>
  </si>
  <si>
    <t>včetně dodávky zárubně 700 x 1970 x 100 mm</t>
  </si>
  <si>
    <t>17</t>
  </si>
  <si>
    <t>642942111RT4</t>
  </si>
  <si>
    <t>včetně dodávky zárubně 800 x 1970 x 100 mm</t>
  </si>
  <si>
    <t>18</t>
  </si>
  <si>
    <t>612421626R00</t>
  </si>
  <si>
    <t>Omítka vnitřní zdiva, MVC, hladká</t>
  </si>
  <si>
    <t>1,7*2,1</t>
  </si>
  <si>
    <t>koupelna stáv. stěna</t>
  </si>
  <si>
    <t>0,9*1,8</t>
  </si>
  <si>
    <t>WC stáv. stěna</t>
  </si>
  <si>
    <t>63</t>
  </si>
  <si>
    <t>Podlahy a podlahové konstrukce</t>
  </si>
  <si>
    <t>19</t>
  </si>
  <si>
    <t>632451441R00</t>
  </si>
  <si>
    <t>Doplnění potěru plochy do 1 m2, tl. 30 - 40 mm</t>
  </si>
  <si>
    <t>63_</t>
  </si>
  <si>
    <t>1,08</t>
  </si>
  <si>
    <t>2,64</t>
  </si>
  <si>
    <t>20</t>
  </si>
  <si>
    <t>632411110RT2</t>
  </si>
  <si>
    <t>Samonivelační stěrka , ruční zpracování tl. 10 mm</t>
  </si>
  <si>
    <t>samonivelační polymercementová stěrka  30 MPa</t>
  </si>
  <si>
    <t>6,7+11,9+16,47+2,43+16</t>
  </si>
  <si>
    <t>21</t>
  </si>
  <si>
    <t>632411904R00</t>
  </si>
  <si>
    <t>Penetrace savých podkladů  0,25 l/m2</t>
  </si>
  <si>
    <t>95</t>
  </si>
  <si>
    <t>Různé dokončovací konstrukce a práce na pozemních stavbách</t>
  </si>
  <si>
    <t>22</t>
  </si>
  <si>
    <t>900      R01</t>
  </si>
  <si>
    <t>HZS - drobné nezměřitelné práce</t>
  </si>
  <si>
    <t>h</t>
  </si>
  <si>
    <t>95_</t>
  </si>
  <si>
    <t>_9_</t>
  </si>
  <si>
    <t>stavební dělník</t>
  </si>
  <si>
    <t>23</t>
  </si>
  <si>
    <t>952901111R00</t>
  </si>
  <si>
    <t>Vyčištění budov o výšce podlaží do 4 m</t>
  </si>
  <si>
    <t>24</t>
  </si>
  <si>
    <t>953943111R00</t>
  </si>
  <si>
    <t>Osazení kovových předmětů do zdiva, 1 kg / kus</t>
  </si>
  <si>
    <t>instal. dvířka</t>
  </si>
  <si>
    <t>25</t>
  </si>
  <si>
    <t>553476578</t>
  </si>
  <si>
    <t>Dvířka revizní do zdiva 500 x 500 mm, tl.12,5 mm - vlhké prostředí pro montáž obkladů - dle vzorkování</t>
  </si>
  <si>
    <t>26</t>
  </si>
  <si>
    <t>952902110RVV</t>
  </si>
  <si>
    <t>Zametání a vytírání v místnostech, chodbách, na  schodišti</t>
  </si>
  <si>
    <t>KPL.</t>
  </si>
  <si>
    <t xml:space="preserve"> v průběhu rekonstrukce</t>
  </si>
  <si>
    <t>96</t>
  </si>
  <si>
    <t>Bourání konstrukcí</t>
  </si>
  <si>
    <t>27</t>
  </si>
  <si>
    <t>968061125R00</t>
  </si>
  <si>
    <t>Vyvěšení dřevěných dveřních křídel pl. do 2 m2</t>
  </si>
  <si>
    <t>96_</t>
  </si>
  <si>
    <t>28</t>
  </si>
  <si>
    <t>965044121R00</t>
  </si>
  <si>
    <t>Bourání podkladů bet., tl. 4 cm, s rabic.pletivem</t>
  </si>
  <si>
    <t>29</t>
  </si>
  <si>
    <t>9620. 1</t>
  </si>
  <si>
    <t>Demontáž byt. jádra, vč. zařizovacích předmětů, vč. likvidace do sutě</t>
  </si>
  <si>
    <t>30</t>
  </si>
  <si>
    <t>965048515R00</t>
  </si>
  <si>
    <t>Broušení betonových povrchů do tl. 5 mm</t>
  </si>
  <si>
    <t>stáv. místnosti, po odstranění PVC</t>
  </si>
  <si>
    <t>31</t>
  </si>
  <si>
    <t>979011111R00</t>
  </si>
  <si>
    <t>Svislá doprava suti a vybour. hmot za 2.NP a 1.PP</t>
  </si>
  <si>
    <t>t</t>
  </si>
  <si>
    <t>32</t>
  </si>
  <si>
    <t>979011121R00</t>
  </si>
  <si>
    <t>Příplatek za každé další podlaží</t>
  </si>
  <si>
    <t>33</t>
  </si>
  <si>
    <t>979081111R00</t>
  </si>
  <si>
    <t>Odvoz suti a vybour. hmot na skládku do 1 km</t>
  </si>
  <si>
    <t>979081121R00</t>
  </si>
  <si>
    <t>Příplatek k odvozu za každý další 1 km</t>
  </si>
  <si>
    <t>1,793*3</t>
  </si>
  <si>
    <t>35</t>
  </si>
  <si>
    <t>979082111R00</t>
  </si>
  <si>
    <t>Vnitrostaveništní doprava suti do 10 m</t>
  </si>
  <si>
    <t>36</t>
  </si>
  <si>
    <t>979082121R00</t>
  </si>
  <si>
    <t>Příplatek k vnitrost. dopravě suti za dalších 5 m</t>
  </si>
  <si>
    <t>1,793*4</t>
  </si>
  <si>
    <t>37</t>
  </si>
  <si>
    <t>979990107R00</t>
  </si>
  <si>
    <t>Poplatek za uložení suti - směs betonu, cihel, dřeva, skupina odpadu 170904</t>
  </si>
  <si>
    <t>1,793-0,235</t>
  </si>
  <si>
    <t>38</t>
  </si>
  <si>
    <t>979990181R00</t>
  </si>
  <si>
    <t>Poplatek za uložení suti - PVC podlahová krytina, skupina odpadu 200307</t>
  </si>
  <si>
    <t>53,5*0,0035</t>
  </si>
  <si>
    <t>PVC</t>
  </si>
  <si>
    <t>59,67*0,0008</t>
  </si>
  <si>
    <t>sokl PVC</t>
  </si>
  <si>
    <t>99</t>
  </si>
  <si>
    <t>Staveništní přesun hmot</t>
  </si>
  <si>
    <t>39</t>
  </si>
  <si>
    <t>999281108R00</t>
  </si>
  <si>
    <t>Přesun hmot pro opravy a údržbu do výšky 12 m</t>
  </si>
  <si>
    <t>99_</t>
  </si>
  <si>
    <t>711</t>
  </si>
  <si>
    <t>Izolace proti vodě</t>
  </si>
  <si>
    <t>40</t>
  </si>
  <si>
    <t>711212000R00</t>
  </si>
  <si>
    <t>Penetrace podkladu pod hydroizolační hmoty, včetně dodávky</t>
  </si>
  <si>
    <t>711_</t>
  </si>
  <si>
    <t>_71_</t>
  </si>
  <si>
    <t>41</t>
  </si>
  <si>
    <t>711212002RT3</t>
  </si>
  <si>
    <t>Stěrka hydroizolační, vč. dodávky HI hmoty</t>
  </si>
  <si>
    <t>, tl. 2 mm</t>
  </si>
  <si>
    <t>1,55*1,7</t>
  </si>
  <si>
    <t>koupelna podlaha</t>
  </si>
  <si>
    <t>(1,55+1,7)*2*0,3-0,8*0,3</t>
  </si>
  <si>
    <t>sokl</t>
  </si>
  <si>
    <t>(1,1+1,1)*2,1</t>
  </si>
  <si>
    <t>sprcha svisle</t>
  </si>
  <si>
    <t>42</t>
  </si>
  <si>
    <t>711212601RT2</t>
  </si>
  <si>
    <t>Utěsnění detailů při stěrkových hydroizolacích, těsnicí pás do spoje podlaha - stěna</t>
  </si>
  <si>
    <t>100 mm</t>
  </si>
  <si>
    <t>(1,55+1,7)*2-0,8</t>
  </si>
  <si>
    <t>koupelna sokl</t>
  </si>
  <si>
    <t>2,1</t>
  </si>
  <si>
    <t>svisle sprcha</t>
  </si>
  <si>
    <t>43</t>
  </si>
  <si>
    <t>998711102R00</t>
  </si>
  <si>
    <t>Přesun hmot pro izolace proti vodě, výšky do 12 m</t>
  </si>
  <si>
    <t>721</t>
  </si>
  <si>
    <t>Vnitřní kanalizace</t>
  </si>
  <si>
    <t>44</t>
  </si>
  <si>
    <t>721140935R00</t>
  </si>
  <si>
    <t>Provedení opravy vnitřní kanalizace, potrubí litinové, přechod z plastových trub na litinu,DN 100 mm</t>
  </si>
  <si>
    <t>721_</t>
  </si>
  <si>
    <t>_72_</t>
  </si>
  <si>
    <t>45</t>
  </si>
  <si>
    <t>721176103R00</t>
  </si>
  <si>
    <t>Potrubí HT připojovací, D 50 x 1,8 mm</t>
  </si>
  <si>
    <t>46</t>
  </si>
  <si>
    <t>721176105R00</t>
  </si>
  <si>
    <t>Potrubí HT připojovací, D 110 x 2,7 mm</t>
  </si>
  <si>
    <t>47</t>
  </si>
  <si>
    <t>721176115R00</t>
  </si>
  <si>
    <t>Potrubí HT odpadní svislé, D 110 x 2,7 mm</t>
  </si>
  <si>
    <t>48</t>
  </si>
  <si>
    <t>721194105R00</t>
  </si>
  <si>
    <t>Vyvedení odpadních výpustek, D 50 x 1,8 mm</t>
  </si>
  <si>
    <t>49</t>
  </si>
  <si>
    <t>721194109R00</t>
  </si>
  <si>
    <t>Vyvedení odpadních výpustek, D 110 x 2,3 mm</t>
  </si>
  <si>
    <t>50</t>
  </si>
  <si>
    <t>230120046R00</t>
  </si>
  <si>
    <t>Čištění potrubí profukováním nebo proplach. DN 100</t>
  </si>
  <si>
    <t>51</t>
  </si>
  <si>
    <t>721290111R00</t>
  </si>
  <si>
    <t>Zkouška těsnosti kanalizace vodou DN 125 mm</t>
  </si>
  <si>
    <t>52</t>
  </si>
  <si>
    <t>721176212R00</t>
  </si>
  <si>
    <t>Potrubí KG odpadní svislé, D 110 x 3,2 mm</t>
  </si>
  <si>
    <t>53</t>
  </si>
  <si>
    <t>998721102R00</t>
  </si>
  <si>
    <t>Přesun hmot pro vnitřní kanalizaci, výšky do 12 m</t>
  </si>
  <si>
    <t>722</t>
  </si>
  <si>
    <t>Vnitřní vodovod</t>
  </si>
  <si>
    <t>54</t>
  </si>
  <si>
    <t>722130913R00</t>
  </si>
  <si>
    <t>Provedení opravy závitového potrubí, přeřezání ocelové trubky do DN 25 mm</t>
  </si>
  <si>
    <t>722_</t>
  </si>
  <si>
    <t>55</t>
  </si>
  <si>
    <t>722260921R00</t>
  </si>
  <si>
    <t>Zpětná montáž vodoměrů závitových G 1/2"</t>
  </si>
  <si>
    <t>56</t>
  </si>
  <si>
    <t>722172631R00</t>
  </si>
  <si>
    <t>Potrubí plastové PP-R Instaplast, bez zednických výpomocí, D 20 x 3,4 mm, PN 20</t>
  </si>
  <si>
    <t>57</t>
  </si>
  <si>
    <t>722220111R00</t>
  </si>
  <si>
    <t>Nástěnka K 247, pro výtokový ventil G 1/2"</t>
  </si>
  <si>
    <t>58</t>
  </si>
  <si>
    <t>722220121R00</t>
  </si>
  <si>
    <t>Nástěnka K 247, pro baterii G 1/2"</t>
  </si>
  <si>
    <t>pár</t>
  </si>
  <si>
    <t>59</t>
  </si>
  <si>
    <t>722181214RT8</t>
  </si>
  <si>
    <t>Izolace návleková  tl. stěny 20 mm</t>
  </si>
  <si>
    <t>vnitřní průměr 25 mm</t>
  </si>
  <si>
    <t>60</t>
  </si>
  <si>
    <t>722190401R00</t>
  </si>
  <si>
    <t>Vyvedení a upevnění výpustek DN 15 mm</t>
  </si>
  <si>
    <t>722290234R00</t>
  </si>
  <si>
    <t>Proplach a dezinfekce vodovodního potrubí DN 80 mm</t>
  </si>
  <si>
    <t>62</t>
  </si>
  <si>
    <t>722280106R00</t>
  </si>
  <si>
    <t>Tlaková zkouška vodovodního potrubí DN 32 mm</t>
  </si>
  <si>
    <t>998722102R00</t>
  </si>
  <si>
    <t>Přesun hmot pro vnitřní vodovod, výšky do 12 m</t>
  </si>
  <si>
    <t>725</t>
  </si>
  <si>
    <t>Zařizovací předměty</t>
  </si>
  <si>
    <t>64</t>
  </si>
  <si>
    <t>725219401R00</t>
  </si>
  <si>
    <t>Montáž umyvadel na šrouby do zdiva</t>
  </si>
  <si>
    <t>soubor</t>
  </si>
  <si>
    <t>725_</t>
  </si>
  <si>
    <t>65</t>
  </si>
  <si>
    <t>725017153R00</t>
  </si>
  <si>
    <t>Umyvadlo invalidní dle vzorníku</t>
  </si>
  <si>
    <t>66</t>
  </si>
  <si>
    <t>725860213R00</t>
  </si>
  <si>
    <t>Sifon podomítkový umyvadlový</t>
  </si>
  <si>
    <t>67</t>
  </si>
  <si>
    <t>725860107R00</t>
  </si>
  <si>
    <t>Uzávěrka zápachová umyvadlová T 1015, D 40 mm</t>
  </si>
  <si>
    <t>68</t>
  </si>
  <si>
    <t>725829301R00</t>
  </si>
  <si>
    <t>Montáž baterie umyvadlové a dřezové stojánkové</t>
  </si>
  <si>
    <t>69</t>
  </si>
  <si>
    <t>725849201R00</t>
  </si>
  <si>
    <t>Montáž baterií sprchových, pevná výška</t>
  </si>
  <si>
    <t>70</t>
  </si>
  <si>
    <t>725860181RT1</t>
  </si>
  <si>
    <t>Sifon pračkový HL404.1, D 40/50 mm nerezový</t>
  </si>
  <si>
    <t>podomít.uzáv. s přivzd.vent. krycí deska 225x100mm</t>
  </si>
  <si>
    <t>71</t>
  </si>
  <si>
    <t>725860222R00</t>
  </si>
  <si>
    <t>Sifon sprchový PP HL514SN, D 40/50 mm</t>
  </si>
  <si>
    <t>72</t>
  </si>
  <si>
    <t>725810402R00</t>
  </si>
  <si>
    <t>Ventil rohový bez přípojovací trubičky TE 66 G 1/2"</t>
  </si>
  <si>
    <t>73</t>
  </si>
  <si>
    <t>72582</t>
  </si>
  <si>
    <t>Baterie  nástěnná koupelna umyvadlo</t>
  </si>
  <si>
    <t>74</t>
  </si>
  <si>
    <t>725845111R00</t>
  </si>
  <si>
    <t>Baterie sprchová nástěnná ruční, bez příslušenství</t>
  </si>
  <si>
    <t>75</t>
  </si>
  <si>
    <t>725814125R00</t>
  </si>
  <si>
    <t>Ventil pračkový   DN 20 mm</t>
  </si>
  <si>
    <t>76</t>
  </si>
  <si>
    <t>725119305R00</t>
  </si>
  <si>
    <t>Montáž klozetových mís kombinovaných</t>
  </si>
  <si>
    <t>77</t>
  </si>
  <si>
    <t>725013128R00</t>
  </si>
  <si>
    <t>Klozet kombi  ZTP, nádrž s armaturou, odpad svislý, bílý</t>
  </si>
  <si>
    <t>78</t>
  </si>
  <si>
    <t>55428097.A</t>
  </si>
  <si>
    <t>Sprchová zástěna čtvrtkruhový , 900 x 900 mm - dle vzorkování</t>
  </si>
  <si>
    <t>79</t>
  </si>
  <si>
    <t>55423038.A</t>
  </si>
  <si>
    <t>Sprchová vanička čtvrt kruh  900 x 900 mm  - dle vzorkování</t>
  </si>
  <si>
    <t>80</t>
  </si>
  <si>
    <t>725590812R00</t>
  </si>
  <si>
    <t>Přesun vybouraných hmot, zařizovací předměty H 12 m</t>
  </si>
  <si>
    <t>728</t>
  </si>
  <si>
    <t>Vzduchotechnika</t>
  </si>
  <si>
    <t>81</t>
  </si>
  <si>
    <t>72855</t>
  </si>
  <si>
    <t>Vzduchotechnika - odtah od odsavače</t>
  </si>
  <si>
    <t>728_</t>
  </si>
  <si>
    <t>82</t>
  </si>
  <si>
    <t>728415111R00</t>
  </si>
  <si>
    <t>Montáž mřížky větrací nebo ventilační do 0,04 m2</t>
  </si>
  <si>
    <t>83</t>
  </si>
  <si>
    <t>429727810</t>
  </si>
  <si>
    <t>Mřížka kruhová PVC průměr 100 mm</t>
  </si>
  <si>
    <t>735</t>
  </si>
  <si>
    <t>Otopná tělesa</t>
  </si>
  <si>
    <t>84</t>
  </si>
  <si>
    <t>730. 1</t>
  </si>
  <si>
    <t>Demont a zpětná montáž radiatorů ÚT</t>
  </si>
  <si>
    <t>735_</t>
  </si>
  <si>
    <t>_73_</t>
  </si>
  <si>
    <t>766</t>
  </si>
  <si>
    <t>Konstrukce truhlářské</t>
  </si>
  <si>
    <t>85</t>
  </si>
  <si>
    <t>766662811R00</t>
  </si>
  <si>
    <t>Demontáž prahů dveří 1křídlových</t>
  </si>
  <si>
    <t>766_</t>
  </si>
  <si>
    <t>_76_</t>
  </si>
  <si>
    <t>vnitřní dveře</t>
  </si>
  <si>
    <t>86</t>
  </si>
  <si>
    <t>766812840R00</t>
  </si>
  <si>
    <t>Demontáž kuchyňských linek do 2,1 m</t>
  </si>
  <si>
    <t>87</t>
  </si>
  <si>
    <t>766825811R00</t>
  </si>
  <si>
    <t>Demontáž vestavěných skříní 1křídlových</t>
  </si>
  <si>
    <t>88</t>
  </si>
  <si>
    <t>766825821R00</t>
  </si>
  <si>
    <t>Demontáž vestavěných skříní 2křídlových</t>
  </si>
  <si>
    <t>89</t>
  </si>
  <si>
    <t>766661112R00</t>
  </si>
  <si>
    <t>Montáž dveří do zárubně,otevíravých 1kř.do 0,8 m</t>
  </si>
  <si>
    <t>90</t>
  </si>
  <si>
    <t>766812115R00</t>
  </si>
  <si>
    <t>Montáž kuchyňských linek dřevěných linek š.do 2,4m</t>
  </si>
  <si>
    <t>91</t>
  </si>
  <si>
    <t>766. 2</t>
  </si>
  <si>
    <t>Demontáž garnýže, vč. likvidace</t>
  </si>
  <si>
    <t>ks</t>
  </si>
  <si>
    <t>92</t>
  </si>
  <si>
    <t>766. 1</t>
  </si>
  <si>
    <t>Dodávka kuchyňská linka - dle schématu " kuchyně Haškova "</t>
  </si>
  <si>
    <t>93</t>
  </si>
  <si>
    <t>6116. 0</t>
  </si>
  <si>
    <t>Dveře vnitřní hladké 1 křídl. bílé, plné,  600 x 1970 mm, CPL, DTD výplň,  kování, zámek - vše dle standarů</t>
  </si>
  <si>
    <t>94</t>
  </si>
  <si>
    <t>6116. 1</t>
  </si>
  <si>
    <t>Dveře vnitřní hladké 1 křídl. bílé, 2/3 sklo 800 x 1970 mm, CPL, DTD výplň, sklo bezpečnostní, kování, zámek - vše dle standarů</t>
  </si>
  <si>
    <t>6116. 3</t>
  </si>
  <si>
    <t>Dveře vnitřní hladké 1 křídl. bílé, plné  700 x 1970 mm, CPL, DTD , kování, zámek - vše dle standarů</t>
  </si>
  <si>
    <t>Dveře vnitřní hladké 1 křídl. bílé, plné  800 x 1970 mm, CPL, DTD , kování, zámek - vše dle standarů</t>
  </si>
  <si>
    <t>97</t>
  </si>
  <si>
    <t>998766102R00</t>
  </si>
  <si>
    <t>Přesun hmot pro truhlářské konstr., výšky do 12 m</t>
  </si>
  <si>
    <t>771</t>
  </si>
  <si>
    <t>Podlahy z dlaždic</t>
  </si>
  <si>
    <t>98</t>
  </si>
  <si>
    <t>771101210R00</t>
  </si>
  <si>
    <t>Penetrace podkladu pod dlažby</t>
  </si>
  <si>
    <t>771_</t>
  </si>
  <si>
    <t>_77_</t>
  </si>
  <si>
    <t>771575109R00</t>
  </si>
  <si>
    <t>Montáž keramické dlažby, hladké, na tmel, 300 x 300 m</t>
  </si>
  <si>
    <t>1,2*0,9</t>
  </si>
  <si>
    <t>100</t>
  </si>
  <si>
    <t>771578011R00</t>
  </si>
  <si>
    <t>Spára podlaha - stěna, silikonem</t>
  </si>
  <si>
    <t>koupelna vodorovně</t>
  </si>
  <si>
    <t>4*2,1</t>
  </si>
  <si>
    <t>svisle</t>
  </si>
  <si>
    <t>0,6</t>
  </si>
  <si>
    <t>kuchyň. linka</t>
  </si>
  <si>
    <t>101</t>
  </si>
  <si>
    <t>771579791R00</t>
  </si>
  <si>
    <t>Příplatek za plochu podlah keram. do 5 m2 jednotl.</t>
  </si>
  <si>
    <t>102</t>
  </si>
  <si>
    <t>59764231</t>
  </si>
  <si>
    <t>Dlažba protiskluzná 300 x 300 x 9 mm, dle vzorkování, dle standardů</t>
  </si>
  <si>
    <t>3,715*1,1</t>
  </si>
  <si>
    <t>103</t>
  </si>
  <si>
    <t>998771102R00</t>
  </si>
  <si>
    <t>Přesun hmot pro podlahy z dlaždic, výšky do 12 m</t>
  </si>
  <si>
    <t>776</t>
  </si>
  <si>
    <t>Podlahy povlakové</t>
  </si>
  <si>
    <t>104</t>
  </si>
  <si>
    <t>776401800R00</t>
  </si>
  <si>
    <t>Demontáž soklíků nebo lišt, pryžových nebo z PVC</t>
  </si>
  <si>
    <t>776_</t>
  </si>
  <si>
    <t>(5,25+1,2)*2-0,8*4-0,6*2</t>
  </si>
  <si>
    <t>(3,45+4,765)*2-0,8*2</t>
  </si>
  <si>
    <t>(3,45+4,765)*2-0,8</t>
  </si>
  <si>
    <t>(1,8+1,35)*2-0,6</t>
  </si>
  <si>
    <t>(3,45+4,455)*2-0,8</t>
  </si>
  <si>
    <t>105</t>
  </si>
  <si>
    <t>776511810R00</t>
  </si>
  <si>
    <t>Odstranění PVC a koberců lepených bez podložky</t>
  </si>
  <si>
    <t>106</t>
  </si>
  <si>
    <t>776421100RU1</t>
  </si>
  <si>
    <t>Lepení podlahových soklíků z PVC a vinylu</t>
  </si>
  <si>
    <t>včetně dodávky soklíku PVC</t>
  </si>
  <si>
    <t>(5,25+1,2)*2-0,8*4-0,6-0,7</t>
  </si>
  <si>
    <t>107</t>
  </si>
  <si>
    <t>776521200R00</t>
  </si>
  <si>
    <t>Lepení povlakových podlah z dílců PVC a CV (vinyl)</t>
  </si>
  <si>
    <t>108</t>
  </si>
  <si>
    <t>776. 1</t>
  </si>
  <si>
    <t>Provedení spoje PVC - dlažba bez přechodových lišt</t>
  </si>
  <si>
    <t>109</t>
  </si>
  <si>
    <t>2841</t>
  </si>
  <si>
    <t>Dodávka podlahovina PVC - dle Standardu a vzorkování</t>
  </si>
  <si>
    <t>53,5*1,1</t>
  </si>
  <si>
    <t>110</t>
  </si>
  <si>
    <t>998776102R00</t>
  </si>
  <si>
    <t>Přesun hmot pro podlahy povlakové, výšky do 12 m</t>
  </si>
  <si>
    <t>781</t>
  </si>
  <si>
    <t>Obklady (keramické)</t>
  </si>
  <si>
    <t>111</t>
  </si>
  <si>
    <t>781475115R00</t>
  </si>
  <si>
    <t>Obklad vnitřní stěn keramický, do tmele, 25x25 cm</t>
  </si>
  <si>
    <t>781_</t>
  </si>
  <si>
    <t>_78_</t>
  </si>
  <si>
    <t>(1,55+1,7)*2*2,1-0,8*2</t>
  </si>
  <si>
    <t>(1,2+0,9)*2*1,8-0,7*1,8</t>
  </si>
  <si>
    <t>(0,9+2,4)*0,6+(0,5+0,25)*0,85</t>
  </si>
  <si>
    <t>112</t>
  </si>
  <si>
    <t>781419711R00</t>
  </si>
  <si>
    <t>Příplatek k obkladu stěn za plochu do 10 m2 jedntl</t>
  </si>
  <si>
    <t>6,3+2,618</t>
  </si>
  <si>
    <t>113</t>
  </si>
  <si>
    <t>781111111R00</t>
  </si>
  <si>
    <t>Řezání obkladaček diamantovým kotoučem</t>
  </si>
  <si>
    <t>4*2,1+4*1,8</t>
  </si>
  <si>
    <t>114</t>
  </si>
  <si>
    <t>781111116R00</t>
  </si>
  <si>
    <t>Otvor v obkladačce diamant.korunkou prům.do 90 mm</t>
  </si>
  <si>
    <t>115</t>
  </si>
  <si>
    <t>5978</t>
  </si>
  <si>
    <t>Obkládačka  200 x 250 mm, dle vzorkování</t>
  </si>
  <si>
    <t>20,968*1,1</t>
  </si>
  <si>
    <t>116</t>
  </si>
  <si>
    <t>998781102R00</t>
  </si>
  <si>
    <t>Přesun hmot pro obklady keramické, výšky do 12 m</t>
  </si>
  <si>
    <t>783</t>
  </si>
  <si>
    <t>Nátěry</t>
  </si>
  <si>
    <t>117</t>
  </si>
  <si>
    <t>783222100RV1</t>
  </si>
  <si>
    <t>Nátěr syntetický kovových konstrukcí dvojnásobný</t>
  </si>
  <si>
    <t>783_</t>
  </si>
  <si>
    <t>zárubně - dle standardů</t>
  </si>
  <si>
    <t>118</t>
  </si>
  <si>
    <t>7836</t>
  </si>
  <si>
    <t>Očištění radiátorů před nátěrem</t>
  </si>
  <si>
    <t>119</t>
  </si>
  <si>
    <t>783324140R00</t>
  </si>
  <si>
    <t>Nátěr syntetický litin. radiátorů 1x + 1x email</t>
  </si>
  <si>
    <t>784</t>
  </si>
  <si>
    <t>Malby</t>
  </si>
  <si>
    <t>120</t>
  </si>
  <si>
    <t>784402801R00</t>
  </si>
  <si>
    <t>Odstranění malby oškrábáním v místnosti H do 3,8 m</t>
  </si>
  <si>
    <t>784_</t>
  </si>
  <si>
    <t>57,22</t>
  </si>
  <si>
    <t>strop</t>
  </si>
  <si>
    <t>134,796</t>
  </si>
  <si>
    <t>stěny</t>
  </si>
  <si>
    <t>121</t>
  </si>
  <si>
    <t>784161401R00</t>
  </si>
  <si>
    <t>Penetrace podkladu nátěrem , 1 x</t>
  </si>
  <si>
    <t>122</t>
  </si>
  <si>
    <t>784165512R00</t>
  </si>
  <si>
    <t>Malba bílá, bez penetrace, 2 x - dle standardů</t>
  </si>
  <si>
    <t>58+159</t>
  </si>
  <si>
    <t>M21</t>
  </si>
  <si>
    <t>Elektromontáže</t>
  </si>
  <si>
    <t>123</t>
  </si>
  <si>
    <t>210. 1</t>
  </si>
  <si>
    <t>Montáž sporáku</t>
  </si>
  <si>
    <t>M21_</t>
  </si>
  <si>
    <t>124</t>
  </si>
  <si>
    <t>210. 2</t>
  </si>
  <si>
    <t>Sporák elektrický</t>
  </si>
  <si>
    <t>125</t>
  </si>
  <si>
    <t>210. 3</t>
  </si>
  <si>
    <t>D + M elektroinstalace dle PD</t>
  </si>
  <si>
    <t>126</t>
  </si>
  <si>
    <t>210. 4</t>
  </si>
  <si>
    <t>D + M požární hlásič bateriový - životnost baterie min. 5 let</t>
  </si>
  <si>
    <t>127</t>
  </si>
  <si>
    <t>210. 5</t>
  </si>
  <si>
    <t>Dod + montáž digestoře</t>
  </si>
  <si>
    <t>VORN</t>
  </si>
  <si>
    <t>03VRN</t>
  </si>
  <si>
    <t>128</t>
  </si>
  <si>
    <t>030001VRN</t>
  </si>
  <si>
    <t>Soubor</t>
  </si>
  <si>
    <t>03VRN_</t>
  </si>
  <si>
    <t>_Â _</t>
  </si>
  <si>
    <t>06VRN</t>
  </si>
  <si>
    <t>129</t>
  </si>
  <si>
    <t>065002VRN</t>
  </si>
  <si>
    <t>Mimostaveništní doprava</t>
  </si>
  <si>
    <t>06VRN_</t>
  </si>
</sst>
</file>

<file path=xl/styles.xml><?xml version="1.0" encoding="utf-8"?>
<styleSheet xmlns="http://schemas.openxmlformats.org/spreadsheetml/2006/main">
  <fonts count="15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sz val="10"/>
      <color rgb="FF400040"/>
      <name val="Arial"/>
      <charset val="238"/>
    </font>
    <font>
      <b/>
      <sz val="10"/>
      <color rgb="FF400040"/>
      <name val="Arial"/>
      <charset val="238"/>
    </font>
    <font>
      <i/>
      <sz val="10"/>
      <color rgb="FF400040"/>
      <name val="Arial"/>
      <charset val="238"/>
    </font>
    <font>
      <i/>
      <sz val="10"/>
      <color rgb="FF0000FF"/>
      <name val="Arial"/>
      <charset val="238"/>
    </font>
    <font>
      <i/>
      <sz val="10"/>
      <color rgb="FF00000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EAEAEA"/>
        <bgColor rgb="FFEAEAEA"/>
      </patternFill>
    </fill>
    <fill>
      <patternFill patternType="solid">
        <fgColor rgb="FFCCFFFF"/>
        <bgColor rgb="FFCCFFFF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4" fontId="8" fillId="0" borderId="16" xfId="0" applyNumberFormat="1" applyFont="1" applyFill="1" applyBorder="1" applyAlignment="1" applyProtection="1">
      <alignment horizontal="right" vertical="center"/>
    </xf>
    <xf numFmtId="0" fontId="8" fillId="0" borderId="16" xfId="0" applyNumberFormat="1" applyFont="1" applyFill="1" applyBorder="1" applyAlignment="1" applyProtection="1">
      <alignment horizontal="right" vertical="center"/>
    </xf>
    <xf numFmtId="0" fontId="7" fillId="0" borderId="19" xfId="0" applyNumberFormat="1" applyFont="1" applyFill="1" applyBorder="1" applyAlignment="1" applyProtection="1">
      <alignment horizontal="left" vertical="center"/>
    </xf>
    <xf numFmtId="4" fontId="8" fillId="0" borderId="23" xfId="0" applyNumberFormat="1" applyFont="1" applyFill="1" applyBorder="1" applyAlignment="1" applyProtection="1">
      <alignment horizontal="right" vertical="center"/>
    </xf>
    <xf numFmtId="0" fontId="8" fillId="0" borderId="23" xfId="0" applyNumberFormat="1" applyFont="1" applyFill="1" applyBorder="1" applyAlignment="1" applyProtection="1">
      <alignment horizontal="right" vertical="center"/>
    </xf>
    <xf numFmtId="4" fontId="8" fillId="0" borderId="14" xfId="0" applyNumberFormat="1" applyFont="1" applyFill="1" applyBorder="1" applyAlignment="1" applyProtection="1">
      <alignment horizontal="right" vertical="center"/>
    </xf>
    <xf numFmtId="4" fontId="8" fillId="0" borderId="26" xfId="0" applyNumberFormat="1" applyFont="1" applyFill="1" applyBorder="1" applyAlignment="1" applyProtection="1">
      <alignment horizontal="right" vertical="center"/>
    </xf>
    <xf numFmtId="4" fontId="7" fillId="2" borderId="13" xfId="0" applyNumberFormat="1" applyFont="1" applyFill="1" applyBorder="1" applyAlignment="1" applyProtection="1">
      <alignment horizontal="right" vertical="center"/>
    </xf>
    <xf numFmtId="4" fontId="7" fillId="2" borderId="18" xfId="0" applyNumberFormat="1" applyFont="1" applyFill="1" applyBorder="1" applyAlignment="1" applyProtection="1">
      <alignment horizontal="right" vertical="center"/>
    </xf>
    <xf numFmtId="0" fontId="9" fillId="0" borderId="40" xfId="0" applyNumberFormat="1" applyFont="1" applyFill="1" applyBorder="1" applyAlignment="1" applyProtection="1">
      <alignment horizontal="left" vertical="center"/>
    </xf>
    <xf numFmtId="0" fontId="3" fillId="0" borderId="4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" fontId="2" fillId="0" borderId="49" xfId="0" applyNumberFormat="1" applyFont="1" applyFill="1" applyBorder="1" applyAlignment="1" applyProtection="1">
      <alignment horizontal="right" vertical="center"/>
    </xf>
    <xf numFmtId="0" fontId="2" fillId="0" borderId="49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right" vertical="center"/>
    </xf>
    <xf numFmtId="4" fontId="3" fillId="0" borderId="53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0" borderId="56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center" vertical="center"/>
    </xf>
    <xf numFmtId="0" fontId="3" fillId="3" borderId="60" xfId="0" applyNumberFormat="1" applyFont="1" applyFill="1" applyBorder="1" applyAlignment="1" applyProtection="1">
      <alignment horizontal="center" vertical="center"/>
      <protection locked="0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0" fillId="0" borderId="62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63" xfId="0" applyNumberFormat="1" applyFont="1" applyFill="1" applyBorder="1" applyAlignment="1" applyProtection="1">
      <alignment horizontal="left" vertical="center"/>
    </xf>
    <xf numFmtId="0" fontId="2" fillId="0" borderId="64" xfId="0" applyNumberFormat="1" applyFont="1" applyFill="1" applyBorder="1" applyAlignment="1" applyProtection="1">
      <alignment horizontal="left" vertical="center"/>
    </xf>
    <xf numFmtId="0" fontId="3" fillId="3" borderId="64" xfId="0" applyNumberFormat="1" applyFont="1" applyFill="1" applyBorder="1" applyAlignment="1" applyProtection="1">
      <alignment horizontal="center" vertical="center"/>
      <protection locked="0"/>
    </xf>
    <xf numFmtId="0" fontId="3" fillId="0" borderId="67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/>
    <xf numFmtId="0" fontId="10" fillId="4" borderId="68" xfId="0" applyNumberFormat="1" applyFont="1" applyFill="1" applyBorder="1" applyAlignment="1" applyProtection="1">
      <alignment horizontal="left" vertical="center"/>
    </xf>
    <xf numFmtId="0" fontId="11" fillId="4" borderId="40" xfId="0" applyNumberFormat="1" applyFont="1" applyFill="1" applyBorder="1" applyAlignment="1" applyProtection="1">
      <alignment horizontal="left" vertical="center"/>
    </xf>
    <xf numFmtId="0" fontId="10" fillId="4" borderId="40" xfId="0" applyNumberFormat="1" applyFont="1" applyFill="1" applyBorder="1" applyAlignment="1" applyProtection="1">
      <alignment horizontal="left" vertical="center"/>
    </xf>
    <xf numFmtId="0" fontId="10" fillId="5" borderId="40" xfId="0" applyNumberFormat="1" applyFont="1" applyFill="1" applyBorder="1" applyAlignment="1" applyProtection="1">
      <alignment horizontal="left" vertical="center"/>
      <protection locked="0"/>
    </xf>
    <xf numFmtId="4" fontId="11" fillId="4" borderId="40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5" borderId="0" xfId="0" applyNumberFormat="1" applyFont="1" applyFill="1" applyBorder="1" applyAlignment="1" applyProtection="1">
      <alignment horizontal="left" vertical="center"/>
      <protection locked="0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4" fontId="2" fillId="3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4" fontId="3" fillId="0" borderId="69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7" fillId="0" borderId="20" xfId="0" applyNumberFormat="1" applyFont="1" applyFill="1" applyBorder="1" applyAlignment="1" applyProtection="1">
      <alignment horizontal="left" vertical="center"/>
    </xf>
    <xf numFmtId="0" fontId="7" fillId="0" borderId="18" xfId="0" applyNumberFormat="1" applyFont="1" applyFill="1" applyBorder="1" applyAlignment="1" applyProtection="1">
      <alignment horizontal="left" vertical="center"/>
    </xf>
    <xf numFmtId="0" fontId="7" fillId="0" borderId="21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left" vertical="center"/>
    </xf>
    <xf numFmtId="0" fontId="7" fillId="0" borderId="25" xfId="0" applyNumberFormat="1" applyFont="1" applyFill="1" applyBorder="1" applyAlignment="1" applyProtection="1">
      <alignment horizontal="left" vertical="center"/>
    </xf>
    <xf numFmtId="0" fontId="7" fillId="0" borderId="13" xfId="0" applyNumberFormat="1" applyFont="1" applyFill="1" applyBorder="1" applyAlignment="1" applyProtection="1">
      <alignment horizontal="left" vertical="center"/>
    </xf>
    <xf numFmtId="0" fontId="8" fillId="0" borderId="17" xfId="0" applyNumberFormat="1" applyFont="1" applyFill="1" applyBorder="1" applyAlignment="1" applyProtection="1">
      <alignment horizontal="left" vertical="center"/>
    </xf>
    <xf numFmtId="0" fontId="8" fillId="0" borderId="18" xfId="0" applyNumberFormat="1" applyFont="1" applyFill="1" applyBorder="1" applyAlignment="1" applyProtection="1">
      <alignment horizontal="left" vertical="center"/>
    </xf>
    <xf numFmtId="0" fontId="8" fillId="0" borderId="24" xfId="0" applyNumberFormat="1" applyFont="1" applyFill="1" applyBorder="1" applyAlignment="1" applyProtection="1">
      <alignment horizontal="left" vertical="center"/>
    </xf>
    <xf numFmtId="0" fontId="8" fillId="0" borderId="22" xfId="0" applyNumberFormat="1" applyFont="1" applyFill="1" applyBorder="1" applyAlignment="1" applyProtection="1">
      <alignment horizontal="left" vertical="center"/>
    </xf>
    <xf numFmtId="0" fontId="7" fillId="0" borderId="12" xfId="0" applyNumberFormat="1" applyFont="1" applyFill="1" applyBorder="1" applyAlignment="1" applyProtection="1">
      <alignment horizontal="left" vertical="center"/>
    </xf>
    <xf numFmtId="0" fontId="7" fillId="0" borderId="17" xfId="0" applyNumberFormat="1" applyFont="1" applyFill="1" applyBorder="1" applyAlignment="1" applyProtection="1">
      <alignment horizontal="left" vertical="center"/>
    </xf>
    <xf numFmtId="0" fontId="7" fillId="2" borderId="25" xfId="0" applyNumberFormat="1" applyFont="1" applyFill="1" applyBorder="1" applyAlignment="1" applyProtection="1">
      <alignment horizontal="left" vertical="center"/>
    </xf>
    <xf numFmtId="0" fontId="7" fillId="2" borderId="27" xfId="0" applyNumberFormat="1" applyFont="1" applyFill="1" applyBorder="1" applyAlignment="1" applyProtection="1">
      <alignment horizontal="left" vertical="center"/>
    </xf>
    <xf numFmtId="0" fontId="7" fillId="2" borderId="20" xfId="0" applyNumberFormat="1" applyFont="1" applyFill="1" applyBorder="1" applyAlignment="1" applyProtection="1">
      <alignment horizontal="left" vertical="center"/>
    </xf>
    <xf numFmtId="0" fontId="7" fillId="2" borderId="28" xfId="0" applyNumberFormat="1" applyFont="1" applyFill="1" applyBorder="1" applyAlignment="1" applyProtection="1">
      <alignment horizontal="left" vertical="center"/>
    </xf>
    <xf numFmtId="0" fontId="7" fillId="2" borderId="12" xfId="0" applyNumberFormat="1" applyFont="1" applyFill="1" applyBorder="1" applyAlignment="1" applyProtection="1">
      <alignment horizontal="left" vertical="center"/>
    </xf>
    <xf numFmtId="0" fontId="7" fillId="2" borderId="17" xfId="0" applyNumberFormat="1" applyFont="1" applyFill="1" applyBorder="1" applyAlignment="1" applyProtection="1">
      <alignment horizontal="left" vertical="center"/>
    </xf>
    <xf numFmtId="0" fontId="8" fillId="0" borderId="29" xfId="0" applyNumberFormat="1" applyFont="1" applyFill="1" applyBorder="1" applyAlignment="1" applyProtection="1">
      <alignment horizontal="left" vertical="center"/>
    </xf>
    <xf numFmtId="0" fontId="8" fillId="0" borderId="30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34" xfId="0" applyNumberFormat="1" applyFont="1" applyFill="1" applyBorder="1" applyAlignment="1" applyProtection="1">
      <alignment horizontal="left" vertical="center"/>
    </xf>
    <xf numFmtId="0" fontId="8" fillId="0" borderId="36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8" fillId="0" borderId="32" xfId="0" applyNumberFormat="1" applyFont="1" applyFill="1" applyBorder="1" applyAlignment="1" applyProtection="1">
      <alignment horizontal="left" vertical="center"/>
    </xf>
    <xf numFmtId="0" fontId="8" fillId="0" borderId="35" xfId="0" applyNumberFormat="1" applyFont="1" applyFill="1" applyBorder="1" applyAlignment="1" applyProtection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7" fillId="0" borderId="41" xfId="0" applyNumberFormat="1" applyFont="1" applyFill="1" applyBorder="1" applyAlignment="1" applyProtection="1">
      <alignment horizontal="left" vertical="center"/>
    </xf>
    <xf numFmtId="0" fontId="3" fillId="0" borderId="42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44" xfId="0" applyNumberFormat="1" applyFont="1" applyFill="1" applyBorder="1" applyAlignment="1" applyProtection="1">
      <alignment horizontal="left" vertical="center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2" fillId="0" borderId="46" xfId="0" applyNumberFormat="1" applyFont="1" applyFill="1" applyBorder="1" applyAlignment="1" applyProtection="1">
      <alignment horizontal="left" vertical="center"/>
    </xf>
    <xf numFmtId="0" fontId="2" fillId="0" borderId="47" xfId="0" applyNumberFormat="1" applyFont="1" applyFill="1" applyBorder="1" applyAlignment="1" applyProtection="1">
      <alignment horizontal="left" vertical="center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3" fillId="0" borderId="51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left" vertical="center"/>
    </xf>
    <xf numFmtId="0" fontId="7" fillId="0" borderId="50" xfId="0" applyNumberFormat="1" applyFont="1" applyFill="1" applyBorder="1" applyAlignment="1" applyProtection="1">
      <alignment horizontal="left" vertical="center"/>
    </xf>
    <xf numFmtId="0" fontId="7" fillId="0" borderId="51" xfId="0" applyNumberFormat="1" applyFont="1" applyFill="1" applyBorder="1" applyAlignment="1" applyProtection="1">
      <alignment horizontal="left" vertical="center"/>
    </xf>
    <xf numFmtId="0" fontId="7" fillId="0" borderId="52" xfId="0" applyNumberFormat="1" applyFont="1" applyFill="1" applyBorder="1" applyAlignment="1" applyProtection="1">
      <alignment horizontal="left" vertical="center"/>
    </xf>
    <xf numFmtId="4" fontId="7" fillId="0" borderId="54" xfId="0" applyNumberFormat="1" applyFont="1" applyFill="1" applyBorder="1" applyAlignment="1" applyProtection="1">
      <alignment horizontal="right" vertical="center"/>
    </xf>
    <xf numFmtId="0" fontId="7" fillId="0" borderId="51" xfId="0" applyNumberFormat="1" applyFont="1" applyFill="1" applyBorder="1" applyAlignment="1" applyProtection="1">
      <alignment horizontal="right" vertical="center"/>
    </xf>
    <xf numFmtId="0" fontId="7" fillId="0" borderId="52" xfId="0" applyNumberFormat="1" applyFont="1" applyFill="1" applyBorder="1" applyAlignment="1" applyProtection="1">
      <alignment horizontal="right" vertical="center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3" borderId="3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3" borderId="41" xfId="0" applyNumberFormat="1" applyFont="1" applyFill="1" applyBorder="1" applyAlignment="1" applyProtection="1">
      <alignment horizontal="left" vertical="center"/>
      <protection locked="0"/>
    </xf>
    <xf numFmtId="0" fontId="2" fillId="3" borderId="6" xfId="0" applyNumberFormat="1" applyFont="1" applyFill="1" applyBorder="1" applyAlignment="1" applyProtection="1">
      <alignment horizontal="left" vertical="center"/>
      <protection locked="0"/>
    </xf>
    <xf numFmtId="0" fontId="2" fillId="3" borderId="8" xfId="0" applyNumberFormat="1" applyFont="1" applyFill="1" applyBorder="1" applyAlignment="1" applyProtection="1">
      <alignment horizontal="left" vertical="center"/>
      <protection locked="0"/>
    </xf>
    <xf numFmtId="0" fontId="2" fillId="3" borderId="9" xfId="0" applyNumberFormat="1" applyFont="1" applyFill="1" applyBorder="1" applyAlignment="1" applyProtection="1">
      <alignment horizontal="left" vertical="center"/>
      <protection locked="0"/>
    </xf>
    <xf numFmtId="0" fontId="3" fillId="0" borderId="58" xfId="0" applyNumberFormat="1" applyFont="1" applyFill="1" applyBorder="1" applyAlignment="1" applyProtection="1">
      <alignment horizontal="left" vertical="center"/>
    </xf>
    <xf numFmtId="0" fontId="3" fillId="0" borderId="59" xfId="0" applyNumberFormat="1" applyFont="1" applyFill="1" applyBorder="1" applyAlignment="1" applyProtection="1">
      <alignment horizontal="left" vertical="center"/>
    </xf>
    <xf numFmtId="0" fontId="3" fillId="0" borderId="65" xfId="0" applyNumberFormat="1" applyFont="1" applyFill="1" applyBorder="1" applyAlignment="1" applyProtection="1">
      <alignment horizontal="left" vertical="center"/>
    </xf>
    <xf numFmtId="0" fontId="3" fillId="0" borderId="66" xfId="0" applyNumberFormat="1" applyFont="1" applyFill="1" applyBorder="1" applyAlignment="1" applyProtection="1">
      <alignment horizontal="left" vertical="center"/>
    </xf>
    <xf numFmtId="0" fontId="11" fillId="4" borderId="40" xfId="0" applyNumberFormat="1" applyFont="1" applyFill="1" applyBorder="1" applyAlignment="1" applyProtection="1">
      <alignment horizontal="left" vertical="center" wrapText="1"/>
    </xf>
    <xf numFmtId="0" fontId="11" fillId="4" borderId="4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3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6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tabSelected="1" workbookViewId="0">
      <selection activeCell="A37" sqref="A37:I37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</row>
    <row r="2" spans="1:9">
      <c r="A2" s="67" t="s">
        <v>1</v>
      </c>
      <c r="B2" s="68"/>
      <c r="C2" s="76" t="str">
        <f>'Stavební rozpočet'!C2</f>
        <v>140-2024 Haškova 2169/8 byt č. 14  2+1</v>
      </c>
      <c r="D2" s="77"/>
      <c r="E2" s="74" t="s">
        <v>2</v>
      </c>
      <c r="F2" s="74" t="str">
        <f>'Stavební rozpočet'!I2</f>
        <v> </v>
      </c>
      <c r="G2" s="68"/>
      <c r="H2" s="74" t="s">
        <v>3</v>
      </c>
      <c r="I2" s="79" t="s">
        <v>4</v>
      </c>
    </row>
    <row r="3" spans="1:9" ht="15" customHeight="1">
      <c r="A3" s="69"/>
      <c r="B3" s="70"/>
      <c r="C3" s="78"/>
      <c r="D3" s="78"/>
      <c r="E3" s="70"/>
      <c r="F3" s="70"/>
      <c r="G3" s="70"/>
      <c r="H3" s="70"/>
      <c r="I3" s="80"/>
    </row>
    <row r="4" spans="1:9">
      <c r="A4" s="71" t="s">
        <v>5</v>
      </c>
      <c r="B4" s="70"/>
      <c r="C4" s="75" t="str">
        <f>'Stavební rozpočet'!C4</f>
        <v>Stavební úpravy bytu 2+1</v>
      </c>
      <c r="D4" s="70"/>
      <c r="E4" s="75" t="s">
        <v>6</v>
      </c>
      <c r="F4" s="75" t="str">
        <f>'Stavební rozpočet'!I4</f>
        <v> </v>
      </c>
      <c r="G4" s="70"/>
      <c r="H4" s="75" t="s">
        <v>3</v>
      </c>
      <c r="I4" s="80" t="s">
        <v>4</v>
      </c>
    </row>
    <row r="5" spans="1:9" ht="15" customHeight="1">
      <c r="A5" s="69"/>
      <c r="B5" s="70"/>
      <c r="C5" s="70"/>
      <c r="D5" s="70"/>
      <c r="E5" s="70"/>
      <c r="F5" s="70"/>
      <c r="G5" s="70"/>
      <c r="H5" s="70"/>
      <c r="I5" s="80"/>
    </row>
    <row r="6" spans="1:9">
      <c r="A6" s="71" t="s">
        <v>7</v>
      </c>
      <c r="B6" s="70"/>
      <c r="C6" s="75" t="str">
        <f>'Stavební rozpočet'!C6</f>
        <v xml:space="preserve"> </v>
      </c>
      <c r="D6" s="70"/>
      <c r="E6" s="75" t="s">
        <v>8</v>
      </c>
      <c r="F6" s="75" t="str">
        <f>'Stavební rozpočet'!I6</f>
        <v> </v>
      </c>
      <c r="G6" s="70"/>
      <c r="H6" s="75" t="s">
        <v>3</v>
      </c>
      <c r="I6" s="80" t="s">
        <v>4</v>
      </c>
    </row>
    <row r="7" spans="1:9" ht="15" customHeight="1">
      <c r="A7" s="69"/>
      <c r="B7" s="70"/>
      <c r="C7" s="70"/>
      <c r="D7" s="70"/>
      <c r="E7" s="70"/>
      <c r="F7" s="70"/>
      <c r="G7" s="70"/>
      <c r="H7" s="70"/>
      <c r="I7" s="80"/>
    </row>
    <row r="8" spans="1:9">
      <c r="A8" s="71" t="s">
        <v>9</v>
      </c>
      <c r="B8" s="70"/>
      <c r="C8" s="75" t="str">
        <f>'Stavební rozpočet'!G4</f>
        <v xml:space="preserve"> </v>
      </c>
      <c r="D8" s="70"/>
      <c r="E8" s="75" t="s">
        <v>10</v>
      </c>
      <c r="F8" s="75" t="str">
        <f>'Stavební rozpočet'!G6</f>
        <v xml:space="preserve"> </v>
      </c>
      <c r="G8" s="70"/>
      <c r="H8" s="70" t="s">
        <v>11</v>
      </c>
      <c r="I8" s="81">
        <v>129</v>
      </c>
    </row>
    <row r="9" spans="1:9">
      <c r="A9" s="69"/>
      <c r="B9" s="70"/>
      <c r="C9" s="70"/>
      <c r="D9" s="70"/>
      <c r="E9" s="70"/>
      <c r="F9" s="70"/>
      <c r="G9" s="70"/>
      <c r="H9" s="70"/>
      <c r="I9" s="80"/>
    </row>
    <row r="10" spans="1:9">
      <c r="A10" s="71" t="s">
        <v>12</v>
      </c>
      <c r="B10" s="70"/>
      <c r="C10" s="75" t="str">
        <f>'Stavební rozpočet'!C8</f>
        <v xml:space="preserve"> </v>
      </c>
      <c r="D10" s="70"/>
      <c r="E10" s="75" t="s">
        <v>13</v>
      </c>
      <c r="F10" s="75" t="str">
        <f>'Stavební rozpočet'!I8</f>
        <v> </v>
      </c>
      <c r="G10" s="70"/>
      <c r="H10" s="70" t="s">
        <v>14</v>
      </c>
      <c r="I10" s="82">
        <f>'Stavební rozpočet'!G8</f>
        <v>0</v>
      </c>
    </row>
    <row r="11" spans="1:9">
      <c r="A11" s="72"/>
      <c r="B11" s="73"/>
      <c r="C11" s="73"/>
      <c r="D11" s="73"/>
      <c r="E11" s="73"/>
      <c r="F11" s="73"/>
      <c r="G11" s="73"/>
      <c r="H11" s="73"/>
      <c r="I11" s="83"/>
    </row>
    <row r="12" spans="1:9" ht="23.25">
      <c r="A12" s="84" t="s">
        <v>15</v>
      </c>
      <c r="B12" s="84"/>
      <c r="C12" s="84"/>
      <c r="D12" s="84"/>
      <c r="E12" s="84"/>
      <c r="F12" s="84"/>
      <c r="G12" s="84"/>
      <c r="H12" s="84"/>
      <c r="I12" s="84"/>
    </row>
    <row r="13" spans="1:9" ht="26.25" customHeight="1">
      <c r="A13" s="6" t="s">
        <v>16</v>
      </c>
      <c r="B13" s="85" t="s">
        <v>17</v>
      </c>
      <c r="C13" s="86"/>
      <c r="D13" s="7" t="s">
        <v>18</v>
      </c>
      <c r="E13" s="85" t="s">
        <v>19</v>
      </c>
      <c r="F13" s="86"/>
      <c r="G13" s="7" t="s">
        <v>20</v>
      </c>
      <c r="H13" s="85" t="s">
        <v>21</v>
      </c>
      <c r="I13" s="86"/>
    </row>
    <row r="14" spans="1:9" ht="15.75">
      <c r="A14" s="8" t="s">
        <v>22</v>
      </c>
      <c r="B14" s="9" t="s">
        <v>23</v>
      </c>
      <c r="C14" s="10">
        <f>SUM('Stavební rozpočet'!AB12:AB263)</f>
        <v>0</v>
      </c>
      <c r="D14" s="93" t="s">
        <v>24</v>
      </c>
      <c r="E14" s="94"/>
      <c r="F14" s="10">
        <f>VORN!I15</f>
        <v>0</v>
      </c>
      <c r="G14" s="93" t="s">
        <v>25</v>
      </c>
      <c r="H14" s="94"/>
      <c r="I14" s="11">
        <f>VORN!I21</f>
        <v>0</v>
      </c>
    </row>
    <row r="15" spans="1:9" ht="15.75">
      <c r="A15" s="12" t="s">
        <v>4</v>
      </c>
      <c r="B15" s="9" t="s">
        <v>26</v>
      </c>
      <c r="C15" s="10">
        <f>SUM('Stavební rozpočet'!AC12:AC263)</f>
        <v>0</v>
      </c>
      <c r="D15" s="93" t="s">
        <v>27</v>
      </c>
      <c r="E15" s="94"/>
      <c r="F15" s="10">
        <f>VORN!I16</f>
        <v>0</v>
      </c>
      <c r="G15" s="93" t="s">
        <v>28</v>
      </c>
      <c r="H15" s="94"/>
      <c r="I15" s="11">
        <f>VORN!I22</f>
        <v>0</v>
      </c>
    </row>
    <row r="16" spans="1:9" ht="15.75">
      <c r="A16" s="8" t="s">
        <v>29</v>
      </c>
      <c r="B16" s="9" t="s">
        <v>23</v>
      </c>
      <c r="C16" s="10">
        <f>SUM('Stavební rozpočet'!AD12:AD263)</f>
        <v>0</v>
      </c>
      <c r="D16" s="93" t="s">
        <v>30</v>
      </c>
      <c r="E16" s="94"/>
      <c r="F16" s="10">
        <f>VORN!I17</f>
        <v>0</v>
      </c>
      <c r="G16" s="93" t="s">
        <v>31</v>
      </c>
      <c r="H16" s="94"/>
      <c r="I16" s="11">
        <f>VORN!I23</f>
        <v>0</v>
      </c>
    </row>
    <row r="17" spans="1:9" ht="15.75">
      <c r="A17" s="12" t="s">
        <v>4</v>
      </c>
      <c r="B17" s="9" t="s">
        <v>26</v>
      </c>
      <c r="C17" s="10">
        <f>SUM('Stavební rozpočet'!AE12:AE263)</f>
        <v>0</v>
      </c>
      <c r="D17" s="93" t="s">
        <v>4</v>
      </c>
      <c r="E17" s="94"/>
      <c r="F17" s="11" t="s">
        <v>4</v>
      </c>
      <c r="G17" s="93" t="s">
        <v>32</v>
      </c>
      <c r="H17" s="94"/>
      <c r="I17" s="11">
        <f>VORN!I24</f>
        <v>0</v>
      </c>
    </row>
    <row r="18" spans="1:9" ht="15.75">
      <c r="A18" s="8" t="s">
        <v>33</v>
      </c>
      <c r="B18" s="9" t="s">
        <v>23</v>
      </c>
      <c r="C18" s="10">
        <f>SUM('Stavební rozpočet'!AF12:AF263)</f>
        <v>0</v>
      </c>
      <c r="D18" s="93" t="s">
        <v>4</v>
      </c>
      <c r="E18" s="94"/>
      <c r="F18" s="11" t="s">
        <v>4</v>
      </c>
      <c r="G18" s="93" t="s">
        <v>34</v>
      </c>
      <c r="H18" s="94"/>
      <c r="I18" s="11">
        <f>VORN!I25</f>
        <v>0</v>
      </c>
    </row>
    <row r="19" spans="1:9" ht="15.75">
      <c r="A19" s="12" t="s">
        <v>4</v>
      </c>
      <c r="B19" s="9" t="s">
        <v>26</v>
      </c>
      <c r="C19" s="10">
        <f>SUM('Stavební rozpočet'!AG12:AG263)</f>
        <v>0</v>
      </c>
      <c r="D19" s="93" t="s">
        <v>4</v>
      </c>
      <c r="E19" s="94"/>
      <c r="F19" s="11" t="s">
        <v>4</v>
      </c>
      <c r="G19" s="93" t="s">
        <v>35</v>
      </c>
      <c r="H19" s="94"/>
      <c r="I19" s="11">
        <f>VORN!I26</f>
        <v>0</v>
      </c>
    </row>
    <row r="20" spans="1:9" ht="15.75">
      <c r="A20" s="87" t="s">
        <v>36</v>
      </c>
      <c r="B20" s="88"/>
      <c r="C20" s="10">
        <f>SUM('Stavební rozpočet'!AH12:AH263)</f>
        <v>0</v>
      </c>
      <c r="D20" s="93" t="s">
        <v>4</v>
      </c>
      <c r="E20" s="94"/>
      <c r="F20" s="11" t="s">
        <v>4</v>
      </c>
      <c r="G20" s="93" t="s">
        <v>4</v>
      </c>
      <c r="H20" s="94"/>
      <c r="I20" s="11" t="s">
        <v>4</v>
      </c>
    </row>
    <row r="21" spans="1:9" ht="15.75">
      <c r="A21" s="89" t="s">
        <v>37</v>
      </c>
      <c r="B21" s="90"/>
      <c r="C21" s="13">
        <f>SUM('Stavební rozpočet'!Z12:Z263)</f>
        <v>0</v>
      </c>
      <c r="D21" s="95" t="s">
        <v>4</v>
      </c>
      <c r="E21" s="96"/>
      <c r="F21" s="14" t="s">
        <v>4</v>
      </c>
      <c r="G21" s="95" t="s">
        <v>4</v>
      </c>
      <c r="H21" s="96"/>
      <c r="I21" s="14" t="s">
        <v>4</v>
      </c>
    </row>
    <row r="22" spans="1:9" ht="16.5" customHeight="1">
      <c r="A22" s="91" t="s">
        <v>38</v>
      </c>
      <c r="B22" s="92"/>
      <c r="C22" s="15">
        <f>SUM(C14:C21)</f>
        <v>0</v>
      </c>
      <c r="D22" s="97" t="s">
        <v>39</v>
      </c>
      <c r="E22" s="92"/>
      <c r="F22" s="15">
        <f>SUM(F14:F21)</f>
        <v>0</v>
      </c>
      <c r="G22" s="97" t="s">
        <v>40</v>
      </c>
      <c r="H22" s="92"/>
      <c r="I22" s="15">
        <f>SUM(I14:I21)</f>
        <v>0</v>
      </c>
    </row>
    <row r="23" spans="1:9" ht="15.75">
      <c r="D23" s="87" t="s">
        <v>41</v>
      </c>
      <c r="E23" s="88"/>
      <c r="F23" s="16">
        <v>0</v>
      </c>
      <c r="G23" s="98" t="s">
        <v>42</v>
      </c>
      <c r="H23" s="88"/>
      <c r="I23" s="10">
        <v>0</v>
      </c>
    </row>
    <row r="24" spans="1:9" ht="15.75">
      <c r="G24" s="87" t="s">
        <v>43</v>
      </c>
      <c r="H24" s="88"/>
      <c r="I24" s="13">
        <f>vorn_sum</f>
        <v>0</v>
      </c>
    </row>
    <row r="25" spans="1:9" ht="15.75">
      <c r="G25" s="87" t="s">
        <v>44</v>
      </c>
      <c r="H25" s="88"/>
      <c r="I25" s="15">
        <v>0</v>
      </c>
    </row>
    <row r="27" spans="1:9" ht="15.75">
      <c r="A27" s="99" t="s">
        <v>45</v>
      </c>
      <c r="B27" s="100"/>
      <c r="C27" s="17">
        <f>SUM('Stavební rozpočet'!AJ12:AJ263)</f>
        <v>0</v>
      </c>
    </row>
    <row r="28" spans="1:9" ht="15.75">
      <c r="A28" s="101" t="s">
        <v>46</v>
      </c>
      <c r="B28" s="102"/>
      <c r="C28" s="18">
        <f>SUM('Stavební rozpočet'!AK12:AK263)</f>
        <v>0</v>
      </c>
      <c r="D28" s="103" t="s">
        <v>47</v>
      </c>
      <c r="E28" s="100"/>
      <c r="F28" s="17">
        <f>ROUND(C28*(12/100),2)</f>
        <v>0</v>
      </c>
      <c r="G28" s="103" t="s">
        <v>48</v>
      </c>
      <c r="H28" s="100"/>
      <c r="I28" s="17">
        <f>SUM(C27:C29)</f>
        <v>0</v>
      </c>
    </row>
    <row r="29" spans="1:9" ht="15.75">
      <c r="A29" s="101" t="s">
        <v>49</v>
      </c>
      <c r="B29" s="102"/>
      <c r="C29" s="18">
        <f>SUM('Stavební rozpočet'!AL12:AL263)</f>
        <v>0</v>
      </c>
      <c r="D29" s="104" t="s">
        <v>50</v>
      </c>
      <c r="E29" s="102"/>
      <c r="F29" s="18">
        <f>ROUND(C29*(21/100),2)</f>
        <v>0</v>
      </c>
      <c r="G29" s="104" t="s">
        <v>51</v>
      </c>
      <c r="H29" s="102"/>
      <c r="I29" s="18">
        <f>ROUND(SUM(F28:F29)+I28,0)</f>
        <v>0</v>
      </c>
    </row>
    <row r="31" spans="1:9">
      <c r="A31" s="105" t="s">
        <v>52</v>
      </c>
      <c r="B31" s="106"/>
      <c r="C31" s="107"/>
      <c r="D31" s="114" t="s">
        <v>53</v>
      </c>
      <c r="E31" s="106"/>
      <c r="F31" s="107"/>
      <c r="G31" s="114" t="s">
        <v>54</v>
      </c>
      <c r="H31" s="106"/>
      <c r="I31" s="107"/>
    </row>
    <row r="32" spans="1:9">
      <c r="A32" s="108" t="s">
        <v>4</v>
      </c>
      <c r="B32" s="109"/>
      <c r="C32" s="110"/>
      <c r="D32" s="115" t="s">
        <v>4</v>
      </c>
      <c r="E32" s="109"/>
      <c r="F32" s="110"/>
      <c r="G32" s="115" t="s">
        <v>4</v>
      </c>
      <c r="H32" s="109"/>
      <c r="I32" s="110"/>
    </row>
    <row r="33" spans="1:9">
      <c r="A33" s="108" t="s">
        <v>4</v>
      </c>
      <c r="B33" s="109"/>
      <c r="C33" s="110"/>
      <c r="D33" s="115" t="s">
        <v>4</v>
      </c>
      <c r="E33" s="109"/>
      <c r="F33" s="110"/>
      <c r="G33" s="115" t="s">
        <v>4</v>
      </c>
      <c r="H33" s="109"/>
      <c r="I33" s="110"/>
    </row>
    <row r="34" spans="1:9">
      <c r="A34" s="108" t="s">
        <v>4</v>
      </c>
      <c r="B34" s="109"/>
      <c r="C34" s="110"/>
      <c r="D34" s="115" t="s">
        <v>4</v>
      </c>
      <c r="E34" s="109"/>
      <c r="F34" s="110"/>
      <c r="G34" s="115" t="s">
        <v>4</v>
      </c>
      <c r="H34" s="109"/>
      <c r="I34" s="110"/>
    </row>
    <row r="35" spans="1:9">
      <c r="A35" s="111" t="s">
        <v>55</v>
      </c>
      <c r="B35" s="112"/>
      <c r="C35" s="113"/>
      <c r="D35" s="116" t="s">
        <v>55</v>
      </c>
      <c r="E35" s="112"/>
      <c r="F35" s="113"/>
      <c r="G35" s="116" t="s">
        <v>55</v>
      </c>
      <c r="H35" s="112"/>
      <c r="I35" s="113"/>
    </row>
    <row r="36" spans="1:9">
      <c r="A36" s="19" t="s">
        <v>56</v>
      </c>
    </row>
    <row r="37" spans="1:9" ht="12.75" customHeight="1">
      <c r="A37" s="75" t="s">
        <v>4</v>
      </c>
      <c r="B37" s="70"/>
      <c r="C37" s="70"/>
      <c r="D37" s="70"/>
      <c r="E37" s="70"/>
      <c r="F37" s="70"/>
      <c r="G37" s="70"/>
      <c r="H37" s="70"/>
      <c r="I37" s="70"/>
    </row>
  </sheetData>
  <sheetProtection password="CF7A" sheet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>
      <c r="A1" s="65" t="s">
        <v>57</v>
      </c>
      <c r="B1" s="66"/>
      <c r="C1" s="66"/>
      <c r="D1" s="66"/>
      <c r="E1" s="66"/>
      <c r="F1" s="66"/>
      <c r="G1" s="66"/>
      <c r="H1" s="66"/>
      <c r="I1" s="66"/>
    </row>
    <row r="2" spans="1:9">
      <c r="A2" s="67" t="s">
        <v>1</v>
      </c>
      <c r="B2" s="68"/>
      <c r="C2" s="76" t="str">
        <f>'Stavební rozpočet'!C2</f>
        <v>140-2024 Haškova 2169/8 byt č. 14  2+1</v>
      </c>
      <c r="D2" s="77"/>
      <c r="E2" s="74" t="s">
        <v>2</v>
      </c>
      <c r="F2" s="74" t="str">
        <f>'Stavební rozpočet'!I2</f>
        <v> </v>
      </c>
      <c r="G2" s="68"/>
      <c r="H2" s="74" t="s">
        <v>3</v>
      </c>
      <c r="I2" s="79" t="s">
        <v>4</v>
      </c>
    </row>
    <row r="3" spans="1:9" ht="15" customHeight="1">
      <c r="A3" s="69"/>
      <c r="B3" s="70"/>
      <c r="C3" s="78"/>
      <c r="D3" s="78"/>
      <c r="E3" s="70"/>
      <c r="F3" s="70"/>
      <c r="G3" s="70"/>
      <c r="H3" s="70"/>
      <c r="I3" s="80"/>
    </row>
    <row r="4" spans="1:9">
      <c r="A4" s="71" t="s">
        <v>5</v>
      </c>
      <c r="B4" s="70"/>
      <c r="C4" s="75" t="str">
        <f>'Stavební rozpočet'!C4</f>
        <v>Stavební úpravy bytu 2+1</v>
      </c>
      <c r="D4" s="70"/>
      <c r="E4" s="75" t="s">
        <v>6</v>
      </c>
      <c r="F4" s="75" t="str">
        <f>'Stavební rozpočet'!I4</f>
        <v> </v>
      </c>
      <c r="G4" s="70"/>
      <c r="H4" s="75" t="s">
        <v>3</v>
      </c>
      <c r="I4" s="80" t="s">
        <v>4</v>
      </c>
    </row>
    <row r="5" spans="1:9" ht="15" customHeight="1">
      <c r="A5" s="69"/>
      <c r="B5" s="70"/>
      <c r="C5" s="70"/>
      <c r="D5" s="70"/>
      <c r="E5" s="70"/>
      <c r="F5" s="70"/>
      <c r="G5" s="70"/>
      <c r="H5" s="70"/>
      <c r="I5" s="80"/>
    </row>
    <row r="6" spans="1:9">
      <c r="A6" s="71" t="s">
        <v>7</v>
      </c>
      <c r="B6" s="70"/>
      <c r="C6" s="75" t="str">
        <f>'Stavební rozpočet'!C6</f>
        <v xml:space="preserve"> </v>
      </c>
      <c r="D6" s="70"/>
      <c r="E6" s="75" t="s">
        <v>8</v>
      </c>
      <c r="F6" s="75" t="str">
        <f>'Stavební rozpočet'!I6</f>
        <v> </v>
      </c>
      <c r="G6" s="70"/>
      <c r="H6" s="75" t="s">
        <v>3</v>
      </c>
      <c r="I6" s="80" t="s">
        <v>4</v>
      </c>
    </row>
    <row r="7" spans="1:9" ht="15" customHeight="1">
      <c r="A7" s="69"/>
      <c r="B7" s="70"/>
      <c r="C7" s="70"/>
      <c r="D7" s="70"/>
      <c r="E7" s="70"/>
      <c r="F7" s="70"/>
      <c r="G7" s="70"/>
      <c r="H7" s="70"/>
      <c r="I7" s="80"/>
    </row>
    <row r="8" spans="1:9">
      <c r="A8" s="71" t="s">
        <v>9</v>
      </c>
      <c r="B8" s="70"/>
      <c r="C8" s="75" t="str">
        <f>'Stavební rozpočet'!G4</f>
        <v xml:space="preserve"> </v>
      </c>
      <c r="D8" s="70"/>
      <c r="E8" s="75" t="s">
        <v>10</v>
      </c>
      <c r="F8" s="75" t="str">
        <f>'Stavební rozpočet'!G6</f>
        <v xml:space="preserve"> </v>
      </c>
      <c r="G8" s="70"/>
      <c r="H8" s="70" t="s">
        <v>11</v>
      </c>
      <c r="I8" s="81">
        <v>129</v>
      </c>
    </row>
    <row r="9" spans="1:9">
      <c r="A9" s="69"/>
      <c r="B9" s="70"/>
      <c r="C9" s="70"/>
      <c r="D9" s="70"/>
      <c r="E9" s="70"/>
      <c r="F9" s="70"/>
      <c r="G9" s="70"/>
      <c r="H9" s="70"/>
      <c r="I9" s="80"/>
    </row>
    <row r="10" spans="1:9">
      <c r="A10" s="71" t="s">
        <v>12</v>
      </c>
      <c r="B10" s="70"/>
      <c r="C10" s="75" t="str">
        <f>'Stavební rozpočet'!C8</f>
        <v xml:space="preserve"> </v>
      </c>
      <c r="D10" s="70"/>
      <c r="E10" s="75" t="s">
        <v>13</v>
      </c>
      <c r="F10" s="75" t="str">
        <f>'Stavební rozpočet'!I8</f>
        <v> </v>
      </c>
      <c r="G10" s="70"/>
      <c r="H10" s="70" t="s">
        <v>14</v>
      </c>
      <c r="I10" s="82">
        <f>'Stavební rozpočet'!G8</f>
        <v>0</v>
      </c>
    </row>
    <row r="11" spans="1:9">
      <c r="A11" s="72"/>
      <c r="B11" s="73"/>
      <c r="C11" s="73"/>
      <c r="D11" s="73"/>
      <c r="E11" s="73"/>
      <c r="F11" s="73"/>
      <c r="G11" s="73"/>
      <c r="H11" s="73"/>
      <c r="I11" s="83"/>
    </row>
    <row r="13" spans="1:9" ht="15.75">
      <c r="A13" s="117" t="s">
        <v>58</v>
      </c>
      <c r="B13" s="117"/>
      <c r="C13" s="117"/>
      <c r="D13" s="117"/>
      <c r="E13" s="117"/>
    </row>
    <row r="14" spans="1:9">
      <c r="A14" s="118" t="s">
        <v>59</v>
      </c>
      <c r="B14" s="119"/>
      <c r="C14" s="119"/>
      <c r="D14" s="119"/>
      <c r="E14" s="120"/>
      <c r="F14" s="20" t="s">
        <v>60</v>
      </c>
      <c r="G14" s="20" t="s">
        <v>61</v>
      </c>
      <c r="H14" s="20" t="s">
        <v>62</v>
      </c>
      <c r="I14" s="20" t="s">
        <v>60</v>
      </c>
    </row>
    <row r="15" spans="1:9">
      <c r="A15" s="121" t="s">
        <v>24</v>
      </c>
      <c r="B15" s="122"/>
      <c r="C15" s="122"/>
      <c r="D15" s="122"/>
      <c r="E15" s="123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>
      <c r="A16" s="121" t="s">
        <v>27</v>
      </c>
      <c r="B16" s="122"/>
      <c r="C16" s="122"/>
      <c r="D16" s="122"/>
      <c r="E16" s="123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>
      <c r="A17" s="124" t="s">
        <v>30</v>
      </c>
      <c r="B17" s="125"/>
      <c r="C17" s="125"/>
      <c r="D17" s="125"/>
      <c r="E17" s="126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>
      <c r="A18" s="127" t="s">
        <v>63</v>
      </c>
      <c r="B18" s="128"/>
      <c r="C18" s="128"/>
      <c r="D18" s="128"/>
      <c r="E18" s="129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>
      <c r="A20" s="118" t="s">
        <v>21</v>
      </c>
      <c r="B20" s="119"/>
      <c r="C20" s="119"/>
      <c r="D20" s="119"/>
      <c r="E20" s="120"/>
      <c r="F20" s="20" t="s">
        <v>60</v>
      </c>
      <c r="G20" s="20" t="s">
        <v>61</v>
      </c>
      <c r="H20" s="20" t="s">
        <v>62</v>
      </c>
      <c r="I20" s="20" t="s">
        <v>60</v>
      </c>
    </row>
    <row r="21" spans="1:9">
      <c r="A21" s="121" t="s">
        <v>25</v>
      </c>
      <c r="B21" s="122"/>
      <c r="C21" s="122"/>
      <c r="D21" s="122"/>
      <c r="E21" s="123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>
      <c r="A22" s="121" t="s">
        <v>28</v>
      </c>
      <c r="B22" s="122"/>
      <c r="C22" s="122"/>
      <c r="D22" s="122"/>
      <c r="E22" s="123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>
      <c r="A23" s="121" t="s">
        <v>31</v>
      </c>
      <c r="B23" s="122"/>
      <c r="C23" s="122"/>
      <c r="D23" s="122"/>
      <c r="E23" s="123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>
      <c r="A24" s="121" t="s">
        <v>32</v>
      </c>
      <c r="B24" s="122"/>
      <c r="C24" s="122"/>
      <c r="D24" s="122"/>
      <c r="E24" s="123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>
      <c r="A25" s="121" t="s">
        <v>34</v>
      </c>
      <c r="B25" s="122"/>
      <c r="C25" s="122"/>
      <c r="D25" s="122"/>
      <c r="E25" s="123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>
      <c r="A26" s="124" t="s">
        <v>35</v>
      </c>
      <c r="B26" s="125"/>
      <c r="C26" s="125"/>
      <c r="D26" s="125"/>
      <c r="E26" s="126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>
      <c r="A27" s="127" t="s">
        <v>64</v>
      </c>
      <c r="B27" s="128"/>
      <c r="C27" s="128"/>
      <c r="D27" s="128"/>
      <c r="E27" s="129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75">
      <c r="A29" s="130" t="s">
        <v>65</v>
      </c>
      <c r="B29" s="131"/>
      <c r="C29" s="131"/>
      <c r="D29" s="131"/>
      <c r="E29" s="132"/>
      <c r="F29" s="133">
        <f>I18+I27</f>
        <v>0</v>
      </c>
      <c r="G29" s="134"/>
      <c r="H29" s="134"/>
      <c r="I29" s="135"/>
    </row>
    <row r="33" spans="1:9" ht="15.75">
      <c r="A33" s="117" t="s">
        <v>66</v>
      </c>
      <c r="B33" s="117"/>
      <c r="C33" s="117"/>
      <c r="D33" s="117"/>
      <c r="E33" s="117"/>
    </row>
    <row r="34" spans="1:9">
      <c r="A34" s="118" t="s">
        <v>67</v>
      </c>
      <c r="B34" s="119"/>
      <c r="C34" s="119"/>
      <c r="D34" s="119"/>
      <c r="E34" s="120"/>
      <c r="F34" s="20" t="s">
        <v>60</v>
      </c>
      <c r="G34" s="20" t="s">
        <v>61</v>
      </c>
      <c r="H34" s="20" t="s">
        <v>62</v>
      </c>
      <c r="I34" s="20" t="s">
        <v>60</v>
      </c>
    </row>
    <row r="35" spans="1:9">
      <c r="A35" s="121" t="s">
        <v>68</v>
      </c>
      <c r="B35" s="122"/>
      <c r="C35" s="122"/>
      <c r="D35" s="122"/>
      <c r="E35" s="123"/>
      <c r="F35" s="21">
        <f>SUM('Stavební rozpočet'!BM12:BM263)</f>
        <v>0</v>
      </c>
      <c r="G35" s="22" t="s">
        <v>4</v>
      </c>
      <c r="H35" s="22" t="s">
        <v>4</v>
      </c>
      <c r="I35" s="21">
        <f t="shared" ref="I35:I44" si="1">F35</f>
        <v>0</v>
      </c>
    </row>
    <row r="36" spans="1:9">
      <c r="A36" s="121" t="s">
        <v>69</v>
      </c>
      <c r="B36" s="122"/>
      <c r="C36" s="122"/>
      <c r="D36" s="122"/>
      <c r="E36" s="123"/>
      <c r="F36" s="21">
        <f>SUM('Stavební rozpočet'!BN12:BN263)</f>
        <v>0</v>
      </c>
      <c r="G36" s="22" t="s">
        <v>4</v>
      </c>
      <c r="H36" s="22" t="s">
        <v>4</v>
      </c>
      <c r="I36" s="21">
        <f t="shared" si="1"/>
        <v>0</v>
      </c>
    </row>
    <row r="37" spans="1:9">
      <c r="A37" s="121" t="s">
        <v>25</v>
      </c>
      <c r="B37" s="122"/>
      <c r="C37" s="122"/>
      <c r="D37" s="122"/>
      <c r="E37" s="123"/>
      <c r="F37" s="21">
        <f>SUM('Stavební rozpočet'!BO12:BO263)</f>
        <v>0</v>
      </c>
      <c r="G37" s="22" t="s">
        <v>4</v>
      </c>
      <c r="H37" s="22" t="s">
        <v>4</v>
      </c>
      <c r="I37" s="21">
        <f t="shared" si="1"/>
        <v>0</v>
      </c>
    </row>
    <row r="38" spans="1:9">
      <c r="A38" s="121" t="s">
        <v>70</v>
      </c>
      <c r="B38" s="122"/>
      <c r="C38" s="122"/>
      <c r="D38" s="122"/>
      <c r="E38" s="123"/>
      <c r="F38" s="21">
        <f>SUM('Stavební rozpočet'!BP12:BP263)</f>
        <v>0</v>
      </c>
      <c r="G38" s="22" t="s">
        <v>4</v>
      </c>
      <c r="H38" s="22" t="s">
        <v>4</v>
      </c>
      <c r="I38" s="21">
        <f t="shared" si="1"/>
        <v>0</v>
      </c>
    </row>
    <row r="39" spans="1:9">
      <c r="A39" s="121" t="s">
        <v>71</v>
      </c>
      <c r="B39" s="122"/>
      <c r="C39" s="122"/>
      <c r="D39" s="122"/>
      <c r="E39" s="123"/>
      <c r="F39" s="21">
        <f>SUM('Stavební rozpočet'!BQ12:BQ263)</f>
        <v>0</v>
      </c>
      <c r="G39" s="22" t="s">
        <v>4</v>
      </c>
      <c r="H39" s="22" t="s">
        <v>4</v>
      </c>
      <c r="I39" s="21">
        <f t="shared" si="1"/>
        <v>0</v>
      </c>
    </row>
    <row r="40" spans="1:9">
      <c r="A40" s="121" t="s">
        <v>31</v>
      </c>
      <c r="B40" s="122"/>
      <c r="C40" s="122"/>
      <c r="D40" s="122"/>
      <c r="E40" s="123"/>
      <c r="F40" s="21">
        <f>SUM('Stavební rozpočet'!BR12:BR263)</f>
        <v>0</v>
      </c>
      <c r="G40" s="22" t="s">
        <v>4</v>
      </c>
      <c r="H40" s="22" t="s">
        <v>4</v>
      </c>
      <c r="I40" s="21">
        <f t="shared" si="1"/>
        <v>0</v>
      </c>
    </row>
    <row r="41" spans="1:9">
      <c r="A41" s="121" t="s">
        <v>32</v>
      </c>
      <c r="B41" s="122"/>
      <c r="C41" s="122"/>
      <c r="D41" s="122"/>
      <c r="E41" s="123"/>
      <c r="F41" s="21">
        <f>SUM('Stavební rozpočet'!BS12:BS263)</f>
        <v>0</v>
      </c>
      <c r="G41" s="22" t="s">
        <v>4</v>
      </c>
      <c r="H41" s="22" t="s">
        <v>4</v>
      </c>
      <c r="I41" s="21">
        <f t="shared" si="1"/>
        <v>0</v>
      </c>
    </row>
    <row r="42" spans="1:9">
      <c r="A42" s="121" t="s">
        <v>72</v>
      </c>
      <c r="B42" s="122"/>
      <c r="C42" s="122"/>
      <c r="D42" s="122"/>
      <c r="E42" s="123"/>
      <c r="F42" s="21">
        <f>SUM('Stavební rozpočet'!BT12:BT263)</f>
        <v>0</v>
      </c>
      <c r="G42" s="22" t="s">
        <v>4</v>
      </c>
      <c r="H42" s="22" t="s">
        <v>4</v>
      </c>
      <c r="I42" s="21">
        <f t="shared" si="1"/>
        <v>0</v>
      </c>
    </row>
    <row r="43" spans="1:9">
      <c r="A43" s="121" t="s">
        <v>73</v>
      </c>
      <c r="B43" s="122"/>
      <c r="C43" s="122"/>
      <c r="D43" s="122"/>
      <c r="E43" s="123"/>
      <c r="F43" s="21">
        <f>SUM('Stavební rozpočet'!BU12:BU263)</f>
        <v>0</v>
      </c>
      <c r="G43" s="22" t="s">
        <v>4</v>
      </c>
      <c r="H43" s="22" t="s">
        <v>4</v>
      </c>
      <c r="I43" s="21">
        <f t="shared" si="1"/>
        <v>0</v>
      </c>
    </row>
    <row r="44" spans="1:9">
      <c r="A44" s="124" t="s">
        <v>74</v>
      </c>
      <c r="B44" s="125"/>
      <c r="C44" s="125"/>
      <c r="D44" s="125"/>
      <c r="E44" s="126"/>
      <c r="F44" s="23">
        <f>SUM('Stavební rozpočet'!BV12:BV263)</f>
        <v>0</v>
      </c>
      <c r="G44" s="24" t="s">
        <v>4</v>
      </c>
      <c r="H44" s="24" t="s">
        <v>4</v>
      </c>
      <c r="I44" s="23">
        <f t="shared" si="1"/>
        <v>0</v>
      </c>
    </row>
    <row r="45" spans="1:9">
      <c r="A45" s="127" t="s">
        <v>75</v>
      </c>
      <c r="B45" s="128"/>
      <c r="C45" s="128"/>
      <c r="D45" s="128"/>
      <c r="E45" s="129"/>
      <c r="F45" s="25" t="s">
        <v>4</v>
      </c>
      <c r="G45" s="26" t="s">
        <v>4</v>
      </c>
      <c r="H45" s="26" t="s">
        <v>4</v>
      </c>
      <c r="I45" s="27">
        <f>SUM(I35:I44)</f>
        <v>0</v>
      </c>
    </row>
  </sheetData>
  <sheetProtection password="CF7A" sheet="1"/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266"/>
  <sheetViews>
    <sheetView workbookViewId="0">
      <pane ySplit="11" topLeftCell="A12" activePane="bottomLeft" state="frozen"/>
      <selection pane="bottomLeft" activeCell="G8" sqref="G8:G9"/>
    </sheetView>
  </sheetViews>
  <sheetFormatPr defaultColWidth="12.140625" defaultRowHeight="15" customHeight="1"/>
  <cols>
    <col min="1" max="1" width="3.140625" customWidth="1"/>
    <col min="2" max="2" width="17.85546875" customWidth="1"/>
    <col min="3" max="3" width="42.85546875" customWidth="1"/>
    <col min="4" max="4" width="35.7109375" customWidth="1"/>
    <col min="5" max="5" width="6.7109375" customWidth="1"/>
    <col min="6" max="6" width="12.85546875" customWidth="1"/>
    <col min="7" max="7" width="12" customWidth="1"/>
    <col min="8" max="8" width="15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>
      <c r="A1" s="66" t="s">
        <v>76</v>
      </c>
      <c r="B1" s="66"/>
      <c r="C1" s="66"/>
      <c r="D1" s="66"/>
      <c r="E1" s="66"/>
      <c r="F1" s="66"/>
      <c r="G1" s="66"/>
      <c r="H1" s="66"/>
      <c r="I1" s="66"/>
      <c r="J1" s="66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>
      <c r="A2" s="67" t="s">
        <v>1</v>
      </c>
      <c r="B2" s="68"/>
      <c r="C2" s="76" t="s">
        <v>77</v>
      </c>
      <c r="D2" s="77"/>
      <c r="E2" s="68" t="s">
        <v>78</v>
      </c>
      <c r="F2" s="68"/>
      <c r="G2" s="138" t="s">
        <v>79</v>
      </c>
      <c r="H2" s="74" t="s">
        <v>2</v>
      </c>
      <c r="I2" s="68" t="s">
        <v>80</v>
      </c>
      <c r="J2" s="79"/>
    </row>
    <row r="3" spans="1:76">
      <c r="A3" s="69"/>
      <c r="B3" s="70"/>
      <c r="C3" s="78"/>
      <c r="D3" s="78"/>
      <c r="E3" s="70"/>
      <c r="F3" s="70"/>
      <c r="G3" s="139"/>
      <c r="H3" s="70"/>
      <c r="I3" s="70"/>
      <c r="J3" s="80"/>
    </row>
    <row r="4" spans="1:76">
      <c r="A4" s="71" t="s">
        <v>5</v>
      </c>
      <c r="B4" s="70"/>
      <c r="C4" s="75" t="s">
        <v>81</v>
      </c>
      <c r="D4" s="70"/>
      <c r="E4" s="70" t="s">
        <v>9</v>
      </c>
      <c r="F4" s="70"/>
      <c r="G4" s="139" t="s">
        <v>79</v>
      </c>
      <c r="H4" s="75" t="s">
        <v>6</v>
      </c>
      <c r="I4" s="70" t="s">
        <v>80</v>
      </c>
      <c r="J4" s="80"/>
    </row>
    <row r="5" spans="1:76">
      <c r="A5" s="69"/>
      <c r="B5" s="70"/>
      <c r="C5" s="70"/>
      <c r="D5" s="70"/>
      <c r="E5" s="70"/>
      <c r="F5" s="70"/>
      <c r="G5" s="139"/>
      <c r="H5" s="70"/>
      <c r="I5" s="70"/>
      <c r="J5" s="80"/>
    </row>
    <row r="6" spans="1:76">
      <c r="A6" s="71" t="s">
        <v>7</v>
      </c>
      <c r="B6" s="70"/>
      <c r="C6" s="75" t="s">
        <v>79</v>
      </c>
      <c r="D6" s="70"/>
      <c r="E6" s="70" t="s">
        <v>10</v>
      </c>
      <c r="F6" s="70"/>
      <c r="G6" s="139" t="s">
        <v>79</v>
      </c>
      <c r="H6" s="75" t="s">
        <v>8</v>
      </c>
      <c r="I6" s="139" t="s">
        <v>80</v>
      </c>
      <c r="J6" s="141"/>
    </row>
    <row r="7" spans="1:76">
      <c r="A7" s="69"/>
      <c r="B7" s="70"/>
      <c r="C7" s="70"/>
      <c r="D7" s="70"/>
      <c r="E7" s="70"/>
      <c r="F7" s="70"/>
      <c r="G7" s="139"/>
      <c r="H7" s="70"/>
      <c r="I7" s="139"/>
      <c r="J7" s="141"/>
    </row>
    <row r="8" spans="1:76">
      <c r="A8" s="71" t="s">
        <v>12</v>
      </c>
      <c r="B8" s="70"/>
      <c r="C8" s="75" t="s">
        <v>79</v>
      </c>
      <c r="D8" s="70"/>
      <c r="E8" s="70" t="s">
        <v>82</v>
      </c>
      <c r="F8" s="70"/>
      <c r="G8" s="139"/>
      <c r="H8" s="75" t="s">
        <v>13</v>
      </c>
      <c r="I8" s="139" t="s">
        <v>80</v>
      </c>
      <c r="J8" s="141"/>
    </row>
    <row r="9" spans="1:76">
      <c r="A9" s="136"/>
      <c r="B9" s="137"/>
      <c r="C9" s="137"/>
      <c r="D9" s="137"/>
      <c r="E9" s="137"/>
      <c r="F9" s="137"/>
      <c r="G9" s="140"/>
      <c r="H9" s="137"/>
      <c r="I9" s="142"/>
      <c r="J9" s="143"/>
    </row>
    <row r="10" spans="1:76">
      <c r="A10" s="29" t="s">
        <v>83</v>
      </c>
      <c r="B10" s="30" t="s">
        <v>84</v>
      </c>
      <c r="C10" s="144" t="s">
        <v>85</v>
      </c>
      <c r="D10" s="145"/>
      <c r="E10" s="30" t="s">
        <v>86</v>
      </c>
      <c r="F10" s="31" t="s">
        <v>87</v>
      </c>
      <c r="G10" s="32" t="s">
        <v>88</v>
      </c>
      <c r="H10" s="33" t="s">
        <v>89</v>
      </c>
      <c r="J10" s="34"/>
      <c r="BK10" s="35" t="s">
        <v>90</v>
      </c>
      <c r="BL10" s="36" t="s">
        <v>91</v>
      </c>
      <c r="BW10" s="36" t="s">
        <v>92</v>
      </c>
    </row>
    <row r="11" spans="1:76">
      <c r="A11" s="37" t="s">
        <v>79</v>
      </c>
      <c r="B11" s="38" t="s">
        <v>79</v>
      </c>
      <c r="C11" s="146" t="s">
        <v>93</v>
      </c>
      <c r="D11" s="147"/>
      <c r="E11" s="38" t="s">
        <v>79</v>
      </c>
      <c r="F11" s="38" t="s">
        <v>79</v>
      </c>
      <c r="G11" s="39" t="s">
        <v>94</v>
      </c>
      <c r="H11" s="40" t="s">
        <v>95</v>
      </c>
      <c r="J11" s="41"/>
      <c r="Z11" s="35" t="s">
        <v>96</v>
      </c>
      <c r="AA11" s="35" t="s">
        <v>97</v>
      </c>
      <c r="AB11" s="35" t="s">
        <v>98</v>
      </c>
      <c r="AC11" s="35" t="s">
        <v>99</v>
      </c>
      <c r="AD11" s="35" t="s">
        <v>100</v>
      </c>
      <c r="AE11" s="35" t="s">
        <v>101</v>
      </c>
      <c r="AF11" s="35" t="s">
        <v>102</v>
      </c>
      <c r="AG11" s="35" t="s">
        <v>103</v>
      </c>
      <c r="AH11" s="35" t="s">
        <v>104</v>
      </c>
      <c r="BH11" s="35" t="s">
        <v>105</v>
      </c>
      <c r="BI11" s="35" t="s">
        <v>106</v>
      </c>
      <c r="BJ11" s="35" t="s">
        <v>107</v>
      </c>
    </row>
    <row r="12" spans="1:76">
      <c r="A12" s="42" t="s">
        <v>4</v>
      </c>
      <c r="B12" s="43" t="s">
        <v>4</v>
      </c>
      <c r="C12" s="148" t="s">
        <v>108</v>
      </c>
      <c r="D12" s="149"/>
      <c r="E12" s="44" t="s">
        <v>79</v>
      </c>
      <c r="F12" s="44" t="s">
        <v>79</v>
      </c>
      <c r="G12" s="45" t="s">
        <v>79</v>
      </c>
      <c r="H12" s="46">
        <f>H13+H25+H80+H88+H97+H116+H118+H130+H141+H153+H172+H176+H178+H193+H206+H228+H241+H246+H253+H260+H262</f>
        <v>0</v>
      </c>
      <c r="J12" s="41"/>
    </row>
    <row r="13" spans="1:76">
      <c r="A13" s="47" t="s">
        <v>4</v>
      </c>
      <c r="B13" s="48" t="s">
        <v>109</v>
      </c>
      <c r="C13" s="150" t="s">
        <v>110</v>
      </c>
      <c r="D13" s="151"/>
      <c r="E13" s="49" t="s">
        <v>79</v>
      </c>
      <c r="F13" s="49" t="s">
        <v>79</v>
      </c>
      <c r="G13" s="50" t="s">
        <v>79</v>
      </c>
      <c r="H13" s="28">
        <f>SUM(H14:H23)</f>
        <v>0</v>
      </c>
      <c r="J13" s="41"/>
      <c r="AI13" s="35" t="s">
        <v>4</v>
      </c>
      <c r="AS13" s="28">
        <f>SUM(AJ14:AJ23)</f>
        <v>0</v>
      </c>
      <c r="AT13" s="28">
        <f>SUM(AK14:AK23)</f>
        <v>0</v>
      </c>
      <c r="AU13" s="28">
        <f>SUM(AL14:AL23)</f>
        <v>0</v>
      </c>
    </row>
    <row r="14" spans="1:76">
      <c r="A14" s="1" t="s">
        <v>111</v>
      </c>
      <c r="B14" s="2" t="s">
        <v>112</v>
      </c>
      <c r="C14" s="75" t="s">
        <v>113</v>
      </c>
      <c r="D14" s="70"/>
      <c r="E14" s="2" t="s">
        <v>114</v>
      </c>
      <c r="F14" s="51">
        <v>2.09</v>
      </c>
      <c r="G14" s="52">
        <v>0</v>
      </c>
      <c r="H14" s="51">
        <f>F14*G14</f>
        <v>0</v>
      </c>
      <c r="J14" s="41"/>
      <c r="Z14" s="51">
        <f>IF(AQ14="5",BJ14,0)</f>
        <v>0</v>
      </c>
      <c r="AB14" s="51">
        <f>IF(AQ14="1",BH14,0)</f>
        <v>0</v>
      </c>
      <c r="AC14" s="51">
        <f>IF(AQ14="1",BI14,0)</f>
        <v>0</v>
      </c>
      <c r="AD14" s="51">
        <f>IF(AQ14="7",BH14,0)</f>
        <v>0</v>
      </c>
      <c r="AE14" s="51">
        <f>IF(AQ14="7",BI14,0)</f>
        <v>0</v>
      </c>
      <c r="AF14" s="51">
        <f>IF(AQ14="2",BH14,0)</f>
        <v>0</v>
      </c>
      <c r="AG14" s="51">
        <f>IF(AQ14="2",BI14,0)</f>
        <v>0</v>
      </c>
      <c r="AH14" s="51">
        <f>IF(AQ14="0",BJ14,0)</f>
        <v>0</v>
      </c>
      <c r="AI14" s="35" t="s">
        <v>4</v>
      </c>
      <c r="AJ14" s="51">
        <f>IF(AN14=0,H14,0)</f>
        <v>0</v>
      </c>
      <c r="AK14" s="51">
        <f>IF(AN14=12,H14,0)</f>
        <v>0</v>
      </c>
      <c r="AL14" s="51">
        <f>IF(AN14=21,H14,0)</f>
        <v>0</v>
      </c>
      <c r="AN14" s="51">
        <v>12</v>
      </c>
      <c r="AO14" s="51">
        <f>G14*0.549716841</f>
        <v>0</v>
      </c>
      <c r="AP14" s="51">
        <f>G14*(1-0.549716841)</f>
        <v>0</v>
      </c>
      <c r="AQ14" s="53" t="s">
        <v>111</v>
      </c>
      <c r="AV14" s="51">
        <f>AW14+AX14</f>
        <v>0</v>
      </c>
      <c r="AW14" s="51">
        <f>F14*AO14</f>
        <v>0</v>
      </c>
      <c r="AX14" s="51">
        <f>F14*AP14</f>
        <v>0</v>
      </c>
      <c r="AY14" s="53" t="s">
        <v>115</v>
      </c>
      <c r="AZ14" s="53" t="s">
        <v>116</v>
      </c>
      <c r="BA14" s="35" t="s">
        <v>117</v>
      </c>
      <c r="BC14" s="51">
        <f>AW14+AX14</f>
        <v>0</v>
      </c>
      <c r="BD14" s="51">
        <f>G14/(100-BE14)*100</f>
        <v>0</v>
      </c>
      <c r="BE14" s="51">
        <v>0</v>
      </c>
      <c r="BF14" s="51">
        <f>14</f>
        <v>14</v>
      </c>
      <c r="BH14" s="51">
        <f>F14*AO14</f>
        <v>0</v>
      </c>
      <c r="BI14" s="51">
        <f>F14*AP14</f>
        <v>0</v>
      </c>
      <c r="BJ14" s="51">
        <f>F14*G14</f>
        <v>0</v>
      </c>
      <c r="BK14" s="51"/>
      <c r="BL14" s="51">
        <v>34</v>
      </c>
      <c r="BW14" s="51">
        <v>12</v>
      </c>
      <c r="BX14" s="3" t="s">
        <v>113</v>
      </c>
    </row>
    <row r="15" spans="1:76">
      <c r="A15" s="54"/>
      <c r="C15" s="55" t="s">
        <v>118</v>
      </c>
      <c r="D15" s="56" t="s">
        <v>119</v>
      </c>
      <c r="F15" s="57">
        <v>2.09</v>
      </c>
      <c r="J15" s="41"/>
    </row>
    <row r="16" spans="1:76">
      <c r="A16" s="1" t="s">
        <v>120</v>
      </c>
      <c r="B16" s="2" t="s">
        <v>121</v>
      </c>
      <c r="C16" s="75" t="s">
        <v>122</v>
      </c>
      <c r="D16" s="70"/>
      <c r="E16" s="2" t="s">
        <v>114</v>
      </c>
      <c r="F16" s="51">
        <v>11.71</v>
      </c>
      <c r="G16" s="52">
        <v>0</v>
      </c>
      <c r="H16" s="51">
        <f>F16*G16</f>
        <v>0</v>
      </c>
      <c r="J16" s="41"/>
      <c r="Z16" s="51">
        <f>IF(AQ16="5",BJ16,0)</f>
        <v>0</v>
      </c>
      <c r="AB16" s="51">
        <f>IF(AQ16="1",BH16,0)</f>
        <v>0</v>
      </c>
      <c r="AC16" s="51">
        <f>IF(AQ16="1",BI16,0)</f>
        <v>0</v>
      </c>
      <c r="AD16" s="51">
        <f>IF(AQ16="7",BH16,0)</f>
        <v>0</v>
      </c>
      <c r="AE16" s="51">
        <f>IF(AQ16="7",BI16,0)</f>
        <v>0</v>
      </c>
      <c r="AF16" s="51">
        <f>IF(AQ16="2",BH16,0)</f>
        <v>0</v>
      </c>
      <c r="AG16" s="51">
        <f>IF(AQ16="2",BI16,0)</f>
        <v>0</v>
      </c>
      <c r="AH16" s="51">
        <f>IF(AQ16="0",BJ16,0)</f>
        <v>0</v>
      </c>
      <c r="AI16" s="35" t="s">
        <v>4</v>
      </c>
      <c r="AJ16" s="51">
        <f>IF(AN16=0,H16,0)</f>
        <v>0</v>
      </c>
      <c r="AK16" s="51">
        <f>IF(AN16=12,H16,0)</f>
        <v>0</v>
      </c>
      <c r="AL16" s="51">
        <f>IF(AN16=21,H16,0)</f>
        <v>0</v>
      </c>
      <c r="AN16" s="51">
        <v>12</v>
      </c>
      <c r="AO16" s="51">
        <f>G16*0.6493582</f>
        <v>0</v>
      </c>
      <c r="AP16" s="51">
        <f>G16*(1-0.6493582)</f>
        <v>0</v>
      </c>
      <c r="AQ16" s="53" t="s">
        <v>111</v>
      </c>
      <c r="AV16" s="51">
        <f>AW16+AX16</f>
        <v>0</v>
      </c>
      <c r="AW16" s="51">
        <f>F16*AO16</f>
        <v>0</v>
      </c>
      <c r="AX16" s="51">
        <f>F16*AP16</f>
        <v>0</v>
      </c>
      <c r="AY16" s="53" t="s">
        <v>115</v>
      </c>
      <c r="AZ16" s="53" t="s">
        <v>116</v>
      </c>
      <c r="BA16" s="35" t="s">
        <v>117</v>
      </c>
      <c r="BC16" s="51">
        <f>AW16+AX16</f>
        <v>0</v>
      </c>
      <c r="BD16" s="51">
        <f>G16/(100-BE16)*100</f>
        <v>0</v>
      </c>
      <c r="BE16" s="51">
        <v>0</v>
      </c>
      <c r="BF16" s="51">
        <f>16</f>
        <v>16</v>
      </c>
      <c r="BH16" s="51">
        <f>F16*AO16</f>
        <v>0</v>
      </c>
      <c r="BI16" s="51">
        <f>F16*AP16</f>
        <v>0</v>
      </c>
      <c r="BJ16" s="51">
        <f>F16*G16</f>
        <v>0</v>
      </c>
      <c r="BK16" s="51"/>
      <c r="BL16" s="51">
        <v>34</v>
      </c>
      <c r="BW16" s="51">
        <v>12</v>
      </c>
      <c r="BX16" s="3" t="s">
        <v>122</v>
      </c>
    </row>
    <row r="17" spans="1:76">
      <c r="A17" s="54"/>
      <c r="C17" s="55" t="s">
        <v>123</v>
      </c>
      <c r="D17" s="56" t="s">
        <v>124</v>
      </c>
      <c r="F17" s="57">
        <v>24.31</v>
      </c>
      <c r="J17" s="41"/>
    </row>
    <row r="18" spans="1:76">
      <c r="A18" s="54"/>
      <c r="C18" s="55" t="s">
        <v>125</v>
      </c>
      <c r="D18" s="56" t="s">
        <v>4</v>
      </c>
      <c r="F18" s="57">
        <v>-12.6</v>
      </c>
      <c r="J18" s="41"/>
    </row>
    <row r="19" spans="1:76">
      <c r="A19" s="1" t="s">
        <v>126</v>
      </c>
      <c r="B19" s="2" t="s">
        <v>127</v>
      </c>
      <c r="C19" s="75" t="s">
        <v>128</v>
      </c>
      <c r="D19" s="70"/>
      <c r="E19" s="2" t="s">
        <v>129</v>
      </c>
      <c r="F19" s="51">
        <v>3</v>
      </c>
      <c r="G19" s="52">
        <v>0</v>
      </c>
      <c r="H19" s="51">
        <f>F19*G19</f>
        <v>0</v>
      </c>
      <c r="J19" s="41"/>
      <c r="Z19" s="51">
        <f>IF(AQ19="5",BJ19,0)</f>
        <v>0</v>
      </c>
      <c r="AB19" s="51">
        <f>IF(AQ19="1",BH19,0)</f>
        <v>0</v>
      </c>
      <c r="AC19" s="51">
        <f>IF(AQ19="1",BI19,0)</f>
        <v>0</v>
      </c>
      <c r="AD19" s="51">
        <f>IF(AQ19="7",BH19,0)</f>
        <v>0</v>
      </c>
      <c r="AE19" s="51">
        <f>IF(AQ19="7",BI19,0)</f>
        <v>0</v>
      </c>
      <c r="AF19" s="51">
        <f>IF(AQ19="2",BH19,0)</f>
        <v>0</v>
      </c>
      <c r="AG19" s="51">
        <f>IF(AQ19="2",BI19,0)</f>
        <v>0</v>
      </c>
      <c r="AH19" s="51">
        <f>IF(AQ19="0",BJ19,0)</f>
        <v>0</v>
      </c>
      <c r="AI19" s="35" t="s">
        <v>4</v>
      </c>
      <c r="AJ19" s="51">
        <f>IF(AN19=0,H19,0)</f>
        <v>0</v>
      </c>
      <c r="AK19" s="51">
        <f>IF(AN19=12,H19,0)</f>
        <v>0</v>
      </c>
      <c r="AL19" s="51">
        <f>IF(AN19=21,H19,0)</f>
        <v>0</v>
      </c>
      <c r="AN19" s="51">
        <v>12</v>
      </c>
      <c r="AO19" s="51">
        <f>G19*0.863109072</f>
        <v>0</v>
      </c>
      <c r="AP19" s="51">
        <f>G19*(1-0.863109072)</f>
        <v>0</v>
      </c>
      <c r="AQ19" s="53" t="s">
        <v>111</v>
      </c>
      <c r="AV19" s="51">
        <f>AW19+AX19</f>
        <v>0</v>
      </c>
      <c r="AW19" s="51">
        <f>F19*AO19</f>
        <v>0</v>
      </c>
      <c r="AX19" s="51">
        <f>F19*AP19</f>
        <v>0</v>
      </c>
      <c r="AY19" s="53" t="s">
        <v>115</v>
      </c>
      <c r="AZ19" s="53" t="s">
        <v>116</v>
      </c>
      <c r="BA19" s="35" t="s">
        <v>117</v>
      </c>
      <c r="BC19" s="51">
        <f>AW19+AX19</f>
        <v>0</v>
      </c>
      <c r="BD19" s="51">
        <f>G19/(100-BE19)*100</f>
        <v>0</v>
      </c>
      <c r="BE19" s="51">
        <v>0</v>
      </c>
      <c r="BF19" s="51">
        <f>19</f>
        <v>19</v>
      </c>
      <c r="BH19" s="51">
        <f>F19*AO19</f>
        <v>0</v>
      </c>
      <c r="BI19" s="51">
        <f>F19*AP19</f>
        <v>0</v>
      </c>
      <c r="BJ19" s="51">
        <f>F19*G19</f>
        <v>0</v>
      </c>
      <c r="BK19" s="51"/>
      <c r="BL19" s="51">
        <v>34</v>
      </c>
      <c r="BW19" s="51">
        <v>12</v>
      </c>
      <c r="BX19" s="3" t="s">
        <v>128</v>
      </c>
    </row>
    <row r="20" spans="1:76" ht="13.5" customHeight="1">
      <c r="A20" s="54"/>
      <c r="B20" s="58" t="s">
        <v>130</v>
      </c>
      <c r="C20" s="152" t="s">
        <v>131</v>
      </c>
      <c r="D20" s="153"/>
      <c r="E20" s="153"/>
      <c r="F20" s="153"/>
      <c r="G20" s="154"/>
      <c r="H20" s="153"/>
      <c r="I20" s="153"/>
      <c r="J20" s="155"/>
    </row>
    <row r="21" spans="1:76">
      <c r="A21" s="1" t="s">
        <v>132</v>
      </c>
      <c r="B21" s="2" t="s">
        <v>133</v>
      </c>
      <c r="C21" s="75" t="s">
        <v>134</v>
      </c>
      <c r="D21" s="70"/>
      <c r="E21" s="2" t="s">
        <v>135</v>
      </c>
      <c r="F21" s="51">
        <v>9.35</v>
      </c>
      <c r="G21" s="52">
        <v>0</v>
      </c>
      <c r="H21" s="51">
        <f>F21*G21</f>
        <v>0</v>
      </c>
      <c r="J21" s="41"/>
      <c r="Z21" s="51">
        <f>IF(AQ21="5",BJ21,0)</f>
        <v>0</v>
      </c>
      <c r="AB21" s="51">
        <f>IF(AQ21="1",BH21,0)</f>
        <v>0</v>
      </c>
      <c r="AC21" s="51">
        <f>IF(AQ21="1",BI21,0)</f>
        <v>0</v>
      </c>
      <c r="AD21" s="51">
        <f>IF(AQ21="7",BH21,0)</f>
        <v>0</v>
      </c>
      <c r="AE21" s="51">
        <f>IF(AQ21="7",BI21,0)</f>
        <v>0</v>
      </c>
      <c r="AF21" s="51">
        <f>IF(AQ21="2",BH21,0)</f>
        <v>0</v>
      </c>
      <c r="AG21" s="51">
        <f>IF(AQ21="2",BI21,0)</f>
        <v>0</v>
      </c>
      <c r="AH21" s="51">
        <f>IF(AQ21="0",BJ21,0)</f>
        <v>0</v>
      </c>
      <c r="AI21" s="35" t="s">
        <v>4</v>
      </c>
      <c r="AJ21" s="51">
        <f>IF(AN21=0,H21,0)</f>
        <v>0</v>
      </c>
      <c r="AK21" s="51">
        <f>IF(AN21=12,H21,0)</f>
        <v>0</v>
      </c>
      <c r="AL21" s="51">
        <f>IF(AN21=21,H21,0)</f>
        <v>0</v>
      </c>
      <c r="AN21" s="51">
        <v>12</v>
      </c>
      <c r="AO21" s="51">
        <f>G21*0.182774712</f>
        <v>0</v>
      </c>
      <c r="AP21" s="51">
        <f>G21*(1-0.182774712)</f>
        <v>0</v>
      </c>
      <c r="AQ21" s="53" t="s">
        <v>111</v>
      </c>
      <c r="AV21" s="51">
        <f>AW21+AX21</f>
        <v>0</v>
      </c>
      <c r="AW21" s="51">
        <f>F21*AO21</f>
        <v>0</v>
      </c>
      <c r="AX21" s="51">
        <f>F21*AP21</f>
        <v>0</v>
      </c>
      <c r="AY21" s="53" t="s">
        <v>115</v>
      </c>
      <c r="AZ21" s="53" t="s">
        <v>116</v>
      </c>
      <c r="BA21" s="35" t="s">
        <v>117</v>
      </c>
      <c r="BC21" s="51">
        <f>AW21+AX21</f>
        <v>0</v>
      </c>
      <c r="BD21" s="51">
        <f>G21/(100-BE21)*100</f>
        <v>0</v>
      </c>
      <c r="BE21" s="51">
        <v>0</v>
      </c>
      <c r="BF21" s="51">
        <f>21</f>
        <v>21</v>
      </c>
      <c r="BH21" s="51">
        <f>F21*AO21</f>
        <v>0</v>
      </c>
      <c r="BI21" s="51">
        <f>F21*AP21</f>
        <v>0</v>
      </c>
      <c r="BJ21" s="51">
        <f>F21*G21</f>
        <v>0</v>
      </c>
      <c r="BK21" s="51"/>
      <c r="BL21" s="51">
        <v>34</v>
      </c>
      <c r="BW21" s="51">
        <v>12</v>
      </c>
      <c r="BX21" s="3" t="s">
        <v>134</v>
      </c>
    </row>
    <row r="22" spans="1:76">
      <c r="A22" s="54"/>
      <c r="C22" s="55" t="s">
        <v>136</v>
      </c>
      <c r="D22" s="56" t="s">
        <v>124</v>
      </c>
      <c r="F22" s="57">
        <v>9.35</v>
      </c>
      <c r="J22" s="41"/>
    </row>
    <row r="23" spans="1:76">
      <c r="A23" s="1" t="s">
        <v>137</v>
      </c>
      <c r="B23" s="2" t="s">
        <v>138</v>
      </c>
      <c r="C23" s="75" t="s">
        <v>139</v>
      </c>
      <c r="D23" s="70"/>
      <c r="E23" s="2" t="s">
        <v>135</v>
      </c>
      <c r="F23" s="51">
        <v>10.4</v>
      </c>
      <c r="G23" s="52">
        <v>0</v>
      </c>
      <c r="H23" s="51">
        <f>F23*G23</f>
        <v>0</v>
      </c>
      <c r="J23" s="41"/>
      <c r="Z23" s="51">
        <f>IF(AQ23="5",BJ23,0)</f>
        <v>0</v>
      </c>
      <c r="AB23" s="51">
        <f>IF(AQ23="1",BH23,0)</f>
        <v>0</v>
      </c>
      <c r="AC23" s="51">
        <f>IF(AQ23="1",BI23,0)</f>
        <v>0</v>
      </c>
      <c r="AD23" s="51">
        <f>IF(AQ23="7",BH23,0)</f>
        <v>0</v>
      </c>
      <c r="AE23" s="51">
        <f>IF(AQ23="7",BI23,0)</f>
        <v>0</v>
      </c>
      <c r="AF23" s="51">
        <f>IF(AQ23="2",BH23,0)</f>
        <v>0</v>
      </c>
      <c r="AG23" s="51">
        <f>IF(AQ23="2",BI23,0)</f>
        <v>0</v>
      </c>
      <c r="AH23" s="51">
        <f>IF(AQ23="0",BJ23,0)</f>
        <v>0</v>
      </c>
      <c r="AI23" s="35" t="s">
        <v>4</v>
      </c>
      <c r="AJ23" s="51">
        <f>IF(AN23=0,H23,0)</f>
        <v>0</v>
      </c>
      <c r="AK23" s="51">
        <f>IF(AN23=12,H23,0)</f>
        <v>0</v>
      </c>
      <c r="AL23" s="51">
        <f>IF(AN23=21,H23,0)</f>
        <v>0</v>
      </c>
      <c r="AN23" s="51">
        <v>12</v>
      </c>
      <c r="AO23" s="51">
        <f>G23*0.211238095</f>
        <v>0</v>
      </c>
      <c r="AP23" s="51">
        <f>G23*(1-0.211238095)</f>
        <v>0</v>
      </c>
      <c r="AQ23" s="53" t="s">
        <v>111</v>
      </c>
      <c r="AV23" s="51">
        <f>AW23+AX23</f>
        <v>0</v>
      </c>
      <c r="AW23" s="51">
        <f>F23*AO23</f>
        <v>0</v>
      </c>
      <c r="AX23" s="51">
        <f>F23*AP23</f>
        <v>0</v>
      </c>
      <c r="AY23" s="53" t="s">
        <v>115</v>
      </c>
      <c r="AZ23" s="53" t="s">
        <v>116</v>
      </c>
      <c r="BA23" s="35" t="s">
        <v>117</v>
      </c>
      <c r="BC23" s="51">
        <f>AW23+AX23</f>
        <v>0</v>
      </c>
      <c r="BD23" s="51">
        <f>G23/(100-BE23)*100</f>
        <v>0</v>
      </c>
      <c r="BE23" s="51">
        <v>0</v>
      </c>
      <c r="BF23" s="51">
        <f>23</f>
        <v>23</v>
      </c>
      <c r="BH23" s="51">
        <f>F23*AO23</f>
        <v>0</v>
      </c>
      <c r="BI23" s="51">
        <f>F23*AP23</f>
        <v>0</v>
      </c>
      <c r="BJ23" s="51">
        <f>F23*G23</f>
        <v>0</v>
      </c>
      <c r="BK23" s="51"/>
      <c r="BL23" s="51">
        <v>34</v>
      </c>
      <c r="BW23" s="51">
        <v>12</v>
      </c>
      <c r="BX23" s="3" t="s">
        <v>139</v>
      </c>
    </row>
    <row r="24" spans="1:76">
      <c r="A24" s="54"/>
      <c r="C24" s="55" t="s">
        <v>140</v>
      </c>
      <c r="D24" s="56" t="s">
        <v>4</v>
      </c>
      <c r="F24" s="57">
        <v>10.4</v>
      </c>
      <c r="J24" s="41"/>
    </row>
    <row r="25" spans="1:76">
      <c r="A25" s="47" t="s">
        <v>4</v>
      </c>
      <c r="B25" s="48" t="s">
        <v>141</v>
      </c>
      <c r="C25" s="150" t="s">
        <v>142</v>
      </c>
      <c r="D25" s="151"/>
      <c r="E25" s="49" t="s">
        <v>79</v>
      </c>
      <c r="F25" s="49" t="s">
        <v>79</v>
      </c>
      <c r="G25" s="50" t="s">
        <v>79</v>
      </c>
      <c r="H25" s="28">
        <f>SUM(H26:H77)</f>
        <v>0</v>
      </c>
      <c r="J25" s="41"/>
      <c r="AI25" s="35" t="s">
        <v>4</v>
      </c>
      <c r="AS25" s="28">
        <f>SUM(AJ26:AJ77)</f>
        <v>0</v>
      </c>
      <c r="AT25" s="28">
        <f>SUM(AK26:AK77)</f>
        <v>0</v>
      </c>
      <c r="AU25" s="28">
        <f>SUM(AL26:AL77)</f>
        <v>0</v>
      </c>
    </row>
    <row r="26" spans="1:76">
      <c r="A26" s="1" t="s">
        <v>143</v>
      </c>
      <c r="B26" s="2" t="s">
        <v>144</v>
      </c>
      <c r="C26" s="75" t="s">
        <v>145</v>
      </c>
      <c r="D26" s="70"/>
      <c r="E26" s="2" t="s">
        <v>114</v>
      </c>
      <c r="F26" s="51">
        <v>57.22</v>
      </c>
      <c r="G26" s="52">
        <v>0</v>
      </c>
      <c r="H26" s="51">
        <f>F26*G26</f>
        <v>0</v>
      </c>
      <c r="J26" s="41"/>
      <c r="Z26" s="51">
        <f>IF(AQ26="5",BJ26,0)</f>
        <v>0</v>
      </c>
      <c r="AB26" s="51">
        <f>IF(AQ26="1",BH26,0)</f>
        <v>0</v>
      </c>
      <c r="AC26" s="51">
        <f>IF(AQ26="1",BI26,0)</f>
        <v>0</v>
      </c>
      <c r="AD26" s="51">
        <f>IF(AQ26="7",BH26,0)</f>
        <v>0</v>
      </c>
      <c r="AE26" s="51">
        <f>IF(AQ26="7",BI26,0)</f>
        <v>0</v>
      </c>
      <c r="AF26" s="51">
        <f>IF(AQ26="2",BH26,0)</f>
        <v>0</v>
      </c>
      <c r="AG26" s="51">
        <f>IF(AQ26="2",BI26,0)</f>
        <v>0</v>
      </c>
      <c r="AH26" s="51">
        <f>IF(AQ26="0",BJ26,0)</f>
        <v>0</v>
      </c>
      <c r="AI26" s="35" t="s">
        <v>4</v>
      </c>
      <c r="AJ26" s="51">
        <f>IF(AN26=0,H26,0)</f>
        <v>0</v>
      </c>
      <c r="AK26" s="51">
        <f>IF(AN26=12,H26,0)</f>
        <v>0</v>
      </c>
      <c r="AL26" s="51">
        <f>IF(AN26=21,H26,0)</f>
        <v>0</v>
      </c>
      <c r="AN26" s="51">
        <v>12</v>
      </c>
      <c r="AO26" s="51">
        <f>G26*0.165092593</f>
        <v>0</v>
      </c>
      <c r="AP26" s="51">
        <f>G26*(1-0.165092593)</f>
        <v>0</v>
      </c>
      <c r="AQ26" s="53" t="s">
        <v>111</v>
      </c>
      <c r="AV26" s="51">
        <f>AW26+AX26</f>
        <v>0</v>
      </c>
      <c r="AW26" s="51">
        <f>F26*AO26</f>
        <v>0</v>
      </c>
      <c r="AX26" s="51">
        <f>F26*AP26</f>
        <v>0</v>
      </c>
      <c r="AY26" s="53" t="s">
        <v>146</v>
      </c>
      <c r="AZ26" s="53" t="s">
        <v>147</v>
      </c>
      <c r="BA26" s="35" t="s">
        <v>117</v>
      </c>
      <c r="BC26" s="51">
        <f>AW26+AX26</f>
        <v>0</v>
      </c>
      <c r="BD26" s="51">
        <f>G26/(100-BE26)*100</f>
        <v>0</v>
      </c>
      <c r="BE26" s="51">
        <v>0</v>
      </c>
      <c r="BF26" s="51">
        <f>26</f>
        <v>26</v>
      </c>
      <c r="BH26" s="51">
        <f>F26*AO26</f>
        <v>0</v>
      </c>
      <c r="BI26" s="51">
        <f>F26*AP26</f>
        <v>0</v>
      </c>
      <c r="BJ26" s="51">
        <f>F26*G26</f>
        <v>0</v>
      </c>
      <c r="BK26" s="51"/>
      <c r="BL26" s="51">
        <v>61</v>
      </c>
      <c r="BW26" s="51">
        <v>12</v>
      </c>
      <c r="BX26" s="3" t="s">
        <v>145</v>
      </c>
    </row>
    <row r="27" spans="1:76">
      <c r="A27" s="54"/>
      <c r="C27" s="55" t="s">
        <v>148</v>
      </c>
      <c r="D27" s="56" t="s">
        <v>4</v>
      </c>
      <c r="F27" s="57">
        <v>57.22</v>
      </c>
      <c r="J27" s="41"/>
    </row>
    <row r="28" spans="1:76">
      <c r="A28" s="1" t="s">
        <v>149</v>
      </c>
      <c r="B28" s="2" t="s">
        <v>150</v>
      </c>
      <c r="C28" s="75" t="s">
        <v>151</v>
      </c>
      <c r="D28" s="70"/>
      <c r="E28" s="2" t="s">
        <v>135</v>
      </c>
      <c r="F28" s="51">
        <v>44.85</v>
      </c>
      <c r="G28" s="52">
        <v>0</v>
      </c>
      <c r="H28" s="51">
        <f>F28*G28</f>
        <v>0</v>
      </c>
      <c r="J28" s="41"/>
      <c r="Z28" s="51">
        <f>IF(AQ28="5",BJ28,0)</f>
        <v>0</v>
      </c>
      <c r="AB28" s="51">
        <f>IF(AQ28="1",BH28,0)</f>
        <v>0</v>
      </c>
      <c r="AC28" s="51">
        <f>IF(AQ28="1",BI28,0)</f>
        <v>0</v>
      </c>
      <c r="AD28" s="51">
        <f>IF(AQ28="7",BH28,0)</f>
        <v>0</v>
      </c>
      <c r="AE28" s="51">
        <f>IF(AQ28="7",BI28,0)</f>
        <v>0</v>
      </c>
      <c r="AF28" s="51">
        <f>IF(AQ28="2",BH28,0)</f>
        <v>0</v>
      </c>
      <c r="AG28" s="51">
        <f>IF(AQ28="2",BI28,0)</f>
        <v>0</v>
      </c>
      <c r="AH28" s="51">
        <f>IF(AQ28="0",BJ28,0)</f>
        <v>0</v>
      </c>
      <c r="AI28" s="35" t="s">
        <v>4</v>
      </c>
      <c r="AJ28" s="51">
        <f>IF(AN28=0,H28,0)</f>
        <v>0</v>
      </c>
      <c r="AK28" s="51">
        <f>IF(AN28=12,H28,0)</f>
        <v>0</v>
      </c>
      <c r="AL28" s="51">
        <f>IF(AN28=21,H28,0)</f>
        <v>0</v>
      </c>
      <c r="AN28" s="51">
        <v>12</v>
      </c>
      <c r="AO28" s="51">
        <f>G28*0.151227479</f>
        <v>0</v>
      </c>
      <c r="AP28" s="51">
        <f>G28*(1-0.151227479)</f>
        <v>0</v>
      </c>
      <c r="AQ28" s="53" t="s">
        <v>111</v>
      </c>
      <c r="AV28" s="51">
        <f>AW28+AX28</f>
        <v>0</v>
      </c>
      <c r="AW28" s="51">
        <f>F28*AO28</f>
        <v>0</v>
      </c>
      <c r="AX28" s="51">
        <f>F28*AP28</f>
        <v>0</v>
      </c>
      <c r="AY28" s="53" t="s">
        <v>146</v>
      </c>
      <c r="AZ28" s="53" t="s">
        <v>147</v>
      </c>
      <c r="BA28" s="35" t="s">
        <v>117</v>
      </c>
      <c r="BC28" s="51">
        <f>AW28+AX28</f>
        <v>0</v>
      </c>
      <c r="BD28" s="51">
        <f>G28/(100-BE28)*100</f>
        <v>0</v>
      </c>
      <c r="BE28" s="51">
        <v>0</v>
      </c>
      <c r="BF28" s="51">
        <f>28</f>
        <v>28</v>
      </c>
      <c r="BH28" s="51">
        <f>F28*AO28</f>
        <v>0</v>
      </c>
      <c r="BI28" s="51">
        <f>F28*AP28</f>
        <v>0</v>
      </c>
      <c r="BJ28" s="51">
        <f>F28*G28</f>
        <v>0</v>
      </c>
      <c r="BK28" s="51"/>
      <c r="BL28" s="51">
        <v>61</v>
      </c>
      <c r="BW28" s="51">
        <v>12</v>
      </c>
      <c r="BX28" s="3" t="s">
        <v>151</v>
      </c>
    </row>
    <row r="29" spans="1:76">
      <c r="A29" s="54"/>
      <c r="C29" s="55" t="s">
        <v>152</v>
      </c>
      <c r="D29" s="56" t="s">
        <v>4</v>
      </c>
      <c r="F29" s="57">
        <v>44.85</v>
      </c>
      <c r="J29" s="41"/>
    </row>
    <row r="30" spans="1:76">
      <c r="A30" s="1" t="s">
        <v>153</v>
      </c>
      <c r="B30" s="2" t="s">
        <v>154</v>
      </c>
      <c r="C30" s="75" t="s">
        <v>155</v>
      </c>
      <c r="D30" s="70"/>
      <c r="E30" s="2" t="s">
        <v>114</v>
      </c>
      <c r="F30" s="51">
        <v>57.22</v>
      </c>
      <c r="G30" s="52">
        <v>0</v>
      </c>
      <c r="H30" s="51">
        <f>F30*G30</f>
        <v>0</v>
      </c>
      <c r="J30" s="41"/>
      <c r="Z30" s="51">
        <f>IF(AQ30="5",BJ30,0)</f>
        <v>0</v>
      </c>
      <c r="AB30" s="51">
        <f>IF(AQ30="1",BH30,0)</f>
        <v>0</v>
      </c>
      <c r="AC30" s="51">
        <f>IF(AQ30="1",BI30,0)</f>
        <v>0</v>
      </c>
      <c r="AD30" s="51">
        <f>IF(AQ30="7",BH30,0)</f>
        <v>0</v>
      </c>
      <c r="AE30" s="51">
        <f>IF(AQ30="7",BI30,0)</f>
        <v>0</v>
      </c>
      <c r="AF30" s="51">
        <f>IF(AQ30="2",BH30,0)</f>
        <v>0</v>
      </c>
      <c r="AG30" s="51">
        <f>IF(AQ30="2",BI30,0)</f>
        <v>0</v>
      </c>
      <c r="AH30" s="51">
        <f>IF(AQ30="0",BJ30,0)</f>
        <v>0</v>
      </c>
      <c r="AI30" s="35" t="s">
        <v>4</v>
      </c>
      <c r="AJ30" s="51">
        <f>IF(AN30=0,H30,0)</f>
        <v>0</v>
      </c>
      <c r="AK30" s="51">
        <f>IF(AN30=12,H30,0)</f>
        <v>0</v>
      </c>
      <c r="AL30" s="51">
        <f>IF(AN30=21,H30,0)</f>
        <v>0</v>
      </c>
      <c r="AN30" s="51">
        <v>12</v>
      </c>
      <c r="AO30" s="51">
        <f>G30*0.351191591</f>
        <v>0</v>
      </c>
      <c r="AP30" s="51">
        <f>G30*(1-0.351191591)</f>
        <v>0</v>
      </c>
      <c r="AQ30" s="53" t="s">
        <v>111</v>
      </c>
      <c r="AV30" s="51">
        <f>AW30+AX30</f>
        <v>0</v>
      </c>
      <c r="AW30" s="51">
        <f>F30*AO30</f>
        <v>0</v>
      </c>
      <c r="AX30" s="51">
        <f>F30*AP30</f>
        <v>0</v>
      </c>
      <c r="AY30" s="53" t="s">
        <v>146</v>
      </c>
      <c r="AZ30" s="53" t="s">
        <v>147</v>
      </c>
      <c r="BA30" s="35" t="s">
        <v>117</v>
      </c>
      <c r="BC30" s="51">
        <f>AW30+AX30</f>
        <v>0</v>
      </c>
      <c r="BD30" s="51">
        <f>G30/(100-BE30)*100</f>
        <v>0</v>
      </c>
      <c r="BE30" s="51">
        <v>0</v>
      </c>
      <c r="BF30" s="51">
        <f>30</f>
        <v>30</v>
      </c>
      <c r="BH30" s="51">
        <f>F30*AO30</f>
        <v>0</v>
      </c>
      <c r="BI30" s="51">
        <f>F30*AP30</f>
        <v>0</v>
      </c>
      <c r="BJ30" s="51">
        <f>F30*G30</f>
        <v>0</v>
      </c>
      <c r="BK30" s="51"/>
      <c r="BL30" s="51">
        <v>61</v>
      </c>
      <c r="BW30" s="51">
        <v>12</v>
      </c>
      <c r="BX30" s="3" t="s">
        <v>155</v>
      </c>
    </row>
    <row r="31" spans="1:76">
      <c r="A31" s="1" t="s">
        <v>156</v>
      </c>
      <c r="B31" s="2" t="s">
        <v>157</v>
      </c>
      <c r="C31" s="75" t="s">
        <v>158</v>
      </c>
      <c r="D31" s="70"/>
      <c r="E31" s="2" t="s">
        <v>114</v>
      </c>
      <c r="F31" s="51">
        <v>57.22</v>
      </c>
      <c r="G31" s="52">
        <v>0</v>
      </c>
      <c r="H31" s="51">
        <f>F31*G31</f>
        <v>0</v>
      </c>
      <c r="J31" s="41"/>
      <c r="Z31" s="51">
        <f>IF(AQ31="5",BJ31,0)</f>
        <v>0</v>
      </c>
      <c r="AB31" s="51">
        <f>IF(AQ31="1",BH31,0)</f>
        <v>0</v>
      </c>
      <c r="AC31" s="51">
        <f>IF(AQ31="1",BI31,0)</f>
        <v>0</v>
      </c>
      <c r="AD31" s="51">
        <f>IF(AQ31="7",BH31,0)</f>
        <v>0</v>
      </c>
      <c r="AE31" s="51">
        <f>IF(AQ31="7",BI31,0)</f>
        <v>0</v>
      </c>
      <c r="AF31" s="51">
        <f>IF(AQ31="2",BH31,0)</f>
        <v>0</v>
      </c>
      <c r="AG31" s="51">
        <f>IF(AQ31="2",BI31,0)</f>
        <v>0</v>
      </c>
      <c r="AH31" s="51">
        <f>IF(AQ31="0",BJ31,0)</f>
        <v>0</v>
      </c>
      <c r="AI31" s="35" t="s">
        <v>4</v>
      </c>
      <c r="AJ31" s="51">
        <f>IF(AN31=0,H31,0)</f>
        <v>0</v>
      </c>
      <c r="AK31" s="51">
        <f>IF(AN31=12,H31,0)</f>
        <v>0</v>
      </c>
      <c r="AL31" s="51">
        <f>IF(AN31=21,H31,0)</f>
        <v>0</v>
      </c>
      <c r="AN31" s="51">
        <v>12</v>
      </c>
      <c r="AO31" s="51">
        <f>G31*0.179173427</f>
        <v>0</v>
      </c>
      <c r="AP31" s="51">
        <f>G31*(1-0.179173427)</f>
        <v>0</v>
      </c>
      <c r="AQ31" s="53" t="s">
        <v>111</v>
      </c>
      <c r="AV31" s="51">
        <f>AW31+AX31</f>
        <v>0</v>
      </c>
      <c r="AW31" s="51">
        <f>F31*AO31</f>
        <v>0</v>
      </c>
      <c r="AX31" s="51">
        <f>F31*AP31</f>
        <v>0</v>
      </c>
      <c r="AY31" s="53" t="s">
        <v>146</v>
      </c>
      <c r="AZ31" s="53" t="s">
        <v>147</v>
      </c>
      <c r="BA31" s="35" t="s">
        <v>117</v>
      </c>
      <c r="BC31" s="51">
        <f>AW31+AX31</f>
        <v>0</v>
      </c>
      <c r="BD31" s="51">
        <f>G31/(100-BE31)*100</f>
        <v>0</v>
      </c>
      <c r="BE31" s="51">
        <v>0</v>
      </c>
      <c r="BF31" s="51">
        <f>31</f>
        <v>31</v>
      </c>
      <c r="BH31" s="51">
        <f>F31*AO31</f>
        <v>0</v>
      </c>
      <c r="BI31" s="51">
        <f>F31*AP31</f>
        <v>0</v>
      </c>
      <c r="BJ31" s="51">
        <f>F31*G31</f>
        <v>0</v>
      </c>
      <c r="BK31" s="51"/>
      <c r="BL31" s="51">
        <v>61</v>
      </c>
      <c r="BW31" s="51">
        <v>12</v>
      </c>
      <c r="BX31" s="3" t="s">
        <v>158</v>
      </c>
    </row>
    <row r="32" spans="1:76">
      <c r="A32" s="1" t="s">
        <v>159</v>
      </c>
      <c r="B32" s="2" t="s">
        <v>160</v>
      </c>
      <c r="C32" s="75" t="s">
        <v>161</v>
      </c>
      <c r="D32" s="70"/>
      <c r="E32" s="2" t="s">
        <v>114</v>
      </c>
      <c r="F32" s="51">
        <v>178.636</v>
      </c>
      <c r="G32" s="52">
        <v>0</v>
      </c>
      <c r="H32" s="51">
        <f>F32*G32</f>
        <v>0</v>
      </c>
      <c r="J32" s="41"/>
      <c r="Z32" s="51">
        <f>IF(AQ32="5",BJ32,0)</f>
        <v>0</v>
      </c>
      <c r="AB32" s="51">
        <f>IF(AQ32="1",BH32,0)</f>
        <v>0</v>
      </c>
      <c r="AC32" s="51">
        <f>IF(AQ32="1",BI32,0)</f>
        <v>0</v>
      </c>
      <c r="AD32" s="51">
        <f>IF(AQ32="7",BH32,0)</f>
        <v>0</v>
      </c>
      <c r="AE32" s="51">
        <f>IF(AQ32="7",BI32,0)</f>
        <v>0</v>
      </c>
      <c r="AF32" s="51">
        <f>IF(AQ32="2",BH32,0)</f>
        <v>0</v>
      </c>
      <c r="AG32" s="51">
        <f>IF(AQ32="2",BI32,0)</f>
        <v>0</v>
      </c>
      <c r="AH32" s="51">
        <f>IF(AQ32="0",BJ32,0)</f>
        <v>0</v>
      </c>
      <c r="AI32" s="35" t="s">
        <v>4</v>
      </c>
      <c r="AJ32" s="51">
        <f>IF(AN32=0,H32,0)</f>
        <v>0</v>
      </c>
      <c r="AK32" s="51">
        <f>IF(AN32=12,H32,0)</f>
        <v>0</v>
      </c>
      <c r="AL32" s="51">
        <f>IF(AN32=21,H32,0)</f>
        <v>0</v>
      </c>
      <c r="AN32" s="51">
        <v>12</v>
      </c>
      <c r="AO32" s="51">
        <f>G32*0.408906393</f>
        <v>0</v>
      </c>
      <c r="AP32" s="51">
        <f>G32*(1-0.408906393)</f>
        <v>0</v>
      </c>
      <c r="AQ32" s="53" t="s">
        <v>111</v>
      </c>
      <c r="AV32" s="51">
        <f>AW32+AX32</f>
        <v>0</v>
      </c>
      <c r="AW32" s="51">
        <f>F32*AO32</f>
        <v>0</v>
      </c>
      <c r="AX32" s="51">
        <f>F32*AP32</f>
        <v>0</v>
      </c>
      <c r="AY32" s="53" t="s">
        <v>146</v>
      </c>
      <c r="AZ32" s="53" t="s">
        <v>147</v>
      </c>
      <c r="BA32" s="35" t="s">
        <v>117</v>
      </c>
      <c r="BC32" s="51">
        <f>AW32+AX32</f>
        <v>0</v>
      </c>
      <c r="BD32" s="51">
        <f>G32/(100-BE32)*100</f>
        <v>0</v>
      </c>
      <c r="BE32" s="51">
        <v>0</v>
      </c>
      <c r="BF32" s="51">
        <f>32</f>
        <v>32</v>
      </c>
      <c r="BH32" s="51">
        <f>F32*AO32</f>
        <v>0</v>
      </c>
      <c r="BI32" s="51">
        <f>F32*AP32</f>
        <v>0</v>
      </c>
      <c r="BJ32" s="51">
        <f>F32*G32</f>
        <v>0</v>
      </c>
      <c r="BK32" s="51"/>
      <c r="BL32" s="51">
        <v>61</v>
      </c>
      <c r="BW32" s="51">
        <v>12</v>
      </c>
      <c r="BX32" s="3" t="s">
        <v>161</v>
      </c>
    </row>
    <row r="33" spans="1:76">
      <c r="A33" s="54"/>
      <c r="C33" s="55" t="s">
        <v>162</v>
      </c>
      <c r="D33" s="56" t="s">
        <v>163</v>
      </c>
      <c r="F33" s="57">
        <v>24.54</v>
      </c>
      <c r="J33" s="41"/>
    </row>
    <row r="34" spans="1:76">
      <c r="A34" s="54"/>
      <c r="C34" s="55" t="s">
        <v>164</v>
      </c>
      <c r="D34" s="56" t="s">
        <v>165</v>
      </c>
      <c r="F34" s="57">
        <v>9.52</v>
      </c>
      <c r="J34" s="41"/>
    </row>
    <row r="35" spans="1:76">
      <c r="A35" s="54"/>
      <c r="C35" s="55" t="s">
        <v>166</v>
      </c>
      <c r="D35" s="56" t="s">
        <v>167</v>
      </c>
      <c r="F35" s="57">
        <v>15.3</v>
      </c>
      <c r="J35" s="41"/>
    </row>
    <row r="36" spans="1:76">
      <c r="A36" s="54"/>
      <c r="C36" s="55" t="s">
        <v>168</v>
      </c>
      <c r="D36" s="56" t="s">
        <v>169</v>
      </c>
      <c r="F36" s="57">
        <v>36.084000000000003</v>
      </c>
      <c r="J36" s="41"/>
    </row>
    <row r="37" spans="1:76">
      <c r="A37" s="54"/>
      <c r="C37" s="55" t="s">
        <v>170</v>
      </c>
      <c r="D37" s="56" t="s">
        <v>171</v>
      </c>
      <c r="F37" s="57">
        <v>37.683999999999997</v>
      </c>
      <c r="J37" s="41"/>
    </row>
    <row r="38" spans="1:76">
      <c r="A38" s="54"/>
      <c r="C38" s="55" t="s">
        <v>172</v>
      </c>
      <c r="D38" s="56" t="s">
        <v>173</v>
      </c>
      <c r="F38" s="57">
        <v>15.18</v>
      </c>
      <c r="J38" s="41"/>
    </row>
    <row r="39" spans="1:76">
      <c r="A39" s="54"/>
      <c r="C39" s="55" t="s">
        <v>174</v>
      </c>
      <c r="D39" s="56" t="s">
        <v>171</v>
      </c>
      <c r="F39" s="57">
        <v>36.072000000000003</v>
      </c>
      <c r="J39" s="41"/>
    </row>
    <row r="40" spans="1:76">
      <c r="A40" s="54"/>
      <c r="C40" s="55" t="s">
        <v>175</v>
      </c>
      <c r="D40" s="56" t="s">
        <v>176</v>
      </c>
      <c r="F40" s="57">
        <v>3.2160000000000002</v>
      </c>
      <c r="J40" s="41"/>
    </row>
    <row r="41" spans="1:76">
      <c r="A41" s="54"/>
      <c r="C41" s="55" t="s">
        <v>177</v>
      </c>
      <c r="D41" s="56" t="s">
        <v>4</v>
      </c>
      <c r="F41" s="57">
        <v>1.04</v>
      </c>
      <c r="J41" s="41"/>
    </row>
    <row r="42" spans="1:76">
      <c r="A42" s="1" t="s">
        <v>178</v>
      </c>
      <c r="B42" s="2" t="s">
        <v>179</v>
      </c>
      <c r="C42" s="75" t="s">
        <v>180</v>
      </c>
      <c r="D42" s="70"/>
      <c r="E42" s="2" t="s">
        <v>114</v>
      </c>
      <c r="F42" s="51">
        <v>7</v>
      </c>
      <c r="G42" s="52">
        <v>0</v>
      </c>
      <c r="H42" s="51">
        <f>F42*G42</f>
        <v>0</v>
      </c>
      <c r="J42" s="41"/>
      <c r="Z42" s="51">
        <f>IF(AQ42="5",BJ42,0)</f>
        <v>0</v>
      </c>
      <c r="AB42" s="51">
        <f>IF(AQ42="1",BH42,0)</f>
        <v>0</v>
      </c>
      <c r="AC42" s="51">
        <f>IF(AQ42="1",BI42,0)</f>
        <v>0</v>
      </c>
      <c r="AD42" s="51">
        <f>IF(AQ42="7",BH42,0)</f>
        <v>0</v>
      </c>
      <c r="AE42" s="51">
        <f>IF(AQ42="7",BI42,0)</f>
        <v>0</v>
      </c>
      <c r="AF42" s="51">
        <f>IF(AQ42="2",BH42,0)</f>
        <v>0</v>
      </c>
      <c r="AG42" s="51">
        <f>IF(AQ42="2",BI42,0)</f>
        <v>0</v>
      </c>
      <c r="AH42" s="51">
        <f>IF(AQ42="0",BJ42,0)</f>
        <v>0</v>
      </c>
      <c r="AI42" s="35" t="s">
        <v>4</v>
      </c>
      <c r="AJ42" s="51">
        <f>IF(AN42=0,H42,0)</f>
        <v>0</v>
      </c>
      <c r="AK42" s="51">
        <f>IF(AN42=12,H42,0)</f>
        <v>0</v>
      </c>
      <c r="AL42" s="51">
        <f>IF(AN42=21,H42,0)</f>
        <v>0</v>
      </c>
      <c r="AN42" s="51">
        <v>12</v>
      </c>
      <c r="AO42" s="51">
        <f>G42*0.24248927</f>
        <v>0</v>
      </c>
      <c r="AP42" s="51">
        <f>G42*(1-0.24248927)</f>
        <v>0</v>
      </c>
      <c r="AQ42" s="53" t="s">
        <v>111</v>
      </c>
      <c r="AV42" s="51">
        <f>AW42+AX42</f>
        <v>0</v>
      </c>
      <c r="AW42" s="51">
        <f>F42*AO42</f>
        <v>0</v>
      </c>
      <c r="AX42" s="51">
        <f>F42*AP42</f>
        <v>0</v>
      </c>
      <c r="AY42" s="53" t="s">
        <v>146</v>
      </c>
      <c r="AZ42" s="53" t="s">
        <v>147</v>
      </c>
      <c r="BA42" s="35" t="s">
        <v>117</v>
      </c>
      <c r="BC42" s="51">
        <f>AW42+AX42</f>
        <v>0</v>
      </c>
      <c r="BD42" s="51">
        <f>G42/(100-BE42)*100</f>
        <v>0</v>
      </c>
      <c r="BE42" s="51">
        <v>0</v>
      </c>
      <c r="BF42" s="51">
        <f>42</f>
        <v>42</v>
      </c>
      <c r="BH42" s="51">
        <f>F42*AO42</f>
        <v>0</v>
      </c>
      <c r="BI42" s="51">
        <f>F42*AP42</f>
        <v>0</v>
      </c>
      <c r="BJ42" s="51">
        <f>F42*G42</f>
        <v>0</v>
      </c>
      <c r="BK42" s="51"/>
      <c r="BL42" s="51">
        <v>61</v>
      </c>
      <c r="BW42" s="51">
        <v>12</v>
      </c>
      <c r="BX42" s="3" t="s">
        <v>180</v>
      </c>
    </row>
    <row r="43" spans="1:76">
      <c r="A43" s="54"/>
      <c r="C43" s="55" t="s">
        <v>181</v>
      </c>
      <c r="D43" s="56" t="s">
        <v>182</v>
      </c>
      <c r="F43" s="57">
        <v>7</v>
      </c>
      <c r="J43" s="41"/>
    </row>
    <row r="44" spans="1:76">
      <c r="A44" s="1" t="s">
        <v>183</v>
      </c>
      <c r="B44" s="2" t="s">
        <v>184</v>
      </c>
      <c r="C44" s="75" t="s">
        <v>185</v>
      </c>
      <c r="D44" s="70"/>
      <c r="E44" s="2" t="s">
        <v>114</v>
      </c>
      <c r="F44" s="51">
        <v>134.79599999999999</v>
      </c>
      <c r="G44" s="52">
        <v>0</v>
      </c>
      <c r="H44" s="51">
        <f>F44*G44</f>
        <v>0</v>
      </c>
      <c r="J44" s="41"/>
      <c r="Z44" s="51">
        <f>IF(AQ44="5",BJ44,0)</f>
        <v>0</v>
      </c>
      <c r="AB44" s="51">
        <f>IF(AQ44="1",BH44,0)</f>
        <v>0</v>
      </c>
      <c r="AC44" s="51">
        <f>IF(AQ44="1",BI44,0)</f>
        <v>0</v>
      </c>
      <c r="AD44" s="51">
        <f>IF(AQ44="7",BH44,0)</f>
        <v>0</v>
      </c>
      <c r="AE44" s="51">
        <f>IF(AQ44="7",BI44,0)</f>
        <v>0</v>
      </c>
      <c r="AF44" s="51">
        <f>IF(AQ44="2",BH44,0)</f>
        <v>0</v>
      </c>
      <c r="AG44" s="51">
        <f>IF(AQ44="2",BI44,0)</f>
        <v>0</v>
      </c>
      <c r="AH44" s="51">
        <f>IF(AQ44="0",BJ44,0)</f>
        <v>0</v>
      </c>
      <c r="AI44" s="35" t="s">
        <v>4</v>
      </c>
      <c r="AJ44" s="51">
        <f>IF(AN44=0,H44,0)</f>
        <v>0</v>
      </c>
      <c r="AK44" s="51">
        <f>IF(AN44=12,H44,0)</f>
        <v>0</v>
      </c>
      <c r="AL44" s="51">
        <f>IF(AN44=21,H44,0)</f>
        <v>0</v>
      </c>
      <c r="AN44" s="51">
        <v>12</v>
      </c>
      <c r="AO44" s="51">
        <f>G44*0.201253731</f>
        <v>0</v>
      </c>
      <c r="AP44" s="51">
        <f>G44*(1-0.201253731)</f>
        <v>0</v>
      </c>
      <c r="AQ44" s="53" t="s">
        <v>111</v>
      </c>
      <c r="AV44" s="51">
        <f>AW44+AX44</f>
        <v>0</v>
      </c>
      <c r="AW44" s="51">
        <f>F44*AO44</f>
        <v>0</v>
      </c>
      <c r="AX44" s="51">
        <f>F44*AP44</f>
        <v>0</v>
      </c>
      <c r="AY44" s="53" t="s">
        <v>146</v>
      </c>
      <c r="AZ44" s="53" t="s">
        <v>147</v>
      </c>
      <c r="BA44" s="35" t="s">
        <v>117</v>
      </c>
      <c r="BC44" s="51">
        <f>AW44+AX44</f>
        <v>0</v>
      </c>
      <c r="BD44" s="51">
        <f>G44/(100-BE44)*100</f>
        <v>0</v>
      </c>
      <c r="BE44" s="51">
        <v>0</v>
      </c>
      <c r="BF44" s="51">
        <f>44</f>
        <v>44</v>
      </c>
      <c r="BH44" s="51">
        <f>F44*AO44</f>
        <v>0</v>
      </c>
      <c r="BI44" s="51">
        <f>F44*AP44</f>
        <v>0</v>
      </c>
      <c r="BJ44" s="51">
        <f>F44*G44</f>
        <v>0</v>
      </c>
      <c r="BK44" s="51"/>
      <c r="BL44" s="51">
        <v>61</v>
      </c>
      <c r="BW44" s="51">
        <v>12</v>
      </c>
      <c r="BX44" s="3" t="s">
        <v>185</v>
      </c>
    </row>
    <row r="45" spans="1:76">
      <c r="A45" s="54"/>
      <c r="C45" s="55" t="s">
        <v>186</v>
      </c>
      <c r="D45" s="56" t="s">
        <v>187</v>
      </c>
      <c r="F45" s="57">
        <v>18.57</v>
      </c>
      <c r="J45" s="41"/>
    </row>
    <row r="46" spans="1:76">
      <c r="A46" s="54"/>
      <c r="C46" s="55" t="s">
        <v>188</v>
      </c>
      <c r="D46" s="56" t="s">
        <v>169</v>
      </c>
      <c r="F46" s="57">
        <v>23.033999999999999</v>
      </c>
      <c r="J46" s="41"/>
    </row>
    <row r="47" spans="1:76">
      <c r="A47" s="54"/>
      <c r="C47" s="55" t="s">
        <v>170</v>
      </c>
      <c r="D47" s="56" t="s">
        <v>171</v>
      </c>
      <c r="F47" s="57">
        <v>37.683999999999997</v>
      </c>
      <c r="J47" s="41"/>
    </row>
    <row r="48" spans="1:76">
      <c r="A48" s="54"/>
      <c r="C48" s="55" t="s">
        <v>172</v>
      </c>
      <c r="D48" s="56" t="s">
        <v>173</v>
      </c>
      <c r="F48" s="57">
        <v>15.18</v>
      </c>
      <c r="J48" s="41"/>
    </row>
    <row r="49" spans="1:76">
      <c r="A49" s="54"/>
      <c r="C49" s="55" t="s">
        <v>174</v>
      </c>
      <c r="D49" s="56" t="s">
        <v>171</v>
      </c>
      <c r="F49" s="57">
        <v>36.072000000000003</v>
      </c>
      <c r="J49" s="41"/>
    </row>
    <row r="50" spans="1:76">
      <c r="A50" s="54"/>
      <c r="C50" s="55" t="s">
        <v>175</v>
      </c>
      <c r="D50" s="56" t="s">
        <v>176</v>
      </c>
      <c r="F50" s="57">
        <v>3.2160000000000002</v>
      </c>
      <c r="J50" s="41"/>
    </row>
    <row r="51" spans="1:76">
      <c r="A51" s="54"/>
      <c r="C51" s="55" t="s">
        <v>177</v>
      </c>
      <c r="D51" s="56" t="s">
        <v>4</v>
      </c>
      <c r="F51" s="57">
        <v>1.04</v>
      </c>
      <c r="J51" s="41"/>
    </row>
    <row r="52" spans="1:76">
      <c r="A52" s="1" t="s">
        <v>189</v>
      </c>
      <c r="B52" s="2" t="s">
        <v>190</v>
      </c>
      <c r="C52" s="75" t="s">
        <v>191</v>
      </c>
      <c r="D52" s="70"/>
      <c r="E52" s="2" t="s">
        <v>114</v>
      </c>
      <c r="F52" s="51">
        <v>158.446</v>
      </c>
      <c r="G52" s="52">
        <v>0</v>
      </c>
      <c r="H52" s="51">
        <f>F52*G52</f>
        <v>0</v>
      </c>
      <c r="J52" s="41"/>
      <c r="Z52" s="51">
        <f>IF(AQ52="5",BJ52,0)</f>
        <v>0</v>
      </c>
      <c r="AB52" s="51">
        <f>IF(AQ52="1",BH52,0)</f>
        <v>0</v>
      </c>
      <c r="AC52" s="51">
        <f>IF(AQ52="1",BI52,0)</f>
        <v>0</v>
      </c>
      <c r="AD52" s="51">
        <f>IF(AQ52="7",BH52,0)</f>
        <v>0</v>
      </c>
      <c r="AE52" s="51">
        <f>IF(AQ52="7",BI52,0)</f>
        <v>0</v>
      </c>
      <c r="AF52" s="51">
        <f>IF(AQ52="2",BH52,0)</f>
        <v>0</v>
      </c>
      <c r="AG52" s="51">
        <f>IF(AQ52="2",BI52,0)</f>
        <v>0</v>
      </c>
      <c r="AH52" s="51">
        <f>IF(AQ52="0",BJ52,0)</f>
        <v>0</v>
      </c>
      <c r="AI52" s="35" t="s">
        <v>4</v>
      </c>
      <c r="AJ52" s="51">
        <f>IF(AN52=0,H52,0)</f>
        <v>0</v>
      </c>
      <c r="AK52" s="51">
        <f>IF(AN52=12,H52,0)</f>
        <v>0</v>
      </c>
      <c r="AL52" s="51">
        <f>IF(AN52=21,H52,0)</f>
        <v>0</v>
      </c>
      <c r="AN52" s="51">
        <v>12</v>
      </c>
      <c r="AO52" s="51">
        <f>G52*0.435487113</f>
        <v>0</v>
      </c>
      <c r="AP52" s="51">
        <f>G52*(1-0.435487113)</f>
        <v>0</v>
      </c>
      <c r="AQ52" s="53" t="s">
        <v>111</v>
      </c>
      <c r="AV52" s="51">
        <f>AW52+AX52</f>
        <v>0</v>
      </c>
      <c r="AW52" s="51">
        <f>F52*AO52</f>
        <v>0</v>
      </c>
      <c r="AX52" s="51">
        <f>F52*AP52</f>
        <v>0</v>
      </c>
      <c r="AY52" s="53" t="s">
        <v>146</v>
      </c>
      <c r="AZ52" s="53" t="s">
        <v>147</v>
      </c>
      <c r="BA52" s="35" t="s">
        <v>117</v>
      </c>
      <c r="BC52" s="51">
        <f>AW52+AX52</f>
        <v>0</v>
      </c>
      <c r="BD52" s="51">
        <f>G52/(100-BE52)*100</f>
        <v>0</v>
      </c>
      <c r="BE52" s="51">
        <v>0</v>
      </c>
      <c r="BF52" s="51">
        <f>52</f>
        <v>52</v>
      </c>
      <c r="BH52" s="51">
        <f>F52*AO52</f>
        <v>0</v>
      </c>
      <c r="BI52" s="51">
        <f>F52*AP52</f>
        <v>0</v>
      </c>
      <c r="BJ52" s="51">
        <f>F52*G52</f>
        <v>0</v>
      </c>
      <c r="BK52" s="51"/>
      <c r="BL52" s="51">
        <v>61</v>
      </c>
      <c r="BW52" s="51">
        <v>12</v>
      </c>
      <c r="BX52" s="3" t="s">
        <v>191</v>
      </c>
    </row>
    <row r="53" spans="1:76" ht="13.5" customHeight="1">
      <c r="A53" s="54"/>
      <c r="B53" s="58" t="s">
        <v>130</v>
      </c>
      <c r="C53" s="152" t="s">
        <v>192</v>
      </c>
      <c r="D53" s="153"/>
      <c r="E53" s="153"/>
      <c r="F53" s="153"/>
      <c r="G53" s="154"/>
      <c r="H53" s="153"/>
      <c r="I53" s="153"/>
      <c r="J53" s="155"/>
    </row>
    <row r="54" spans="1:76">
      <c r="A54" s="54"/>
      <c r="C54" s="55" t="s">
        <v>162</v>
      </c>
      <c r="D54" s="56" t="s">
        <v>163</v>
      </c>
      <c r="F54" s="57">
        <v>24.54</v>
      </c>
      <c r="J54" s="41"/>
    </row>
    <row r="55" spans="1:76">
      <c r="A55" s="54"/>
      <c r="C55" s="55" t="s">
        <v>193</v>
      </c>
      <c r="D55" s="56" t="s">
        <v>194</v>
      </c>
      <c r="F55" s="57">
        <v>3.36</v>
      </c>
      <c r="J55" s="41"/>
    </row>
    <row r="56" spans="1:76">
      <c r="A56" s="54"/>
      <c r="C56" s="55" t="s">
        <v>195</v>
      </c>
      <c r="D56" s="56" t="s">
        <v>196</v>
      </c>
      <c r="F56" s="57">
        <v>3.25</v>
      </c>
      <c r="J56" s="41"/>
    </row>
    <row r="57" spans="1:76">
      <c r="A57" s="54"/>
      <c r="C57" s="55" t="s">
        <v>168</v>
      </c>
      <c r="D57" s="56" t="s">
        <v>169</v>
      </c>
      <c r="F57" s="57">
        <v>36.084000000000003</v>
      </c>
      <c r="J57" s="41"/>
    </row>
    <row r="58" spans="1:76">
      <c r="A58" s="54"/>
      <c r="C58" s="55" t="s">
        <v>197</v>
      </c>
      <c r="D58" s="56" t="s">
        <v>4</v>
      </c>
      <c r="F58" s="57">
        <v>-1.98</v>
      </c>
      <c r="J58" s="41"/>
    </row>
    <row r="59" spans="1:76">
      <c r="A59" s="54"/>
      <c r="C59" s="55" t="s">
        <v>170</v>
      </c>
      <c r="D59" s="56" t="s">
        <v>171</v>
      </c>
      <c r="F59" s="57">
        <v>37.683999999999997</v>
      </c>
      <c r="J59" s="41"/>
    </row>
    <row r="60" spans="1:76">
      <c r="A60" s="54"/>
      <c r="C60" s="55" t="s">
        <v>172</v>
      </c>
      <c r="D60" s="56" t="s">
        <v>173</v>
      </c>
      <c r="F60" s="57">
        <v>15.18</v>
      </c>
      <c r="J60" s="41"/>
    </row>
    <row r="61" spans="1:76">
      <c r="A61" s="54"/>
      <c r="C61" s="55" t="s">
        <v>174</v>
      </c>
      <c r="D61" s="56" t="s">
        <v>171</v>
      </c>
      <c r="F61" s="57">
        <v>36.072000000000003</v>
      </c>
      <c r="J61" s="41"/>
    </row>
    <row r="62" spans="1:76">
      <c r="A62" s="54"/>
      <c r="C62" s="55" t="s">
        <v>175</v>
      </c>
      <c r="D62" s="56" t="s">
        <v>176</v>
      </c>
      <c r="F62" s="57">
        <v>3.2160000000000002</v>
      </c>
      <c r="J62" s="41"/>
    </row>
    <row r="63" spans="1:76">
      <c r="A63" s="54"/>
      <c r="C63" s="55" t="s">
        <v>177</v>
      </c>
      <c r="D63" s="56" t="s">
        <v>4</v>
      </c>
      <c r="F63" s="57">
        <v>1.04</v>
      </c>
      <c r="J63" s="41"/>
    </row>
    <row r="64" spans="1:76">
      <c r="A64" s="1" t="s">
        <v>198</v>
      </c>
      <c r="B64" s="2" t="s">
        <v>199</v>
      </c>
      <c r="C64" s="75" t="s">
        <v>200</v>
      </c>
      <c r="D64" s="70"/>
      <c r="E64" s="2" t="s">
        <v>114</v>
      </c>
      <c r="F64" s="51">
        <v>10.303000000000001</v>
      </c>
      <c r="G64" s="52">
        <v>0</v>
      </c>
      <c r="H64" s="51">
        <f>F64*G64</f>
        <v>0</v>
      </c>
      <c r="J64" s="41"/>
      <c r="Z64" s="51">
        <f>IF(AQ64="5",BJ64,0)</f>
        <v>0</v>
      </c>
      <c r="AB64" s="51">
        <f>IF(AQ64="1",BH64,0)</f>
        <v>0</v>
      </c>
      <c r="AC64" s="51">
        <f>IF(AQ64="1",BI64,0)</f>
        <v>0</v>
      </c>
      <c r="AD64" s="51">
        <f>IF(AQ64="7",BH64,0)</f>
        <v>0</v>
      </c>
      <c r="AE64" s="51">
        <f>IF(AQ64="7",BI64,0)</f>
        <v>0</v>
      </c>
      <c r="AF64" s="51">
        <f>IF(AQ64="2",BH64,0)</f>
        <v>0</v>
      </c>
      <c r="AG64" s="51">
        <f>IF(AQ64="2",BI64,0)</f>
        <v>0</v>
      </c>
      <c r="AH64" s="51">
        <f>IF(AQ64="0",BJ64,0)</f>
        <v>0</v>
      </c>
      <c r="AI64" s="35" t="s">
        <v>4</v>
      </c>
      <c r="AJ64" s="51">
        <f>IF(AN64=0,H64,0)</f>
        <v>0</v>
      </c>
      <c r="AK64" s="51">
        <f>IF(AN64=12,H64,0)</f>
        <v>0</v>
      </c>
      <c r="AL64" s="51">
        <f>IF(AN64=21,H64,0)</f>
        <v>0</v>
      </c>
      <c r="AN64" s="51">
        <v>12</v>
      </c>
      <c r="AO64" s="51">
        <f>G64*0.333787568</f>
        <v>0</v>
      </c>
      <c r="AP64" s="51">
        <f>G64*(1-0.333787568)</f>
        <v>0</v>
      </c>
      <c r="AQ64" s="53" t="s">
        <v>111</v>
      </c>
      <c r="AV64" s="51">
        <f>AW64+AX64</f>
        <v>0</v>
      </c>
      <c r="AW64" s="51">
        <f>F64*AO64</f>
        <v>0</v>
      </c>
      <c r="AX64" s="51">
        <f>F64*AP64</f>
        <v>0</v>
      </c>
      <c r="AY64" s="53" t="s">
        <v>146</v>
      </c>
      <c r="AZ64" s="53" t="s">
        <v>147</v>
      </c>
      <c r="BA64" s="35" t="s">
        <v>117</v>
      </c>
      <c r="BC64" s="51">
        <f>AW64+AX64</f>
        <v>0</v>
      </c>
      <c r="BD64" s="51">
        <f>G64/(100-BE64)*100</f>
        <v>0</v>
      </c>
      <c r="BE64" s="51">
        <v>0</v>
      </c>
      <c r="BF64" s="51">
        <f>64</f>
        <v>64</v>
      </c>
      <c r="BH64" s="51">
        <f>F64*AO64</f>
        <v>0</v>
      </c>
      <c r="BI64" s="51">
        <f>F64*AP64</f>
        <v>0</v>
      </c>
      <c r="BJ64" s="51">
        <f>F64*G64</f>
        <v>0</v>
      </c>
      <c r="BK64" s="51"/>
      <c r="BL64" s="51">
        <v>61</v>
      </c>
      <c r="BW64" s="51">
        <v>12</v>
      </c>
      <c r="BX64" s="3" t="s">
        <v>200</v>
      </c>
    </row>
    <row r="65" spans="1:76">
      <c r="A65" s="54"/>
      <c r="C65" s="55" t="s">
        <v>201</v>
      </c>
      <c r="D65" s="56" t="s">
        <v>202</v>
      </c>
      <c r="F65" s="57">
        <v>10.303000000000001</v>
      </c>
      <c r="J65" s="41"/>
    </row>
    <row r="66" spans="1:76">
      <c r="A66" s="1" t="s">
        <v>203</v>
      </c>
      <c r="B66" s="2" t="s">
        <v>204</v>
      </c>
      <c r="C66" s="75" t="s">
        <v>205</v>
      </c>
      <c r="D66" s="70"/>
      <c r="E66" s="2" t="s">
        <v>114</v>
      </c>
      <c r="F66" s="51">
        <v>19.66</v>
      </c>
      <c r="G66" s="52">
        <v>0</v>
      </c>
      <c r="H66" s="51">
        <f>F66*G66</f>
        <v>0</v>
      </c>
      <c r="J66" s="41"/>
      <c r="Z66" s="51">
        <f>IF(AQ66="5",BJ66,0)</f>
        <v>0</v>
      </c>
      <c r="AB66" s="51">
        <f>IF(AQ66="1",BH66,0)</f>
        <v>0</v>
      </c>
      <c r="AC66" s="51">
        <f>IF(AQ66="1",BI66,0)</f>
        <v>0</v>
      </c>
      <c r="AD66" s="51">
        <f>IF(AQ66="7",BH66,0)</f>
        <v>0</v>
      </c>
      <c r="AE66" s="51">
        <f>IF(AQ66="7",BI66,0)</f>
        <v>0</v>
      </c>
      <c r="AF66" s="51">
        <f>IF(AQ66="2",BH66,0)</f>
        <v>0</v>
      </c>
      <c r="AG66" s="51">
        <f>IF(AQ66="2",BI66,0)</f>
        <v>0</v>
      </c>
      <c r="AH66" s="51">
        <f>IF(AQ66="0",BJ66,0)</f>
        <v>0</v>
      </c>
      <c r="AI66" s="35" t="s">
        <v>4</v>
      </c>
      <c r="AJ66" s="51">
        <f>IF(AN66=0,H66,0)</f>
        <v>0</v>
      </c>
      <c r="AK66" s="51">
        <f>IF(AN66=12,H66,0)</f>
        <v>0</v>
      </c>
      <c r="AL66" s="51">
        <f>IF(AN66=21,H66,0)</f>
        <v>0</v>
      </c>
      <c r="AN66" s="51">
        <v>12</v>
      </c>
      <c r="AO66" s="51">
        <f>G66*0.292902156</f>
        <v>0</v>
      </c>
      <c r="AP66" s="51">
        <f>G66*(1-0.292902156)</f>
        <v>0</v>
      </c>
      <c r="AQ66" s="53" t="s">
        <v>111</v>
      </c>
      <c r="AV66" s="51">
        <f>AW66+AX66</f>
        <v>0</v>
      </c>
      <c r="AW66" s="51">
        <f>F66*AO66</f>
        <v>0</v>
      </c>
      <c r="AX66" s="51">
        <f>F66*AP66</f>
        <v>0</v>
      </c>
      <c r="AY66" s="53" t="s">
        <v>146</v>
      </c>
      <c r="AZ66" s="53" t="s">
        <v>147</v>
      </c>
      <c r="BA66" s="35" t="s">
        <v>117</v>
      </c>
      <c r="BC66" s="51">
        <f>AW66+AX66</f>
        <v>0</v>
      </c>
      <c r="BD66" s="51">
        <f>G66/(100-BE66)*100</f>
        <v>0</v>
      </c>
      <c r="BE66" s="51">
        <v>0</v>
      </c>
      <c r="BF66" s="51">
        <f>66</f>
        <v>66</v>
      </c>
      <c r="BH66" s="51">
        <f>F66*AO66</f>
        <v>0</v>
      </c>
      <c r="BI66" s="51">
        <f>F66*AP66</f>
        <v>0</v>
      </c>
      <c r="BJ66" s="51">
        <f>F66*G66</f>
        <v>0</v>
      </c>
      <c r="BK66" s="51"/>
      <c r="BL66" s="51">
        <v>61</v>
      </c>
      <c r="BW66" s="51">
        <v>12</v>
      </c>
      <c r="BX66" s="3" t="s">
        <v>205</v>
      </c>
    </row>
    <row r="67" spans="1:76" ht="13.5" customHeight="1">
      <c r="A67" s="54"/>
      <c r="B67" s="58" t="s">
        <v>130</v>
      </c>
      <c r="C67" s="152" t="s">
        <v>206</v>
      </c>
      <c r="D67" s="153"/>
      <c r="E67" s="153"/>
      <c r="F67" s="153"/>
      <c r="G67" s="154"/>
      <c r="H67" s="153"/>
      <c r="I67" s="153"/>
      <c r="J67" s="155"/>
    </row>
    <row r="68" spans="1:76">
      <c r="A68" s="54"/>
      <c r="C68" s="55" t="s">
        <v>207</v>
      </c>
      <c r="D68" s="56" t="s">
        <v>169</v>
      </c>
      <c r="F68" s="57">
        <v>13.05</v>
      </c>
      <c r="J68" s="41"/>
    </row>
    <row r="69" spans="1:76">
      <c r="A69" s="54"/>
      <c r="C69" s="55" t="s">
        <v>208</v>
      </c>
      <c r="D69" s="56" t="s">
        <v>163</v>
      </c>
      <c r="F69" s="57">
        <v>0</v>
      </c>
      <c r="J69" s="41"/>
    </row>
    <row r="70" spans="1:76">
      <c r="A70" s="54"/>
      <c r="C70" s="55" t="s">
        <v>193</v>
      </c>
      <c r="D70" s="56" t="s">
        <v>194</v>
      </c>
      <c r="F70" s="57">
        <v>3.36</v>
      </c>
      <c r="J70" s="41"/>
    </row>
    <row r="71" spans="1:76">
      <c r="A71" s="54"/>
      <c r="C71" s="55" t="s">
        <v>195</v>
      </c>
      <c r="D71" s="56" t="s">
        <v>196</v>
      </c>
      <c r="F71" s="57">
        <v>3.25</v>
      </c>
      <c r="J71" s="41"/>
    </row>
    <row r="72" spans="1:76">
      <c r="A72" s="1" t="s">
        <v>209</v>
      </c>
      <c r="B72" s="2" t="s">
        <v>210</v>
      </c>
      <c r="C72" s="75" t="s">
        <v>211</v>
      </c>
      <c r="D72" s="70"/>
      <c r="E72" s="2" t="s">
        <v>129</v>
      </c>
      <c r="F72" s="51">
        <v>1</v>
      </c>
      <c r="G72" s="52">
        <v>0</v>
      </c>
      <c r="H72" s="51">
        <f>F72*G72</f>
        <v>0</v>
      </c>
      <c r="J72" s="41"/>
      <c r="Z72" s="51">
        <f>IF(AQ72="5",BJ72,0)</f>
        <v>0</v>
      </c>
      <c r="AB72" s="51">
        <f>IF(AQ72="1",BH72,0)</f>
        <v>0</v>
      </c>
      <c r="AC72" s="51">
        <f>IF(AQ72="1",BI72,0)</f>
        <v>0</v>
      </c>
      <c r="AD72" s="51">
        <f>IF(AQ72="7",BH72,0)</f>
        <v>0</v>
      </c>
      <c r="AE72" s="51">
        <f>IF(AQ72="7",BI72,0)</f>
        <v>0</v>
      </c>
      <c r="AF72" s="51">
        <f>IF(AQ72="2",BH72,0)</f>
        <v>0</v>
      </c>
      <c r="AG72" s="51">
        <f>IF(AQ72="2",BI72,0)</f>
        <v>0</v>
      </c>
      <c r="AH72" s="51">
        <f>IF(AQ72="0",BJ72,0)</f>
        <v>0</v>
      </c>
      <c r="AI72" s="35" t="s">
        <v>4</v>
      </c>
      <c r="AJ72" s="51">
        <f>IF(AN72=0,H72,0)</f>
        <v>0</v>
      </c>
      <c r="AK72" s="51">
        <f>IF(AN72=12,H72,0)</f>
        <v>0</v>
      </c>
      <c r="AL72" s="51">
        <f>IF(AN72=21,H72,0)</f>
        <v>0</v>
      </c>
      <c r="AN72" s="51">
        <v>12</v>
      </c>
      <c r="AO72" s="51">
        <f>G72*0.640164336</f>
        <v>0</v>
      </c>
      <c r="AP72" s="51">
        <f>G72*(1-0.640164336)</f>
        <v>0</v>
      </c>
      <c r="AQ72" s="53" t="s">
        <v>111</v>
      </c>
      <c r="AV72" s="51">
        <f>AW72+AX72</f>
        <v>0</v>
      </c>
      <c r="AW72" s="51">
        <f>F72*AO72</f>
        <v>0</v>
      </c>
      <c r="AX72" s="51">
        <f>F72*AP72</f>
        <v>0</v>
      </c>
      <c r="AY72" s="53" t="s">
        <v>146</v>
      </c>
      <c r="AZ72" s="53" t="s">
        <v>147</v>
      </c>
      <c r="BA72" s="35" t="s">
        <v>117</v>
      </c>
      <c r="BC72" s="51">
        <f>AW72+AX72</f>
        <v>0</v>
      </c>
      <c r="BD72" s="51">
        <f>G72/(100-BE72)*100</f>
        <v>0</v>
      </c>
      <c r="BE72" s="51">
        <v>0</v>
      </c>
      <c r="BF72" s="51">
        <f>72</f>
        <v>72</v>
      </c>
      <c r="BH72" s="51">
        <f>F72*AO72</f>
        <v>0</v>
      </c>
      <c r="BI72" s="51">
        <f>F72*AP72</f>
        <v>0</v>
      </c>
      <c r="BJ72" s="51">
        <f>F72*G72</f>
        <v>0</v>
      </c>
      <c r="BK72" s="51"/>
      <c r="BL72" s="51">
        <v>61</v>
      </c>
      <c r="BW72" s="51">
        <v>12</v>
      </c>
      <c r="BX72" s="3" t="s">
        <v>211</v>
      </c>
    </row>
    <row r="73" spans="1:76" ht="13.5" customHeight="1">
      <c r="A73" s="54"/>
      <c r="B73" s="58" t="s">
        <v>130</v>
      </c>
      <c r="C73" s="152" t="s">
        <v>212</v>
      </c>
      <c r="D73" s="153"/>
      <c r="E73" s="153"/>
      <c r="F73" s="153"/>
      <c r="G73" s="154"/>
      <c r="H73" s="153"/>
      <c r="I73" s="153"/>
      <c r="J73" s="155"/>
    </row>
    <row r="74" spans="1:76">
      <c r="A74" s="54"/>
      <c r="C74" s="55" t="s">
        <v>111</v>
      </c>
      <c r="D74" s="56" t="s">
        <v>165</v>
      </c>
      <c r="F74" s="57">
        <v>1</v>
      </c>
      <c r="J74" s="41"/>
    </row>
    <row r="75" spans="1:76">
      <c r="A75" s="1" t="s">
        <v>213</v>
      </c>
      <c r="B75" s="2" t="s">
        <v>214</v>
      </c>
      <c r="C75" s="75" t="s">
        <v>211</v>
      </c>
      <c r="D75" s="70"/>
      <c r="E75" s="2" t="s">
        <v>129</v>
      </c>
      <c r="F75" s="51">
        <v>2</v>
      </c>
      <c r="G75" s="52">
        <v>0</v>
      </c>
      <c r="H75" s="51">
        <f>F75*G75</f>
        <v>0</v>
      </c>
      <c r="J75" s="41"/>
      <c r="Z75" s="51">
        <f>IF(AQ75="5",BJ75,0)</f>
        <v>0</v>
      </c>
      <c r="AB75" s="51">
        <f>IF(AQ75="1",BH75,0)</f>
        <v>0</v>
      </c>
      <c r="AC75" s="51">
        <f>IF(AQ75="1",BI75,0)</f>
        <v>0</v>
      </c>
      <c r="AD75" s="51">
        <f>IF(AQ75="7",BH75,0)</f>
        <v>0</v>
      </c>
      <c r="AE75" s="51">
        <f>IF(AQ75="7",BI75,0)</f>
        <v>0</v>
      </c>
      <c r="AF75" s="51">
        <f>IF(AQ75="2",BH75,0)</f>
        <v>0</v>
      </c>
      <c r="AG75" s="51">
        <f>IF(AQ75="2",BI75,0)</f>
        <v>0</v>
      </c>
      <c r="AH75" s="51">
        <f>IF(AQ75="0",BJ75,0)</f>
        <v>0</v>
      </c>
      <c r="AI75" s="35" t="s">
        <v>4</v>
      </c>
      <c r="AJ75" s="51">
        <f>IF(AN75=0,H75,0)</f>
        <v>0</v>
      </c>
      <c r="AK75" s="51">
        <f>IF(AN75=12,H75,0)</f>
        <v>0</v>
      </c>
      <c r="AL75" s="51">
        <f>IF(AN75=21,H75,0)</f>
        <v>0</v>
      </c>
      <c r="AN75" s="51">
        <v>12</v>
      </c>
      <c r="AO75" s="51">
        <f>G75*0.64451468</f>
        <v>0</v>
      </c>
      <c r="AP75" s="51">
        <f>G75*(1-0.64451468)</f>
        <v>0</v>
      </c>
      <c r="AQ75" s="53" t="s">
        <v>111</v>
      </c>
      <c r="AV75" s="51">
        <f>AW75+AX75</f>
        <v>0</v>
      </c>
      <c r="AW75" s="51">
        <f>F75*AO75</f>
        <v>0</v>
      </c>
      <c r="AX75" s="51">
        <f>F75*AP75</f>
        <v>0</v>
      </c>
      <c r="AY75" s="53" t="s">
        <v>146</v>
      </c>
      <c r="AZ75" s="53" t="s">
        <v>147</v>
      </c>
      <c r="BA75" s="35" t="s">
        <v>117</v>
      </c>
      <c r="BC75" s="51">
        <f>AW75+AX75</f>
        <v>0</v>
      </c>
      <c r="BD75" s="51">
        <f>G75/(100-BE75)*100</f>
        <v>0</v>
      </c>
      <c r="BE75" s="51">
        <v>0</v>
      </c>
      <c r="BF75" s="51">
        <f>75</f>
        <v>75</v>
      </c>
      <c r="BH75" s="51">
        <f>F75*AO75</f>
        <v>0</v>
      </c>
      <c r="BI75" s="51">
        <f>F75*AP75</f>
        <v>0</v>
      </c>
      <c r="BJ75" s="51">
        <f>F75*G75</f>
        <v>0</v>
      </c>
      <c r="BK75" s="51"/>
      <c r="BL75" s="51">
        <v>61</v>
      </c>
      <c r="BW75" s="51">
        <v>12</v>
      </c>
      <c r="BX75" s="3" t="s">
        <v>211</v>
      </c>
    </row>
    <row r="76" spans="1:76" ht="13.5" customHeight="1">
      <c r="A76" s="54"/>
      <c r="B76" s="58" t="s">
        <v>130</v>
      </c>
      <c r="C76" s="152" t="s">
        <v>215</v>
      </c>
      <c r="D76" s="153"/>
      <c r="E76" s="153"/>
      <c r="F76" s="153"/>
      <c r="G76" s="154"/>
      <c r="H76" s="153"/>
      <c r="I76" s="153"/>
      <c r="J76" s="155"/>
    </row>
    <row r="77" spans="1:76">
      <c r="A77" s="1" t="s">
        <v>216</v>
      </c>
      <c r="B77" s="2" t="s">
        <v>217</v>
      </c>
      <c r="C77" s="75" t="s">
        <v>218</v>
      </c>
      <c r="D77" s="70"/>
      <c r="E77" s="2" t="s">
        <v>114</v>
      </c>
      <c r="F77" s="51">
        <v>5.19</v>
      </c>
      <c r="G77" s="52">
        <v>0</v>
      </c>
      <c r="H77" s="51">
        <f>F77*G77</f>
        <v>0</v>
      </c>
      <c r="J77" s="41"/>
      <c r="Z77" s="51">
        <f>IF(AQ77="5",BJ77,0)</f>
        <v>0</v>
      </c>
      <c r="AB77" s="51">
        <f>IF(AQ77="1",BH77,0)</f>
        <v>0</v>
      </c>
      <c r="AC77" s="51">
        <f>IF(AQ77="1",BI77,0)</f>
        <v>0</v>
      </c>
      <c r="AD77" s="51">
        <f>IF(AQ77="7",BH77,0)</f>
        <v>0</v>
      </c>
      <c r="AE77" s="51">
        <f>IF(AQ77="7",BI77,0)</f>
        <v>0</v>
      </c>
      <c r="AF77" s="51">
        <f>IF(AQ77="2",BH77,0)</f>
        <v>0</v>
      </c>
      <c r="AG77" s="51">
        <f>IF(AQ77="2",BI77,0)</f>
        <v>0</v>
      </c>
      <c r="AH77" s="51">
        <f>IF(AQ77="0",BJ77,0)</f>
        <v>0</v>
      </c>
      <c r="AI77" s="35" t="s">
        <v>4</v>
      </c>
      <c r="AJ77" s="51">
        <f>IF(AN77=0,H77,0)</f>
        <v>0</v>
      </c>
      <c r="AK77" s="51">
        <f>IF(AN77=12,H77,0)</f>
        <v>0</v>
      </c>
      <c r="AL77" s="51">
        <f>IF(AN77=21,H77,0)</f>
        <v>0</v>
      </c>
      <c r="AN77" s="51">
        <v>12</v>
      </c>
      <c r="AO77" s="51">
        <f>G77*0.137273572</f>
        <v>0</v>
      </c>
      <c r="AP77" s="51">
        <f>G77*(1-0.137273572)</f>
        <v>0</v>
      </c>
      <c r="AQ77" s="53" t="s">
        <v>111</v>
      </c>
      <c r="AV77" s="51">
        <f>AW77+AX77</f>
        <v>0</v>
      </c>
      <c r="AW77" s="51">
        <f>F77*AO77</f>
        <v>0</v>
      </c>
      <c r="AX77" s="51">
        <f>F77*AP77</f>
        <v>0</v>
      </c>
      <c r="AY77" s="53" t="s">
        <v>146</v>
      </c>
      <c r="AZ77" s="53" t="s">
        <v>147</v>
      </c>
      <c r="BA77" s="35" t="s">
        <v>117</v>
      </c>
      <c r="BC77" s="51">
        <f>AW77+AX77</f>
        <v>0</v>
      </c>
      <c r="BD77" s="51">
        <f>G77/(100-BE77)*100</f>
        <v>0</v>
      </c>
      <c r="BE77" s="51">
        <v>0</v>
      </c>
      <c r="BF77" s="51">
        <f>77</f>
        <v>77</v>
      </c>
      <c r="BH77" s="51">
        <f>F77*AO77</f>
        <v>0</v>
      </c>
      <c r="BI77" s="51">
        <f>F77*AP77</f>
        <v>0</v>
      </c>
      <c r="BJ77" s="51">
        <f>F77*G77</f>
        <v>0</v>
      </c>
      <c r="BK77" s="51"/>
      <c r="BL77" s="51">
        <v>61</v>
      </c>
      <c r="BW77" s="51">
        <v>12</v>
      </c>
      <c r="BX77" s="3" t="s">
        <v>218</v>
      </c>
    </row>
    <row r="78" spans="1:76">
      <c r="A78" s="54"/>
      <c r="C78" s="55" t="s">
        <v>219</v>
      </c>
      <c r="D78" s="56" t="s">
        <v>220</v>
      </c>
      <c r="F78" s="57">
        <v>3.57</v>
      </c>
      <c r="J78" s="41"/>
    </row>
    <row r="79" spans="1:76">
      <c r="A79" s="54"/>
      <c r="C79" s="55" t="s">
        <v>221</v>
      </c>
      <c r="D79" s="56" t="s">
        <v>222</v>
      </c>
      <c r="F79" s="57">
        <v>1.62</v>
      </c>
      <c r="J79" s="41"/>
    </row>
    <row r="80" spans="1:76">
      <c r="A80" s="47" t="s">
        <v>4</v>
      </c>
      <c r="B80" s="48" t="s">
        <v>223</v>
      </c>
      <c r="C80" s="150" t="s">
        <v>224</v>
      </c>
      <c r="D80" s="151"/>
      <c r="E80" s="49" t="s">
        <v>79</v>
      </c>
      <c r="F80" s="49" t="s">
        <v>79</v>
      </c>
      <c r="G80" s="50" t="s">
        <v>79</v>
      </c>
      <c r="H80" s="28">
        <f>SUM(H81:H87)</f>
        <v>0</v>
      </c>
      <c r="J80" s="41"/>
      <c r="AI80" s="35" t="s">
        <v>4</v>
      </c>
      <c r="AS80" s="28">
        <f>SUM(AJ81:AJ87)</f>
        <v>0</v>
      </c>
      <c r="AT80" s="28">
        <f>SUM(AK81:AK87)</f>
        <v>0</v>
      </c>
      <c r="AU80" s="28">
        <f>SUM(AL81:AL87)</f>
        <v>0</v>
      </c>
    </row>
    <row r="81" spans="1:76">
      <c r="A81" s="1" t="s">
        <v>225</v>
      </c>
      <c r="B81" s="2" t="s">
        <v>226</v>
      </c>
      <c r="C81" s="75" t="s">
        <v>227</v>
      </c>
      <c r="D81" s="70"/>
      <c r="E81" s="2" t="s">
        <v>114</v>
      </c>
      <c r="F81" s="51">
        <v>3.72</v>
      </c>
      <c r="G81" s="52">
        <v>0</v>
      </c>
      <c r="H81" s="51">
        <f>F81*G81</f>
        <v>0</v>
      </c>
      <c r="J81" s="41"/>
      <c r="Z81" s="51">
        <f>IF(AQ81="5",BJ81,0)</f>
        <v>0</v>
      </c>
      <c r="AB81" s="51">
        <f>IF(AQ81="1",BH81,0)</f>
        <v>0</v>
      </c>
      <c r="AC81" s="51">
        <f>IF(AQ81="1",BI81,0)</f>
        <v>0</v>
      </c>
      <c r="AD81" s="51">
        <f>IF(AQ81="7",BH81,0)</f>
        <v>0</v>
      </c>
      <c r="AE81" s="51">
        <f>IF(AQ81="7",BI81,0)</f>
        <v>0</v>
      </c>
      <c r="AF81" s="51">
        <f>IF(AQ81="2",BH81,0)</f>
        <v>0</v>
      </c>
      <c r="AG81" s="51">
        <f>IF(AQ81="2",BI81,0)</f>
        <v>0</v>
      </c>
      <c r="AH81" s="51">
        <f>IF(AQ81="0",BJ81,0)</f>
        <v>0</v>
      </c>
      <c r="AI81" s="35" t="s">
        <v>4</v>
      </c>
      <c r="AJ81" s="51">
        <f>IF(AN81=0,H81,0)</f>
        <v>0</v>
      </c>
      <c r="AK81" s="51">
        <f>IF(AN81=12,H81,0)</f>
        <v>0</v>
      </c>
      <c r="AL81" s="51">
        <f>IF(AN81=21,H81,0)</f>
        <v>0</v>
      </c>
      <c r="AN81" s="51">
        <v>12</v>
      </c>
      <c r="AO81" s="51">
        <f>G81*0.675980123</f>
        <v>0</v>
      </c>
      <c r="AP81" s="51">
        <f>G81*(1-0.675980123)</f>
        <v>0</v>
      </c>
      <c r="AQ81" s="53" t="s">
        <v>111</v>
      </c>
      <c r="AV81" s="51">
        <f>AW81+AX81</f>
        <v>0</v>
      </c>
      <c r="AW81" s="51">
        <f>F81*AO81</f>
        <v>0</v>
      </c>
      <c r="AX81" s="51">
        <f>F81*AP81</f>
        <v>0</v>
      </c>
      <c r="AY81" s="53" t="s">
        <v>228</v>
      </c>
      <c r="AZ81" s="53" t="s">
        <v>147</v>
      </c>
      <c r="BA81" s="35" t="s">
        <v>117</v>
      </c>
      <c r="BC81" s="51">
        <f>AW81+AX81</f>
        <v>0</v>
      </c>
      <c r="BD81" s="51">
        <f>G81/(100-BE81)*100</f>
        <v>0</v>
      </c>
      <c r="BE81" s="51">
        <v>0</v>
      </c>
      <c r="BF81" s="51">
        <f>81</f>
        <v>81</v>
      </c>
      <c r="BH81" s="51">
        <f>F81*AO81</f>
        <v>0</v>
      </c>
      <c r="BI81" s="51">
        <f>F81*AP81</f>
        <v>0</v>
      </c>
      <c r="BJ81" s="51">
        <f>F81*G81</f>
        <v>0</v>
      </c>
      <c r="BK81" s="51"/>
      <c r="BL81" s="51">
        <v>63</v>
      </c>
      <c r="BW81" s="51">
        <v>12</v>
      </c>
      <c r="BX81" s="3" t="s">
        <v>227</v>
      </c>
    </row>
    <row r="82" spans="1:76">
      <c r="A82" s="54"/>
      <c r="C82" s="55" t="s">
        <v>229</v>
      </c>
      <c r="D82" s="56" t="s">
        <v>165</v>
      </c>
      <c r="F82" s="57">
        <v>1.08</v>
      </c>
      <c r="J82" s="41"/>
    </row>
    <row r="83" spans="1:76">
      <c r="A83" s="54"/>
      <c r="C83" s="55" t="s">
        <v>230</v>
      </c>
      <c r="D83" s="56" t="s">
        <v>167</v>
      </c>
      <c r="F83" s="57">
        <v>2.64</v>
      </c>
      <c r="J83" s="41"/>
    </row>
    <row r="84" spans="1:76">
      <c r="A84" s="1" t="s">
        <v>231</v>
      </c>
      <c r="B84" s="2" t="s">
        <v>232</v>
      </c>
      <c r="C84" s="75" t="s">
        <v>233</v>
      </c>
      <c r="D84" s="70"/>
      <c r="E84" s="2" t="s">
        <v>114</v>
      </c>
      <c r="F84" s="51">
        <v>53.5</v>
      </c>
      <c r="G84" s="52">
        <v>0</v>
      </c>
      <c r="H84" s="51">
        <f>F84*G84</f>
        <v>0</v>
      </c>
      <c r="J84" s="41"/>
      <c r="Z84" s="51">
        <f>IF(AQ84="5",BJ84,0)</f>
        <v>0</v>
      </c>
      <c r="AB84" s="51">
        <f>IF(AQ84="1",BH84,0)</f>
        <v>0</v>
      </c>
      <c r="AC84" s="51">
        <f>IF(AQ84="1",BI84,0)</f>
        <v>0</v>
      </c>
      <c r="AD84" s="51">
        <f>IF(AQ84="7",BH84,0)</f>
        <v>0</v>
      </c>
      <c r="AE84" s="51">
        <f>IF(AQ84="7",BI84,0)</f>
        <v>0</v>
      </c>
      <c r="AF84" s="51">
        <f>IF(AQ84="2",BH84,0)</f>
        <v>0</v>
      </c>
      <c r="AG84" s="51">
        <f>IF(AQ84="2",BI84,0)</f>
        <v>0</v>
      </c>
      <c r="AH84" s="51">
        <f>IF(AQ84="0",BJ84,0)</f>
        <v>0</v>
      </c>
      <c r="AI84" s="35" t="s">
        <v>4</v>
      </c>
      <c r="AJ84" s="51">
        <f>IF(AN84=0,H84,0)</f>
        <v>0</v>
      </c>
      <c r="AK84" s="51">
        <f>IF(AN84=12,H84,0)</f>
        <v>0</v>
      </c>
      <c r="AL84" s="51">
        <f>IF(AN84=21,H84,0)</f>
        <v>0</v>
      </c>
      <c r="AN84" s="51">
        <v>12</v>
      </c>
      <c r="AO84" s="51">
        <f>G84*0.785783634</f>
        <v>0</v>
      </c>
      <c r="AP84" s="51">
        <f>G84*(1-0.785783634)</f>
        <v>0</v>
      </c>
      <c r="AQ84" s="53" t="s">
        <v>111</v>
      </c>
      <c r="AV84" s="51">
        <f>AW84+AX84</f>
        <v>0</v>
      </c>
      <c r="AW84" s="51">
        <f>F84*AO84</f>
        <v>0</v>
      </c>
      <c r="AX84" s="51">
        <f>F84*AP84</f>
        <v>0</v>
      </c>
      <c r="AY84" s="53" t="s">
        <v>228</v>
      </c>
      <c r="AZ84" s="53" t="s">
        <v>147</v>
      </c>
      <c r="BA84" s="35" t="s">
        <v>117</v>
      </c>
      <c r="BC84" s="51">
        <f>AW84+AX84</f>
        <v>0</v>
      </c>
      <c r="BD84" s="51">
        <f>G84/(100-BE84)*100</f>
        <v>0</v>
      </c>
      <c r="BE84" s="51">
        <v>0</v>
      </c>
      <c r="BF84" s="51">
        <f>84</f>
        <v>84</v>
      </c>
      <c r="BH84" s="51">
        <f>F84*AO84</f>
        <v>0</v>
      </c>
      <c r="BI84" s="51">
        <f>F84*AP84</f>
        <v>0</v>
      </c>
      <c r="BJ84" s="51">
        <f>F84*G84</f>
        <v>0</v>
      </c>
      <c r="BK84" s="51"/>
      <c r="BL84" s="51">
        <v>63</v>
      </c>
      <c r="BW84" s="51">
        <v>12</v>
      </c>
      <c r="BX84" s="3" t="s">
        <v>233</v>
      </c>
    </row>
    <row r="85" spans="1:76" ht="13.5" customHeight="1">
      <c r="A85" s="54"/>
      <c r="B85" s="58" t="s">
        <v>130</v>
      </c>
      <c r="C85" s="152" t="s">
        <v>234</v>
      </c>
      <c r="D85" s="153"/>
      <c r="E85" s="153"/>
      <c r="F85" s="153"/>
      <c r="G85" s="154"/>
      <c r="H85" s="153"/>
      <c r="I85" s="153"/>
      <c r="J85" s="155"/>
    </row>
    <row r="86" spans="1:76">
      <c r="A86" s="54"/>
      <c r="C86" s="55" t="s">
        <v>235</v>
      </c>
      <c r="D86" s="56" t="s">
        <v>4</v>
      </c>
      <c r="F86" s="57">
        <v>53.5</v>
      </c>
      <c r="J86" s="41"/>
    </row>
    <row r="87" spans="1:76">
      <c r="A87" s="1" t="s">
        <v>236</v>
      </c>
      <c r="B87" s="2" t="s">
        <v>237</v>
      </c>
      <c r="C87" s="75" t="s">
        <v>238</v>
      </c>
      <c r="D87" s="70"/>
      <c r="E87" s="2" t="s">
        <v>114</v>
      </c>
      <c r="F87" s="51">
        <v>53.5</v>
      </c>
      <c r="G87" s="52">
        <v>0</v>
      </c>
      <c r="H87" s="51">
        <f>F87*G87</f>
        <v>0</v>
      </c>
      <c r="J87" s="41"/>
      <c r="Z87" s="51">
        <f>IF(AQ87="5",BJ87,0)</f>
        <v>0</v>
      </c>
      <c r="AB87" s="51">
        <f>IF(AQ87="1",BH87,0)</f>
        <v>0</v>
      </c>
      <c r="AC87" s="51">
        <f>IF(AQ87="1",BI87,0)</f>
        <v>0</v>
      </c>
      <c r="AD87" s="51">
        <f>IF(AQ87="7",BH87,0)</f>
        <v>0</v>
      </c>
      <c r="AE87" s="51">
        <f>IF(AQ87="7",BI87,0)</f>
        <v>0</v>
      </c>
      <c r="AF87" s="51">
        <f>IF(AQ87="2",BH87,0)</f>
        <v>0</v>
      </c>
      <c r="AG87" s="51">
        <f>IF(AQ87="2",BI87,0)</f>
        <v>0</v>
      </c>
      <c r="AH87" s="51">
        <f>IF(AQ87="0",BJ87,0)</f>
        <v>0</v>
      </c>
      <c r="AI87" s="35" t="s">
        <v>4</v>
      </c>
      <c r="AJ87" s="51">
        <f>IF(AN87=0,H87,0)</f>
        <v>0</v>
      </c>
      <c r="AK87" s="51">
        <f>IF(AN87=12,H87,0)</f>
        <v>0</v>
      </c>
      <c r="AL87" s="51">
        <f>IF(AN87=21,H87,0)</f>
        <v>0</v>
      </c>
      <c r="AN87" s="51">
        <v>12</v>
      </c>
      <c r="AO87" s="51">
        <f>G87*0.539126214</f>
        <v>0</v>
      </c>
      <c r="AP87" s="51">
        <f>G87*(1-0.539126214)</f>
        <v>0</v>
      </c>
      <c r="AQ87" s="53" t="s">
        <v>111</v>
      </c>
      <c r="AV87" s="51">
        <f>AW87+AX87</f>
        <v>0</v>
      </c>
      <c r="AW87" s="51">
        <f>F87*AO87</f>
        <v>0</v>
      </c>
      <c r="AX87" s="51">
        <f>F87*AP87</f>
        <v>0</v>
      </c>
      <c r="AY87" s="53" t="s">
        <v>228</v>
      </c>
      <c r="AZ87" s="53" t="s">
        <v>147</v>
      </c>
      <c r="BA87" s="35" t="s">
        <v>117</v>
      </c>
      <c r="BC87" s="51">
        <f>AW87+AX87</f>
        <v>0</v>
      </c>
      <c r="BD87" s="51">
        <f>G87/(100-BE87)*100</f>
        <v>0</v>
      </c>
      <c r="BE87" s="51">
        <v>0</v>
      </c>
      <c r="BF87" s="51">
        <f>87</f>
        <v>87</v>
      </c>
      <c r="BH87" s="51">
        <f>F87*AO87</f>
        <v>0</v>
      </c>
      <c r="BI87" s="51">
        <f>F87*AP87</f>
        <v>0</v>
      </c>
      <c r="BJ87" s="51">
        <f>F87*G87</f>
        <v>0</v>
      </c>
      <c r="BK87" s="51"/>
      <c r="BL87" s="51">
        <v>63</v>
      </c>
      <c r="BW87" s="51">
        <v>12</v>
      </c>
      <c r="BX87" s="3" t="s">
        <v>238</v>
      </c>
    </row>
    <row r="88" spans="1:76">
      <c r="A88" s="47" t="s">
        <v>4</v>
      </c>
      <c r="B88" s="48" t="s">
        <v>239</v>
      </c>
      <c r="C88" s="150" t="s">
        <v>240</v>
      </c>
      <c r="D88" s="151"/>
      <c r="E88" s="49" t="s">
        <v>79</v>
      </c>
      <c r="F88" s="49" t="s">
        <v>79</v>
      </c>
      <c r="G88" s="50" t="s">
        <v>79</v>
      </c>
      <c r="H88" s="28">
        <f>SUM(H89:H95)</f>
        <v>0</v>
      </c>
      <c r="J88" s="41"/>
      <c r="AI88" s="35" t="s">
        <v>4</v>
      </c>
      <c r="AS88" s="28">
        <f>SUM(AJ89:AJ95)</f>
        <v>0</v>
      </c>
      <c r="AT88" s="28">
        <f>SUM(AK89:AK95)</f>
        <v>0</v>
      </c>
      <c r="AU88" s="28">
        <f>SUM(AL89:AL95)</f>
        <v>0</v>
      </c>
    </row>
    <row r="89" spans="1:76">
      <c r="A89" s="1" t="s">
        <v>241</v>
      </c>
      <c r="B89" s="2" t="s">
        <v>242</v>
      </c>
      <c r="C89" s="75" t="s">
        <v>243</v>
      </c>
      <c r="D89" s="70"/>
      <c r="E89" s="2" t="s">
        <v>244</v>
      </c>
      <c r="F89" s="51">
        <v>10</v>
      </c>
      <c r="G89" s="52">
        <v>0</v>
      </c>
      <c r="H89" s="51">
        <f>F89*G89</f>
        <v>0</v>
      </c>
      <c r="J89" s="41"/>
      <c r="Z89" s="51">
        <f>IF(AQ89="5",BJ89,0)</f>
        <v>0</v>
      </c>
      <c r="AB89" s="51">
        <f>IF(AQ89="1",BH89,0)</f>
        <v>0</v>
      </c>
      <c r="AC89" s="51">
        <f>IF(AQ89="1",BI89,0)</f>
        <v>0</v>
      </c>
      <c r="AD89" s="51">
        <f>IF(AQ89="7",BH89,0)</f>
        <v>0</v>
      </c>
      <c r="AE89" s="51">
        <f>IF(AQ89="7",BI89,0)</f>
        <v>0</v>
      </c>
      <c r="AF89" s="51">
        <f>IF(AQ89="2",BH89,0)</f>
        <v>0</v>
      </c>
      <c r="AG89" s="51">
        <f>IF(AQ89="2",BI89,0)</f>
        <v>0</v>
      </c>
      <c r="AH89" s="51">
        <f>IF(AQ89="0",BJ89,0)</f>
        <v>0</v>
      </c>
      <c r="AI89" s="35" t="s">
        <v>4</v>
      </c>
      <c r="AJ89" s="51">
        <f>IF(AN89=0,H89,0)</f>
        <v>0</v>
      </c>
      <c r="AK89" s="51">
        <f>IF(AN89=12,H89,0)</f>
        <v>0</v>
      </c>
      <c r="AL89" s="51">
        <f>IF(AN89=21,H89,0)</f>
        <v>0</v>
      </c>
      <c r="AN89" s="51">
        <v>12</v>
      </c>
      <c r="AO89" s="51">
        <f>G89*0</f>
        <v>0</v>
      </c>
      <c r="AP89" s="51">
        <f>G89*(1-0)</f>
        <v>0</v>
      </c>
      <c r="AQ89" s="53" t="s">
        <v>111</v>
      </c>
      <c r="AV89" s="51">
        <f>AW89+AX89</f>
        <v>0</v>
      </c>
      <c r="AW89" s="51">
        <f>F89*AO89</f>
        <v>0</v>
      </c>
      <c r="AX89" s="51">
        <f>F89*AP89</f>
        <v>0</v>
      </c>
      <c r="AY89" s="53" t="s">
        <v>245</v>
      </c>
      <c r="AZ89" s="53" t="s">
        <v>246</v>
      </c>
      <c r="BA89" s="35" t="s">
        <v>117</v>
      </c>
      <c r="BC89" s="51">
        <f>AW89+AX89</f>
        <v>0</v>
      </c>
      <c r="BD89" s="51">
        <f>G89/(100-BE89)*100</f>
        <v>0</v>
      </c>
      <c r="BE89" s="51">
        <v>0</v>
      </c>
      <c r="BF89" s="51">
        <f>89</f>
        <v>89</v>
      </c>
      <c r="BH89" s="51">
        <f>F89*AO89</f>
        <v>0</v>
      </c>
      <c r="BI89" s="51">
        <f>F89*AP89</f>
        <v>0</v>
      </c>
      <c r="BJ89" s="51">
        <f>F89*G89</f>
        <v>0</v>
      </c>
      <c r="BK89" s="51"/>
      <c r="BL89" s="51">
        <v>95</v>
      </c>
      <c r="BW89" s="51">
        <v>12</v>
      </c>
      <c r="BX89" s="3" t="s">
        <v>243</v>
      </c>
    </row>
    <row r="90" spans="1:76" ht="13.5" customHeight="1">
      <c r="A90" s="54"/>
      <c r="B90" s="58" t="s">
        <v>130</v>
      </c>
      <c r="C90" s="152" t="s">
        <v>247</v>
      </c>
      <c r="D90" s="153"/>
      <c r="E90" s="153"/>
      <c r="F90" s="153"/>
      <c r="G90" s="154"/>
      <c r="H90" s="153"/>
      <c r="I90" s="153"/>
      <c r="J90" s="155"/>
    </row>
    <row r="91" spans="1:76">
      <c r="A91" s="1" t="s">
        <v>248</v>
      </c>
      <c r="B91" s="2" t="s">
        <v>249</v>
      </c>
      <c r="C91" s="75" t="s">
        <v>250</v>
      </c>
      <c r="D91" s="70"/>
      <c r="E91" s="2" t="s">
        <v>114</v>
      </c>
      <c r="F91" s="51">
        <v>60</v>
      </c>
      <c r="G91" s="52">
        <v>0</v>
      </c>
      <c r="H91" s="51">
        <f>F91*G91</f>
        <v>0</v>
      </c>
      <c r="J91" s="41"/>
      <c r="Z91" s="51">
        <f>IF(AQ91="5",BJ91,0)</f>
        <v>0</v>
      </c>
      <c r="AB91" s="51">
        <f>IF(AQ91="1",BH91,0)</f>
        <v>0</v>
      </c>
      <c r="AC91" s="51">
        <f>IF(AQ91="1",BI91,0)</f>
        <v>0</v>
      </c>
      <c r="AD91" s="51">
        <f>IF(AQ91="7",BH91,0)</f>
        <v>0</v>
      </c>
      <c r="AE91" s="51">
        <f>IF(AQ91="7",BI91,0)</f>
        <v>0</v>
      </c>
      <c r="AF91" s="51">
        <f>IF(AQ91="2",BH91,0)</f>
        <v>0</v>
      </c>
      <c r="AG91" s="51">
        <f>IF(AQ91="2",BI91,0)</f>
        <v>0</v>
      </c>
      <c r="AH91" s="51">
        <f>IF(AQ91="0",BJ91,0)</f>
        <v>0</v>
      </c>
      <c r="AI91" s="35" t="s">
        <v>4</v>
      </c>
      <c r="AJ91" s="51">
        <f>IF(AN91=0,H91,0)</f>
        <v>0</v>
      </c>
      <c r="AK91" s="51">
        <f>IF(AN91=12,H91,0)</f>
        <v>0</v>
      </c>
      <c r="AL91" s="51">
        <f>IF(AN91=21,H91,0)</f>
        <v>0</v>
      </c>
      <c r="AN91" s="51">
        <v>12</v>
      </c>
      <c r="AO91" s="51">
        <f>G91*0.016056338</f>
        <v>0</v>
      </c>
      <c r="AP91" s="51">
        <f>G91*(1-0.016056338)</f>
        <v>0</v>
      </c>
      <c r="AQ91" s="53" t="s">
        <v>111</v>
      </c>
      <c r="AV91" s="51">
        <f>AW91+AX91</f>
        <v>0</v>
      </c>
      <c r="AW91" s="51">
        <f>F91*AO91</f>
        <v>0</v>
      </c>
      <c r="AX91" s="51">
        <f>F91*AP91</f>
        <v>0</v>
      </c>
      <c r="AY91" s="53" t="s">
        <v>245</v>
      </c>
      <c r="AZ91" s="53" t="s">
        <v>246</v>
      </c>
      <c r="BA91" s="35" t="s">
        <v>117</v>
      </c>
      <c r="BC91" s="51">
        <f>AW91+AX91</f>
        <v>0</v>
      </c>
      <c r="BD91" s="51">
        <f>G91/(100-BE91)*100</f>
        <v>0</v>
      </c>
      <c r="BE91" s="51">
        <v>0</v>
      </c>
      <c r="BF91" s="51">
        <f>91</f>
        <v>91</v>
      </c>
      <c r="BH91" s="51">
        <f>F91*AO91</f>
        <v>0</v>
      </c>
      <c r="BI91" s="51">
        <f>F91*AP91</f>
        <v>0</v>
      </c>
      <c r="BJ91" s="51">
        <f>F91*G91</f>
        <v>0</v>
      </c>
      <c r="BK91" s="51"/>
      <c r="BL91" s="51">
        <v>95</v>
      </c>
      <c r="BW91" s="51">
        <v>12</v>
      </c>
      <c r="BX91" s="3" t="s">
        <v>250</v>
      </c>
    </row>
    <row r="92" spans="1:76">
      <c r="A92" s="1" t="s">
        <v>251</v>
      </c>
      <c r="B92" s="2" t="s">
        <v>252</v>
      </c>
      <c r="C92" s="75" t="s">
        <v>253</v>
      </c>
      <c r="D92" s="70"/>
      <c r="E92" s="2" t="s">
        <v>129</v>
      </c>
      <c r="F92" s="51">
        <v>1</v>
      </c>
      <c r="G92" s="52">
        <v>0</v>
      </c>
      <c r="H92" s="51">
        <f>F92*G92</f>
        <v>0</v>
      </c>
      <c r="J92" s="41"/>
      <c r="Z92" s="51">
        <f>IF(AQ92="5",BJ92,0)</f>
        <v>0</v>
      </c>
      <c r="AB92" s="51">
        <f>IF(AQ92="1",BH92,0)</f>
        <v>0</v>
      </c>
      <c r="AC92" s="51">
        <f>IF(AQ92="1",BI92,0)</f>
        <v>0</v>
      </c>
      <c r="AD92" s="51">
        <f>IF(AQ92="7",BH92,0)</f>
        <v>0</v>
      </c>
      <c r="AE92" s="51">
        <f>IF(AQ92="7",BI92,0)</f>
        <v>0</v>
      </c>
      <c r="AF92" s="51">
        <f>IF(AQ92="2",BH92,0)</f>
        <v>0</v>
      </c>
      <c r="AG92" s="51">
        <f>IF(AQ92="2",BI92,0)</f>
        <v>0</v>
      </c>
      <c r="AH92" s="51">
        <f>IF(AQ92="0",BJ92,0)</f>
        <v>0</v>
      </c>
      <c r="AI92" s="35" t="s">
        <v>4</v>
      </c>
      <c r="AJ92" s="51">
        <f>IF(AN92=0,H92,0)</f>
        <v>0</v>
      </c>
      <c r="AK92" s="51">
        <f>IF(AN92=12,H92,0)</f>
        <v>0</v>
      </c>
      <c r="AL92" s="51">
        <f>IF(AN92=21,H92,0)</f>
        <v>0</v>
      </c>
      <c r="AN92" s="51">
        <v>12</v>
      </c>
      <c r="AO92" s="51">
        <f>G92*0.089096573</f>
        <v>0</v>
      </c>
      <c r="AP92" s="51">
        <f>G92*(1-0.089096573)</f>
        <v>0</v>
      </c>
      <c r="AQ92" s="53" t="s">
        <v>111</v>
      </c>
      <c r="AV92" s="51">
        <f>AW92+AX92</f>
        <v>0</v>
      </c>
      <c r="AW92" s="51">
        <f>F92*AO92</f>
        <v>0</v>
      </c>
      <c r="AX92" s="51">
        <f>F92*AP92</f>
        <v>0</v>
      </c>
      <c r="AY92" s="53" t="s">
        <v>245</v>
      </c>
      <c r="AZ92" s="53" t="s">
        <v>246</v>
      </c>
      <c r="BA92" s="35" t="s">
        <v>117</v>
      </c>
      <c r="BC92" s="51">
        <f>AW92+AX92</f>
        <v>0</v>
      </c>
      <c r="BD92" s="51">
        <f>G92/(100-BE92)*100</f>
        <v>0</v>
      </c>
      <c r="BE92" s="51">
        <v>0</v>
      </c>
      <c r="BF92" s="51">
        <f>92</f>
        <v>92</v>
      </c>
      <c r="BH92" s="51">
        <f>F92*AO92</f>
        <v>0</v>
      </c>
      <c r="BI92" s="51">
        <f>F92*AP92</f>
        <v>0</v>
      </c>
      <c r="BJ92" s="51">
        <f>F92*G92</f>
        <v>0</v>
      </c>
      <c r="BK92" s="51"/>
      <c r="BL92" s="51">
        <v>95</v>
      </c>
      <c r="BW92" s="51">
        <v>12</v>
      </c>
      <c r="BX92" s="3" t="s">
        <v>253</v>
      </c>
    </row>
    <row r="93" spans="1:76">
      <c r="A93" s="54"/>
      <c r="C93" s="55" t="s">
        <v>111</v>
      </c>
      <c r="D93" s="56" t="s">
        <v>254</v>
      </c>
      <c r="F93" s="57">
        <v>1</v>
      </c>
      <c r="J93" s="41"/>
    </row>
    <row r="94" spans="1:76" ht="25.5">
      <c r="A94" s="1" t="s">
        <v>255</v>
      </c>
      <c r="B94" s="2" t="s">
        <v>256</v>
      </c>
      <c r="C94" s="75" t="s">
        <v>257</v>
      </c>
      <c r="D94" s="70"/>
      <c r="E94" s="2" t="s">
        <v>129</v>
      </c>
      <c r="F94" s="51">
        <v>1</v>
      </c>
      <c r="G94" s="52">
        <v>0</v>
      </c>
      <c r="H94" s="51">
        <f>F94*G94</f>
        <v>0</v>
      </c>
      <c r="J94" s="41"/>
      <c r="Z94" s="51">
        <f>IF(AQ94="5",BJ94,0)</f>
        <v>0</v>
      </c>
      <c r="AB94" s="51">
        <f>IF(AQ94="1",BH94,0)</f>
        <v>0</v>
      </c>
      <c r="AC94" s="51">
        <f>IF(AQ94="1",BI94,0)</f>
        <v>0</v>
      </c>
      <c r="AD94" s="51">
        <f>IF(AQ94="7",BH94,0)</f>
        <v>0</v>
      </c>
      <c r="AE94" s="51">
        <f>IF(AQ94="7",BI94,0)</f>
        <v>0</v>
      </c>
      <c r="AF94" s="51">
        <f>IF(AQ94="2",BH94,0)</f>
        <v>0</v>
      </c>
      <c r="AG94" s="51">
        <f>IF(AQ94="2",BI94,0)</f>
        <v>0</v>
      </c>
      <c r="AH94" s="51">
        <f>IF(AQ94="0",BJ94,0)</f>
        <v>0</v>
      </c>
      <c r="AI94" s="35" t="s">
        <v>4</v>
      </c>
      <c r="AJ94" s="51">
        <f>IF(AN94=0,H94,0)</f>
        <v>0</v>
      </c>
      <c r="AK94" s="51">
        <f>IF(AN94=12,H94,0)</f>
        <v>0</v>
      </c>
      <c r="AL94" s="51">
        <f>IF(AN94=21,H94,0)</f>
        <v>0</v>
      </c>
      <c r="AN94" s="51">
        <v>12</v>
      </c>
      <c r="AO94" s="51">
        <f>G94*1</f>
        <v>0</v>
      </c>
      <c r="AP94" s="51">
        <f>G94*(1-1)</f>
        <v>0</v>
      </c>
      <c r="AQ94" s="53" t="s">
        <v>111</v>
      </c>
      <c r="AV94" s="51">
        <f>AW94+AX94</f>
        <v>0</v>
      </c>
      <c r="AW94" s="51">
        <f>F94*AO94</f>
        <v>0</v>
      </c>
      <c r="AX94" s="51">
        <f>F94*AP94</f>
        <v>0</v>
      </c>
      <c r="AY94" s="53" t="s">
        <v>245</v>
      </c>
      <c r="AZ94" s="53" t="s">
        <v>246</v>
      </c>
      <c r="BA94" s="35" t="s">
        <v>117</v>
      </c>
      <c r="BC94" s="51">
        <f>AW94+AX94</f>
        <v>0</v>
      </c>
      <c r="BD94" s="51">
        <f>G94/(100-BE94)*100</f>
        <v>0</v>
      </c>
      <c r="BE94" s="51">
        <v>0</v>
      </c>
      <c r="BF94" s="51">
        <f>94</f>
        <v>94</v>
      </c>
      <c r="BH94" s="51">
        <f>F94*AO94</f>
        <v>0</v>
      </c>
      <c r="BI94" s="51">
        <f>F94*AP94</f>
        <v>0</v>
      </c>
      <c r="BJ94" s="51">
        <f>F94*G94</f>
        <v>0</v>
      </c>
      <c r="BK94" s="51"/>
      <c r="BL94" s="51">
        <v>95</v>
      </c>
      <c r="BW94" s="51">
        <v>12</v>
      </c>
      <c r="BX94" s="3" t="s">
        <v>257</v>
      </c>
    </row>
    <row r="95" spans="1:76">
      <c r="A95" s="1" t="s">
        <v>258</v>
      </c>
      <c r="B95" s="2" t="s">
        <v>259</v>
      </c>
      <c r="C95" s="75" t="s">
        <v>260</v>
      </c>
      <c r="D95" s="70"/>
      <c r="E95" s="2" t="s">
        <v>261</v>
      </c>
      <c r="F95" s="51">
        <v>5</v>
      </c>
      <c r="G95" s="52">
        <v>0</v>
      </c>
      <c r="H95" s="51">
        <f>F95*G95</f>
        <v>0</v>
      </c>
      <c r="J95" s="41"/>
      <c r="Z95" s="51">
        <f>IF(AQ95="5",BJ95,0)</f>
        <v>0</v>
      </c>
      <c r="AB95" s="51">
        <f>IF(AQ95="1",BH95,0)</f>
        <v>0</v>
      </c>
      <c r="AC95" s="51">
        <f>IF(AQ95="1",BI95,0)</f>
        <v>0</v>
      </c>
      <c r="AD95" s="51">
        <f>IF(AQ95="7",BH95,0)</f>
        <v>0</v>
      </c>
      <c r="AE95" s="51">
        <f>IF(AQ95="7",BI95,0)</f>
        <v>0</v>
      </c>
      <c r="AF95" s="51">
        <f>IF(AQ95="2",BH95,0)</f>
        <v>0</v>
      </c>
      <c r="AG95" s="51">
        <f>IF(AQ95="2",BI95,0)</f>
        <v>0</v>
      </c>
      <c r="AH95" s="51">
        <f>IF(AQ95="0",BJ95,0)</f>
        <v>0</v>
      </c>
      <c r="AI95" s="35" t="s">
        <v>4</v>
      </c>
      <c r="AJ95" s="51">
        <f>IF(AN95=0,H95,0)</f>
        <v>0</v>
      </c>
      <c r="AK95" s="51">
        <f>IF(AN95=12,H95,0)</f>
        <v>0</v>
      </c>
      <c r="AL95" s="51">
        <f>IF(AN95=21,H95,0)</f>
        <v>0</v>
      </c>
      <c r="AN95" s="51">
        <v>12</v>
      </c>
      <c r="AO95" s="51">
        <f>G95*0</f>
        <v>0</v>
      </c>
      <c r="AP95" s="51">
        <f>G95*(1-0)</f>
        <v>0</v>
      </c>
      <c r="AQ95" s="53" t="s">
        <v>111</v>
      </c>
      <c r="AV95" s="51">
        <f>AW95+AX95</f>
        <v>0</v>
      </c>
      <c r="AW95" s="51">
        <f>F95*AO95</f>
        <v>0</v>
      </c>
      <c r="AX95" s="51">
        <f>F95*AP95</f>
        <v>0</v>
      </c>
      <c r="AY95" s="53" t="s">
        <v>245</v>
      </c>
      <c r="AZ95" s="53" t="s">
        <v>246</v>
      </c>
      <c r="BA95" s="35" t="s">
        <v>117</v>
      </c>
      <c r="BC95" s="51">
        <f>AW95+AX95</f>
        <v>0</v>
      </c>
      <c r="BD95" s="51">
        <f>G95/(100-BE95)*100</f>
        <v>0</v>
      </c>
      <c r="BE95" s="51">
        <v>0</v>
      </c>
      <c r="BF95" s="51">
        <f>95</f>
        <v>95</v>
      </c>
      <c r="BH95" s="51">
        <f>F95*AO95</f>
        <v>0</v>
      </c>
      <c r="BI95" s="51">
        <f>F95*AP95</f>
        <v>0</v>
      </c>
      <c r="BJ95" s="51">
        <f>F95*G95</f>
        <v>0</v>
      </c>
      <c r="BK95" s="51"/>
      <c r="BL95" s="51">
        <v>95</v>
      </c>
      <c r="BW95" s="51">
        <v>12</v>
      </c>
      <c r="BX95" s="3" t="s">
        <v>260</v>
      </c>
    </row>
    <row r="96" spans="1:76">
      <c r="A96" s="54"/>
      <c r="C96" s="55" t="s">
        <v>137</v>
      </c>
      <c r="D96" s="56" t="s">
        <v>262</v>
      </c>
      <c r="F96" s="57">
        <v>5</v>
      </c>
      <c r="J96" s="41"/>
    </row>
    <row r="97" spans="1:76">
      <c r="A97" s="47" t="s">
        <v>4</v>
      </c>
      <c r="B97" s="48" t="s">
        <v>263</v>
      </c>
      <c r="C97" s="150" t="s">
        <v>264</v>
      </c>
      <c r="D97" s="151"/>
      <c r="E97" s="49" t="s">
        <v>79</v>
      </c>
      <c r="F97" s="49" t="s">
        <v>79</v>
      </c>
      <c r="G97" s="50" t="s">
        <v>79</v>
      </c>
      <c r="H97" s="28">
        <f>SUM(H98:H113)</f>
        <v>0</v>
      </c>
      <c r="J97" s="41"/>
      <c r="AI97" s="35" t="s">
        <v>4</v>
      </c>
      <c r="AS97" s="28">
        <f>SUM(AJ98:AJ113)</f>
        <v>0</v>
      </c>
      <c r="AT97" s="28">
        <f>SUM(AK98:AK113)</f>
        <v>0</v>
      </c>
      <c r="AU97" s="28">
        <f>SUM(AL98:AL113)</f>
        <v>0</v>
      </c>
    </row>
    <row r="98" spans="1:76">
      <c r="A98" s="1" t="s">
        <v>265</v>
      </c>
      <c r="B98" s="2" t="s">
        <v>266</v>
      </c>
      <c r="C98" s="75" t="s">
        <v>267</v>
      </c>
      <c r="D98" s="70"/>
      <c r="E98" s="2" t="s">
        <v>129</v>
      </c>
      <c r="F98" s="51">
        <v>4</v>
      </c>
      <c r="G98" s="52">
        <v>0</v>
      </c>
      <c r="H98" s="51">
        <f>F98*G98</f>
        <v>0</v>
      </c>
      <c r="J98" s="41"/>
      <c r="Z98" s="51">
        <f>IF(AQ98="5",BJ98,0)</f>
        <v>0</v>
      </c>
      <c r="AB98" s="51">
        <f>IF(AQ98="1",BH98,0)</f>
        <v>0</v>
      </c>
      <c r="AC98" s="51">
        <f>IF(AQ98="1",BI98,0)</f>
        <v>0</v>
      </c>
      <c r="AD98" s="51">
        <f>IF(AQ98="7",BH98,0)</f>
        <v>0</v>
      </c>
      <c r="AE98" s="51">
        <f>IF(AQ98="7",BI98,0)</f>
        <v>0</v>
      </c>
      <c r="AF98" s="51">
        <f>IF(AQ98="2",BH98,0)</f>
        <v>0</v>
      </c>
      <c r="AG98" s="51">
        <f>IF(AQ98="2",BI98,0)</f>
        <v>0</v>
      </c>
      <c r="AH98" s="51">
        <f>IF(AQ98="0",BJ98,0)</f>
        <v>0</v>
      </c>
      <c r="AI98" s="35" t="s">
        <v>4</v>
      </c>
      <c r="AJ98" s="51">
        <f>IF(AN98=0,H98,0)</f>
        <v>0</v>
      </c>
      <c r="AK98" s="51">
        <f>IF(AN98=12,H98,0)</f>
        <v>0</v>
      </c>
      <c r="AL98" s="51">
        <f>IF(AN98=21,H98,0)</f>
        <v>0</v>
      </c>
      <c r="AN98" s="51">
        <v>12</v>
      </c>
      <c r="AO98" s="51">
        <f>G98*0</f>
        <v>0</v>
      </c>
      <c r="AP98" s="51">
        <f>G98*(1-0)</f>
        <v>0</v>
      </c>
      <c r="AQ98" s="53" t="s">
        <v>111</v>
      </c>
      <c r="AV98" s="51">
        <f>AW98+AX98</f>
        <v>0</v>
      </c>
      <c r="AW98" s="51">
        <f>F98*AO98</f>
        <v>0</v>
      </c>
      <c r="AX98" s="51">
        <f>F98*AP98</f>
        <v>0</v>
      </c>
      <c r="AY98" s="53" t="s">
        <v>268</v>
      </c>
      <c r="AZ98" s="53" t="s">
        <v>246</v>
      </c>
      <c r="BA98" s="35" t="s">
        <v>117</v>
      </c>
      <c r="BC98" s="51">
        <f>AW98+AX98</f>
        <v>0</v>
      </c>
      <c r="BD98" s="51">
        <f>G98/(100-BE98)*100</f>
        <v>0</v>
      </c>
      <c r="BE98" s="51">
        <v>0</v>
      </c>
      <c r="BF98" s="51">
        <f>98</f>
        <v>98</v>
      </c>
      <c r="BH98" s="51">
        <f>F98*AO98</f>
        <v>0</v>
      </c>
      <c r="BI98" s="51">
        <f>F98*AP98</f>
        <v>0</v>
      </c>
      <c r="BJ98" s="51">
        <f>F98*G98</f>
        <v>0</v>
      </c>
      <c r="BK98" s="51"/>
      <c r="BL98" s="51">
        <v>96</v>
      </c>
      <c r="BW98" s="51">
        <v>12</v>
      </c>
      <c r="BX98" s="3" t="s">
        <v>267</v>
      </c>
    </row>
    <row r="99" spans="1:76">
      <c r="A99" s="1" t="s">
        <v>269</v>
      </c>
      <c r="B99" s="2" t="s">
        <v>270</v>
      </c>
      <c r="C99" s="75" t="s">
        <v>271</v>
      </c>
      <c r="D99" s="70"/>
      <c r="E99" s="2" t="s">
        <v>114</v>
      </c>
      <c r="F99" s="51">
        <v>2.95</v>
      </c>
      <c r="G99" s="52">
        <v>0</v>
      </c>
      <c r="H99" s="51">
        <f>F99*G99</f>
        <v>0</v>
      </c>
      <c r="J99" s="41"/>
      <c r="Z99" s="51">
        <f>IF(AQ99="5",BJ99,0)</f>
        <v>0</v>
      </c>
      <c r="AB99" s="51">
        <f>IF(AQ99="1",BH99,0)</f>
        <v>0</v>
      </c>
      <c r="AC99" s="51">
        <f>IF(AQ99="1",BI99,0)</f>
        <v>0</v>
      </c>
      <c r="AD99" s="51">
        <f>IF(AQ99="7",BH99,0)</f>
        <v>0</v>
      </c>
      <c r="AE99" s="51">
        <f>IF(AQ99="7",BI99,0)</f>
        <v>0</v>
      </c>
      <c r="AF99" s="51">
        <f>IF(AQ99="2",BH99,0)</f>
        <v>0</v>
      </c>
      <c r="AG99" s="51">
        <f>IF(AQ99="2",BI99,0)</f>
        <v>0</v>
      </c>
      <c r="AH99" s="51">
        <f>IF(AQ99="0",BJ99,0)</f>
        <v>0</v>
      </c>
      <c r="AI99" s="35" t="s">
        <v>4</v>
      </c>
      <c r="AJ99" s="51">
        <f>IF(AN99=0,H99,0)</f>
        <v>0</v>
      </c>
      <c r="AK99" s="51">
        <f>IF(AN99=12,H99,0)</f>
        <v>0</v>
      </c>
      <c r="AL99" s="51">
        <f>IF(AN99=21,H99,0)</f>
        <v>0</v>
      </c>
      <c r="AN99" s="51">
        <v>12</v>
      </c>
      <c r="AO99" s="51">
        <f>G99*0</f>
        <v>0</v>
      </c>
      <c r="AP99" s="51">
        <f>G99*(1-0)</f>
        <v>0</v>
      </c>
      <c r="AQ99" s="53" t="s">
        <v>111</v>
      </c>
      <c r="AV99" s="51">
        <f>AW99+AX99</f>
        <v>0</v>
      </c>
      <c r="AW99" s="51">
        <f>F99*AO99</f>
        <v>0</v>
      </c>
      <c r="AX99" s="51">
        <f>F99*AP99</f>
        <v>0</v>
      </c>
      <c r="AY99" s="53" t="s">
        <v>268</v>
      </c>
      <c r="AZ99" s="53" t="s">
        <v>246</v>
      </c>
      <c r="BA99" s="35" t="s">
        <v>117</v>
      </c>
      <c r="BC99" s="51">
        <f>AW99+AX99</f>
        <v>0</v>
      </c>
      <c r="BD99" s="51">
        <f>G99/(100-BE99)*100</f>
        <v>0</v>
      </c>
      <c r="BE99" s="51">
        <v>0</v>
      </c>
      <c r="BF99" s="51">
        <f>99</f>
        <v>99</v>
      </c>
      <c r="BH99" s="51">
        <f>F99*AO99</f>
        <v>0</v>
      </c>
      <c r="BI99" s="51">
        <f>F99*AP99</f>
        <v>0</v>
      </c>
      <c r="BJ99" s="51">
        <f>F99*G99</f>
        <v>0</v>
      </c>
      <c r="BK99" s="51"/>
      <c r="BL99" s="51">
        <v>96</v>
      </c>
      <c r="BW99" s="51">
        <v>12</v>
      </c>
      <c r="BX99" s="3" t="s">
        <v>271</v>
      </c>
    </row>
    <row r="100" spans="1:76">
      <c r="A100" s="1" t="s">
        <v>272</v>
      </c>
      <c r="B100" s="2" t="s">
        <v>273</v>
      </c>
      <c r="C100" s="75" t="s">
        <v>274</v>
      </c>
      <c r="D100" s="70"/>
      <c r="E100" s="2" t="s">
        <v>261</v>
      </c>
      <c r="F100" s="51">
        <v>1</v>
      </c>
      <c r="G100" s="52">
        <v>0</v>
      </c>
      <c r="H100" s="51">
        <f>F100*G100</f>
        <v>0</v>
      </c>
      <c r="J100" s="41"/>
      <c r="Z100" s="51">
        <f>IF(AQ100="5",BJ100,0)</f>
        <v>0</v>
      </c>
      <c r="AB100" s="51">
        <f>IF(AQ100="1",BH100,0)</f>
        <v>0</v>
      </c>
      <c r="AC100" s="51">
        <f>IF(AQ100="1",BI100,0)</f>
        <v>0</v>
      </c>
      <c r="AD100" s="51">
        <f>IF(AQ100="7",BH100,0)</f>
        <v>0</v>
      </c>
      <c r="AE100" s="51">
        <f>IF(AQ100="7",BI100,0)</f>
        <v>0</v>
      </c>
      <c r="AF100" s="51">
        <f>IF(AQ100="2",BH100,0)</f>
        <v>0</v>
      </c>
      <c r="AG100" s="51">
        <f>IF(AQ100="2",BI100,0)</f>
        <v>0</v>
      </c>
      <c r="AH100" s="51">
        <f>IF(AQ100="0",BJ100,0)</f>
        <v>0</v>
      </c>
      <c r="AI100" s="35" t="s">
        <v>4</v>
      </c>
      <c r="AJ100" s="51">
        <f>IF(AN100=0,H100,0)</f>
        <v>0</v>
      </c>
      <c r="AK100" s="51">
        <f>IF(AN100=12,H100,0)</f>
        <v>0</v>
      </c>
      <c r="AL100" s="51">
        <f>IF(AN100=21,H100,0)</f>
        <v>0</v>
      </c>
      <c r="AN100" s="51">
        <v>12</v>
      </c>
      <c r="AO100" s="51">
        <f>G100*0.147197391</f>
        <v>0</v>
      </c>
      <c r="AP100" s="51">
        <f>G100*(1-0.147197391)</f>
        <v>0</v>
      </c>
      <c r="AQ100" s="53" t="s">
        <v>111</v>
      </c>
      <c r="AV100" s="51">
        <f>AW100+AX100</f>
        <v>0</v>
      </c>
      <c r="AW100" s="51">
        <f>F100*AO100</f>
        <v>0</v>
      </c>
      <c r="AX100" s="51">
        <f>F100*AP100</f>
        <v>0</v>
      </c>
      <c r="AY100" s="53" t="s">
        <v>268</v>
      </c>
      <c r="AZ100" s="53" t="s">
        <v>246</v>
      </c>
      <c r="BA100" s="35" t="s">
        <v>117</v>
      </c>
      <c r="BC100" s="51">
        <f>AW100+AX100</f>
        <v>0</v>
      </c>
      <c r="BD100" s="51">
        <f>G100/(100-BE100)*100</f>
        <v>0</v>
      </c>
      <c r="BE100" s="51">
        <v>0</v>
      </c>
      <c r="BF100" s="51">
        <f>100</f>
        <v>100</v>
      </c>
      <c r="BH100" s="51">
        <f>F100*AO100</f>
        <v>0</v>
      </c>
      <c r="BI100" s="51">
        <f>F100*AP100</f>
        <v>0</v>
      </c>
      <c r="BJ100" s="51">
        <f>F100*G100</f>
        <v>0</v>
      </c>
      <c r="BK100" s="51"/>
      <c r="BL100" s="51">
        <v>96</v>
      </c>
      <c r="BW100" s="51">
        <v>12</v>
      </c>
      <c r="BX100" s="3" t="s">
        <v>274</v>
      </c>
    </row>
    <row r="101" spans="1:76">
      <c r="A101" s="1" t="s">
        <v>275</v>
      </c>
      <c r="B101" s="2" t="s">
        <v>276</v>
      </c>
      <c r="C101" s="75" t="s">
        <v>277</v>
      </c>
      <c r="D101" s="70"/>
      <c r="E101" s="2" t="s">
        <v>114</v>
      </c>
      <c r="F101" s="51">
        <v>53.5</v>
      </c>
      <c r="G101" s="52">
        <v>0</v>
      </c>
      <c r="H101" s="51">
        <f>F101*G101</f>
        <v>0</v>
      </c>
      <c r="J101" s="41"/>
      <c r="Z101" s="51">
        <f>IF(AQ101="5",BJ101,0)</f>
        <v>0</v>
      </c>
      <c r="AB101" s="51">
        <f>IF(AQ101="1",BH101,0)</f>
        <v>0</v>
      </c>
      <c r="AC101" s="51">
        <f>IF(AQ101="1",BI101,0)</f>
        <v>0</v>
      </c>
      <c r="AD101" s="51">
        <f>IF(AQ101="7",BH101,0)</f>
        <v>0</v>
      </c>
      <c r="AE101" s="51">
        <f>IF(AQ101="7",BI101,0)</f>
        <v>0</v>
      </c>
      <c r="AF101" s="51">
        <f>IF(AQ101="2",BH101,0)</f>
        <v>0</v>
      </c>
      <c r="AG101" s="51">
        <f>IF(AQ101="2",BI101,0)</f>
        <v>0</v>
      </c>
      <c r="AH101" s="51">
        <f>IF(AQ101="0",BJ101,0)</f>
        <v>0</v>
      </c>
      <c r="AI101" s="35" t="s">
        <v>4</v>
      </c>
      <c r="AJ101" s="51">
        <f>IF(AN101=0,H101,0)</f>
        <v>0</v>
      </c>
      <c r="AK101" s="51">
        <f>IF(AN101=12,H101,0)</f>
        <v>0</v>
      </c>
      <c r="AL101" s="51">
        <f>IF(AN101=21,H101,0)</f>
        <v>0</v>
      </c>
      <c r="AN101" s="51">
        <v>12</v>
      </c>
      <c r="AO101" s="51">
        <f>G101*0</f>
        <v>0</v>
      </c>
      <c r="AP101" s="51">
        <f>G101*(1-0)</f>
        <v>0</v>
      </c>
      <c r="AQ101" s="53" t="s">
        <v>111</v>
      </c>
      <c r="AV101" s="51">
        <f>AW101+AX101</f>
        <v>0</v>
      </c>
      <c r="AW101" s="51">
        <f>F101*AO101</f>
        <v>0</v>
      </c>
      <c r="AX101" s="51">
        <f>F101*AP101</f>
        <v>0</v>
      </c>
      <c r="AY101" s="53" t="s">
        <v>268</v>
      </c>
      <c r="AZ101" s="53" t="s">
        <v>246</v>
      </c>
      <c r="BA101" s="35" t="s">
        <v>117</v>
      </c>
      <c r="BC101" s="51">
        <f>AW101+AX101</f>
        <v>0</v>
      </c>
      <c r="BD101" s="51">
        <f>G101/(100-BE101)*100</f>
        <v>0</v>
      </c>
      <c r="BE101" s="51">
        <v>0</v>
      </c>
      <c r="BF101" s="51">
        <f>101</f>
        <v>101</v>
      </c>
      <c r="BH101" s="51">
        <f>F101*AO101</f>
        <v>0</v>
      </c>
      <c r="BI101" s="51">
        <f>F101*AP101</f>
        <v>0</v>
      </c>
      <c r="BJ101" s="51">
        <f>F101*G101</f>
        <v>0</v>
      </c>
      <c r="BK101" s="51"/>
      <c r="BL101" s="51">
        <v>96</v>
      </c>
      <c r="BW101" s="51">
        <v>12</v>
      </c>
      <c r="BX101" s="3" t="s">
        <v>277</v>
      </c>
    </row>
    <row r="102" spans="1:76">
      <c r="A102" s="54"/>
      <c r="C102" s="55" t="s">
        <v>235</v>
      </c>
      <c r="D102" s="56" t="s">
        <v>278</v>
      </c>
      <c r="F102" s="57">
        <v>53.5</v>
      </c>
      <c r="J102" s="41"/>
    </row>
    <row r="103" spans="1:76">
      <c r="A103" s="1" t="s">
        <v>279</v>
      </c>
      <c r="B103" s="2" t="s">
        <v>280</v>
      </c>
      <c r="C103" s="75" t="s">
        <v>281</v>
      </c>
      <c r="D103" s="70"/>
      <c r="E103" s="2" t="s">
        <v>282</v>
      </c>
      <c r="F103" s="51">
        <v>1.7929999999999999</v>
      </c>
      <c r="G103" s="52">
        <v>0</v>
      </c>
      <c r="H103" s="51">
        <f>F103*G103</f>
        <v>0</v>
      </c>
      <c r="J103" s="41"/>
      <c r="Z103" s="51">
        <f>IF(AQ103="5",BJ103,0)</f>
        <v>0</v>
      </c>
      <c r="AB103" s="51">
        <f>IF(AQ103="1",BH103,0)</f>
        <v>0</v>
      </c>
      <c r="AC103" s="51">
        <f>IF(AQ103="1",BI103,0)</f>
        <v>0</v>
      </c>
      <c r="AD103" s="51">
        <f>IF(AQ103="7",BH103,0)</f>
        <v>0</v>
      </c>
      <c r="AE103" s="51">
        <f>IF(AQ103="7",BI103,0)</f>
        <v>0</v>
      </c>
      <c r="AF103" s="51">
        <f>IF(AQ103="2",BH103,0)</f>
        <v>0</v>
      </c>
      <c r="AG103" s="51">
        <f>IF(AQ103="2",BI103,0)</f>
        <v>0</v>
      </c>
      <c r="AH103" s="51">
        <f>IF(AQ103="0",BJ103,0)</f>
        <v>0</v>
      </c>
      <c r="AI103" s="35" t="s">
        <v>4</v>
      </c>
      <c r="AJ103" s="51">
        <f>IF(AN103=0,H103,0)</f>
        <v>0</v>
      </c>
      <c r="AK103" s="51">
        <f>IF(AN103=12,H103,0)</f>
        <v>0</v>
      </c>
      <c r="AL103" s="51">
        <f>IF(AN103=21,H103,0)</f>
        <v>0</v>
      </c>
      <c r="AN103" s="51">
        <v>12</v>
      </c>
      <c r="AO103" s="51">
        <f>G103*0</f>
        <v>0</v>
      </c>
      <c r="AP103" s="51">
        <f>G103*(1-0)</f>
        <v>0</v>
      </c>
      <c r="AQ103" s="53" t="s">
        <v>137</v>
      </c>
      <c r="AV103" s="51">
        <f>AW103+AX103</f>
        <v>0</v>
      </c>
      <c r="AW103" s="51">
        <f>F103*AO103</f>
        <v>0</v>
      </c>
      <c r="AX103" s="51">
        <f>F103*AP103</f>
        <v>0</v>
      </c>
      <c r="AY103" s="53" t="s">
        <v>268</v>
      </c>
      <c r="AZ103" s="53" t="s">
        <v>246</v>
      </c>
      <c r="BA103" s="35" t="s">
        <v>117</v>
      </c>
      <c r="BC103" s="51">
        <f>AW103+AX103</f>
        <v>0</v>
      </c>
      <c r="BD103" s="51">
        <f>G103/(100-BE103)*100</f>
        <v>0</v>
      </c>
      <c r="BE103" s="51">
        <v>0</v>
      </c>
      <c r="BF103" s="51">
        <f>103</f>
        <v>103</v>
      </c>
      <c r="BH103" s="51">
        <f>F103*AO103</f>
        <v>0</v>
      </c>
      <c r="BI103" s="51">
        <f>F103*AP103</f>
        <v>0</v>
      </c>
      <c r="BJ103" s="51">
        <f>F103*G103</f>
        <v>0</v>
      </c>
      <c r="BK103" s="51"/>
      <c r="BL103" s="51">
        <v>96</v>
      </c>
      <c r="BW103" s="51">
        <v>12</v>
      </c>
      <c r="BX103" s="3" t="s">
        <v>281</v>
      </c>
    </row>
    <row r="104" spans="1:76">
      <c r="A104" s="1" t="s">
        <v>283</v>
      </c>
      <c r="B104" s="2" t="s">
        <v>284</v>
      </c>
      <c r="C104" s="75" t="s">
        <v>285</v>
      </c>
      <c r="D104" s="70"/>
      <c r="E104" s="2" t="s">
        <v>282</v>
      </c>
      <c r="F104" s="51">
        <v>1.7929999999999999</v>
      </c>
      <c r="G104" s="52">
        <v>0</v>
      </c>
      <c r="H104" s="51">
        <f>F104*G104</f>
        <v>0</v>
      </c>
      <c r="J104" s="41"/>
      <c r="Z104" s="51">
        <f>IF(AQ104="5",BJ104,0)</f>
        <v>0</v>
      </c>
      <c r="AB104" s="51">
        <f>IF(AQ104="1",BH104,0)</f>
        <v>0</v>
      </c>
      <c r="AC104" s="51">
        <f>IF(AQ104="1",BI104,0)</f>
        <v>0</v>
      </c>
      <c r="AD104" s="51">
        <f>IF(AQ104="7",BH104,0)</f>
        <v>0</v>
      </c>
      <c r="AE104" s="51">
        <f>IF(AQ104="7",BI104,0)</f>
        <v>0</v>
      </c>
      <c r="AF104" s="51">
        <f>IF(AQ104="2",BH104,0)</f>
        <v>0</v>
      </c>
      <c r="AG104" s="51">
        <f>IF(AQ104="2",BI104,0)</f>
        <v>0</v>
      </c>
      <c r="AH104" s="51">
        <f>IF(AQ104="0",BJ104,0)</f>
        <v>0</v>
      </c>
      <c r="AI104" s="35" t="s">
        <v>4</v>
      </c>
      <c r="AJ104" s="51">
        <f>IF(AN104=0,H104,0)</f>
        <v>0</v>
      </c>
      <c r="AK104" s="51">
        <f>IF(AN104=12,H104,0)</f>
        <v>0</v>
      </c>
      <c r="AL104" s="51">
        <f>IF(AN104=21,H104,0)</f>
        <v>0</v>
      </c>
      <c r="AN104" s="51">
        <v>12</v>
      </c>
      <c r="AO104" s="51">
        <f>G104*0</f>
        <v>0</v>
      </c>
      <c r="AP104" s="51">
        <f>G104*(1-0)</f>
        <v>0</v>
      </c>
      <c r="AQ104" s="53" t="s">
        <v>137</v>
      </c>
      <c r="AV104" s="51">
        <f>AW104+AX104</f>
        <v>0</v>
      </c>
      <c r="AW104" s="51">
        <f>F104*AO104</f>
        <v>0</v>
      </c>
      <c r="AX104" s="51">
        <f>F104*AP104</f>
        <v>0</v>
      </c>
      <c r="AY104" s="53" t="s">
        <v>268</v>
      </c>
      <c r="AZ104" s="53" t="s">
        <v>246</v>
      </c>
      <c r="BA104" s="35" t="s">
        <v>117</v>
      </c>
      <c r="BC104" s="51">
        <f>AW104+AX104</f>
        <v>0</v>
      </c>
      <c r="BD104" s="51">
        <f>G104/(100-BE104)*100</f>
        <v>0</v>
      </c>
      <c r="BE104" s="51">
        <v>0</v>
      </c>
      <c r="BF104" s="51">
        <f>104</f>
        <v>104</v>
      </c>
      <c r="BH104" s="51">
        <f>F104*AO104</f>
        <v>0</v>
      </c>
      <c r="BI104" s="51">
        <f>F104*AP104</f>
        <v>0</v>
      </c>
      <c r="BJ104" s="51">
        <f>F104*G104</f>
        <v>0</v>
      </c>
      <c r="BK104" s="51"/>
      <c r="BL104" s="51">
        <v>96</v>
      </c>
      <c r="BW104" s="51">
        <v>12</v>
      </c>
      <c r="BX104" s="3" t="s">
        <v>285</v>
      </c>
    </row>
    <row r="105" spans="1:76">
      <c r="A105" s="1" t="s">
        <v>286</v>
      </c>
      <c r="B105" s="2" t="s">
        <v>287</v>
      </c>
      <c r="C105" s="75" t="s">
        <v>288</v>
      </c>
      <c r="D105" s="70"/>
      <c r="E105" s="2" t="s">
        <v>282</v>
      </c>
      <c r="F105" s="51">
        <v>1.7929999999999999</v>
      </c>
      <c r="G105" s="52">
        <v>0</v>
      </c>
      <c r="H105" s="51">
        <f>F105*G105</f>
        <v>0</v>
      </c>
      <c r="J105" s="41"/>
      <c r="Z105" s="51">
        <f>IF(AQ105="5",BJ105,0)</f>
        <v>0</v>
      </c>
      <c r="AB105" s="51">
        <f>IF(AQ105="1",BH105,0)</f>
        <v>0</v>
      </c>
      <c r="AC105" s="51">
        <f>IF(AQ105="1",BI105,0)</f>
        <v>0</v>
      </c>
      <c r="AD105" s="51">
        <f>IF(AQ105="7",BH105,0)</f>
        <v>0</v>
      </c>
      <c r="AE105" s="51">
        <f>IF(AQ105="7",BI105,0)</f>
        <v>0</v>
      </c>
      <c r="AF105" s="51">
        <f>IF(AQ105="2",BH105,0)</f>
        <v>0</v>
      </c>
      <c r="AG105" s="51">
        <f>IF(AQ105="2",BI105,0)</f>
        <v>0</v>
      </c>
      <c r="AH105" s="51">
        <f>IF(AQ105="0",BJ105,0)</f>
        <v>0</v>
      </c>
      <c r="AI105" s="35" t="s">
        <v>4</v>
      </c>
      <c r="AJ105" s="51">
        <f>IF(AN105=0,H105,0)</f>
        <v>0</v>
      </c>
      <c r="AK105" s="51">
        <f>IF(AN105=12,H105,0)</f>
        <v>0</v>
      </c>
      <c r="AL105" s="51">
        <f>IF(AN105=21,H105,0)</f>
        <v>0</v>
      </c>
      <c r="AN105" s="51">
        <v>12</v>
      </c>
      <c r="AO105" s="51">
        <f>G105*0</f>
        <v>0</v>
      </c>
      <c r="AP105" s="51">
        <f>G105*(1-0)</f>
        <v>0</v>
      </c>
      <c r="AQ105" s="53" t="s">
        <v>137</v>
      </c>
      <c r="AV105" s="51">
        <f>AW105+AX105</f>
        <v>0</v>
      </c>
      <c r="AW105" s="51">
        <f>F105*AO105</f>
        <v>0</v>
      </c>
      <c r="AX105" s="51">
        <f>F105*AP105</f>
        <v>0</v>
      </c>
      <c r="AY105" s="53" t="s">
        <v>268</v>
      </c>
      <c r="AZ105" s="53" t="s">
        <v>246</v>
      </c>
      <c r="BA105" s="35" t="s">
        <v>117</v>
      </c>
      <c r="BC105" s="51">
        <f>AW105+AX105</f>
        <v>0</v>
      </c>
      <c r="BD105" s="51">
        <f>G105/(100-BE105)*100</f>
        <v>0</v>
      </c>
      <c r="BE105" s="51">
        <v>0</v>
      </c>
      <c r="BF105" s="51">
        <f>105</f>
        <v>105</v>
      </c>
      <c r="BH105" s="51">
        <f>F105*AO105</f>
        <v>0</v>
      </c>
      <c r="BI105" s="51">
        <f>F105*AP105</f>
        <v>0</v>
      </c>
      <c r="BJ105" s="51">
        <f>F105*G105</f>
        <v>0</v>
      </c>
      <c r="BK105" s="51"/>
      <c r="BL105" s="51">
        <v>96</v>
      </c>
      <c r="BW105" s="51">
        <v>12</v>
      </c>
      <c r="BX105" s="3" t="s">
        <v>288</v>
      </c>
    </row>
    <row r="106" spans="1:76">
      <c r="A106" s="1" t="s">
        <v>109</v>
      </c>
      <c r="B106" s="2" t="s">
        <v>289</v>
      </c>
      <c r="C106" s="75" t="s">
        <v>290</v>
      </c>
      <c r="D106" s="70"/>
      <c r="E106" s="2" t="s">
        <v>282</v>
      </c>
      <c r="F106" s="51">
        <v>5.3789999999999996</v>
      </c>
      <c r="G106" s="52">
        <v>0</v>
      </c>
      <c r="H106" s="51">
        <f>F106*G106</f>
        <v>0</v>
      </c>
      <c r="J106" s="41"/>
      <c r="Z106" s="51">
        <f>IF(AQ106="5",BJ106,0)</f>
        <v>0</v>
      </c>
      <c r="AB106" s="51">
        <f>IF(AQ106="1",BH106,0)</f>
        <v>0</v>
      </c>
      <c r="AC106" s="51">
        <f>IF(AQ106="1",BI106,0)</f>
        <v>0</v>
      </c>
      <c r="AD106" s="51">
        <f>IF(AQ106="7",BH106,0)</f>
        <v>0</v>
      </c>
      <c r="AE106" s="51">
        <f>IF(AQ106="7",BI106,0)</f>
        <v>0</v>
      </c>
      <c r="AF106" s="51">
        <f>IF(AQ106="2",BH106,0)</f>
        <v>0</v>
      </c>
      <c r="AG106" s="51">
        <f>IF(AQ106="2",BI106,0)</f>
        <v>0</v>
      </c>
      <c r="AH106" s="51">
        <f>IF(AQ106="0",BJ106,0)</f>
        <v>0</v>
      </c>
      <c r="AI106" s="35" t="s">
        <v>4</v>
      </c>
      <c r="AJ106" s="51">
        <f>IF(AN106=0,H106,0)</f>
        <v>0</v>
      </c>
      <c r="AK106" s="51">
        <f>IF(AN106=12,H106,0)</f>
        <v>0</v>
      </c>
      <c r="AL106" s="51">
        <f>IF(AN106=21,H106,0)</f>
        <v>0</v>
      </c>
      <c r="AN106" s="51">
        <v>12</v>
      </c>
      <c r="AO106" s="51">
        <f>G106*0</f>
        <v>0</v>
      </c>
      <c r="AP106" s="51">
        <f>G106*(1-0)</f>
        <v>0</v>
      </c>
      <c r="AQ106" s="53" t="s">
        <v>137</v>
      </c>
      <c r="AV106" s="51">
        <f>AW106+AX106</f>
        <v>0</v>
      </c>
      <c r="AW106" s="51">
        <f>F106*AO106</f>
        <v>0</v>
      </c>
      <c r="AX106" s="51">
        <f>F106*AP106</f>
        <v>0</v>
      </c>
      <c r="AY106" s="53" t="s">
        <v>268</v>
      </c>
      <c r="AZ106" s="53" t="s">
        <v>246</v>
      </c>
      <c r="BA106" s="35" t="s">
        <v>117</v>
      </c>
      <c r="BC106" s="51">
        <f>AW106+AX106</f>
        <v>0</v>
      </c>
      <c r="BD106" s="51">
        <f>G106/(100-BE106)*100</f>
        <v>0</v>
      </c>
      <c r="BE106" s="51">
        <v>0</v>
      </c>
      <c r="BF106" s="51">
        <f>106</f>
        <v>106</v>
      </c>
      <c r="BH106" s="51">
        <f>F106*AO106</f>
        <v>0</v>
      </c>
      <c r="BI106" s="51">
        <f>F106*AP106</f>
        <v>0</v>
      </c>
      <c r="BJ106" s="51">
        <f>F106*G106</f>
        <v>0</v>
      </c>
      <c r="BK106" s="51"/>
      <c r="BL106" s="51">
        <v>96</v>
      </c>
      <c r="BW106" s="51">
        <v>12</v>
      </c>
      <c r="BX106" s="3" t="s">
        <v>290</v>
      </c>
    </row>
    <row r="107" spans="1:76">
      <c r="A107" s="54"/>
      <c r="C107" s="55" t="s">
        <v>291</v>
      </c>
      <c r="D107" s="56" t="s">
        <v>4</v>
      </c>
      <c r="F107" s="57">
        <v>5.3789999999999996</v>
      </c>
      <c r="J107" s="41"/>
    </row>
    <row r="108" spans="1:76">
      <c r="A108" s="1" t="s">
        <v>292</v>
      </c>
      <c r="B108" s="2" t="s">
        <v>293</v>
      </c>
      <c r="C108" s="75" t="s">
        <v>294</v>
      </c>
      <c r="D108" s="70"/>
      <c r="E108" s="2" t="s">
        <v>282</v>
      </c>
      <c r="F108" s="51">
        <v>1.7929999999999999</v>
      </c>
      <c r="G108" s="52">
        <v>0</v>
      </c>
      <c r="H108" s="51">
        <f>F108*G108</f>
        <v>0</v>
      </c>
      <c r="J108" s="41"/>
      <c r="Z108" s="51">
        <f>IF(AQ108="5",BJ108,0)</f>
        <v>0</v>
      </c>
      <c r="AB108" s="51">
        <f>IF(AQ108="1",BH108,0)</f>
        <v>0</v>
      </c>
      <c r="AC108" s="51">
        <f>IF(AQ108="1",BI108,0)</f>
        <v>0</v>
      </c>
      <c r="AD108" s="51">
        <f>IF(AQ108="7",BH108,0)</f>
        <v>0</v>
      </c>
      <c r="AE108" s="51">
        <f>IF(AQ108="7",BI108,0)</f>
        <v>0</v>
      </c>
      <c r="AF108" s="51">
        <f>IF(AQ108="2",BH108,0)</f>
        <v>0</v>
      </c>
      <c r="AG108" s="51">
        <f>IF(AQ108="2",BI108,0)</f>
        <v>0</v>
      </c>
      <c r="AH108" s="51">
        <f>IF(AQ108="0",BJ108,0)</f>
        <v>0</v>
      </c>
      <c r="AI108" s="35" t="s">
        <v>4</v>
      </c>
      <c r="AJ108" s="51">
        <f>IF(AN108=0,H108,0)</f>
        <v>0</v>
      </c>
      <c r="AK108" s="51">
        <f>IF(AN108=12,H108,0)</f>
        <v>0</v>
      </c>
      <c r="AL108" s="51">
        <f>IF(AN108=21,H108,0)</f>
        <v>0</v>
      </c>
      <c r="AN108" s="51">
        <v>12</v>
      </c>
      <c r="AO108" s="51">
        <f>G108*0</f>
        <v>0</v>
      </c>
      <c r="AP108" s="51">
        <f>G108*(1-0)</f>
        <v>0</v>
      </c>
      <c r="AQ108" s="53" t="s">
        <v>137</v>
      </c>
      <c r="AV108" s="51">
        <f>AW108+AX108</f>
        <v>0</v>
      </c>
      <c r="AW108" s="51">
        <f>F108*AO108</f>
        <v>0</v>
      </c>
      <c r="AX108" s="51">
        <f>F108*AP108</f>
        <v>0</v>
      </c>
      <c r="AY108" s="53" t="s">
        <v>268</v>
      </c>
      <c r="AZ108" s="53" t="s">
        <v>246</v>
      </c>
      <c r="BA108" s="35" t="s">
        <v>117</v>
      </c>
      <c r="BC108" s="51">
        <f>AW108+AX108</f>
        <v>0</v>
      </c>
      <c r="BD108" s="51">
        <f>G108/(100-BE108)*100</f>
        <v>0</v>
      </c>
      <c r="BE108" s="51">
        <v>0</v>
      </c>
      <c r="BF108" s="51">
        <f>108</f>
        <v>108</v>
      </c>
      <c r="BH108" s="51">
        <f>F108*AO108</f>
        <v>0</v>
      </c>
      <c r="BI108" s="51">
        <f>F108*AP108</f>
        <v>0</v>
      </c>
      <c r="BJ108" s="51">
        <f>F108*G108</f>
        <v>0</v>
      </c>
      <c r="BK108" s="51"/>
      <c r="BL108" s="51">
        <v>96</v>
      </c>
      <c r="BW108" s="51">
        <v>12</v>
      </c>
      <c r="BX108" s="3" t="s">
        <v>294</v>
      </c>
    </row>
    <row r="109" spans="1:76">
      <c r="A109" s="1" t="s">
        <v>295</v>
      </c>
      <c r="B109" s="2" t="s">
        <v>296</v>
      </c>
      <c r="C109" s="75" t="s">
        <v>297</v>
      </c>
      <c r="D109" s="70"/>
      <c r="E109" s="2" t="s">
        <v>282</v>
      </c>
      <c r="F109" s="51">
        <v>7.1719999999999997</v>
      </c>
      <c r="G109" s="52">
        <v>0</v>
      </c>
      <c r="H109" s="51">
        <f>F109*G109</f>
        <v>0</v>
      </c>
      <c r="J109" s="41"/>
      <c r="Z109" s="51">
        <f>IF(AQ109="5",BJ109,0)</f>
        <v>0</v>
      </c>
      <c r="AB109" s="51">
        <f>IF(AQ109="1",BH109,0)</f>
        <v>0</v>
      </c>
      <c r="AC109" s="51">
        <f>IF(AQ109="1",BI109,0)</f>
        <v>0</v>
      </c>
      <c r="AD109" s="51">
        <f>IF(AQ109="7",BH109,0)</f>
        <v>0</v>
      </c>
      <c r="AE109" s="51">
        <f>IF(AQ109="7",BI109,0)</f>
        <v>0</v>
      </c>
      <c r="AF109" s="51">
        <f>IF(AQ109="2",BH109,0)</f>
        <v>0</v>
      </c>
      <c r="AG109" s="51">
        <f>IF(AQ109="2",BI109,0)</f>
        <v>0</v>
      </c>
      <c r="AH109" s="51">
        <f>IF(AQ109="0",BJ109,0)</f>
        <v>0</v>
      </c>
      <c r="AI109" s="35" t="s">
        <v>4</v>
      </c>
      <c r="AJ109" s="51">
        <f>IF(AN109=0,H109,0)</f>
        <v>0</v>
      </c>
      <c r="AK109" s="51">
        <f>IF(AN109=12,H109,0)</f>
        <v>0</v>
      </c>
      <c r="AL109" s="51">
        <f>IF(AN109=21,H109,0)</f>
        <v>0</v>
      </c>
      <c r="AN109" s="51">
        <v>12</v>
      </c>
      <c r="AO109" s="51">
        <f>G109*0</f>
        <v>0</v>
      </c>
      <c r="AP109" s="51">
        <f>G109*(1-0)</f>
        <v>0</v>
      </c>
      <c r="AQ109" s="53" t="s">
        <v>137</v>
      </c>
      <c r="AV109" s="51">
        <f>AW109+AX109</f>
        <v>0</v>
      </c>
      <c r="AW109" s="51">
        <f>F109*AO109</f>
        <v>0</v>
      </c>
      <c r="AX109" s="51">
        <f>F109*AP109</f>
        <v>0</v>
      </c>
      <c r="AY109" s="53" t="s">
        <v>268</v>
      </c>
      <c r="AZ109" s="53" t="s">
        <v>246</v>
      </c>
      <c r="BA109" s="35" t="s">
        <v>117</v>
      </c>
      <c r="BC109" s="51">
        <f>AW109+AX109</f>
        <v>0</v>
      </c>
      <c r="BD109" s="51">
        <f>G109/(100-BE109)*100</f>
        <v>0</v>
      </c>
      <c r="BE109" s="51">
        <v>0</v>
      </c>
      <c r="BF109" s="51">
        <f>109</f>
        <v>109</v>
      </c>
      <c r="BH109" s="51">
        <f>F109*AO109</f>
        <v>0</v>
      </c>
      <c r="BI109" s="51">
        <f>F109*AP109</f>
        <v>0</v>
      </c>
      <c r="BJ109" s="51">
        <f>F109*G109</f>
        <v>0</v>
      </c>
      <c r="BK109" s="51"/>
      <c r="BL109" s="51">
        <v>96</v>
      </c>
      <c r="BW109" s="51">
        <v>12</v>
      </c>
      <c r="BX109" s="3" t="s">
        <v>297</v>
      </c>
    </row>
    <row r="110" spans="1:76">
      <c r="A110" s="54"/>
      <c r="C110" s="55" t="s">
        <v>298</v>
      </c>
      <c r="D110" s="56" t="s">
        <v>4</v>
      </c>
      <c r="F110" s="57">
        <v>7.1719999999999997</v>
      </c>
      <c r="J110" s="41"/>
    </row>
    <row r="111" spans="1:76">
      <c r="A111" s="1" t="s">
        <v>299</v>
      </c>
      <c r="B111" s="2" t="s">
        <v>300</v>
      </c>
      <c r="C111" s="75" t="s">
        <v>301</v>
      </c>
      <c r="D111" s="70"/>
      <c r="E111" s="2" t="s">
        <v>282</v>
      </c>
      <c r="F111" s="51">
        <v>1.5580000000000001</v>
      </c>
      <c r="G111" s="52">
        <v>0</v>
      </c>
      <c r="H111" s="51">
        <f>F111*G111</f>
        <v>0</v>
      </c>
      <c r="J111" s="41"/>
      <c r="Z111" s="51">
        <f>IF(AQ111="5",BJ111,0)</f>
        <v>0</v>
      </c>
      <c r="AB111" s="51">
        <f>IF(AQ111="1",BH111,0)</f>
        <v>0</v>
      </c>
      <c r="AC111" s="51">
        <f>IF(AQ111="1",BI111,0)</f>
        <v>0</v>
      </c>
      <c r="AD111" s="51">
        <f>IF(AQ111="7",BH111,0)</f>
        <v>0</v>
      </c>
      <c r="AE111" s="51">
        <f>IF(AQ111="7",BI111,0)</f>
        <v>0</v>
      </c>
      <c r="AF111" s="51">
        <f>IF(AQ111="2",BH111,0)</f>
        <v>0</v>
      </c>
      <c r="AG111" s="51">
        <f>IF(AQ111="2",BI111,0)</f>
        <v>0</v>
      </c>
      <c r="AH111" s="51">
        <f>IF(AQ111="0",BJ111,0)</f>
        <v>0</v>
      </c>
      <c r="AI111" s="35" t="s">
        <v>4</v>
      </c>
      <c r="AJ111" s="51">
        <f>IF(AN111=0,H111,0)</f>
        <v>0</v>
      </c>
      <c r="AK111" s="51">
        <f>IF(AN111=12,H111,0)</f>
        <v>0</v>
      </c>
      <c r="AL111" s="51">
        <f>IF(AN111=21,H111,0)</f>
        <v>0</v>
      </c>
      <c r="AN111" s="51">
        <v>12</v>
      </c>
      <c r="AO111" s="51">
        <f>G111*0</f>
        <v>0</v>
      </c>
      <c r="AP111" s="51">
        <f>G111*(1-0)</f>
        <v>0</v>
      </c>
      <c r="AQ111" s="53" t="s">
        <v>137</v>
      </c>
      <c r="AV111" s="51">
        <f>AW111+AX111</f>
        <v>0</v>
      </c>
      <c r="AW111" s="51">
        <f>F111*AO111</f>
        <v>0</v>
      </c>
      <c r="AX111" s="51">
        <f>F111*AP111</f>
        <v>0</v>
      </c>
      <c r="AY111" s="53" t="s">
        <v>268</v>
      </c>
      <c r="AZ111" s="53" t="s">
        <v>246</v>
      </c>
      <c r="BA111" s="35" t="s">
        <v>117</v>
      </c>
      <c r="BC111" s="51">
        <f>AW111+AX111</f>
        <v>0</v>
      </c>
      <c r="BD111" s="51">
        <f>G111/(100-BE111)*100</f>
        <v>0</v>
      </c>
      <c r="BE111" s="51">
        <v>0</v>
      </c>
      <c r="BF111" s="51">
        <f>111</f>
        <v>111</v>
      </c>
      <c r="BH111" s="51">
        <f>F111*AO111</f>
        <v>0</v>
      </c>
      <c r="BI111" s="51">
        <f>F111*AP111</f>
        <v>0</v>
      </c>
      <c r="BJ111" s="51">
        <f>F111*G111</f>
        <v>0</v>
      </c>
      <c r="BK111" s="51"/>
      <c r="BL111" s="51">
        <v>96</v>
      </c>
      <c r="BW111" s="51">
        <v>12</v>
      </c>
      <c r="BX111" s="3" t="s">
        <v>301</v>
      </c>
    </row>
    <row r="112" spans="1:76">
      <c r="A112" s="54"/>
      <c r="C112" s="55" t="s">
        <v>302</v>
      </c>
      <c r="D112" s="56" t="s">
        <v>4</v>
      </c>
      <c r="F112" s="57">
        <v>1.5580000000000001</v>
      </c>
      <c r="J112" s="41"/>
    </row>
    <row r="113" spans="1:76">
      <c r="A113" s="1" t="s">
        <v>303</v>
      </c>
      <c r="B113" s="2" t="s">
        <v>304</v>
      </c>
      <c r="C113" s="75" t="s">
        <v>305</v>
      </c>
      <c r="D113" s="70"/>
      <c r="E113" s="2" t="s">
        <v>282</v>
      </c>
      <c r="F113" s="51">
        <v>0.23499999999999999</v>
      </c>
      <c r="G113" s="52">
        <v>0</v>
      </c>
      <c r="H113" s="51">
        <f>F113*G113</f>
        <v>0</v>
      </c>
      <c r="J113" s="41"/>
      <c r="Z113" s="51">
        <f>IF(AQ113="5",BJ113,0)</f>
        <v>0</v>
      </c>
      <c r="AB113" s="51">
        <f>IF(AQ113="1",BH113,0)</f>
        <v>0</v>
      </c>
      <c r="AC113" s="51">
        <f>IF(AQ113="1",BI113,0)</f>
        <v>0</v>
      </c>
      <c r="AD113" s="51">
        <f>IF(AQ113="7",BH113,0)</f>
        <v>0</v>
      </c>
      <c r="AE113" s="51">
        <f>IF(AQ113="7",BI113,0)</f>
        <v>0</v>
      </c>
      <c r="AF113" s="51">
        <f>IF(AQ113="2",BH113,0)</f>
        <v>0</v>
      </c>
      <c r="AG113" s="51">
        <f>IF(AQ113="2",BI113,0)</f>
        <v>0</v>
      </c>
      <c r="AH113" s="51">
        <f>IF(AQ113="0",BJ113,0)</f>
        <v>0</v>
      </c>
      <c r="AI113" s="35" t="s">
        <v>4</v>
      </c>
      <c r="AJ113" s="51">
        <f>IF(AN113=0,H113,0)</f>
        <v>0</v>
      </c>
      <c r="AK113" s="51">
        <f>IF(AN113=12,H113,0)</f>
        <v>0</v>
      </c>
      <c r="AL113" s="51">
        <f>IF(AN113=21,H113,0)</f>
        <v>0</v>
      </c>
      <c r="AN113" s="51">
        <v>12</v>
      </c>
      <c r="AO113" s="51">
        <f>G113*0</f>
        <v>0</v>
      </c>
      <c r="AP113" s="51">
        <f>G113*(1-0)</f>
        <v>0</v>
      </c>
      <c r="AQ113" s="53" t="s">
        <v>137</v>
      </c>
      <c r="AV113" s="51">
        <f>AW113+AX113</f>
        <v>0</v>
      </c>
      <c r="AW113" s="51">
        <f>F113*AO113</f>
        <v>0</v>
      </c>
      <c r="AX113" s="51">
        <f>F113*AP113</f>
        <v>0</v>
      </c>
      <c r="AY113" s="53" t="s">
        <v>268</v>
      </c>
      <c r="AZ113" s="53" t="s">
        <v>246</v>
      </c>
      <c r="BA113" s="35" t="s">
        <v>117</v>
      </c>
      <c r="BC113" s="51">
        <f>AW113+AX113</f>
        <v>0</v>
      </c>
      <c r="BD113" s="51">
        <f>G113/(100-BE113)*100</f>
        <v>0</v>
      </c>
      <c r="BE113" s="51">
        <v>0</v>
      </c>
      <c r="BF113" s="51">
        <f>113</f>
        <v>113</v>
      </c>
      <c r="BH113" s="51">
        <f>F113*AO113</f>
        <v>0</v>
      </c>
      <c r="BI113" s="51">
        <f>F113*AP113</f>
        <v>0</v>
      </c>
      <c r="BJ113" s="51">
        <f>F113*G113</f>
        <v>0</v>
      </c>
      <c r="BK113" s="51"/>
      <c r="BL113" s="51">
        <v>96</v>
      </c>
      <c r="BW113" s="51">
        <v>12</v>
      </c>
      <c r="BX113" s="3" t="s">
        <v>305</v>
      </c>
    </row>
    <row r="114" spans="1:76">
      <c r="A114" s="54"/>
      <c r="C114" s="55" t="s">
        <v>306</v>
      </c>
      <c r="D114" s="56" t="s">
        <v>307</v>
      </c>
      <c r="F114" s="57">
        <v>0.187</v>
      </c>
      <c r="J114" s="41"/>
    </row>
    <row r="115" spans="1:76">
      <c r="A115" s="54"/>
      <c r="C115" s="55" t="s">
        <v>308</v>
      </c>
      <c r="D115" s="56" t="s">
        <v>309</v>
      </c>
      <c r="F115" s="57">
        <v>4.8000000000000001E-2</v>
      </c>
      <c r="J115" s="41"/>
    </row>
    <row r="116" spans="1:76">
      <c r="A116" s="47" t="s">
        <v>4</v>
      </c>
      <c r="B116" s="48" t="s">
        <v>310</v>
      </c>
      <c r="C116" s="150" t="s">
        <v>311</v>
      </c>
      <c r="D116" s="151"/>
      <c r="E116" s="49" t="s">
        <v>79</v>
      </c>
      <c r="F116" s="49" t="s">
        <v>79</v>
      </c>
      <c r="G116" s="50" t="s">
        <v>79</v>
      </c>
      <c r="H116" s="28">
        <f>SUM(H117:H117)</f>
        <v>0</v>
      </c>
      <c r="J116" s="41"/>
      <c r="AI116" s="35" t="s">
        <v>4</v>
      </c>
      <c r="AS116" s="28">
        <f>SUM(AJ117:AJ117)</f>
        <v>0</v>
      </c>
      <c r="AT116" s="28">
        <f>SUM(AK117:AK117)</f>
        <v>0</v>
      </c>
      <c r="AU116" s="28">
        <f>SUM(AL117:AL117)</f>
        <v>0</v>
      </c>
    </row>
    <row r="117" spans="1:76">
      <c r="A117" s="1" t="s">
        <v>312</v>
      </c>
      <c r="B117" s="2" t="s">
        <v>313</v>
      </c>
      <c r="C117" s="75" t="s">
        <v>314</v>
      </c>
      <c r="D117" s="70"/>
      <c r="E117" s="2" t="s">
        <v>282</v>
      </c>
      <c r="F117" s="51">
        <v>7.9390000000000001</v>
      </c>
      <c r="G117" s="52">
        <v>0</v>
      </c>
      <c r="H117" s="51">
        <f>F117*G117</f>
        <v>0</v>
      </c>
      <c r="J117" s="41"/>
      <c r="Z117" s="51">
        <f>IF(AQ117="5",BJ117,0)</f>
        <v>0</v>
      </c>
      <c r="AB117" s="51">
        <f>IF(AQ117="1",BH117,0)</f>
        <v>0</v>
      </c>
      <c r="AC117" s="51">
        <f>IF(AQ117="1",BI117,0)</f>
        <v>0</v>
      </c>
      <c r="AD117" s="51">
        <f>IF(AQ117="7",BH117,0)</f>
        <v>0</v>
      </c>
      <c r="AE117" s="51">
        <f>IF(AQ117="7",BI117,0)</f>
        <v>0</v>
      </c>
      <c r="AF117" s="51">
        <f>IF(AQ117="2",BH117,0)</f>
        <v>0</v>
      </c>
      <c r="AG117" s="51">
        <f>IF(AQ117="2",BI117,0)</f>
        <v>0</v>
      </c>
      <c r="AH117" s="51">
        <f>IF(AQ117="0",BJ117,0)</f>
        <v>0</v>
      </c>
      <c r="AI117" s="35" t="s">
        <v>4</v>
      </c>
      <c r="AJ117" s="51">
        <f>IF(AN117=0,H117,0)</f>
        <v>0</v>
      </c>
      <c r="AK117" s="51">
        <f>IF(AN117=12,H117,0)</f>
        <v>0</v>
      </c>
      <c r="AL117" s="51">
        <f>IF(AN117=21,H117,0)</f>
        <v>0</v>
      </c>
      <c r="AN117" s="51">
        <v>12</v>
      </c>
      <c r="AO117" s="51">
        <f>G117*0</f>
        <v>0</v>
      </c>
      <c r="AP117" s="51">
        <f>G117*(1-0)</f>
        <v>0</v>
      </c>
      <c r="AQ117" s="53" t="s">
        <v>137</v>
      </c>
      <c r="AV117" s="51">
        <f>AW117+AX117</f>
        <v>0</v>
      </c>
      <c r="AW117" s="51">
        <f>F117*AO117</f>
        <v>0</v>
      </c>
      <c r="AX117" s="51">
        <f>F117*AP117</f>
        <v>0</v>
      </c>
      <c r="AY117" s="53" t="s">
        <v>315</v>
      </c>
      <c r="AZ117" s="53" t="s">
        <v>246</v>
      </c>
      <c r="BA117" s="35" t="s">
        <v>117</v>
      </c>
      <c r="BC117" s="51">
        <f>AW117+AX117</f>
        <v>0</v>
      </c>
      <c r="BD117" s="51">
        <f>G117/(100-BE117)*100</f>
        <v>0</v>
      </c>
      <c r="BE117" s="51">
        <v>0</v>
      </c>
      <c r="BF117" s="51">
        <f>117</f>
        <v>117</v>
      </c>
      <c r="BH117" s="51">
        <f>F117*AO117</f>
        <v>0</v>
      </c>
      <c r="BI117" s="51">
        <f>F117*AP117</f>
        <v>0</v>
      </c>
      <c r="BJ117" s="51">
        <f>F117*G117</f>
        <v>0</v>
      </c>
      <c r="BK117" s="51"/>
      <c r="BL117" s="51">
        <v>99</v>
      </c>
      <c r="BW117" s="51">
        <v>12</v>
      </c>
      <c r="BX117" s="3" t="s">
        <v>314</v>
      </c>
    </row>
    <row r="118" spans="1:76">
      <c r="A118" s="47" t="s">
        <v>4</v>
      </c>
      <c r="B118" s="48" t="s">
        <v>316</v>
      </c>
      <c r="C118" s="150" t="s">
        <v>317</v>
      </c>
      <c r="D118" s="151"/>
      <c r="E118" s="49" t="s">
        <v>79</v>
      </c>
      <c r="F118" s="49" t="s">
        <v>79</v>
      </c>
      <c r="G118" s="50" t="s">
        <v>79</v>
      </c>
      <c r="H118" s="28">
        <f>SUM(H119:H129)</f>
        <v>0</v>
      </c>
      <c r="J118" s="41"/>
      <c r="AI118" s="35" t="s">
        <v>4</v>
      </c>
      <c r="AS118" s="28">
        <f>SUM(AJ119:AJ129)</f>
        <v>0</v>
      </c>
      <c r="AT118" s="28">
        <f>SUM(AK119:AK129)</f>
        <v>0</v>
      </c>
      <c r="AU118" s="28">
        <f>SUM(AL119:AL129)</f>
        <v>0</v>
      </c>
    </row>
    <row r="119" spans="1:76">
      <c r="A119" s="1" t="s">
        <v>318</v>
      </c>
      <c r="B119" s="2" t="s">
        <v>319</v>
      </c>
      <c r="C119" s="75" t="s">
        <v>320</v>
      </c>
      <c r="D119" s="70"/>
      <c r="E119" s="2" t="s">
        <v>114</v>
      </c>
      <c r="F119" s="51">
        <v>8.9649999999999999</v>
      </c>
      <c r="G119" s="52">
        <v>0</v>
      </c>
      <c r="H119" s="51">
        <f>F119*G119</f>
        <v>0</v>
      </c>
      <c r="J119" s="41"/>
      <c r="Z119" s="51">
        <f>IF(AQ119="5",BJ119,0)</f>
        <v>0</v>
      </c>
      <c r="AB119" s="51">
        <f>IF(AQ119="1",BH119,0)</f>
        <v>0</v>
      </c>
      <c r="AC119" s="51">
        <f>IF(AQ119="1",BI119,0)</f>
        <v>0</v>
      </c>
      <c r="AD119" s="51">
        <f>IF(AQ119="7",BH119,0)</f>
        <v>0</v>
      </c>
      <c r="AE119" s="51">
        <f>IF(AQ119="7",BI119,0)</f>
        <v>0</v>
      </c>
      <c r="AF119" s="51">
        <f>IF(AQ119="2",BH119,0)</f>
        <v>0</v>
      </c>
      <c r="AG119" s="51">
        <f>IF(AQ119="2",BI119,0)</f>
        <v>0</v>
      </c>
      <c r="AH119" s="51">
        <f>IF(AQ119="0",BJ119,0)</f>
        <v>0</v>
      </c>
      <c r="AI119" s="35" t="s">
        <v>4</v>
      </c>
      <c r="AJ119" s="51">
        <f>IF(AN119=0,H119,0)</f>
        <v>0</v>
      </c>
      <c r="AK119" s="51">
        <f>IF(AN119=12,H119,0)</f>
        <v>0</v>
      </c>
      <c r="AL119" s="51">
        <f>IF(AN119=21,H119,0)</f>
        <v>0</v>
      </c>
      <c r="AN119" s="51">
        <v>12</v>
      </c>
      <c r="AO119" s="51">
        <f>G119*0.338871829</f>
        <v>0</v>
      </c>
      <c r="AP119" s="51">
        <f>G119*(1-0.338871829)</f>
        <v>0</v>
      </c>
      <c r="AQ119" s="53" t="s">
        <v>149</v>
      </c>
      <c r="AV119" s="51">
        <f>AW119+AX119</f>
        <v>0</v>
      </c>
      <c r="AW119" s="51">
        <f>F119*AO119</f>
        <v>0</v>
      </c>
      <c r="AX119" s="51">
        <f>F119*AP119</f>
        <v>0</v>
      </c>
      <c r="AY119" s="53" t="s">
        <v>321</v>
      </c>
      <c r="AZ119" s="53" t="s">
        <v>322</v>
      </c>
      <c r="BA119" s="35" t="s">
        <v>117</v>
      </c>
      <c r="BC119" s="51">
        <f>AW119+AX119</f>
        <v>0</v>
      </c>
      <c r="BD119" s="51">
        <f>G119/(100-BE119)*100</f>
        <v>0</v>
      </c>
      <c r="BE119" s="51">
        <v>0</v>
      </c>
      <c r="BF119" s="51">
        <f>119</f>
        <v>119</v>
      </c>
      <c r="BH119" s="51">
        <f>F119*AO119</f>
        <v>0</v>
      </c>
      <c r="BI119" s="51">
        <f>F119*AP119</f>
        <v>0</v>
      </c>
      <c r="BJ119" s="51">
        <f>F119*G119</f>
        <v>0</v>
      </c>
      <c r="BK119" s="51"/>
      <c r="BL119" s="51">
        <v>711</v>
      </c>
      <c r="BW119" s="51">
        <v>12</v>
      </c>
      <c r="BX119" s="3" t="s">
        <v>320</v>
      </c>
    </row>
    <row r="120" spans="1:76">
      <c r="A120" s="1" t="s">
        <v>323</v>
      </c>
      <c r="B120" s="2" t="s">
        <v>324</v>
      </c>
      <c r="C120" s="75" t="s">
        <v>325</v>
      </c>
      <c r="D120" s="70"/>
      <c r="E120" s="2" t="s">
        <v>114</v>
      </c>
      <c r="F120" s="51">
        <v>8.9649999999999999</v>
      </c>
      <c r="G120" s="52">
        <v>0</v>
      </c>
      <c r="H120" s="51">
        <f>F120*G120</f>
        <v>0</v>
      </c>
      <c r="J120" s="41"/>
      <c r="Z120" s="51">
        <f>IF(AQ120="5",BJ120,0)</f>
        <v>0</v>
      </c>
      <c r="AB120" s="51">
        <f>IF(AQ120="1",BH120,0)</f>
        <v>0</v>
      </c>
      <c r="AC120" s="51">
        <f>IF(AQ120="1",BI120,0)</f>
        <v>0</v>
      </c>
      <c r="AD120" s="51">
        <f>IF(AQ120="7",BH120,0)</f>
        <v>0</v>
      </c>
      <c r="AE120" s="51">
        <f>IF(AQ120="7",BI120,0)</f>
        <v>0</v>
      </c>
      <c r="AF120" s="51">
        <f>IF(AQ120="2",BH120,0)</f>
        <v>0</v>
      </c>
      <c r="AG120" s="51">
        <f>IF(AQ120="2",BI120,0)</f>
        <v>0</v>
      </c>
      <c r="AH120" s="51">
        <f>IF(AQ120="0",BJ120,0)</f>
        <v>0</v>
      </c>
      <c r="AI120" s="35" t="s">
        <v>4</v>
      </c>
      <c r="AJ120" s="51">
        <f>IF(AN120=0,H120,0)</f>
        <v>0</v>
      </c>
      <c r="AK120" s="51">
        <f>IF(AN120=12,H120,0)</f>
        <v>0</v>
      </c>
      <c r="AL120" s="51">
        <f>IF(AN120=21,H120,0)</f>
        <v>0</v>
      </c>
      <c r="AN120" s="51">
        <v>12</v>
      </c>
      <c r="AO120" s="51">
        <f>G120*0.661561456</f>
        <v>0</v>
      </c>
      <c r="AP120" s="51">
        <f>G120*(1-0.661561456)</f>
        <v>0</v>
      </c>
      <c r="AQ120" s="53" t="s">
        <v>149</v>
      </c>
      <c r="AV120" s="51">
        <f>AW120+AX120</f>
        <v>0</v>
      </c>
      <c r="AW120" s="51">
        <f>F120*AO120</f>
        <v>0</v>
      </c>
      <c r="AX120" s="51">
        <f>F120*AP120</f>
        <v>0</v>
      </c>
      <c r="AY120" s="53" t="s">
        <v>321</v>
      </c>
      <c r="AZ120" s="53" t="s">
        <v>322</v>
      </c>
      <c r="BA120" s="35" t="s">
        <v>117</v>
      </c>
      <c r="BC120" s="51">
        <f>AW120+AX120</f>
        <v>0</v>
      </c>
      <c r="BD120" s="51">
        <f>G120/(100-BE120)*100</f>
        <v>0</v>
      </c>
      <c r="BE120" s="51">
        <v>0</v>
      </c>
      <c r="BF120" s="51">
        <f>120</f>
        <v>120</v>
      </c>
      <c r="BH120" s="51">
        <f>F120*AO120</f>
        <v>0</v>
      </c>
      <c r="BI120" s="51">
        <f>F120*AP120</f>
        <v>0</v>
      </c>
      <c r="BJ120" s="51">
        <f>F120*G120</f>
        <v>0</v>
      </c>
      <c r="BK120" s="51"/>
      <c r="BL120" s="51">
        <v>711</v>
      </c>
      <c r="BW120" s="51">
        <v>12</v>
      </c>
      <c r="BX120" s="3" t="s">
        <v>325</v>
      </c>
    </row>
    <row r="121" spans="1:76" ht="13.5" customHeight="1">
      <c r="A121" s="54"/>
      <c r="B121" s="58" t="s">
        <v>130</v>
      </c>
      <c r="C121" s="152" t="s">
        <v>326</v>
      </c>
      <c r="D121" s="153"/>
      <c r="E121" s="153"/>
      <c r="F121" s="153"/>
      <c r="G121" s="154"/>
      <c r="H121" s="153"/>
      <c r="I121" s="153"/>
      <c r="J121" s="155"/>
    </row>
    <row r="122" spans="1:76">
      <c r="A122" s="54"/>
      <c r="C122" s="55" t="s">
        <v>327</v>
      </c>
      <c r="D122" s="56" t="s">
        <v>328</v>
      </c>
      <c r="F122" s="57">
        <v>2.6349999999999998</v>
      </c>
      <c r="J122" s="41"/>
    </row>
    <row r="123" spans="1:76">
      <c r="A123" s="54"/>
      <c r="C123" s="55" t="s">
        <v>329</v>
      </c>
      <c r="D123" s="56" t="s">
        <v>330</v>
      </c>
      <c r="F123" s="57">
        <v>1.71</v>
      </c>
      <c r="J123" s="41"/>
    </row>
    <row r="124" spans="1:76">
      <c r="A124" s="54"/>
      <c r="C124" s="55" t="s">
        <v>331</v>
      </c>
      <c r="D124" s="56" t="s">
        <v>332</v>
      </c>
      <c r="F124" s="57">
        <v>4.62</v>
      </c>
      <c r="J124" s="41"/>
    </row>
    <row r="125" spans="1:76">
      <c r="A125" s="1" t="s">
        <v>333</v>
      </c>
      <c r="B125" s="2" t="s">
        <v>334</v>
      </c>
      <c r="C125" s="75" t="s">
        <v>335</v>
      </c>
      <c r="D125" s="70"/>
      <c r="E125" s="2" t="s">
        <v>135</v>
      </c>
      <c r="F125" s="51">
        <v>7.8</v>
      </c>
      <c r="G125" s="52">
        <v>0</v>
      </c>
      <c r="H125" s="51">
        <f>F125*G125</f>
        <v>0</v>
      </c>
      <c r="J125" s="41"/>
      <c r="Z125" s="51">
        <f>IF(AQ125="5",BJ125,0)</f>
        <v>0</v>
      </c>
      <c r="AB125" s="51">
        <f>IF(AQ125="1",BH125,0)</f>
        <v>0</v>
      </c>
      <c r="AC125" s="51">
        <f>IF(AQ125="1",BI125,0)</f>
        <v>0</v>
      </c>
      <c r="AD125" s="51">
        <f>IF(AQ125="7",BH125,0)</f>
        <v>0</v>
      </c>
      <c r="AE125" s="51">
        <f>IF(AQ125="7",BI125,0)</f>
        <v>0</v>
      </c>
      <c r="AF125" s="51">
        <f>IF(AQ125="2",BH125,0)</f>
        <v>0</v>
      </c>
      <c r="AG125" s="51">
        <f>IF(AQ125="2",BI125,0)</f>
        <v>0</v>
      </c>
      <c r="AH125" s="51">
        <f>IF(AQ125="0",BJ125,0)</f>
        <v>0</v>
      </c>
      <c r="AI125" s="35" t="s">
        <v>4</v>
      </c>
      <c r="AJ125" s="51">
        <f>IF(AN125=0,H125,0)</f>
        <v>0</v>
      </c>
      <c r="AK125" s="51">
        <f>IF(AN125=12,H125,0)</f>
        <v>0</v>
      </c>
      <c r="AL125" s="51">
        <f>IF(AN125=21,H125,0)</f>
        <v>0</v>
      </c>
      <c r="AN125" s="51">
        <v>12</v>
      </c>
      <c r="AO125" s="51">
        <f>G125*0.688965517</f>
        <v>0</v>
      </c>
      <c r="AP125" s="51">
        <f>G125*(1-0.688965517)</f>
        <v>0</v>
      </c>
      <c r="AQ125" s="53" t="s">
        <v>149</v>
      </c>
      <c r="AV125" s="51">
        <f>AW125+AX125</f>
        <v>0</v>
      </c>
      <c r="AW125" s="51">
        <f>F125*AO125</f>
        <v>0</v>
      </c>
      <c r="AX125" s="51">
        <f>F125*AP125</f>
        <v>0</v>
      </c>
      <c r="AY125" s="53" t="s">
        <v>321</v>
      </c>
      <c r="AZ125" s="53" t="s">
        <v>322</v>
      </c>
      <c r="BA125" s="35" t="s">
        <v>117</v>
      </c>
      <c r="BC125" s="51">
        <f>AW125+AX125</f>
        <v>0</v>
      </c>
      <c r="BD125" s="51">
        <f>G125/(100-BE125)*100</f>
        <v>0</v>
      </c>
      <c r="BE125" s="51">
        <v>0</v>
      </c>
      <c r="BF125" s="51">
        <f>125</f>
        <v>125</v>
      </c>
      <c r="BH125" s="51">
        <f>F125*AO125</f>
        <v>0</v>
      </c>
      <c r="BI125" s="51">
        <f>F125*AP125</f>
        <v>0</v>
      </c>
      <c r="BJ125" s="51">
        <f>F125*G125</f>
        <v>0</v>
      </c>
      <c r="BK125" s="51"/>
      <c r="BL125" s="51">
        <v>711</v>
      </c>
      <c r="BW125" s="51">
        <v>12</v>
      </c>
      <c r="BX125" s="3" t="s">
        <v>335</v>
      </c>
    </row>
    <row r="126" spans="1:76" ht="13.5" customHeight="1">
      <c r="A126" s="54"/>
      <c r="B126" s="58" t="s">
        <v>130</v>
      </c>
      <c r="C126" s="152" t="s">
        <v>336</v>
      </c>
      <c r="D126" s="153"/>
      <c r="E126" s="153"/>
      <c r="F126" s="153"/>
      <c r="G126" s="154"/>
      <c r="H126" s="153"/>
      <c r="I126" s="153"/>
      <c r="J126" s="155"/>
    </row>
    <row r="127" spans="1:76">
      <c r="A127" s="54"/>
      <c r="C127" s="55" t="s">
        <v>337</v>
      </c>
      <c r="D127" s="56" t="s">
        <v>338</v>
      </c>
      <c r="F127" s="57">
        <v>5.7</v>
      </c>
      <c r="J127" s="41"/>
    </row>
    <row r="128" spans="1:76">
      <c r="A128" s="54"/>
      <c r="C128" s="55" t="s">
        <v>339</v>
      </c>
      <c r="D128" s="56" t="s">
        <v>340</v>
      </c>
      <c r="F128" s="57">
        <v>2.1</v>
      </c>
      <c r="J128" s="41"/>
    </row>
    <row r="129" spans="1:76">
      <c r="A129" s="1" t="s">
        <v>341</v>
      </c>
      <c r="B129" s="2" t="s">
        <v>342</v>
      </c>
      <c r="C129" s="75" t="s">
        <v>343</v>
      </c>
      <c r="D129" s="70"/>
      <c r="E129" s="2" t="s">
        <v>282</v>
      </c>
      <c r="F129" s="51">
        <v>3.5000000000000003E-2</v>
      </c>
      <c r="G129" s="52">
        <v>0</v>
      </c>
      <c r="H129" s="51">
        <f>F129*G129</f>
        <v>0</v>
      </c>
      <c r="J129" s="41"/>
      <c r="Z129" s="51">
        <f>IF(AQ129="5",BJ129,0)</f>
        <v>0</v>
      </c>
      <c r="AB129" s="51">
        <f>IF(AQ129="1",BH129,0)</f>
        <v>0</v>
      </c>
      <c r="AC129" s="51">
        <f>IF(AQ129="1",BI129,0)</f>
        <v>0</v>
      </c>
      <c r="AD129" s="51">
        <f>IF(AQ129="7",BH129,0)</f>
        <v>0</v>
      </c>
      <c r="AE129" s="51">
        <f>IF(AQ129="7",BI129,0)</f>
        <v>0</v>
      </c>
      <c r="AF129" s="51">
        <f>IF(AQ129="2",BH129,0)</f>
        <v>0</v>
      </c>
      <c r="AG129" s="51">
        <f>IF(AQ129="2",BI129,0)</f>
        <v>0</v>
      </c>
      <c r="AH129" s="51">
        <f>IF(AQ129="0",BJ129,0)</f>
        <v>0</v>
      </c>
      <c r="AI129" s="35" t="s">
        <v>4</v>
      </c>
      <c r="AJ129" s="51">
        <f>IF(AN129=0,H129,0)</f>
        <v>0</v>
      </c>
      <c r="AK129" s="51">
        <f>IF(AN129=12,H129,0)</f>
        <v>0</v>
      </c>
      <c r="AL129" s="51">
        <f>IF(AN129=21,H129,0)</f>
        <v>0</v>
      </c>
      <c r="AN129" s="51">
        <v>12</v>
      </c>
      <c r="AO129" s="51">
        <f>G129*0</f>
        <v>0</v>
      </c>
      <c r="AP129" s="51">
        <f>G129*(1-0)</f>
        <v>0</v>
      </c>
      <c r="AQ129" s="53" t="s">
        <v>137</v>
      </c>
      <c r="AV129" s="51">
        <f>AW129+AX129</f>
        <v>0</v>
      </c>
      <c r="AW129" s="51">
        <f>F129*AO129</f>
        <v>0</v>
      </c>
      <c r="AX129" s="51">
        <f>F129*AP129</f>
        <v>0</v>
      </c>
      <c r="AY129" s="53" t="s">
        <v>321</v>
      </c>
      <c r="AZ129" s="53" t="s">
        <v>322</v>
      </c>
      <c r="BA129" s="35" t="s">
        <v>117</v>
      </c>
      <c r="BC129" s="51">
        <f>AW129+AX129</f>
        <v>0</v>
      </c>
      <c r="BD129" s="51">
        <f>G129/(100-BE129)*100</f>
        <v>0</v>
      </c>
      <c r="BE129" s="51">
        <v>0</v>
      </c>
      <c r="BF129" s="51">
        <f>129</f>
        <v>129</v>
      </c>
      <c r="BH129" s="51">
        <f>F129*AO129</f>
        <v>0</v>
      </c>
      <c r="BI129" s="51">
        <f>F129*AP129</f>
        <v>0</v>
      </c>
      <c r="BJ129" s="51">
        <f>F129*G129</f>
        <v>0</v>
      </c>
      <c r="BK129" s="51"/>
      <c r="BL129" s="51">
        <v>711</v>
      </c>
      <c r="BW129" s="51">
        <v>12</v>
      </c>
      <c r="BX129" s="3" t="s">
        <v>343</v>
      </c>
    </row>
    <row r="130" spans="1:76">
      <c r="A130" s="47" t="s">
        <v>4</v>
      </c>
      <c r="B130" s="48" t="s">
        <v>344</v>
      </c>
      <c r="C130" s="150" t="s">
        <v>345</v>
      </c>
      <c r="D130" s="151"/>
      <c r="E130" s="49" t="s">
        <v>79</v>
      </c>
      <c r="F130" s="49" t="s">
        <v>79</v>
      </c>
      <c r="G130" s="50" t="s">
        <v>79</v>
      </c>
      <c r="H130" s="28">
        <f>SUM(H131:H140)</f>
        <v>0</v>
      </c>
      <c r="J130" s="41"/>
      <c r="AI130" s="35" t="s">
        <v>4</v>
      </c>
      <c r="AS130" s="28">
        <f>SUM(AJ131:AJ140)</f>
        <v>0</v>
      </c>
      <c r="AT130" s="28">
        <f>SUM(AK131:AK140)</f>
        <v>0</v>
      </c>
      <c r="AU130" s="28">
        <f>SUM(AL131:AL140)</f>
        <v>0</v>
      </c>
    </row>
    <row r="131" spans="1:76" ht="25.5">
      <c r="A131" s="1" t="s">
        <v>346</v>
      </c>
      <c r="B131" s="2" t="s">
        <v>347</v>
      </c>
      <c r="C131" s="75" t="s">
        <v>348</v>
      </c>
      <c r="D131" s="70"/>
      <c r="E131" s="2" t="s">
        <v>129</v>
      </c>
      <c r="F131" s="51">
        <v>1</v>
      </c>
      <c r="G131" s="52">
        <v>0</v>
      </c>
      <c r="H131" s="51">
        <f t="shared" ref="H131:H140" si="0">F131*G131</f>
        <v>0</v>
      </c>
      <c r="J131" s="41"/>
      <c r="Z131" s="51">
        <f t="shared" ref="Z131:Z140" si="1">IF(AQ131="5",BJ131,0)</f>
        <v>0</v>
      </c>
      <c r="AB131" s="51">
        <f t="shared" ref="AB131:AB140" si="2">IF(AQ131="1",BH131,0)</f>
        <v>0</v>
      </c>
      <c r="AC131" s="51">
        <f t="shared" ref="AC131:AC140" si="3">IF(AQ131="1",BI131,0)</f>
        <v>0</v>
      </c>
      <c r="AD131" s="51">
        <f t="shared" ref="AD131:AD140" si="4">IF(AQ131="7",BH131,0)</f>
        <v>0</v>
      </c>
      <c r="AE131" s="51">
        <f t="shared" ref="AE131:AE140" si="5">IF(AQ131="7",BI131,0)</f>
        <v>0</v>
      </c>
      <c r="AF131" s="51">
        <f t="shared" ref="AF131:AF140" si="6">IF(AQ131="2",BH131,0)</f>
        <v>0</v>
      </c>
      <c r="AG131" s="51">
        <f t="shared" ref="AG131:AG140" si="7">IF(AQ131="2",BI131,0)</f>
        <v>0</v>
      </c>
      <c r="AH131" s="51">
        <f t="shared" ref="AH131:AH140" si="8">IF(AQ131="0",BJ131,0)</f>
        <v>0</v>
      </c>
      <c r="AI131" s="35" t="s">
        <v>4</v>
      </c>
      <c r="AJ131" s="51">
        <f t="shared" ref="AJ131:AJ140" si="9">IF(AN131=0,H131,0)</f>
        <v>0</v>
      </c>
      <c r="AK131" s="51">
        <f t="shared" ref="AK131:AK140" si="10">IF(AN131=12,H131,0)</f>
        <v>0</v>
      </c>
      <c r="AL131" s="51">
        <f t="shared" ref="AL131:AL140" si="11">IF(AN131=21,H131,0)</f>
        <v>0</v>
      </c>
      <c r="AN131" s="51">
        <v>12</v>
      </c>
      <c r="AO131" s="51">
        <f>G131*0.809885787</f>
        <v>0</v>
      </c>
      <c r="AP131" s="51">
        <f>G131*(1-0.809885787)</f>
        <v>0</v>
      </c>
      <c r="AQ131" s="53" t="s">
        <v>149</v>
      </c>
      <c r="AV131" s="51">
        <f t="shared" ref="AV131:AV140" si="12">AW131+AX131</f>
        <v>0</v>
      </c>
      <c r="AW131" s="51">
        <f t="shared" ref="AW131:AW140" si="13">F131*AO131</f>
        <v>0</v>
      </c>
      <c r="AX131" s="51">
        <f t="shared" ref="AX131:AX140" si="14">F131*AP131</f>
        <v>0</v>
      </c>
      <c r="AY131" s="53" t="s">
        <v>349</v>
      </c>
      <c r="AZ131" s="53" t="s">
        <v>350</v>
      </c>
      <c r="BA131" s="35" t="s">
        <v>117</v>
      </c>
      <c r="BC131" s="51">
        <f t="shared" ref="BC131:BC140" si="15">AW131+AX131</f>
        <v>0</v>
      </c>
      <c r="BD131" s="51">
        <f t="shared" ref="BD131:BD140" si="16">G131/(100-BE131)*100</f>
        <v>0</v>
      </c>
      <c r="BE131" s="51">
        <v>0</v>
      </c>
      <c r="BF131" s="51">
        <f>131</f>
        <v>131</v>
      </c>
      <c r="BH131" s="51">
        <f t="shared" ref="BH131:BH140" si="17">F131*AO131</f>
        <v>0</v>
      </c>
      <c r="BI131" s="51">
        <f t="shared" ref="BI131:BI140" si="18">F131*AP131</f>
        <v>0</v>
      </c>
      <c r="BJ131" s="51">
        <f t="shared" ref="BJ131:BJ140" si="19">F131*G131</f>
        <v>0</v>
      </c>
      <c r="BK131" s="51"/>
      <c r="BL131" s="51">
        <v>721</v>
      </c>
      <c r="BW131" s="51">
        <v>12</v>
      </c>
      <c r="BX131" s="3" t="s">
        <v>348</v>
      </c>
    </row>
    <row r="132" spans="1:76">
      <c r="A132" s="1" t="s">
        <v>351</v>
      </c>
      <c r="B132" s="2" t="s">
        <v>352</v>
      </c>
      <c r="C132" s="75" t="s">
        <v>353</v>
      </c>
      <c r="D132" s="70"/>
      <c r="E132" s="2" t="s">
        <v>135</v>
      </c>
      <c r="F132" s="51">
        <v>7.8</v>
      </c>
      <c r="G132" s="52">
        <v>0</v>
      </c>
      <c r="H132" s="51">
        <f t="shared" si="0"/>
        <v>0</v>
      </c>
      <c r="J132" s="41"/>
      <c r="Z132" s="51">
        <f t="shared" si="1"/>
        <v>0</v>
      </c>
      <c r="AB132" s="51">
        <f t="shared" si="2"/>
        <v>0</v>
      </c>
      <c r="AC132" s="51">
        <f t="shared" si="3"/>
        <v>0</v>
      </c>
      <c r="AD132" s="51">
        <f t="shared" si="4"/>
        <v>0</v>
      </c>
      <c r="AE132" s="51">
        <f t="shared" si="5"/>
        <v>0</v>
      </c>
      <c r="AF132" s="51">
        <f t="shared" si="6"/>
        <v>0</v>
      </c>
      <c r="AG132" s="51">
        <f t="shared" si="7"/>
        <v>0</v>
      </c>
      <c r="AH132" s="51">
        <f t="shared" si="8"/>
        <v>0</v>
      </c>
      <c r="AI132" s="35" t="s">
        <v>4</v>
      </c>
      <c r="AJ132" s="51">
        <f t="shared" si="9"/>
        <v>0</v>
      </c>
      <c r="AK132" s="51">
        <f t="shared" si="10"/>
        <v>0</v>
      </c>
      <c r="AL132" s="51">
        <f t="shared" si="11"/>
        <v>0</v>
      </c>
      <c r="AN132" s="51">
        <v>12</v>
      </c>
      <c r="AO132" s="51">
        <f>G132*0.340587178</f>
        <v>0</v>
      </c>
      <c r="AP132" s="51">
        <f>G132*(1-0.340587178)</f>
        <v>0</v>
      </c>
      <c r="AQ132" s="53" t="s">
        <v>149</v>
      </c>
      <c r="AV132" s="51">
        <f t="shared" si="12"/>
        <v>0</v>
      </c>
      <c r="AW132" s="51">
        <f t="shared" si="13"/>
        <v>0</v>
      </c>
      <c r="AX132" s="51">
        <f t="shared" si="14"/>
        <v>0</v>
      </c>
      <c r="AY132" s="53" t="s">
        <v>349</v>
      </c>
      <c r="AZ132" s="53" t="s">
        <v>350</v>
      </c>
      <c r="BA132" s="35" t="s">
        <v>117</v>
      </c>
      <c r="BC132" s="51">
        <f t="shared" si="15"/>
        <v>0</v>
      </c>
      <c r="BD132" s="51">
        <f t="shared" si="16"/>
        <v>0</v>
      </c>
      <c r="BE132" s="51">
        <v>0</v>
      </c>
      <c r="BF132" s="51">
        <f>132</f>
        <v>132</v>
      </c>
      <c r="BH132" s="51">
        <f t="shared" si="17"/>
        <v>0</v>
      </c>
      <c r="BI132" s="51">
        <f t="shared" si="18"/>
        <v>0</v>
      </c>
      <c r="BJ132" s="51">
        <f t="shared" si="19"/>
        <v>0</v>
      </c>
      <c r="BK132" s="51"/>
      <c r="BL132" s="51">
        <v>721</v>
      </c>
      <c r="BW132" s="51">
        <v>12</v>
      </c>
      <c r="BX132" s="3" t="s">
        <v>353</v>
      </c>
    </row>
    <row r="133" spans="1:76">
      <c r="A133" s="1" t="s">
        <v>354</v>
      </c>
      <c r="B133" s="2" t="s">
        <v>355</v>
      </c>
      <c r="C133" s="75" t="s">
        <v>356</v>
      </c>
      <c r="D133" s="70"/>
      <c r="E133" s="2" t="s">
        <v>135</v>
      </c>
      <c r="F133" s="51">
        <v>1.8</v>
      </c>
      <c r="G133" s="52">
        <v>0</v>
      </c>
      <c r="H133" s="51">
        <f t="shared" si="0"/>
        <v>0</v>
      </c>
      <c r="J133" s="41"/>
      <c r="Z133" s="51">
        <f t="shared" si="1"/>
        <v>0</v>
      </c>
      <c r="AB133" s="51">
        <f t="shared" si="2"/>
        <v>0</v>
      </c>
      <c r="AC133" s="51">
        <f t="shared" si="3"/>
        <v>0</v>
      </c>
      <c r="AD133" s="51">
        <f t="shared" si="4"/>
        <v>0</v>
      </c>
      <c r="AE133" s="51">
        <f t="shared" si="5"/>
        <v>0</v>
      </c>
      <c r="AF133" s="51">
        <f t="shared" si="6"/>
        <v>0</v>
      </c>
      <c r="AG133" s="51">
        <f t="shared" si="7"/>
        <v>0</v>
      </c>
      <c r="AH133" s="51">
        <f t="shared" si="8"/>
        <v>0</v>
      </c>
      <c r="AI133" s="35" t="s">
        <v>4</v>
      </c>
      <c r="AJ133" s="51">
        <f t="shared" si="9"/>
        <v>0</v>
      </c>
      <c r="AK133" s="51">
        <f t="shared" si="10"/>
        <v>0</v>
      </c>
      <c r="AL133" s="51">
        <f t="shared" si="11"/>
        <v>0</v>
      </c>
      <c r="AN133" s="51">
        <v>12</v>
      </c>
      <c r="AO133" s="51">
        <f>G133*0.317436677</f>
        <v>0</v>
      </c>
      <c r="AP133" s="51">
        <f>G133*(1-0.317436677)</f>
        <v>0</v>
      </c>
      <c r="AQ133" s="53" t="s">
        <v>149</v>
      </c>
      <c r="AV133" s="51">
        <f t="shared" si="12"/>
        <v>0</v>
      </c>
      <c r="AW133" s="51">
        <f t="shared" si="13"/>
        <v>0</v>
      </c>
      <c r="AX133" s="51">
        <f t="shared" si="14"/>
        <v>0</v>
      </c>
      <c r="AY133" s="53" t="s">
        <v>349</v>
      </c>
      <c r="AZ133" s="53" t="s">
        <v>350</v>
      </c>
      <c r="BA133" s="35" t="s">
        <v>117</v>
      </c>
      <c r="BC133" s="51">
        <f t="shared" si="15"/>
        <v>0</v>
      </c>
      <c r="BD133" s="51">
        <f t="shared" si="16"/>
        <v>0</v>
      </c>
      <c r="BE133" s="51">
        <v>0</v>
      </c>
      <c r="BF133" s="51">
        <f>133</f>
        <v>133</v>
      </c>
      <c r="BH133" s="51">
        <f t="shared" si="17"/>
        <v>0</v>
      </c>
      <c r="BI133" s="51">
        <f t="shared" si="18"/>
        <v>0</v>
      </c>
      <c r="BJ133" s="51">
        <f t="shared" si="19"/>
        <v>0</v>
      </c>
      <c r="BK133" s="51"/>
      <c r="BL133" s="51">
        <v>721</v>
      </c>
      <c r="BW133" s="51">
        <v>12</v>
      </c>
      <c r="BX133" s="3" t="s">
        <v>356</v>
      </c>
    </row>
    <row r="134" spans="1:76">
      <c r="A134" s="1" t="s">
        <v>357</v>
      </c>
      <c r="B134" s="2" t="s">
        <v>358</v>
      </c>
      <c r="C134" s="75" t="s">
        <v>359</v>
      </c>
      <c r="D134" s="70"/>
      <c r="E134" s="2" t="s">
        <v>135</v>
      </c>
      <c r="F134" s="51">
        <v>0.5</v>
      </c>
      <c r="G134" s="52">
        <v>0</v>
      </c>
      <c r="H134" s="51">
        <f t="shared" si="0"/>
        <v>0</v>
      </c>
      <c r="J134" s="41"/>
      <c r="Z134" s="51">
        <f t="shared" si="1"/>
        <v>0</v>
      </c>
      <c r="AB134" s="51">
        <f t="shared" si="2"/>
        <v>0</v>
      </c>
      <c r="AC134" s="51">
        <f t="shared" si="3"/>
        <v>0</v>
      </c>
      <c r="AD134" s="51">
        <f t="shared" si="4"/>
        <v>0</v>
      </c>
      <c r="AE134" s="51">
        <f t="shared" si="5"/>
        <v>0</v>
      </c>
      <c r="AF134" s="51">
        <f t="shared" si="6"/>
        <v>0</v>
      </c>
      <c r="AG134" s="51">
        <f t="shared" si="7"/>
        <v>0</v>
      </c>
      <c r="AH134" s="51">
        <f t="shared" si="8"/>
        <v>0</v>
      </c>
      <c r="AI134" s="35" t="s">
        <v>4</v>
      </c>
      <c r="AJ134" s="51">
        <f t="shared" si="9"/>
        <v>0</v>
      </c>
      <c r="AK134" s="51">
        <f t="shared" si="10"/>
        <v>0</v>
      </c>
      <c r="AL134" s="51">
        <f t="shared" si="11"/>
        <v>0</v>
      </c>
      <c r="AN134" s="51">
        <v>12</v>
      </c>
      <c r="AO134" s="51">
        <f>G134*0.431778607</f>
        <v>0</v>
      </c>
      <c r="AP134" s="51">
        <f>G134*(1-0.431778607)</f>
        <v>0</v>
      </c>
      <c r="AQ134" s="53" t="s">
        <v>149</v>
      </c>
      <c r="AV134" s="51">
        <f t="shared" si="12"/>
        <v>0</v>
      </c>
      <c r="AW134" s="51">
        <f t="shared" si="13"/>
        <v>0</v>
      </c>
      <c r="AX134" s="51">
        <f t="shared" si="14"/>
        <v>0</v>
      </c>
      <c r="AY134" s="53" t="s">
        <v>349</v>
      </c>
      <c r="AZ134" s="53" t="s">
        <v>350</v>
      </c>
      <c r="BA134" s="35" t="s">
        <v>117</v>
      </c>
      <c r="BC134" s="51">
        <f t="shared" si="15"/>
        <v>0</v>
      </c>
      <c r="BD134" s="51">
        <f t="shared" si="16"/>
        <v>0</v>
      </c>
      <c r="BE134" s="51">
        <v>0</v>
      </c>
      <c r="BF134" s="51">
        <f>134</f>
        <v>134</v>
      </c>
      <c r="BH134" s="51">
        <f t="shared" si="17"/>
        <v>0</v>
      </c>
      <c r="BI134" s="51">
        <f t="shared" si="18"/>
        <v>0</v>
      </c>
      <c r="BJ134" s="51">
        <f t="shared" si="19"/>
        <v>0</v>
      </c>
      <c r="BK134" s="51"/>
      <c r="BL134" s="51">
        <v>721</v>
      </c>
      <c r="BW134" s="51">
        <v>12</v>
      </c>
      <c r="BX134" s="3" t="s">
        <v>359</v>
      </c>
    </row>
    <row r="135" spans="1:76">
      <c r="A135" s="1" t="s">
        <v>360</v>
      </c>
      <c r="B135" s="2" t="s">
        <v>361</v>
      </c>
      <c r="C135" s="75" t="s">
        <v>362</v>
      </c>
      <c r="D135" s="70"/>
      <c r="E135" s="2" t="s">
        <v>129</v>
      </c>
      <c r="F135" s="51">
        <v>4</v>
      </c>
      <c r="G135" s="52">
        <v>0</v>
      </c>
      <c r="H135" s="51">
        <f t="shared" si="0"/>
        <v>0</v>
      </c>
      <c r="J135" s="41"/>
      <c r="Z135" s="51">
        <f t="shared" si="1"/>
        <v>0</v>
      </c>
      <c r="AB135" s="51">
        <f t="shared" si="2"/>
        <v>0</v>
      </c>
      <c r="AC135" s="51">
        <f t="shared" si="3"/>
        <v>0</v>
      </c>
      <c r="AD135" s="51">
        <f t="shared" si="4"/>
        <v>0</v>
      </c>
      <c r="AE135" s="51">
        <f t="shared" si="5"/>
        <v>0</v>
      </c>
      <c r="AF135" s="51">
        <f t="shared" si="6"/>
        <v>0</v>
      </c>
      <c r="AG135" s="51">
        <f t="shared" si="7"/>
        <v>0</v>
      </c>
      <c r="AH135" s="51">
        <f t="shared" si="8"/>
        <v>0</v>
      </c>
      <c r="AI135" s="35" t="s">
        <v>4</v>
      </c>
      <c r="AJ135" s="51">
        <f t="shared" si="9"/>
        <v>0</v>
      </c>
      <c r="AK135" s="51">
        <f t="shared" si="10"/>
        <v>0</v>
      </c>
      <c r="AL135" s="51">
        <f t="shared" si="11"/>
        <v>0</v>
      </c>
      <c r="AN135" s="51">
        <v>12</v>
      </c>
      <c r="AO135" s="51">
        <f>G135*0</f>
        <v>0</v>
      </c>
      <c r="AP135" s="51">
        <f>G135*(1-0)</f>
        <v>0</v>
      </c>
      <c r="AQ135" s="53" t="s">
        <v>149</v>
      </c>
      <c r="AV135" s="51">
        <f t="shared" si="12"/>
        <v>0</v>
      </c>
      <c r="AW135" s="51">
        <f t="shared" si="13"/>
        <v>0</v>
      </c>
      <c r="AX135" s="51">
        <f t="shared" si="14"/>
        <v>0</v>
      </c>
      <c r="AY135" s="53" t="s">
        <v>349</v>
      </c>
      <c r="AZ135" s="53" t="s">
        <v>350</v>
      </c>
      <c r="BA135" s="35" t="s">
        <v>117</v>
      </c>
      <c r="BC135" s="51">
        <f t="shared" si="15"/>
        <v>0</v>
      </c>
      <c r="BD135" s="51">
        <f t="shared" si="16"/>
        <v>0</v>
      </c>
      <c r="BE135" s="51">
        <v>0</v>
      </c>
      <c r="BF135" s="51">
        <f>135</f>
        <v>135</v>
      </c>
      <c r="BH135" s="51">
        <f t="shared" si="17"/>
        <v>0</v>
      </c>
      <c r="BI135" s="51">
        <f t="shared" si="18"/>
        <v>0</v>
      </c>
      <c r="BJ135" s="51">
        <f t="shared" si="19"/>
        <v>0</v>
      </c>
      <c r="BK135" s="51"/>
      <c r="BL135" s="51">
        <v>721</v>
      </c>
      <c r="BW135" s="51">
        <v>12</v>
      </c>
      <c r="BX135" s="3" t="s">
        <v>362</v>
      </c>
    </row>
    <row r="136" spans="1:76">
      <c r="A136" s="1" t="s">
        <v>363</v>
      </c>
      <c r="B136" s="2" t="s">
        <v>364</v>
      </c>
      <c r="C136" s="75" t="s">
        <v>365</v>
      </c>
      <c r="D136" s="70"/>
      <c r="E136" s="2" t="s">
        <v>129</v>
      </c>
      <c r="F136" s="51">
        <v>1</v>
      </c>
      <c r="G136" s="52">
        <v>0</v>
      </c>
      <c r="H136" s="51">
        <f t="shared" si="0"/>
        <v>0</v>
      </c>
      <c r="J136" s="41"/>
      <c r="Z136" s="51">
        <f t="shared" si="1"/>
        <v>0</v>
      </c>
      <c r="AB136" s="51">
        <f t="shared" si="2"/>
        <v>0</v>
      </c>
      <c r="AC136" s="51">
        <f t="shared" si="3"/>
        <v>0</v>
      </c>
      <c r="AD136" s="51">
        <f t="shared" si="4"/>
        <v>0</v>
      </c>
      <c r="AE136" s="51">
        <f t="shared" si="5"/>
        <v>0</v>
      </c>
      <c r="AF136" s="51">
        <f t="shared" si="6"/>
        <v>0</v>
      </c>
      <c r="AG136" s="51">
        <f t="shared" si="7"/>
        <v>0</v>
      </c>
      <c r="AH136" s="51">
        <f t="shared" si="8"/>
        <v>0</v>
      </c>
      <c r="AI136" s="35" t="s">
        <v>4</v>
      </c>
      <c r="AJ136" s="51">
        <f t="shared" si="9"/>
        <v>0</v>
      </c>
      <c r="AK136" s="51">
        <f t="shared" si="10"/>
        <v>0</v>
      </c>
      <c r="AL136" s="51">
        <f t="shared" si="11"/>
        <v>0</v>
      </c>
      <c r="AN136" s="51">
        <v>12</v>
      </c>
      <c r="AO136" s="51">
        <f>G136*0</f>
        <v>0</v>
      </c>
      <c r="AP136" s="51">
        <f>G136*(1-0)</f>
        <v>0</v>
      </c>
      <c r="AQ136" s="53" t="s">
        <v>149</v>
      </c>
      <c r="AV136" s="51">
        <f t="shared" si="12"/>
        <v>0</v>
      </c>
      <c r="AW136" s="51">
        <f t="shared" si="13"/>
        <v>0</v>
      </c>
      <c r="AX136" s="51">
        <f t="shared" si="14"/>
        <v>0</v>
      </c>
      <c r="AY136" s="53" t="s">
        <v>349</v>
      </c>
      <c r="AZ136" s="53" t="s">
        <v>350</v>
      </c>
      <c r="BA136" s="35" t="s">
        <v>117</v>
      </c>
      <c r="BC136" s="51">
        <f t="shared" si="15"/>
        <v>0</v>
      </c>
      <c r="BD136" s="51">
        <f t="shared" si="16"/>
        <v>0</v>
      </c>
      <c r="BE136" s="51">
        <v>0</v>
      </c>
      <c r="BF136" s="51">
        <f>136</f>
        <v>136</v>
      </c>
      <c r="BH136" s="51">
        <f t="shared" si="17"/>
        <v>0</v>
      </c>
      <c r="BI136" s="51">
        <f t="shared" si="18"/>
        <v>0</v>
      </c>
      <c r="BJ136" s="51">
        <f t="shared" si="19"/>
        <v>0</v>
      </c>
      <c r="BK136" s="51"/>
      <c r="BL136" s="51">
        <v>721</v>
      </c>
      <c r="BW136" s="51">
        <v>12</v>
      </c>
      <c r="BX136" s="3" t="s">
        <v>365</v>
      </c>
    </row>
    <row r="137" spans="1:76">
      <c r="A137" s="1" t="s">
        <v>366</v>
      </c>
      <c r="B137" s="2" t="s">
        <v>367</v>
      </c>
      <c r="C137" s="75" t="s">
        <v>368</v>
      </c>
      <c r="D137" s="70"/>
      <c r="E137" s="2" t="s">
        <v>135</v>
      </c>
      <c r="F137" s="51">
        <v>9.6</v>
      </c>
      <c r="G137" s="52">
        <v>0</v>
      </c>
      <c r="H137" s="51">
        <f t="shared" si="0"/>
        <v>0</v>
      </c>
      <c r="J137" s="41"/>
      <c r="Z137" s="51">
        <f t="shared" si="1"/>
        <v>0</v>
      </c>
      <c r="AB137" s="51">
        <f t="shared" si="2"/>
        <v>0</v>
      </c>
      <c r="AC137" s="51">
        <f t="shared" si="3"/>
        <v>0</v>
      </c>
      <c r="AD137" s="51">
        <f t="shared" si="4"/>
        <v>0</v>
      </c>
      <c r="AE137" s="51">
        <f t="shared" si="5"/>
        <v>0</v>
      </c>
      <c r="AF137" s="51">
        <f t="shared" si="6"/>
        <v>0</v>
      </c>
      <c r="AG137" s="51">
        <f t="shared" si="7"/>
        <v>0</v>
      </c>
      <c r="AH137" s="51">
        <f t="shared" si="8"/>
        <v>0</v>
      </c>
      <c r="AI137" s="35" t="s">
        <v>4</v>
      </c>
      <c r="AJ137" s="51">
        <f t="shared" si="9"/>
        <v>0</v>
      </c>
      <c r="AK137" s="51">
        <f t="shared" si="10"/>
        <v>0</v>
      </c>
      <c r="AL137" s="51">
        <f t="shared" si="11"/>
        <v>0</v>
      </c>
      <c r="AN137" s="51">
        <v>12</v>
      </c>
      <c r="AO137" s="51">
        <f>G137*0</f>
        <v>0</v>
      </c>
      <c r="AP137" s="51">
        <f>G137*(1-0)</f>
        <v>0</v>
      </c>
      <c r="AQ137" s="53" t="s">
        <v>120</v>
      </c>
      <c r="AV137" s="51">
        <f t="shared" si="12"/>
        <v>0</v>
      </c>
      <c r="AW137" s="51">
        <f t="shared" si="13"/>
        <v>0</v>
      </c>
      <c r="AX137" s="51">
        <f t="shared" si="14"/>
        <v>0</v>
      </c>
      <c r="AY137" s="53" t="s">
        <v>349</v>
      </c>
      <c r="AZ137" s="53" t="s">
        <v>350</v>
      </c>
      <c r="BA137" s="35" t="s">
        <v>117</v>
      </c>
      <c r="BC137" s="51">
        <f t="shared" si="15"/>
        <v>0</v>
      </c>
      <c r="BD137" s="51">
        <f t="shared" si="16"/>
        <v>0</v>
      </c>
      <c r="BE137" s="51">
        <v>0</v>
      </c>
      <c r="BF137" s="51">
        <f>137</f>
        <v>137</v>
      </c>
      <c r="BH137" s="51">
        <f t="shared" si="17"/>
        <v>0</v>
      </c>
      <c r="BI137" s="51">
        <f t="shared" si="18"/>
        <v>0</v>
      </c>
      <c r="BJ137" s="51">
        <f t="shared" si="19"/>
        <v>0</v>
      </c>
      <c r="BK137" s="51"/>
      <c r="BL137" s="51">
        <v>721</v>
      </c>
      <c r="BW137" s="51">
        <v>12</v>
      </c>
      <c r="BX137" s="3" t="s">
        <v>368</v>
      </c>
    </row>
    <row r="138" spans="1:76">
      <c r="A138" s="1" t="s">
        <v>369</v>
      </c>
      <c r="B138" s="2" t="s">
        <v>370</v>
      </c>
      <c r="C138" s="75" t="s">
        <v>371</v>
      </c>
      <c r="D138" s="70"/>
      <c r="E138" s="2" t="s">
        <v>135</v>
      </c>
      <c r="F138" s="51">
        <v>9.6</v>
      </c>
      <c r="G138" s="52">
        <v>0</v>
      </c>
      <c r="H138" s="51">
        <f t="shared" si="0"/>
        <v>0</v>
      </c>
      <c r="J138" s="41"/>
      <c r="Z138" s="51">
        <f t="shared" si="1"/>
        <v>0</v>
      </c>
      <c r="AB138" s="51">
        <f t="shared" si="2"/>
        <v>0</v>
      </c>
      <c r="AC138" s="51">
        <f t="shared" si="3"/>
        <v>0</v>
      </c>
      <c r="AD138" s="51">
        <f t="shared" si="4"/>
        <v>0</v>
      </c>
      <c r="AE138" s="51">
        <f t="shared" si="5"/>
        <v>0</v>
      </c>
      <c r="AF138" s="51">
        <f t="shared" si="6"/>
        <v>0</v>
      </c>
      <c r="AG138" s="51">
        <f t="shared" si="7"/>
        <v>0</v>
      </c>
      <c r="AH138" s="51">
        <f t="shared" si="8"/>
        <v>0</v>
      </c>
      <c r="AI138" s="35" t="s">
        <v>4</v>
      </c>
      <c r="AJ138" s="51">
        <f t="shared" si="9"/>
        <v>0</v>
      </c>
      <c r="AK138" s="51">
        <f t="shared" si="10"/>
        <v>0</v>
      </c>
      <c r="AL138" s="51">
        <f t="shared" si="11"/>
        <v>0</v>
      </c>
      <c r="AN138" s="51">
        <v>12</v>
      </c>
      <c r="AO138" s="51">
        <f>G138*0.029225352</f>
        <v>0</v>
      </c>
      <c r="AP138" s="51">
        <f>G138*(1-0.029225352)</f>
        <v>0</v>
      </c>
      <c r="AQ138" s="53" t="s">
        <v>149</v>
      </c>
      <c r="AV138" s="51">
        <f t="shared" si="12"/>
        <v>0</v>
      </c>
      <c r="AW138" s="51">
        <f t="shared" si="13"/>
        <v>0</v>
      </c>
      <c r="AX138" s="51">
        <f t="shared" si="14"/>
        <v>0</v>
      </c>
      <c r="AY138" s="53" t="s">
        <v>349</v>
      </c>
      <c r="AZ138" s="53" t="s">
        <v>350</v>
      </c>
      <c r="BA138" s="35" t="s">
        <v>117</v>
      </c>
      <c r="BC138" s="51">
        <f t="shared" si="15"/>
        <v>0</v>
      </c>
      <c r="BD138" s="51">
        <f t="shared" si="16"/>
        <v>0</v>
      </c>
      <c r="BE138" s="51">
        <v>0</v>
      </c>
      <c r="BF138" s="51">
        <f>138</f>
        <v>138</v>
      </c>
      <c r="BH138" s="51">
        <f t="shared" si="17"/>
        <v>0</v>
      </c>
      <c r="BI138" s="51">
        <f t="shared" si="18"/>
        <v>0</v>
      </c>
      <c r="BJ138" s="51">
        <f t="shared" si="19"/>
        <v>0</v>
      </c>
      <c r="BK138" s="51"/>
      <c r="BL138" s="51">
        <v>721</v>
      </c>
      <c r="BW138" s="51">
        <v>12</v>
      </c>
      <c r="BX138" s="3" t="s">
        <v>371</v>
      </c>
    </row>
    <row r="139" spans="1:76">
      <c r="A139" s="1" t="s">
        <v>372</v>
      </c>
      <c r="B139" s="2" t="s">
        <v>373</v>
      </c>
      <c r="C139" s="75" t="s">
        <v>374</v>
      </c>
      <c r="D139" s="70"/>
      <c r="E139" s="2" t="s">
        <v>135</v>
      </c>
      <c r="F139" s="51">
        <v>0.5</v>
      </c>
      <c r="G139" s="52">
        <v>0</v>
      </c>
      <c r="H139" s="51">
        <f t="shared" si="0"/>
        <v>0</v>
      </c>
      <c r="J139" s="41"/>
      <c r="Z139" s="51">
        <f t="shared" si="1"/>
        <v>0</v>
      </c>
      <c r="AB139" s="51">
        <f t="shared" si="2"/>
        <v>0</v>
      </c>
      <c r="AC139" s="51">
        <f t="shared" si="3"/>
        <v>0</v>
      </c>
      <c r="AD139" s="51">
        <f t="shared" si="4"/>
        <v>0</v>
      </c>
      <c r="AE139" s="51">
        <f t="shared" si="5"/>
        <v>0</v>
      </c>
      <c r="AF139" s="51">
        <f t="shared" si="6"/>
        <v>0</v>
      </c>
      <c r="AG139" s="51">
        <f t="shared" si="7"/>
        <v>0</v>
      </c>
      <c r="AH139" s="51">
        <f t="shared" si="8"/>
        <v>0</v>
      </c>
      <c r="AI139" s="35" t="s">
        <v>4</v>
      </c>
      <c r="AJ139" s="51">
        <f t="shared" si="9"/>
        <v>0</v>
      </c>
      <c r="AK139" s="51">
        <f t="shared" si="10"/>
        <v>0</v>
      </c>
      <c r="AL139" s="51">
        <f t="shared" si="11"/>
        <v>0</v>
      </c>
      <c r="AN139" s="51">
        <v>12</v>
      </c>
      <c r="AO139" s="51">
        <f>G139*0.414294872</f>
        <v>0</v>
      </c>
      <c r="AP139" s="51">
        <f>G139*(1-0.414294872)</f>
        <v>0</v>
      </c>
      <c r="AQ139" s="53" t="s">
        <v>149</v>
      </c>
      <c r="AV139" s="51">
        <f t="shared" si="12"/>
        <v>0</v>
      </c>
      <c r="AW139" s="51">
        <f t="shared" si="13"/>
        <v>0</v>
      </c>
      <c r="AX139" s="51">
        <f t="shared" si="14"/>
        <v>0</v>
      </c>
      <c r="AY139" s="53" t="s">
        <v>349</v>
      </c>
      <c r="AZ139" s="53" t="s">
        <v>350</v>
      </c>
      <c r="BA139" s="35" t="s">
        <v>117</v>
      </c>
      <c r="BC139" s="51">
        <f t="shared" si="15"/>
        <v>0</v>
      </c>
      <c r="BD139" s="51">
        <f t="shared" si="16"/>
        <v>0</v>
      </c>
      <c r="BE139" s="51">
        <v>0</v>
      </c>
      <c r="BF139" s="51">
        <f>139</f>
        <v>139</v>
      </c>
      <c r="BH139" s="51">
        <f t="shared" si="17"/>
        <v>0</v>
      </c>
      <c r="BI139" s="51">
        <f t="shared" si="18"/>
        <v>0</v>
      </c>
      <c r="BJ139" s="51">
        <f t="shared" si="19"/>
        <v>0</v>
      </c>
      <c r="BK139" s="51"/>
      <c r="BL139" s="51">
        <v>721</v>
      </c>
      <c r="BW139" s="51">
        <v>12</v>
      </c>
      <c r="BX139" s="3" t="s">
        <v>374</v>
      </c>
    </row>
    <row r="140" spans="1:76">
      <c r="A140" s="1" t="s">
        <v>375</v>
      </c>
      <c r="B140" s="2" t="s">
        <v>376</v>
      </c>
      <c r="C140" s="75" t="s">
        <v>377</v>
      </c>
      <c r="D140" s="70"/>
      <c r="E140" s="2" t="s">
        <v>282</v>
      </c>
      <c r="F140" s="51">
        <v>0.05</v>
      </c>
      <c r="G140" s="52">
        <v>0</v>
      </c>
      <c r="H140" s="51">
        <f t="shared" si="0"/>
        <v>0</v>
      </c>
      <c r="J140" s="41"/>
      <c r="Z140" s="51">
        <f t="shared" si="1"/>
        <v>0</v>
      </c>
      <c r="AB140" s="51">
        <f t="shared" si="2"/>
        <v>0</v>
      </c>
      <c r="AC140" s="51">
        <f t="shared" si="3"/>
        <v>0</v>
      </c>
      <c r="AD140" s="51">
        <f t="shared" si="4"/>
        <v>0</v>
      </c>
      <c r="AE140" s="51">
        <f t="shared" si="5"/>
        <v>0</v>
      </c>
      <c r="AF140" s="51">
        <f t="shared" si="6"/>
        <v>0</v>
      </c>
      <c r="AG140" s="51">
        <f t="shared" si="7"/>
        <v>0</v>
      </c>
      <c r="AH140" s="51">
        <f t="shared" si="8"/>
        <v>0</v>
      </c>
      <c r="AI140" s="35" t="s">
        <v>4</v>
      </c>
      <c r="AJ140" s="51">
        <f t="shared" si="9"/>
        <v>0</v>
      </c>
      <c r="AK140" s="51">
        <f t="shared" si="10"/>
        <v>0</v>
      </c>
      <c r="AL140" s="51">
        <f t="shared" si="11"/>
        <v>0</v>
      </c>
      <c r="AN140" s="51">
        <v>12</v>
      </c>
      <c r="AO140" s="51">
        <f>G140*0</f>
        <v>0</v>
      </c>
      <c r="AP140" s="51">
        <f>G140*(1-0)</f>
        <v>0</v>
      </c>
      <c r="AQ140" s="53" t="s">
        <v>137</v>
      </c>
      <c r="AV140" s="51">
        <f t="shared" si="12"/>
        <v>0</v>
      </c>
      <c r="AW140" s="51">
        <f t="shared" si="13"/>
        <v>0</v>
      </c>
      <c r="AX140" s="51">
        <f t="shared" si="14"/>
        <v>0</v>
      </c>
      <c r="AY140" s="53" t="s">
        <v>349</v>
      </c>
      <c r="AZ140" s="53" t="s">
        <v>350</v>
      </c>
      <c r="BA140" s="35" t="s">
        <v>117</v>
      </c>
      <c r="BC140" s="51">
        <f t="shared" si="15"/>
        <v>0</v>
      </c>
      <c r="BD140" s="51">
        <f t="shared" si="16"/>
        <v>0</v>
      </c>
      <c r="BE140" s="51">
        <v>0</v>
      </c>
      <c r="BF140" s="51">
        <f>140</f>
        <v>140</v>
      </c>
      <c r="BH140" s="51">
        <f t="shared" si="17"/>
        <v>0</v>
      </c>
      <c r="BI140" s="51">
        <f t="shared" si="18"/>
        <v>0</v>
      </c>
      <c r="BJ140" s="51">
        <f t="shared" si="19"/>
        <v>0</v>
      </c>
      <c r="BK140" s="51"/>
      <c r="BL140" s="51">
        <v>721</v>
      </c>
      <c r="BW140" s="51">
        <v>12</v>
      </c>
      <c r="BX140" s="3" t="s">
        <v>377</v>
      </c>
    </row>
    <row r="141" spans="1:76">
      <c r="A141" s="47" t="s">
        <v>4</v>
      </c>
      <c r="B141" s="48" t="s">
        <v>378</v>
      </c>
      <c r="C141" s="150" t="s">
        <v>379</v>
      </c>
      <c r="D141" s="151"/>
      <c r="E141" s="49" t="s">
        <v>79</v>
      </c>
      <c r="F141" s="49" t="s">
        <v>79</v>
      </c>
      <c r="G141" s="50" t="s">
        <v>79</v>
      </c>
      <c r="H141" s="28">
        <f>SUM(H142:H152)</f>
        <v>0</v>
      </c>
      <c r="J141" s="41"/>
      <c r="AI141" s="35" t="s">
        <v>4</v>
      </c>
      <c r="AS141" s="28">
        <f>SUM(AJ142:AJ152)</f>
        <v>0</v>
      </c>
      <c r="AT141" s="28">
        <f>SUM(AK142:AK152)</f>
        <v>0</v>
      </c>
      <c r="AU141" s="28">
        <f>SUM(AL142:AL152)</f>
        <v>0</v>
      </c>
    </row>
    <row r="142" spans="1:76">
      <c r="A142" s="1" t="s">
        <v>380</v>
      </c>
      <c r="B142" s="2" t="s">
        <v>381</v>
      </c>
      <c r="C142" s="75" t="s">
        <v>382</v>
      </c>
      <c r="D142" s="70"/>
      <c r="E142" s="2" t="s">
        <v>129</v>
      </c>
      <c r="F142" s="51">
        <v>2</v>
      </c>
      <c r="G142" s="52">
        <v>0</v>
      </c>
      <c r="H142" s="51">
        <f t="shared" ref="H142:H147" si="20">F142*G142</f>
        <v>0</v>
      </c>
      <c r="J142" s="41"/>
      <c r="Z142" s="51">
        <f t="shared" ref="Z142:Z147" si="21">IF(AQ142="5",BJ142,0)</f>
        <v>0</v>
      </c>
      <c r="AB142" s="51">
        <f t="shared" ref="AB142:AB147" si="22">IF(AQ142="1",BH142,0)</f>
        <v>0</v>
      </c>
      <c r="AC142" s="51">
        <f t="shared" ref="AC142:AC147" si="23">IF(AQ142="1",BI142,0)</f>
        <v>0</v>
      </c>
      <c r="AD142" s="51">
        <f t="shared" ref="AD142:AD147" si="24">IF(AQ142="7",BH142,0)</f>
        <v>0</v>
      </c>
      <c r="AE142" s="51">
        <f t="shared" ref="AE142:AE147" si="25">IF(AQ142="7",BI142,0)</f>
        <v>0</v>
      </c>
      <c r="AF142" s="51">
        <f t="shared" ref="AF142:AF147" si="26">IF(AQ142="2",BH142,0)</f>
        <v>0</v>
      </c>
      <c r="AG142" s="51">
        <f t="shared" ref="AG142:AG147" si="27">IF(AQ142="2",BI142,0)</f>
        <v>0</v>
      </c>
      <c r="AH142" s="51">
        <f t="shared" ref="AH142:AH147" si="28">IF(AQ142="0",BJ142,0)</f>
        <v>0</v>
      </c>
      <c r="AI142" s="35" t="s">
        <v>4</v>
      </c>
      <c r="AJ142" s="51">
        <f t="shared" ref="AJ142:AJ147" si="29">IF(AN142=0,H142,0)</f>
        <v>0</v>
      </c>
      <c r="AK142" s="51">
        <f t="shared" ref="AK142:AK147" si="30">IF(AN142=12,H142,0)</f>
        <v>0</v>
      </c>
      <c r="AL142" s="51">
        <f t="shared" ref="AL142:AL147" si="31">IF(AN142=21,H142,0)</f>
        <v>0</v>
      </c>
      <c r="AN142" s="51">
        <v>12</v>
      </c>
      <c r="AO142" s="51">
        <f>G142*0</f>
        <v>0</v>
      </c>
      <c r="AP142" s="51">
        <f>G142*(1-0)</f>
        <v>0</v>
      </c>
      <c r="AQ142" s="53" t="s">
        <v>149</v>
      </c>
      <c r="AV142" s="51">
        <f t="shared" ref="AV142:AV147" si="32">AW142+AX142</f>
        <v>0</v>
      </c>
      <c r="AW142" s="51">
        <f t="shared" ref="AW142:AW147" si="33">F142*AO142</f>
        <v>0</v>
      </c>
      <c r="AX142" s="51">
        <f t="shared" ref="AX142:AX147" si="34">F142*AP142</f>
        <v>0</v>
      </c>
      <c r="AY142" s="53" t="s">
        <v>383</v>
      </c>
      <c r="AZ142" s="53" t="s">
        <v>350</v>
      </c>
      <c r="BA142" s="35" t="s">
        <v>117</v>
      </c>
      <c r="BC142" s="51">
        <f t="shared" ref="BC142:BC147" si="35">AW142+AX142</f>
        <v>0</v>
      </c>
      <c r="BD142" s="51">
        <f t="shared" ref="BD142:BD147" si="36">G142/(100-BE142)*100</f>
        <v>0</v>
      </c>
      <c r="BE142" s="51">
        <v>0</v>
      </c>
      <c r="BF142" s="51">
        <f>142</f>
        <v>142</v>
      </c>
      <c r="BH142" s="51">
        <f t="shared" ref="BH142:BH147" si="37">F142*AO142</f>
        <v>0</v>
      </c>
      <c r="BI142" s="51">
        <f t="shared" ref="BI142:BI147" si="38">F142*AP142</f>
        <v>0</v>
      </c>
      <c r="BJ142" s="51">
        <f t="shared" ref="BJ142:BJ147" si="39">F142*G142</f>
        <v>0</v>
      </c>
      <c r="BK142" s="51"/>
      <c r="BL142" s="51">
        <v>722</v>
      </c>
      <c r="BW142" s="51">
        <v>12</v>
      </c>
      <c r="BX142" s="3" t="s">
        <v>382</v>
      </c>
    </row>
    <row r="143" spans="1:76">
      <c r="A143" s="1" t="s">
        <v>384</v>
      </c>
      <c r="B143" s="2" t="s">
        <v>385</v>
      </c>
      <c r="C143" s="75" t="s">
        <v>386</v>
      </c>
      <c r="D143" s="70"/>
      <c r="E143" s="2" t="s">
        <v>129</v>
      </c>
      <c r="F143" s="51">
        <v>2</v>
      </c>
      <c r="G143" s="52">
        <v>0</v>
      </c>
      <c r="H143" s="51">
        <f t="shared" si="20"/>
        <v>0</v>
      </c>
      <c r="J143" s="41"/>
      <c r="Z143" s="51">
        <f t="shared" si="21"/>
        <v>0</v>
      </c>
      <c r="AB143" s="51">
        <f t="shared" si="22"/>
        <v>0</v>
      </c>
      <c r="AC143" s="51">
        <f t="shared" si="23"/>
        <v>0</v>
      </c>
      <c r="AD143" s="51">
        <f t="shared" si="24"/>
        <v>0</v>
      </c>
      <c r="AE143" s="51">
        <f t="shared" si="25"/>
        <v>0</v>
      </c>
      <c r="AF143" s="51">
        <f t="shared" si="26"/>
        <v>0</v>
      </c>
      <c r="AG143" s="51">
        <f t="shared" si="27"/>
        <v>0</v>
      </c>
      <c r="AH143" s="51">
        <f t="shared" si="28"/>
        <v>0</v>
      </c>
      <c r="AI143" s="35" t="s">
        <v>4</v>
      </c>
      <c r="AJ143" s="51">
        <f t="shared" si="29"/>
        <v>0</v>
      </c>
      <c r="AK143" s="51">
        <f t="shared" si="30"/>
        <v>0</v>
      </c>
      <c r="AL143" s="51">
        <f t="shared" si="31"/>
        <v>0</v>
      </c>
      <c r="AN143" s="51">
        <v>12</v>
      </c>
      <c r="AO143" s="51">
        <f>G143*0.035569217</f>
        <v>0</v>
      </c>
      <c r="AP143" s="51">
        <f>G143*(1-0.035569217)</f>
        <v>0</v>
      </c>
      <c r="AQ143" s="53" t="s">
        <v>149</v>
      </c>
      <c r="AV143" s="51">
        <f t="shared" si="32"/>
        <v>0</v>
      </c>
      <c r="AW143" s="51">
        <f t="shared" si="33"/>
        <v>0</v>
      </c>
      <c r="AX143" s="51">
        <f t="shared" si="34"/>
        <v>0</v>
      </c>
      <c r="AY143" s="53" t="s">
        <v>383</v>
      </c>
      <c r="AZ143" s="53" t="s">
        <v>350</v>
      </c>
      <c r="BA143" s="35" t="s">
        <v>117</v>
      </c>
      <c r="BC143" s="51">
        <f t="shared" si="35"/>
        <v>0</v>
      </c>
      <c r="BD143" s="51">
        <f t="shared" si="36"/>
        <v>0</v>
      </c>
      <c r="BE143" s="51">
        <v>0</v>
      </c>
      <c r="BF143" s="51">
        <f>143</f>
        <v>143</v>
      </c>
      <c r="BH143" s="51">
        <f t="shared" si="37"/>
        <v>0</v>
      </c>
      <c r="BI143" s="51">
        <f t="shared" si="38"/>
        <v>0</v>
      </c>
      <c r="BJ143" s="51">
        <f t="shared" si="39"/>
        <v>0</v>
      </c>
      <c r="BK143" s="51"/>
      <c r="BL143" s="51">
        <v>722</v>
      </c>
      <c r="BW143" s="51">
        <v>12</v>
      </c>
      <c r="BX143" s="3" t="s">
        <v>386</v>
      </c>
    </row>
    <row r="144" spans="1:76">
      <c r="A144" s="1" t="s">
        <v>387</v>
      </c>
      <c r="B144" s="2" t="s">
        <v>388</v>
      </c>
      <c r="C144" s="75" t="s">
        <v>389</v>
      </c>
      <c r="D144" s="70"/>
      <c r="E144" s="2" t="s">
        <v>135</v>
      </c>
      <c r="F144" s="51">
        <v>12.5</v>
      </c>
      <c r="G144" s="52">
        <v>0</v>
      </c>
      <c r="H144" s="51">
        <f t="shared" si="20"/>
        <v>0</v>
      </c>
      <c r="J144" s="41"/>
      <c r="Z144" s="51">
        <f t="shared" si="21"/>
        <v>0</v>
      </c>
      <c r="AB144" s="51">
        <f t="shared" si="22"/>
        <v>0</v>
      </c>
      <c r="AC144" s="51">
        <f t="shared" si="23"/>
        <v>0</v>
      </c>
      <c r="AD144" s="51">
        <f t="shared" si="24"/>
        <v>0</v>
      </c>
      <c r="AE144" s="51">
        <f t="shared" si="25"/>
        <v>0</v>
      </c>
      <c r="AF144" s="51">
        <f t="shared" si="26"/>
        <v>0</v>
      </c>
      <c r="AG144" s="51">
        <f t="shared" si="27"/>
        <v>0</v>
      </c>
      <c r="AH144" s="51">
        <f t="shared" si="28"/>
        <v>0</v>
      </c>
      <c r="AI144" s="35" t="s">
        <v>4</v>
      </c>
      <c r="AJ144" s="51">
        <f t="shared" si="29"/>
        <v>0</v>
      </c>
      <c r="AK144" s="51">
        <f t="shared" si="30"/>
        <v>0</v>
      </c>
      <c r="AL144" s="51">
        <f t="shared" si="31"/>
        <v>0</v>
      </c>
      <c r="AN144" s="51">
        <v>12</v>
      </c>
      <c r="AO144" s="51">
        <f>G144*0.343352381</f>
        <v>0</v>
      </c>
      <c r="AP144" s="51">
        <f>G144*(1-0.343352381)</f>
        <v>0</v>
      </c>
      <c r="AQ144" s="53" t="s">
        <v>149</v>
      </c>
      <c r="AV144" s="51">
        <f t="shared" si="32"/>
        <v>0</v>
      </c>
      <c r="AW144" s="51">
        <f t="shared" si="33"/>
        <v>0</v>
      </c>
      <c r="AX144" s="51">
        <f t="shared" si="34"/>
        <v>0</v>
      </c>
      <c r="AY144" s="53" t="s">
        <v>383</v>
      </c>
      <c r="AZ144" s="53" t="s">
        <v>350</v>
      </c>
      <c r="BA144" s="35" t="s">
        <v>117</v>
      </c>
      <c r="BC144" s="51">
        <f t="shared" si="35"/>
        <v>0</v>
      </c>
      <c r="BD144" s="51">
        <f t="shared" si="36"/>
        <v>0</v>
      </c>
      <c r="BE144" s="51">
        <v>0</v>
      </c>
      <c r="BF144" s="51">
        <f>144</f>
        <v>144</v>
      </c>
      <c r="BH144" s="51">
        <f t="shared" si="37"/>
        <v>0</v>
      </c>
      <c r="BI144" s="51">
        <f t="shared" si="38"/>
        <v>0</v>
      </c>
      <c r="BJ144" s="51">
        <f t="shared" si="39"/>
        <v>0</v>
      </c>
      <c r="BK144" s="51"/>
      <c r="BL144" s="51">
        <v>722</v>
      </c>
      <c r="BW144" s="51">
        <v>12</v>
      </c>
      <c r="BX144" s="3" t="s">
        <v>389</v>
      </c>
    </row>
    <row r="145" spans="1:76">
      <c r="A145" s="1" t="s">
        <v>390</v>
      </c>
      <c r="B145" s="2" t="s">
        <v>391</v>
      </c>
      <c r="C145" s="75" t="s">
        <v>392</v>
      </c>
      <c r="D145" s="70"/>
      <c r="E145" s="2" t="s">
        <v>129</v>
      </c>
      <c r="F145" s="51">
        <v>2</v>
      </c>
      <c r="G145" s="52">
        <v>0</v>
      </c>
      <c r="H145" s="51">
        <f t="shared" si="20"/>
        <v>0</v>
      </c>
      <c r="J145" s="41"/>
      <c r="Z145" s="51">
        <f t="shared" si="21"/>
        <v>0</v>
      </c>
      <c r="AB145" s="51">
        <f t="shared" si="22"/>
        <v>0</v>
      </c>
      <c r="AC145" s="51">
        <f t="shared" si="23"/>
        <v>0</v>
      </c>
      <c r="AD145" s="51">
        <f t="shared" si="24"/>
        <v>0</v>
      </c>
      <c r="AE145" s="51">
        <f t="shared" si="25"/>
        <v>0</v>
      </c>
      <c r="AF145" s="51">
        <f t="shared" si="26"/>
        <v>0</v>
      </c>
      <c r="AG145" s="51">
        <f t="shared" si="27"/>
        <v>0</v>
      </c>
      <c r="AH145" s="51">
        <f t="shared" si="28"/>
        <v>0</v>
      </c>
      <c r="AI145" s="35" t="s">
        <v>4</v>
      </c>
      <c r="AJ145" s="51">
        <f t="shared" si="29"/>
        <v>0</v>
      </c>
      <c r="AK145" s="51">
        <f t="shared" si="30"/>
        <v>0</v>
      </c>
      <c r="AL145" s="51">
        <f t="shared" si="31"/>
        <v>0</v>
      </c>
      <c r="AN145" s="51">
        <v>12</v>
      </c>
      <c r="AO145" s="51">
        <f>G145*0.52306338</f>
        <v>0</v>
      </c>
      <c r="AP145" s="51">
        <f>G145*(1-0.52306338)</f>
        <v>0</v>
      </c>
      <c r="AQ145" s="53" t="s">
        <v>149</v>
      </c>
      <c r="AV145" s="51">
        <f t="shared" si="32"/>
        <v>0</v>
      </c>
      <c r="AW145" s="51">
        <f t="shared" si="33"/>
        <v>0</v>
      </c>
      <c r="AX145" s="51">
        <f t="shared" si="34"/>
        <v>0</v>
      </c>
      <c r="AY145" s="53" t="s">
        <v>383</v>
      </c>
      <c r="AZ145" s="53" t="s">
        <v>350</v>
      </c>
      <c r="BA145" s="35" t="s">
        <v>117</v>
      </c>
      <c r="BC145" s="51">
        <f t="shared" si="35"/>
        <v>0</v>
      </c>
      <c r="BD145" s="51">
        <f t="shared" si="36"/>
        <v>0</v>
      </c>
      <c r="BE145" s="51">
        <v>0</v>
      </c>
      <c r="BF145" s="51">
        <f>145</f>
        <v>145</v>
      </c>
      <c r="BH145" s="51">
        <f t="shared" si="37"/>
        <v>0</v>
      </c>
      <c r="BI145" s="51">
        <f t="shared" si="38"/>
        <v>0</v>
      </c>
      <c r="BJ145" s="51">
        <f t="shared" si="39"/>
        <v>0</v>
      </c>
      <c r="BK145" s="51"/>
      <c r="BL145" s="51">
        <v>722</v>
      </c>
      <c r="BW145" s="51">
        <v>12</v>
      </c>
      <c r="BX145" s="3" t="s">
        <v>392</v>
      </c>
    </row>
    <row r="146" spans="1:76">
      <c r="A146" s="1" t="s">
        <v>393</v>
      </c>
      <c r="B146" s="2" t="s">
        <v>394</v>
      </c>
      <c r="C146" s="75" t="s">
        <v>395</v>
      </c>
      <c r="D146" s="70"/>
      <c r="E146" s="2" t="s">
        <v>396</v>
      </c>
      <c r="F146" s="51">
        <v>3</v>
      </c>
      <c r="G146" s="52">
        <v>0</v>
      </c>
      <c r="H146" s="51">
        <f t="shared" si="20"/>
        <v>0</v>
      </c>
      <c r="J146" s="41"/>
      <c r="Z146" s="51">
        <f t="shared" si="21"/>
        <v>0</v>
      </c>
      <c r="AB146" s="51">
        <f t="shared" si="22"/>
        <v>0</v>
      </c>
      <c r="AC146" s="51">
        <f t="shared" si="23"/>
        <v>0</v>
      </c>
      <c r="AD146" s="51">
        <f t="shared" si="24"/>
        <v>0</v>
      </c>
      <c r="AE146" s="51">
        <f t="shared" si="25"/>
        <v>0</v>
      </c>
      <c r="AF146" s="51">
        <f t="shared" si="26"/>
        <v>0</v>
      </c>
      <c r="AG146" s="51">
        <f t="shared" si="27"/>
        <v>0</v>
      </c>
      <c r="AH146" s="51">
        <f t="shared" si="28"/>
        <v>0</v>
      </c>
      <c r="AI146" s="35" t="s">
        <v>4</v>
      </c>
      <c r="AJ146" s="51">
        <f t="shared" si="29"/>
        <v>0</v>
      </c>
      <c r="AK146" s="51">
        <f t="shared" si="30"/>
        <v>0</v>
      </c>
      <c r="AL146" s="51">
        <f t="shared" si="31"/>
        <v>0</v>
      </c>
      <c r="AN146" s="51">
        <v>12</v>
      </c>
      <c r="AO146" s="51">
        <f>G146*0.529089317</f>
        <v>0</v>
      </c>
      <c r="AP146" s="51">
        <f>G146*(1-0.529089317)</f>
        <v>0</v>
      </c>
      <c r="AQ146" s="53" t="s">
        <v>149</v>
      </c>
      <c r="AV146" s="51">
        <f t="shared" si="32"/>
        <v>0</v>
      </c>
      <c r="AW146" s="51">
        <f t="shared" si="33"/>
        <v>0</v>
      </c>
      <c r="AX146" s="51">
        <f t="shared" si="34"/>
        <v>0</v>
      </c>
      <c r="AY146" s="53" t="s">
        <v>383</v>
      </c>
      <c r="AZ146" s="53" t="s">
        <v>350</v>
      </c>
      <c r="BA146" s="35" t="s">
        <v>117</v>
      </c>
      <c r="BC146" s="51">
        <f t="shared" si="35"/>
        <v>0</v>
      </c>
      <c r="BD146" s="51">
        <f t="shared" si="36"/>
        <v>0</v>
      </c>
      <c r="BE146" s="51">
        <v>0</v>
      </c>
      <c r="BF146" s="51">
        <f>146</f>
        <v>146</v>
      </c>
      <c r="BH146" s="51">
        <f t="shared" si="37"/>
        <v>0</v>
      </c>
      <c r="BI146" s="51">
        <f t="shared" si="38"/>
        <v>0</v>
      </c>
      <c r="BJ146" s="51">
        <f t="shared" si="39"/>
        <v>0</v>
      </c>
      <c r="BK146" s="51"/>
      <c r="BL146" s="51">
        <v>722</v>
      </c>
      <c r="BW146" s="51">
        <v>12</v>
      </c>
      <c r="BX146" s="3" t="s">
        <v>395</v>
      </c>
    </row>
    <row r="147" spans="1:76">
      <c r="A147" s="1" t="s">
        <v>397</v>
      </c>
      <c r="B147" s="2" t="s">
        <v>398</v>
      </c>
      <c r="C147" s="75" t="s">
        <v>399</v>
      </c>
      <c r="D147" s="70"/>
      <c r="E147" s="2" t="s">
        <v>135</v>
      </c>
      <c r="F147" s="51">
        <v>12.5</v>
      </c>
      <c r="G147" s="52">
        <v>0</v>
      </c>
      <c r="H147" s="51">
        <f t="shared" si="20"/>
        <v>0</v>
      </c>
      <c r="J147" s="41"/>
      <c r="Z147" s="51">
        <f t="shared" si="21"/>
        <v>0</v>
      </c>
      <c r="AB147" s="51">
        <f t="shared" si="22"/>
        <v>0</v>
      </c>
      <c r="AC147" s="51">
        <f t="shared" si="23"/>
        <v>0</v>
      </c>
      <c r="AD147" s="51">
        <f t="shared" si="24"/>
        <v>0</v>
      </c>
      <c r="AE147" s="51">
        <f t="shared" si="25"/>
        <v>0</v>
      </c>
      <c r="AF147" s="51">
        <f t="shared" si="26"/>
        <v>0</v>
      </c>
      <c r="AG147" s="51">
        <f t="shared" si="27"/>
        <v>0</v>
      </c>
      <c r="AH147" s="51">
        <f t="shared" si="28"/>
        <v>0</v>
      </c>
      <c r="AI147" s="35" t="s">
        <v>4</v>
      </c>
      <c r="AJ147" s="51">
        <f t="shared" si="29"/>
        <v>0</v>
      </c>
      <c r="AK147" s="51">
        <f t="shared" si="30"/>
        <v>0</v>
      </c>
      <c r="AL147" s="51">
        <f t="shared" si="31"/>
        <v>0</v>
      </c>
      <c r="AN147" s="51">
        <v>12</v>
      </c>
      <c r="AO147" s="51">
        <f>G147*0.451171837</f>
        <v>0</v>
      </c>
      <c r="AP147" s="51">
        <f>G147*(1-0.451171837)</f>
        <v>0</v>
      </c>
      <c r="AQ147" s="53" t="s">
        <v>149</v>
      </c>
      <c r="AV147" s="51">
        <f t="shared" si="32"/>
        <v>0</v>
      </c>
      <c r="AW147" s="51">
        <f t="shared" si="33"/>
        <v>0</v>
      </c>
      <c r="AX147" s="51">
        <f t="shared" si="34"/>
        <v>0</v>
      </c>
      <c r="AY147" s="53" t="s">
        <v>383</v>
      </c>
      <c r="AZ147" s="53" t="s">
        <v>350</v>
      </c>
      <c r="BA147" s="35" t="s">
        <v>117</v>
      </c>
      <c r="BC147" s="51">
        <f t="shared" si="35"/>
        <v>0</v>
      </c>
      <c r="BD147" s="51">
        <f t="shared" si="36"/>
        <v>0</v>
      </c>
      <c r="BE147" s="51">
        <v>0</v>
      </c>
      <c r="BF147" s="51">
        <f>147</f>
        <v>147</v>
      </c>
      <c r="BH147" s="51">
        <f t="shared" si="37"/>
        <v>0</v>
      </c>
      <c r="BI147" s="51">
        <f t="shared" si="38"/>
        <v>0</v>
      </c>
      <c r="BJ147" s="51">
        <f t="shared" si="39"/>
        <v>0</v>
      </c>
      <c r="BK147" s="51"/>
      <c r="BL147" s="51">
        <v>722</v>
      </c>
      <c r="BW147" s="51">
        <v>12</v>
      </c>
      <c r="BX147" s="3" t="s">
        <v>399</v>
      </c>
    </row>
    <row r="148" spans="1:76" ht="13.5" customHeight="1">
      <c r="A148" s="54"/>
      <c r="B148" s="58" t="s">
        <v>130</v>
      </c>
      <c r="C148" s="152" t="s">
        <v>400</v>
      </c>
      <c r="D148" s="153"/>
      <c r="E148" s="153"/>
      <c r="F148" s="153"/>
      <c r="G148" s="154"/>
      <c r="H148" s="153"/>
      <c r="I148" s="153"/>
      <c r="J148" s="155"/>
    </row>
    <row r="149" spans="1:76">
      <c r="A149" s="1" t="s">
        <v>401</v>
      </c>
      <c r="B149" s="2" t="s">
        <v>402</v>
      </c>
      <c r="C149" s="75" t="s">
        <v>403</v>
      </c>
      <c r="D149" s="70"/>
      <c r="E149" s="2" t="s">
        <v>129</v>
      </c>
      <c r="F149" s="51">
        <v>5</v>
      </c>
      <c r="G149" s="52">
        <v>0</v>
      </c>
      <c r="H149" s="51">
        <f>F149*G149</f>
        <v>0</v>
      </c>
      <c r="J149" s="41"/>
      <c r="Z149" s="51">
        <f>IF(AQ149="5",BJ149,0)</f>
        <v>0</v>
      </c>
      <c r="AB149" s="51">
        <f>IF(AQ149="1",BH149,0)</f>
        <v>0</v>
      </c>
      <c r="AC149" s="51">
        <f>IF(AQ149="1",BI149,0)</f>
        <v>0</v>
      </c>
      <c r="AD149" s="51">
        <f>IF(AQ149="7",BH149,0)</f>
        <v>0</v>
      </c>
      <c r="AE149" s="51">
        <f>IF(AQ149="7",BI149,0)</f>
        <v>0</v>
      </c>
      <c r="AF149" s="51">
        <f>IF(AQ149="2",BH149,0)</f>
        <v>0</v>
      </c>
      <c r="AG149" s="51">
        <f>IF(AQ149="2",BI149,0)</f>
        <v>0</v>
      </c>
      <c r="AH149" s="51">
        <f>IF(AQ149="0",BJ149,0)</f>
        <v>0</v>
      </c>
      <c r="AI149" s="35" t="s">
        <v>4</v>
      </c>
      <c r="AJ149" s="51">
        <f>IF(AN149=0,H149,0)</f>
        <v>0</v>
      </c>
      <c r="AK149" s="51">
        <f>IF(AN149=12,H149,0)</f>
        <v>0</v>
      </c>
      <c r="AL149" s="51">
        <f>IF(AN149=21,H149,0)</f>
        <v>0</v>
      </c>
      <c r="AN149" s="51">
        <v>12</v>
      </c>
      <c r="AO149" s="51">
        <f>G149*0</f>
        <v>0</v>
      </c>
      <c r="AP149" s="51">
        <f>G149*(1-0)</f>
        <v>0</v>
      </c>
      <c r="AQ149" s="53" t="s">
        <v>149</v>
      </c>
      <c r="AV149" s="51">
        <f>AW149+AX149</f>
        <v>0</v>
      </c>
      <c r="AW149" s="51">
        <f>F149*AO149</f>
        <v>0</v>
      </c>
      <c r="AX149" s="51">
        <f>F149*AP149</f>
        <v>0</v>
      </c>
      <c r="AY149" s="53" t="s">
        <v>383</v>
      </c>
      <c r="AZ149" s="53" t="s">
        <v>350</v>
      </c>
      <c r="BA149" s="35" t="s">
        <v>117</v>
      </c>
      <c r="BC149" s="51">
        <f>AW149+AX149</f>
        <v>0</v>
      </c>
      <c r="BD149" s="51">
        <f>G149/(100-BE149)*100</f>
        <v>0</v>
      </c>
      <c r="BE149" s="51">
        <v>0</v>
      </c>
      <c r="BF149" s="51">
        <f>149</f>
        <v>149</v>
      </c>
      <c r="BH149" s="51">
        <f>F149*AO149</f>
        <v>0</v>
      </c>
      <c r="BI149" s="51">
        <f>F149*AP149</f>
        <v>0</v>
      </c>
      <c r="BJ149" s="51">
        <f>F149*G149</f>
        <v>0</v>
      </c>
      <c r="BK149" s="51"/>
      <c r="BL149" s="51">
        <v>722</v>
      </c>
      <c r="BW149" s="51">
        <v>12</v>
      </c>
      <c r="BX149" s="3" t="s">
        <v>403</v>
      </c>
    </row>
    <row r="150" spans="1:76">
      <c r="A150" s="1" t="s">
        <v>141</v>
      </c>
      <c r="B150" s="2" t="s">
        <v>404</v>
      </c>
      <c r="C150" s="75" t="s">
        <v>405</v>
      </c>
      <c r="D150" s="70"/>
      <c r="E150" s="2" t="s">
        <v>135</v>
      </c>
      <c r="F150" s="51">
        <v>12.5</v>
      </c>
      <c r="G150" s="52">
        <v>0</v>
      </c>
      <c r="H150" s="51">
        <f>F150*G150</f>
        <v>0</v>
      </c>
      <c r="J150" s="41"/>
      <c r="Z150" s="51">
        <f>IF(AQ150="5",BJ150,0)</f>
        <v>0</v>
      </c>
      <c r="AB150" s="51">
        <f>IF(AQ150="1",BH150,0)</f>
        <v>0</v>
      </c>
      <c r="AC150" s="51">
        <f>IF(AQ150="1",BI150,0)</f>
        <v>0</v>
      </c>
      <c r="AD150" s="51">
        <f>IF(AQ150="7",BH150,0)</f>
        <v>0</v>
      </c>
      <c r="AE150" s="51">
        <f>IF(AQ150="7",BI150,0)</f>
        <v>0</v>
      </c>
      <c r="AF150" s="51">
        <f>IF(AQ150="2",BH150,0)</f>
        <v>0</v>
      </c>
      <c r="AG150" s="51">
        <f>IF(AQ150="2",BI150,0)</f>
        <v>0</v>
      </c>
      <c r="AH150" s="51">
        <f>IF(AQ150="0",BJ150,0)</f>
        <v>0</v>
      </c>
      <c r="AI150" s="35" t="s">
        <v>4</v>
      </c>
      <c r="AJ150" s="51">
        <f>IF(AN150=0,H150,0)</f>
        <v>0</v>
      </c>
      <c r="AK150" s="51">
        <f>IF(AN150=12,H150,0)</f>
        <v>0</v>
      </c>
      <c r="AL150" s="51">
        <f>IF(AN150=21,H150,0)</f>
        <v>0</v>
      </c>
      <c r="AN150" s="51">
        <v>12</v>
      </c>
      <c r="AO150" s="51">
        <f>G150*0.05464191</f>
        <v>0</v>
      </c>
      <c r="AP150" s="51">
        <f>G150*(1-0.05464191)</f>
        <v>0</v>
      </c>
      <c r="AQ150" s="53" t="s">
        <v>149</v>
      </c>
      <c r="AV150" s="51">
        <f>AW150+AX150</f>
        <v>0</v>
      </c>
      <c r="AW150" s="51">
        <f>F150*AO150</f>
        <v>0</v>
      </c>
      <c r="AX150" s="51">
        <f>F150*AP150</f>
        <v>0</v>
      </c>
      <c r="AY150" s="53" t="s">
        <v>383</v>
      </c>
      <c r="AZ150" s="53" t="s">
        <v>350</v>
      </c>
      <c r="BA150" s="35" t="s">
        <v>117</v>
      </c>
      <c r="BC150" s="51">
        <f>AW150+AX150</f>
        <v>0</v>
      </c>
      <c r="BD150" s="51">
        <f>G150/(100-BE150)*100</f>
        <v>0</v>
      </c>
      <c r="BE150" s="51">
        <v>0</v>
      </c>
      <c r="BF150" s="51">
        <f>150</f>
        <v>150</v>
      </c>
      <c r="BH150" s="51">
        <f>F150*AO150</f>
        <v>0</v>
      </c>
      <c r="BI150" s="51">
        <f>F150*AP150</f>
        <v>0</v>
      </c>
      <c r="BJ150" s="51">
        <f>F150*G150</f>
        <v>0</v>
      </c>
      <c r="BK150" s="51"/>
      <c r="BL150" s="51">
        <v>722</v>
      </c>
      <c r="BW150" s="51">
        <v>12</v>
      </c>
      <c r="BX150" s="3" t="s">
        <v>405</v>
      </c>
    </row>
    <row r="151" spans="1:76">
      <c r="A151" s="1" t="s">
        <v>406</v>
      </c>
      <c r="B151" s="2" t="s">
        <v>407</v>
      </c>
      <c r="C151" s="75" t="s">
        <v>408</v>
      </c>
      <c r="D151" s="70"/>
      <c r="E151" s="2" t="s">
        <v>135</v>
      </c>
      <c r="F151" s="51">
        <v>12.5</v>
      </c>
      <c r="G151" s="52">
        <v>0</v>
      </c>
      <c r="H151" s="51">
        <f>F151*G151</f>
        <v>0</v>
      </c>
      <c r="J151" s="41"/>
      <c r="Z151" s="51">
        <f>IF(AQ151="5",BJ151,0)</f>
        <v>0</v>
      </c>
      <c r="AB151" s="51">
        <f>IF(AQ151="1",BH151,0)</f>
        <v>0</v>
      </c>
      <c r="AC151" s="51">
        <f>IF(AQ151="1",BI151,0)</f>
        <v>0</v>
      </c>
      <c r="AD151" s="51">
        <f>IF(AQ151="7",BH151,0)</f>
        <v>0</v>
      </c>
      <c r="AE151" s="51">
        <f>IF(AQ151="7",BI151,0)</f>
        <v>0</v>
      </c>
      <c r="AF151" s="51">
        <f>IF(AQ151="2",BH151,0)</f>
        <v>0</v>
      </c>
      <c r="AG151" s="51">
        <f>IF(AQ151="2",BI151,0)</f>
        <v>0</v>
      </c>
      <c r="AH151" s="51">
        <f>IF(AQ151="0",BJ151,0)</f>
        <v>0</v>
      </c>
      <c r="AI151" s="35" t="s">
        <v>4</v>
      </c>
      <c r="AJ151" s="51">
        <f>IF(AN151=0,H151,0)</f>
        <v>0</v>
      </c>
      <c r="AK151" s="51">
        <f>IF(AN151=12,H151,0)</f>
        <v>0</v>
      </c>
      <c r="AL151" s="51">
        <f>IF(AN151=21,H151,0)</f>
        <v>0</v>
      </c>
      <c r="AN151" s="51">
        <v>12</v>
      </c>
      <c r="AO151" s="51">
        <f>G151*0.015294118</f>
        <v>0</v>
      </c>
      <c r="AP151" s="51">
        <f>G151*(1-0.015294118)</f>
        <v>0</v>
      </c>
      <c r="AQ151" s="53" t="s">
        <v>149</v>
      </c>
      <c r="AV151" s="51">
        <f>AW151+AX151</f>
        <v>0</v>
      </c>
      <c r="AW151" s="51">
        <f>F151*AO151</f>
        <v>0</v>
      </c>
      <c r="AX151" s="51">
        <f>F151*AP151</f>
        <v>0</v>
      </c>
      <c r="AY151" s="53" t="s">
        <v>383</v>
      </c>
      <c r="AZ151" s="53" t="s">
        <v>350</v>
      </c>
      <c r="BA151" s="35" t="s">
        <v>117</v>
      </c>
      <c r="BC151" s="51">
        <f>AW151+AX151</f>
        <v>0</v>
      </c>
      <c r="BD151" s="51">
        <f>G151/(100-BE151)*100</f>
        <v>0</v>
      </c>
      <c r="BE151" s="51">
        <v>0</v>
      </c>
      <c r="BF151" s="51">
        <f>151</f>
        <v>151</v>
      </c>
      <c r="BH151" s="51">
        <f>F151*AO151</f>
        <v>0</v>
      </c>
      <c r="BI151" s="51">
        <f>F151*AP151</f>
        <v>0</v>
      </c>
      <c r="BJ151" s="51">
        <f>F151*G151</f>
        <v>0</v>
      </c>
      <c r="BK151" s="51"/>
      <c r="BL151" s="51">
        <v>722</v>
      </c>
      <c r="BW151" s="51">
        <v>12</v>
      </c>
      <c r="BX151" s="3" t="s">
        <v>408</v>
      </c>
    </row>
    <row r="152" spans="1:76">
      <c r="A152" s="1" t="s">
        <v>223</v>
      </c>
      <c r="B152" s="2" t="s">
        <v>409</v>
      </c>
      <c r="C152" s="75" t="s">
        <v>410</v>
      </c>
      <c r="D152" s="70"/>
      <c r="E152" s="2" t="s">
        <v>282</v>
      </c>
      <c r="F152" s="51">
        <v>3.6999999999999998E-2</v>
      </c>
      <c r="G152" s="52">
        <v>0</v>
      </c>
      <c r="H152" s="51">
        <f>F152*G152</f>
        <v>0</v>
      </c>
      <c r="J152" s="41"/>
      <c r="Z152" s="51">
        <f>IF(AQ152="5",BJ152,0)</f>
        <v>0</v>
      </c>
      <c r="AB152" s="51">
        <f>IF(AQ152="1",BH152,0)</f>
        <v>0</v>
      </c>
      <c r="AC152" s="51">
        <f>IF(AQ152="1",BI152,0)</f>
        <v>0</v>
      </c>
      <c r="AD152" s="51">
        <f>IF(AQ152="7",BH152,0)</f>
        <v>0</v>
      </c>
      <c r="AE152" s="51">
        <f>IF(AQ152="7",BI152,0)</f>
        <v>0</v>
      </c>
      <c r="AF152" s="51">
        <f>IF(AQ152="2",BH152,0)</f>
        <v>0</v>
      </c>
      <c r="AG152" s="51">
        <f>IF(AQ152="2",BI152,0)</f>
        <v>0</v>
      </c>
      <c r="AH152" s="51">
        <f>IF(AQ152="0",BJ152,0)</f>
        <v>0</v>
      </c>
      <c r="AI152" s="35" t="s">
        <v>4</v>
      </c>
      <c r="AJ152" s="51">
        <f>IF(AN152=0,H152,0)</f>
        <v>0</v>
      </c>
      <c r="AK152" s="51">
        <f>IF(AN152=12,H152,0)</f>
        <v>0</v>
      </c>
      <c r="AL152" s="51">
        <f>IF(AN152=21,H152,0)</f>
        <v>0</v>
      </c>
      <c r="AN152" s="51">
        <v>12</v>
      </c>
      <c r="AO152" s="51">
        <f>G152*0</f>
        <v>0</v>
      </c>
      <c r="AP152" s="51">
        <f>G152*(1-0)</f>
        <v>0</v>
      </c>
      <c r="AQ152" s="53" t="s">
        <v>137</v>
      </c>
      <c r="AV152" s="51">
        <f>AW152+AX152</f>
        <v>0</v>
      </c>
      <c r="AW152" s="51">
        <f>F152*AO152</f>
        <v>0</v>
      </c>
      <c r="AX152" s="51">
        <f>F152*AP152</f>
        <v>0</v>
      </c>
      <c r="AY152" s="53" t="s">
        <v>383</v>
      </c>
      <c r="AZ152" s="53" t="s">
        <v>350</v>
      </c>
      <c r="BA152" s="35" t="s">
        <v>117</v>
      </c>
      <c r="BC152" s="51">
        <f>AW152+AX152</f>
        <v>0</v>
      </c>
      <c r="BD152" s="51">
        <f>G152/(100-BE152)*100</f>
        <v>0</v>
      </c>
      <c r="BE152" s="51">
        <v>0</v>
      </c>
      <c r="BF152" s="51">
        <f>152</f>
        <v>152</v>
      </c>
      <c r="BH152" s="51">
        <f>F152*AO152</f>
        <v>0</v>
      </c>
      <c r="BI152" s="51">
        <f>F152*AP152</f>
        <v>0</v>
      </c>
      <c r="BJ152" s="51">
        <f>F152*G152</f>
        <v>0</v>
      </c>
      <c r="BK152" s="51"/>
      <c r="BL152" s="51">
        <v>722</v>
      </c>
      <c r="BW152" s="51">
        <v>12</v>
      </c>
      <c r="BX152" s="3" t="s">
        <v>410</v>
      </c>
    </row>
    <row r="153" spans="1:76">
      <c r="A153" s="47" t="s">
        <v>4</v>
      </c>
      <c r="B153" s="48" t="s">
        <v>411</v>
      </c>
      <c r="C153" s="150" t="s">
        <v>412</v>
      </c>
      <c r="D153" s="151"/>
      <c r="E153" s="49" t="s">
        <v>79</v>
      </c>
      <c r="F153" s="49" t="s">
        <v>79</v>
      </c>
      <c r="G153" s="50" t="s">
        <v>79</v>
      </c>
      <c r="H153" s="28">
        <f>SUM(H154:H171)</f>
        <v>0</v>
      </c>
      <c r="J153" s="41"/>
      <c r="AI153" s="35" t="s">
        <v>4</v>
      </c>
      <c r="AS153" s="28">
        <f>SUM(AJ154:AJ171)</f>
        <v>0</v>
      </c>
      <c r="AT153" s="28">
        <f>SUM(AK154:AK171)</f>
        <v>0</v>
      </c>
      <c r="AU153" s="28">
        <f>SUM(AL154:AL171)</f>
        <v>0</v>
      </c>
    </row>
    <row r="154" spans="1:76">
      <c r="A154" s="1" t="s">
        <v>413</v>
      </c>
      <c r="B154" s="2" t="s">
        <v>414</v>
      </c>
      <c r="C154" s="75" t="s">
        <v>415</v>
      </c>
      <c r="D154" s="70"/>
      <c r="E154" s="2" t="s">
        <v>416</v>
      </c>
      <c r="F154" s="51">
        <v>1</v>
      </c>
      <c r="G154" s="52">
        <v>0</v>
      </c>
      <c r="H154" s="51">
        <f t="shared" ref="H154:H160" si="40">F154*G154</f>
        <v>0</v>
      </c>
      <c r="J154" s="41"/>
      <c r="Z154" s="51">
        <f t="shared" ref="Z154:Z160" si="41">IF(AQ154="5",BJ154,0)</f>
        <v>0</v>
      </c>
      <c r="AB154" s="51">
        <f t="shared" ref="AB154:AB160" si="42">IF(AQ154="1",BH154,0)</f>
        <v>0</v>
      </c>
      <c r="AC154" s="51">
        <f t="shared" ref="AC154:AC160" si="43">IF(AQ154="1",BI154,0)</f>
        <v>0</v>
      </c>
      <c r="AD154" s="51">
        <f t="shared" ref="AD154:AD160" si="44">IF(AQ154="7",BH154,0)</f>
        <v>0</v>
      </c>
      <c r="AE154" s="51">
        <f t="shared" ref="AE154:AE160" si="45">IF(AQ154="7",BI154,0)</f>
        <v>0</v>
      </c>
      <c r="AF154" s="51">
        <f t="shared" ref="AF154:AF160" si="46">IF(AQ154="2",BH154,0)</f>
        <v>0</v>
      </c>
      <c r="AG154" s="51">
        <f t="shared" ref="AG154:AG160" si="47">IF(AQ154="2",BI154,0)</f>
        <v>0</v>
      </c>
      <c r="AH154" s="51">
        <f t="shared" ref="AH154:AH160" si="48">IF(AQ154="0",BJ154,0)</f>
        <v>0</v>
      </c>
      <c r="AI154" s="35" t="s">
        <v>4</v>
      </c>
      <c r="AJ154" s="51">
        <f t="shared" ref="AJ154:AJ160" si="49">IF(AN154=0,H154,0)</f>
        <v>0</v>
      </c>
      <c r="AK154" s="51">
        <f t="shared" ref="AK154:AK160" si="50">IF(AN154=12,H154,0)</f>
        <v>0</v>
      </c>
      <c r="AL154" s="51">
        <f t="shared" ref="AL154:AL160" si="51">IF(AN154=21,H154,0)</f>
        <v>0</v>
      </c>
      <c r="AN154" s="51">
        <v>12</v>
      </c>
      <c r="AO154" s="51">
        <f>G154*0.154873047</f>
        <v>0</v>
      </c>
      <c r="AP154" s="51">
        <f>G154*(1-0.154873047)</f>
        <v>0</v>
      </c>
      <c r="AQ154" s="53" t="s">
        <v>149</v>
      </c>
      <c r="AV154" s="51">
        <f t="shared" ref="AV154:AV160" si="52">AW154+AX154</f>
        <v>0</v>
      </c>
      <c r="AW154" s="51">
        <f t="shared" ref="AW154:AW160" si="53">F154*AO154</f>
        <v>0</v>
      </c>
      <c r="AX154" s="51">
        <f t="shared" ref="AX154:AX160" si="54">F154*AP154</f>
        <v>0</v>
      </c>
      <c r="AY154" s="53" t="s">
        <v>417</v>
      </c>
      <c r="AZ154" s="53" t="s">
        <v>350</v>
      </c>
      <c r="BA154" s="35" t="s">
        <v>117</v>
      </c>
      <c r="BC154" s="51">
        <f t="shared" ref="BC154:BC160" si="55">AW154+AX154</f>
        <v>0</v>
      </c>
      <c r="BD154" s="51">
        <f t="shared" ref="BD154:BD160" si="56">G154/(100-BE154)*100</f>
        <v>0</v>
      </c>
      <c r="BE154" s="51">
        <v>0</v>
      </c>
      <c r="BF154" s="51">
        <f>154</f>
        <v>154</v>
      </c>
      <c r="BH154" s="51">
        <f t="shared" ref="BH154:BH160" si="57">F154*AO154</f>
        <v>0</v>
      </c>
      <c r="BI154" s="51">
        <f t="shared" ref="BI154:BI160" si="58">F154*AP154</f>
        <v>0</v>
      </c>
      <c r="BJ154" s="51">
        <f t="shared" ref="BJ154:BJ160" si="59">F154*G154</f>
        <v>0</v>
      </c>
      <c r="BK154" s="51"/>
      <c r="BL154" s="51">
        <v>725</v>
      </c>
      <c r="BW154" s="51">
        <v>12</v>
      </c>
      <c r="BX154" s="3" t="s">
        <v>415</v>
      </c>
    </row>
    <row r="155" spans="1:76">
      <c r="A155" s="1" t="s">
        <v>418</v>
      </c>
      <c r="B155" s="2" t="s">
        <v>419</v>
      </c>
      <c r="C155" s="75" t="s">
        <v>420</v>
      </c>
      <c r="D155" s="70"/>
      <c r="E155" s="2" t="s">
        <v>416</v>
      </c>
      <c r="F155" s="51">
        <v>1</v>
      </c>
      <c r="G155" s="52">
        <v>0</v>
      </c>
      <c r="H155" s="51">
        <f t="shared" si="40"/>
        <v>0</v>
      </c>
      <c r="J155" s="41"/>
      <c r="Z155" s="51">
        <f t="shared" si="41"/>
        <v>0</v>
      </c>
      <c r="AB155" s="51">
        <f t="shared" si="42"/>
        <v>0</v>
      </c>
      <c r="AC155" s="51">
        <f t="shared" si="43"/>
        <v>0</v>
      </c>
      <c r="AD155" s="51">
        <f t="shared" si="44"/>
        <v>0</v>
      </c>
      <c r="AE155" s="51">
        <f t="shared" si="45"/>
        <v>0</v>
      </c>
      <c r="AF155" s="51">
        <f t="shared" si="46"/>
        <v>0</v>
      </c>
      <c r="AG155" s="51">
        <f t="shared" si="47"/>
        <v>0</v>
      </c>
      <c r="AH155" s="51">
        <f t="shared" si="48"/>
        <v>0</v>
      </c>
      <c r="AI155" s="35" t="s">
        <v>4</v>
      </c>
      <c r="AJ155" s="51">
        <f t="shared" si="49"/>
        <v>0</v>
      </c>
      <c r="AK155" s="51">
        <f t="shared" si="50"/>
        <v>0</v>
      </c>
      <c r="AL155" s="51">
        <f t="shared" si="51"/>
        <v>0</v>
      </c>
      <c r="AN155" s="51">
        <v>12</v>
      </c>
      <c r="AO155" s="51">
        <f>G155*0.784758621</f>
        <v>0</v>
      </c>
      <c r="AP155" s="51">
        <f>G155*(1-0.784758621)</f>
        <v>0</v>
      </c>
      <c r="AQ155" s="53" t="s">
        <v>149</v>
      </c>
      <c r="AV155" s="51">
        <f t="shared" si="52"/>
        <v>0</v>
      </c>
      <c r="AW155" s="51">
        <f t="shared" si="53"/>
        <v>0</v>
      </c>
      <c r="AX155" s="51">
        <f t="shared" si="54"/>
        <v>0</v>
      </c>
      <c r="AY155" s="53" t="s">
        <v>417</v>
      </c>
      <c r="AZ155" s="53" t="s">
        <v>350</v>
      </c>
      <c r="BA155" s="35" t="s">
        <v>117</v>
      </c>
      <c r="BC155" s="51">
        <f t="shared" si="55"/>
        <v>0</v>
      </c>
      <c r="BD155" s="51">
        <f t="shared" si="56"/>
        <v>0</v>
      </c>
      <c r="BE155" s="51">
        <v>0</v>
      </c>
      <c r="BF155" s="51">
        <f>155</f>
        <v>155</v>
      </c>
      <c r="BH155" s="51">
        <f t="shared" si="57"/>
        <v>0</v>
      </c>
      <c r="BI155" s="51">
        <f t="shared" si="58"/>
        <v>0</v>
      </c>
      <c r="BJ155" s="51">
        <f t="shared" si="59"/>
        <v>0</v>
      </c>
      <c r="BK155" s="51"/>
      <c r="BL155" s="51">
        <v>725</v>
      </c>
      <c r="BW155" s="51">
        <v>12</v>
      </c>
      <c r="BX155" s="3" t="s">
        <v>420</v>
      </c>
    </row>
    <row r="156" spans="1:76">
      <c r="A156" s="1" t="s">
        <v>421</v>
      </c>
      <c r="B156" s="2" t="s">
        <v>422</v>
      </c>
      <c r="C156" s="75" t="s">
        <v>423</v>
      </c>
      <c r="D156" s="70"/>
      <c r="E156" s="2" t="s">
        <v>129</v>
      </c>
      <c r="F156" s="51">
        <v>1</v>
      </c>
      <c r="G156" s="52">
        <v>0</v>
      </c>
      <c r="H156" s="51">
        <f t="shared" si="40"/>
        <v>0</v>
      </c>
      <c r="J156" s="41"/>
      <c r="Z156" s="51">
        <f t="shared" si="41"/>
        <v>0</v>
      </c>
      <c r="AB156" s="51">
        <f t="shared" si="42"/>
        <v>0</v>
      </c>
      <c r="AC156" s="51">
        <f t="shared" si="43"/>
        <v>0</v>
      </c>
      <c r="AD156" s="51">
        <f t="shared" si="44"/>
        <v>0</v>
      </c>
      <c r="AE156" s="51">
        <f t="shared" si="45"/>
        <v>0</v>
      </c>
      <c r="AF156" s="51">
        <f t="shared" si="46"/>
        <v>0</v>
      </c>
      <c r="AG156" s="51">
        <f t="shared" si="47"/>
        <v>0</v>
      </c>
      <c r="AH156" s="51">
        <f t="shared" si="48"/>
        <v>0</v>
      </c>
      <c r="AI156" s="35" t="s">
        <v>4</v>
      </c>
      <c r="AJ156" s="51">
        <f t="shared" si="49"/>
        <v>0</v>
      </c>
      <c r="AK156" s="51">
        <f t="shared" si="50"/>
        <v>0</v>
      </c>
      <c r="AL156" s="51">
        <f t="shared" si="51"/>
        <v>0</v>
      </c>
      <c r="AN156" s="51">
        <v>12</v>
      </c>
      <c r="AO156" s="51">
        <f>G156*0.672366589</f>
        <v>0</v>
      </c>
      <c r="AP156" s="51">
        <f>G156*(1-0.672366589)</f>
        <v>0</v>
      </c>
      <c r="AQ156" s="53" t="s">
        <v>149</v>
      </c>
      <c r="AV156" s="51">
        <f t="shared" si="52"/>
        <v>0</v>
      </c>
      <c r="AW156" s="51">
        <f t="shared" si="53"/>
        <v>0</v>
      </c>
      <c r="AX156" s="51">
        <f t="shared" si="54"/>
        <v>0</v>
      </c>
      <c r="AY156" s="53" t="s">
        <v>417</v>
      </c>
      <c r="AZ156" s="53" t="s">
        <v>350</v>
      </c>
      <c r="BA156" s="35" t="s">
        <v>117</v>
      </c>
      <c r="BC156" s="51">
        <f t="shared" si="55"/>
        <v>0</v>
      </c>
      <c r="BD156" s="51">
        <f t="shared" si="56"/>
        <v>0</v>
      </c>
      <c r="BE156" s="51">
        <v>0</v>
      </c>
      <c r="BF156" s="51">
        <f>156</f>
        <v>156</v>
      </c>
      <c r="BH156" s="51">
        <f t="shared" si="57"/>
        <v>0</v>
      </c>
      <c r="BI156" s="51">
        <f t="shared" si="58"/>
        <v>0</v>
      </c>
      <c r="BJ156" s="51">
        <f t="shared" si="59"/>
        <v>0</v>
      </c>
      <c r="BK156" s="51"/>
      <c r="BL156" s="51">
        <v>725</v>
      </c>
      <c r="BW156" s="51">
        <v>12</v>
      </c>
      <c r="BX156" s="3" t="s">
        <v>423</v>
      </c>
    </row>
    <row r="157" spans="1:76">
      <c r="A157" s="1" t="s">
        <v>424</v>
      </c>
      <c r="B157" s="2" t="s">
        <v>425</v>
      </c>
      <c r="C157" s="75" t="s">
        <v>426</v>
      </c>
      <c r="D157" s="70"/>
      <c r="E157" s="2" t="s">
        <v>129</v>
      </c>
      <c r="F157" s="51">
        <v>1</v>
      </c>
      <c r="G157" s="52">
        <v>0</v>
      </c>
      <c r="H157" s="51">
        <f t="shared" si="40"/>
        <v>0</v>
      </c>
      <c r="J157" s="41"/>
      <c r="Z157" s="51">
        <f t="shared" si="41"/>
        <v>0</v>
      </c>
      <c r="AB157" s="51">
        <f t="shared" si="42"/>
        <v>0</v>
      </c>
      <c r="AC157" s="51">
        <f t="shared" si="43"/>
        <v>0</v>
      </c>
      <c r="AD157" s="51">
        <f t="shared" si="44"/>
        <v>0</v>
      </c>
      <c r="AE157" s="51">
        <f t="shared" si="45"/>
        <v>0</v>
      </c>
      <c r="AF157" s="51">
        <f t="shared" si="46"/>
        <v>0</v>
      </c>
      <c r="AG157" s="51">
        <f t="shared" si="47"/>
        <v>0</v>
      </c>
      <c r="AH157" s="51">
        <f t="shared" si="48"/>
        <v>0</v>
      </c>
      <c r="AI157" s="35" t="s">
        <v>4</v>
      </c>
      <c r="AJ157" s="51">
        <f t="shared" si="49"/>
        <v>0</v>
      </c>
      <c r="AK157" s="51">
        <f t="shared" si="50"/>
        <v>0</v>
      </c>
      <c r="AL157" s="51">
        <f t="shared" si="51"/>
        <v>0</v>
      </c>
      <c r="AN157" s="51">
        <v>12</v>
      </c>
      <c r="AO157" s="51">
        <f>G157*0.530083195</f>
        <v>0</v>
      </c>
      <c r="AP157" s="51">
        <f>G157*(1-0.530083195)</f>
        <v>0</v>
      </c>
      <c r="AQ157" s="53" t="s">
        <v>149</v>
      </c>
      <c r="AV157" s="51">
        <f t="shared" si="52"/>
        <v>0</v>
      </c>
      <c r="AW157" s="51">
        <f t="shared" si="53"/>
        <v>0</v>
      </c>
      <c r="AX157" s="51">
        <f t="shared" si="54"/>
        <v>0</v>
      </c>
      <c r="AY157" s="53" t="s">
        <v>417</v>
      </c>
      <c r="AZ157" s="53" t="s">
        <v>350</v>
      </c>
      <c r="BA157" s="35" t="s">
        <v>117</v>
      </c>
      <c r="BC157" s="51">
        <f t="shared" si="55"/>
        <v>0</v>
      </c>
      <c r="BD157" s="51">
        <f t="shared" si="56"/>
        <v>0</v>
      </c>
      <c r="BE157" s="51">
        <v>0</v>
      </c>
      <c r="BF157" s="51">
        <f>157</f>
        <v>157</v>
      </c>
      <c r="BH157" s="51">
        <f t="shared" si="57"/>
        <v>0</v>
      </c>
      <c r="BI157" s="51">
        <f t="shared" si="58"/>
        <v>0</v>
      </c>
      <c r="BJ157" s="51">
        <f t="shared" si="59"/>
        <v>0</v>
      </c>
      <c r="BK157" s="51"/>
      <c r="BL157" s="51">
        <v>725</v>
      </c>
      <c r="BW157" s="51">
        <v>12</v>
      </c>
      <c r="BX157" s="3" t="s">
        <v>426</v>
      </c>
    </row>
    <row r="158" spans="1:76">
      <c r="A158" s="1" t="s">
        <v>427</v>
      </c>
      <c r="B158" s="2" t="s">
        <v>428</v>
      </c>
      <c r="C158" s="75" t="s">
        <v>429</v>
      </c>
      <c r="D158" s="70"/>
      <c r="E158" s="2" t="s">
        <v>129</v>
      </c>
      <c r="F158" s="51">
        <v>2</v>
      </c>
      <c r="G158" s="52">
        <v>0</v>
      </c>
      <c r="H158" s="51">
        <f t="shared" si="40"/>
        <v>0</v>
      </c>
      <c r="J158" s="41"/>
      <c r="Z158" s="51">
        <f t="shared" si="41"/>
        <v>0</v>
      </c>
      <c r="AB158" s="51">
        <f t="shared" si="42"/>
        <v>0</v>
      </c>
      <c r="AC158" s="51">
        <f t="shared" si="43"/>
        <v>0</v>
      </c>
      <c r="AD158" s="51">
        <f t="shared" si="44"/>
        <v>0</v>
      </c>
      <c r="AE158" s="51">
        <f t="shared" si="45"/>
        <v>0</v>
      </c>
      <c r="AF158" s="51">
        <f t="shared" si="46"/>
        <v>0</v>
      </c>
      <c r="AG158" s="51">
        <f t="shared" si="47"/>
        <v>0</v>
      </c>
      <c r="AH158" s="51">
        <f t="shared" si="48"/>
        <v>0</v>
      </c>
      <c r="AI158" s="35" t="s">
        <v>4</v>
      </c>
      <c r="AJ158" s="51">
        <f t="shared" si="49"/>
        <v>0</v>
      </c>
      <c r="AK158" s="51">
        <f t="shared" si="50"/>
        <v>0</v>
      </c>
      <c r="AL158" s="51">
        <f t="shared" si="51"/>
        <v>0</v>
      </c>
      <c r="AN158" s="51">
        <v>12</v>
      </c>
      <c r="AO158" s="51">
        <f>G158*0.033347196</f>
        <v>0</v>
      </c>
      <c r="AP158" s="51">
        <f>G158*(1-0.033347196)</f>
        <v>0</v>
      </c>
      <c r="AQ158" s="53" t="s">
        <v>149</v>
      </c>
      <c r="AV158" s="51">
        <f t="shared" si="52"/>
        <v>0</v>
      </c>
      <c r="AW158" s="51">
        <f t="shared" si="53"/>
        <v>0</v>
      </c>
      <c r="AX158" s="51">
        <f t="shared" si="54"/>
        <v>0</v>
      </c>
      <c r="AY158" s="53" t="s">
        <v>417</v>
      </c>
      <c r="AZ158" s="53" t="s">
        <v>350</v>
      </c>
      <c r="BA158" s="35" t="s">
        <v>117</v>
      </c>
      <c r="BC158" s="51">
        <f t="shared" si="55"/>
        <v>0</v>
      </c>
      <c r="BD158" s="51">
        <f t="shared" si="56"/>
        <v>0</v>
      </c>
      <c r="BE158" s="51">
        <v>0</v>
      </c>
      <c r="BF158" s="51">
        <f>158</f>
        <v>158</v>
      </c>
      <c r="BH158" s="51">
        <f t="shared" si="57"/>
        <v>0</v>
      </c>
      <c r="BI158" s="51">
        <f t="shared" si="58"/>
        <v>0</v>
      </c>
      <c r="BJ158" s="51">
        <f t="shared" si="59"/>
        <v>0</v>
      </c>
      <c r="BK158" s="51"/>
      <c r="BL158" s="51">
        <v>725</v>
      </c>
      <c r="BW158" s="51">
        <v>12</v>
      </c>
      <c r="BX158" s="3" t="s">
        <v>429</v>
      </c>
    </row>
    <row r="159" spans="1:76">
      <c r="A159" s="1" t="s">
        <v>430</v>
      </c>
      <c r="B159" s="2" t="s">
        <v>431</v>
      </c>
      <c r="C159" s="75" t="s">
        <v>432</v>
      </c>
      <c r="D159" s="70"/>
      <c r="E159" s="2" t="s">
        <v>129</v>
      </c>
      <c r="F159" s="51">
        <v>1</v>
      </c>
      <c r="G159" s="52">
        <v>0</v>
      </c>
      <c r="H159" s="51">
        <f t="shared" si="40"/>
        <v>0</v>
      </c>
      <c r="J159" s="41"/>
      <c r="Z159" s="51">
        <f t="shared" si="41"/>
        <v>0</v>
      </c>
      <c r="AB159" s="51">
        <f t="shared" si="42"/>
        <v>0</v>
      </c>
      <c r="AC159" s="51">
        <f t="shared" si="43"/>
        <v>0</v>
      </c>
      <c r="AD159" s="51">
        <f t="shared" si="44"/>
        <v>0</v>
      </c>
      <c r="AE159" s="51">
        <f t="shared" si="45"/>
        <v>0</v>
      </c>
      <c r="AF159" s="51">
        <f t="shared" si="46"/>
        <v>0</v>
      </c>
      <c r="AG159" s="51">
        <f t="shared" si="47"/>
        <v>0</v>
      </c>
      <c r="AH159" s="51">
        <f t="shared" si="48"/>
        <v>0</v>
      </c>
      <c r="AI159" s="35" t="s">
        <v>4</v>
      </c>
      <c r="AJ159" s="51">
        <f t="shared" si="49"/>
        <v>0</v>
      </c>
      <c r="AK159" s="51">
        <f t="shared" si="50"/>
        <v>0</v>
      </c>
      <c r="AL159" s="51">
        <f t="shared" si="51"/>
        <v>0</v>
      </c>
      <c r="AN159" s="51">
        <v>12</v>
      </c>
      <c r="AO159" s="51">
        <f>G159*0.216601901</f>
        <v>0</v>
      </c>
      <c r="AP159" s="51">
        <f>G159*(1-0.216601901)</f>
        <v>0</v>
      </c>
      <c r="AQ159" s="53" t="s">
        <v>149</v>
      </c>
      <c r="AV159" s="51">
        <f t="shared" si="52"/>
        <v>0</v>
      </c>
      <c r="AW159" s="51">
        <f t="shared" si="53"/>
        <v>0</v>
      </c>
      <c r="AX159" s="51">
        <f t="shared" si="54"/>
        <v>0</v>
      </c>
      <c r="AY159" s="53" t="s">
        <v>417</v>
      </c>
      <c r="AZ159" s="53" t="s">
        <v>350</v>
      </c>
      <c r="BA159" s="35" t="s">
        <v>117</v>
      </c>
      <c r="BC159" s="51">
        <f t="shared" si="55"/>
        <v>0</v>
      </c>
      <c r="BD159" s="51">
        <f t="shared" si="56"/>
        <v>0</v>
      </c>
      <c r="BE159" s="51">
        <v>0</v>
      </c>
      <c r="BF159" s="51">
        <f>159</f>
        <v>159</v>
      </c>
      <c r="BH159" s="51">
        <f t="shared" si="57"/>
        <v>0</v>
      </c>
      <c r="BI159" s="51">
        <f t="shared" si="58"/>
        <v>0</v>
      </c>
      <c r="BJ159" s="51">
        <f t="shared" si="59"/>
        <v>0</v>
      </c>
      <c r="BK159" s="51"/>
      <c r="BL159" s="51">
        <v>725</v>
      </c>
      <c r="BW159" s="51">
        <v>12</v>
      </c>
      <c r="BX159" s="3" t="s">
        <v>432</v>
      </c>
    </row>
    <row r="160" spans="1:76">
      <c r="A160" s="1" t="s">
        <v>433</v>
      </c>
      <c r="B160" s="2" t="s">
        <v>434</v>
      </c>
      <c r="C160" s="75" t="s">
        <v>435</v>
      </c>
      <c r="D160" s="70"/>
      <c r="E160" s="2" t="s">
        <v>129</v>
      </c>
      <c r="F160" s="51">
        <v>1</v>
      </c>
      <c r="G160" s="52">
        <v>0</v>
      </c>
      <c r="H160" s="51">
        <f t="shared" si="40"/>
        <v>0</v>
      </c>
      <c r="J160" s="41"/>
      <c r="Z160" s="51">
        <f t="shared" si="41"/>
        <v>0</v>
      </c>
      <c r="AB160" s="51">
        <f t="shared" si="42"/>
        <v>0</v>
      </c>
      <c r="AC160" s="51">
        <f t="shared" si="43"/>
        <v>0</v>
      </c>
      <c r="AD160" s="51">
        <f t="shared" si="44"/>
        <v>0</v>
      </c>
      <c r="AE160" s="51">
        <f t="shared" si="45"/>
        <v>0</v>
      </c>
      <c r="AF160" s="51">
        <f t="shared" si="46"/>
        <v>0</v>
      </c>
      <c r="AG160" s="51">
        <f t="shared" si="47"/>
        <v>0</v>
      </c>
      <c r="AH160" s="51">
        <f t="shared" si="48"/>
        <v>0</v>
      </c>
      <c r="AI160" s="35" t="s">
        <v>4</v>
      </c>
      <c r="AJ160" s="51">
        <f t="shared" si="49"/>
        <v>0</v>
      </c>
      <c r="AK160" s="51">
        <f t="shared" si="50"/>
        <v>0</v>
      </c>
      <c r="AL160" s="51">
        <f t="shared" si="51"/>
        <v>0</v>
      </c>
      <c r="AN160" s="51">
        <v>12</v>
      </c>
      <c r="AO160" s="51">
        <f>G160*0.915036101</f>
        <v>0</v>
      </c>
      <c r="AP160" s="51">
        <f>G160*(1-0.915036101)</f>
        <v>0</v>
      </c>
      <c r="AQ160" s="53" t="s">
        <v>149</v>
      </c>
      <c r="AV160" s="51">
        <f t="shared" si="52"/>
        <v>0</v>
      </c>
      <c r="AW160" s="51">
        <f t="shared" si="53"/>
        <v>0</v>
      </c>
      <c r="AX160" s="51">
        <f t="shared" si="54"/>
        <v>0</v>
      </c>
      <c r="AY160" s="53" t="s">
        <v>417</v>
      </c>
      <c r="AZ160" s="53" t="s">
        <v>350</v>
      </c>
      <c r="BA160" s="35" t="s">
        <v>117</v>
      </c>
      <c r="BC160" s="51">
        <f t="shared" si="55"/>
        <v>0</v>
      </c>
      <c r="BD160" s="51">
        <f t="shared" si="56"/>
        <v>0</v>
      </c>
      <c r="BE160" s="51">
        <v>0</v>
      </c>
      <c r="BF160" s="51">
        <f>160</f>
        <v>160</v>
      </c>
      <c r="BH160" s="51">
        <f t="shared" si="57"/>
        <v>0</v>
      </c>
      <c r="BI160" s="51">
        <f t="shared" si="58"/>
        <v>0</v>
      </c>
      <c r="BJ160" s="51">
        <f t="shared" si="59"/>
        <v>0</v>
      </c>
      <c r="BK160" s="51"/>
      <c r="BL160" s="51">
        <v>725</v>
      </c>
      <c r="BW160" s="51">
        <v>12</v>
      </c>
      <c r="BX160" s="3" t="s">
        <v>435</v>
      </c>
    </row>
    <row r="161" spans="1:76" ht="13.5" customHeight="1">
      <c r="A161" s="54"/>
      <c r="B161" s="58" t="s">
        <v>130</v>
      </c>
      <c r="C161" s="152" t="s">
        <v>436</v>
      </c>
      <c r="D161" s="153"/>
      <c r="E161" s="153"/>
      <c r="F161" s="153"/>
      <c r="G161" s="154"/>
      <c r="H161" s="153"/>
      <c r="I161" s="153"/>
      <c r="J161" s="155"/>
    </row>
    <row r="162" spans="1:76">
      <c r="A162" s="1" t="s">
        <v>437</v>
      </c>
      <c r="B162" s="2" t="s">
        <v>438</v>
      </c>
      <c r="C162" s="75" t="s">
        <v>439</v>
      </c>
      <c r="D162" s="70"/>
      <c r="E162" s="2" t="s">
        <v>129</v>
      </c>
      <c r="F162" s="51">
        <v>1</v>
      </c>
      <c r="G162" s="52">
        <v>0</v>
      </c>
      <c r="H162" s="51">
        <f t="shared" ref="H162:H171" si="60">F162*G162</f>
        <v>0</v>
      </c>
      <c r="J162" s="41"/>
      <c r="Z162" s="51">
        <f t="shared" ref="Z162:Z171" si="61">IF(AQ162="5",BJ162,0)</f>
        <v>0</v>
      </c>
      <c r="AB162" s="51">
        <f t="shared" ref="AB162:AB171" si="62">IF(AQ162="1",BH162,0)</f>
        <v>0</v>
      </c>
      <c r="AC162" s="51">
        <f t="shared" ref="AC162:AC171" si="63">IF(AQ162="1",BI162,0)</f>
        <v>0</v>
      </c>
      <c r="AD162" s="51">
        <f t="shared" ref="AD162:AD171" si="64">IF(AQ162="7",BH162,0)</f>
        <v>0</v>
      </c>
      <c r="AE162" s="51">
        <f t="shared" ref="AE162:AE171" si="65">IF(AQ162="7",BI162,0)</f>
        <v>0</v>
      </c>
      <c r="AF162" s="51">
        <f t="shared" ref="AF162:AF171" si="66">IF(AQ162="2",BH162,0)</f>
        <v>0</v>
      </c>
      <c r="AG162" s="51">
        <f t="shared" ref="AG162:AG171" si="67">IF(AQ162="2",BI162,0)</f>
        <v>0</v>
      </c>
      <c r="AH162" s="51">
        <f t="shared" ref="AH162:AH171" si="68">IF(AQ162="0",BJ162,0)</f>
        <v>0</v>
      </c>
      <c r="AI162" s="35" t="s">
        <v>4</v>
      </c>
      <c r="AJ162" s="51">
        <f t="shared" ref="AJ162:AJ171" si="69">IF(AN162=0,H162,0)</f>
        <v>0</v>
      </c>
      <c r="AK162" s="51">
        <f t="shared" ref="AK162:AK171" si="70">IF(AN162=12,H162,0)</f>
        <v>0</v>
      </c>
      <c r="AL162" s="51">
        <f t="shared" ref="AL162:AL171" si="71">IF(AN162=21,H162,0)</f>
        <v>0</v>
      </c>
      <c r="AN162" s="51">
        <v>12</v>
      </c>
      <c r="AO162" s="51">
        <f>G162*0.828628641</f>
        <v>0</v>
      </c>
      <c r="AP162" s="51">
        <f>G162*(1-0.828628641)</f>
        <v>0</v>
      </c>
      <c r="AQ162" s="53" t="s">
        <v>149</v>
      </c>
      <c r="AV162" s="51">
        <f t="shared" ref="AV162:AV171" si="72">AW162+AX162</f>
        <v>0</v>
      </c>
      <c r="AW162" s="51">
        <f t="shared" ref="AW162:AW171" si="73">F162*AO162</f>
        <v>0</v>
      </c>
      <c r="AX162" s="51">
        <f t="shared" ref="AX162:AX171" si="74">F162*AP162</f>
        <v>0</v>
      </c>
      <c r="AY162" s="53" t="s">
        <v>417</v>
      </c>
      <c r="AZ162" s="53" t="s">
        <v>350</v>
      </c>
      <c r="BA162" s="35" t="s">
        <v>117</v>
      </c>
      <c r="BC162" s="51">
        <f t="shared" ref="BC162:BC171" si="75">AW162+AX162</f>
        <v>0</v>
      </c>
      <c r="BD162" s="51">
        <f t="shared" ref="BD162:BD171" si="76">G162/(100-BE162)*100</f>
        <v>0</v>
      </c>
      <c r="BE162" s="51">
        <v>0</v>
      </c>
      <c r="BF162" s="51">
        <f>162</f>
        <v>162</v>
      </c>
      <c r="BH162" s="51">
        <f t="shared" ref="BH162:BH171" si="77">F162*AO162</f>
        <v>0</v>
      </c>
      <c r="BI162" s="51">
        <f t="shared" ref="BI162:BI171" si="78">F162*AP162</f>
        <v>0</v>
      </c>
      <c r="BJ162" s="51">
        <f t="shared" ref="BJ162:BJ171" si="79">F162*G162</f>
        <v>0</v>
      </c>
      <c r="BK162" s="51"/>
      <c r="BL162" s="51">
        <v>725</v>
      </c>
      <c r="BW162" s="51">
        <v>12</v>
      </c>
      <c r="BX162" s="3" t="s">
        <v>439</v>
      </c>
    </row>
    <row r="163" spans="1:76">
      <c r="A163" s="1" t="s">
        <v>440</v>
      </c>
      <c r="B163" s="2" t="s">
        <v>441</v>
      </c>
      <c r="C163" s="75" t="s">
        <v>442</v>
      </c>
      <c r="D163" s="70"/>
      <c r="E163" s="2" t="s">
        <v>416</v>
      </c>
      <c r="F163" s="51">
        <v>7</v>
      </c>
      <c r="G163" s="52">
        <v>0</v>
      </c>
      <c r="H163" s="51">
        <f t="shared" si="60"/>
        <v>0</v>
      </c>
      <c r="J163" s="41"/>
      <c r="Z163" s="51">
        <f t="shared" si="61"/>
        <v>0</v>
      </c>
      <c r="AB163" s="51">
        <f t="shared" si="62"/>
        <v>0</v>
      </c>
      <c r="AC163" s="51">
        <f t="shared" si="63"/>
        <v>0</v>
      </c>
      <c r="AD163" s="51">
        <f t="shared" si="64"/>
        <v>0</v>
      </c>
      <c r="AE163" s="51">
        <f t="shared" si="65"/>
        <v>0</v>
      </c>
      <c r="AF163" s="51">
        <f t="shared" si="66"/>
        <v>0</v>
      </c>
      <c r="AG163" s="51">
        <f t="shared" si="67"/>
        <v>0</v>
      </c>
      <c r="AH163" s="51">
        <f t="shared" si="68"/>
        <v>0</v>
      </c>
      <c r="AI163" s="35" t="s">
        <v>4</v>
      </c>
      <c r="AJ163" s="51">
        <f t="shared" si="69"/>
        <v>0</v>
      </c>
      <c r="AK163" s="51">
        <f t="shared" si="70"/>
        <v>0</v>
      </c>
      <c r="AL163" s="51">
        <f t="shared" si="71"/>
        <v>0</v>
      </c>
      <c r="AN163" s="51">
        <v>12</v>
      </c>
      <c r="AO163" s="51">
        <f>G163*0.522710623</f>
        <v>0</v>
      </c>
      <c r="AP163" s="51">
        <f>G163*(1-0.522710623)</f>
        <v>0</v>
      </c>
      <c r="AQ163" s="53" t="s">
        <v>149</v>
      </c>
      <c r="AV163" s="51">
        <f t="shared" si="72"/>
        <v>0</v>
      </c>
      <c r="AW163" s="51">
        <f t="shared" si="73"/>
        <v>0</v>
      </c>
      <c r="AX163" s="51">
        <f t="shared" si="74"/>
        <v>0</v>
      </c>
      <c r="AY163" s="53" t="s">
        <v>417</v>
      </c>
      <c r="AZ163" s="53" t="s">
        <v>350</v>
      </c>
      <c r="BA163" s="35" t="s">
        <v>117</v>
      </c>
      <c r="BC163" s="51">
        <f t="shared" si="75"/>
        <v>0</v>
      </c>
      <c r="BD163" s="51">
        <f t="shared" si="76"/>
        <v>0</v>
      </c>
      <c r="BE163" s="51">
        <v>0</v>
      </c>
      <c r="BF163" s="51">
        <f>163</f>
        <v>163</v>
      </c>
      <c r="BH163" s="51">
        <f t="shared" si="77"/>
        <v>0</v>
      </c>
      <c r="BI163" s="51">
        <f t="shared" si="78"/>
        <v>0</v>
      </c>
      <c r="BJ163" s="51">
        <f t="shared" si="79"/>
        <v>0</v>
      </c>
      <c r="BK163" s="51"/>
      <c r="BL163" s="51">
        <v>725</v>
      </c>
      <c r="BW163" s="51">
        <v>12</v>
      </c>
      <c r="BX163" s="3" t="s">
        <v>442</v>
      </c>
    </row>
    <row r="164" spans="1:76">
      <c r="A164" s="1" t="s">
        <v>443</v>
      </c>
      <c r="B164" s="2" t="s">
        <v>444</v>
      </c>
      <c r="C164" s="75" t="s">
        <v>445</v>
      </c>
      <c r="D164" s="70"/>
      <c r="E164" s="2" t="s">
        <v>129</v>
      </c>
      <c r="F164" s="51">
        <v>2</v>
      </c>
      <c r="G164" s="52">
        <v>0</v>
      </c>
      <c r="H164" s="51">
        <f t="shared" si="60"/>
        <v>0</v>
      </c>
      <c r="J164" s="41"/>
      <c r="Z164" s="51">
        <f t="shared" si="61"/>
        <v>0</v>
      </c>
      <c r="AB164" s="51">
        <f t="shared" si="62"/>
        <v>0</v>
      </c>
      <c r="AC164" s="51">
        <f t="shared" si="63"/>
        <v>0</v>
      </c>
      <c r="AD164" s="51">
        <f t="shared" si="64"/>
        <v>0</v>
      </c>
      <c r="AE164" s="51">
        <f t="shared" si="65"/>
        <v>0</v>
      </c>
      <c r="AF164" s="51">
        <f t="shared" si="66"/>
        <v>0</v>
      </c>
      <c r="AG164" s="51">
        <f t="shared" si="67"/>
        <v>0</v>
      </c>
      <c r="AH164" s="51">
        <f t="shared" si="68"/>
        <v>0</v>
      </c>
      <c r="AI164" s="35" t="s">
        <v>4</v>
      </c>
      <c r="AJ164" s="51">
        <f t="shared" si="69"/>
        <v>0</v>
      </c>
      <c r="AK164" s="51">
        <f t="shared" si="70"/>
        <v>0</v>
      </c>
      <c r="AL164" s="51">
        <f t="shared" si="71"/>
        <v>0</v>
      </c>
      <c r="AN164" s="51">
        <v>12</v>
      </c>
      <c r="AO164" s="51">
        <f>G164*0.88622221</f>
        <v>0</v>
      </c>
      <c r="AP164" s="51">
        <f>G164*(1-0.88622221)</f>
        <v>0</v>
      </c>
      <c r="AQ164" s="53" t="s">
        <v>149</v>
      </c>
      <c r="AV164" s="51">
        <f t="shared" si="72"/>
        <v>0</v>
      </c>
      <c r="AW164" s="51">
        <f t="shared" si="73"/>
        <v>0</v>
      </c>
      <c r="AX164" s="51">
        <f t="shared" si="74"/>
        <v>0</v>
      </c>
      <c r="AY164" s="53" t="s">
        <v>417</v>
      </c>
      <c r="AZ164" s="53" t="s">
        <v>350</v>
      </c>
      <c r="BA164" s="35" t="s">
        <v>117</v>
      </c>
      <c r="BC164" s="51">
        <f t="shared" si="75"/>
        <v>0</v>
      </c>
      <c r="BD164" s="51">
        <f t="shared" si="76"/>
        <v>0</v>
      </c>
      <c r="BE164" s="51">
        <v>0</v>
      </c>
      <c r="BF164" s="51">
        <f>164</f>
        <v>164</v>
      </c>
      <c r="BH164" s="51">
        <f t="shared" si="77"/>
        <v>0</v>
      </c>
      <c r="BI164" s="51">
        <f t="shared" si="78"/>
        <v>0</v>
      </c>
      <c r="BJ164" s="51">
        <f t="shared" si="79"/>
        <v>0</v>
      </c>
      <c r="BK164" s="51"/>
      <c r="BL164" s="51">
        <v>725</v>
      </c>
      <c r="BW164" s="51">
        <v>12</v>
      </c>
      <c r="BX164" s="3" t="s">
        <v>445</v>
      </c>
    </row>
    <row r="165" spans="1:76">
      <c r="A165" s="1" t="s">
        <v>446</v>
      </c>
      <c r="B165" s="2" t="s">
        <v>447</v>
      </c>
      <c r="C165" s="75" t="s">
        <v>448</v>
      </c>
      <c r="D165" s="70"/>
      <c r="E165" s="2" t="s">
        <v>129</v>
      </c>
      <c r="F165" s="51">
        <v>1</v>
      </c>
      <c r="G165" s="52">
        <v>0</v>
      </c>
      <c r="H165" s="51">
        <f t="shared" si="60"/>
        <v>0</v>
      </c>
      <c r="J165" s="41"/>
      <c r="Z165" s="51">
        <f t="shared" si="61"/>
        <v>0</v>
      </c>
      <c r="AB165" s="51">
        <f t="shared" si="62"/>
        <v>0</v>
      </c>
      <c r="AC165" s="51">
        <f t="shared" si="63"/>
        <v>0</v>
      </c>
      <c r="AD165" s="51">
        <f t="shared" si="64"/>
        <v>0</v>
      </c>
      <c r="AE165" s="51">
        <f t="shared" si="65"/>
        <v>0</v>
      </c>
      <c r="AF165" s="51">
        <f t="shared" si="66"/>
        <v>0</v>
      </c>
      <c r="AG165" s="51">
        <f t="shared" si="67"/>
        <v>0</v>
      </c>
      <c r="AH165" s="51">
        <f t="shared" si="68"/>
        <v>0</v>
      </c>
      <c r="AI165" s="35" t="s">
        <v>4</v>
      </c>
      <c r="AJ165" s="51">
        <f t="shared" si="69"/>
        <v>0</v>
      </c>
      <c r="AK165" s="51">
        <f t="shared" si="70"/>
        <v>0</v>
      </c>
      <c r="AL165" s="51">
        <f t="shared" si="71"/>
        <v>0</v>
      </c>
      <c r="AN165" s="51">
        <v>12</v>
      </c>
      <c r="AO165" s="51">
        <f>G165*0.852864629</f>
        <v>0</v>
      </c>
      <c r="AP165" s="51">
        <f>G165*(1-0.852864629)</f>
        <v>0</v>
      </c>
      <c r="AQ165" s="53" t="s">
        <v>149</v>
      </c>
      <c r="AV165" s="51">
        <f t="shared" si="72"/>
        <v>0</v>
      </c>
      <c r="AW165" s="51">
        <f t="shared" si="73"/>
        <v>0</v>
      </c>
      <c r="AX165" s="51">
        <f t="shared" si="74"/>
        <v>0</v>
      </c>
      <c r="AY165" s="53" t="s">
        <v>417</v>
      </c>
      <c r="AZ165" s="53" t="s">
        <v>350</v>
      </c>
      <c r="BA165" s="35" t="s">
        <v>117</v>
      </c>
      <c r="BC165" s="51">
        <f t="shared" si="75"/>
        <v>0</v>
      </c>
      <c r="BD165" s="51">
        <f t="shared" si="76"/>
        <v>0</v>
      </c>
      <c r="BE165" s="51">
        <v>0</v>
      </c>
      <c r="BF165" s="51">
        <f>165</f>
        <v>165</v>
      </c>
      <c r="BH165" s="51">
        <f t="shared" si="77"/>
        <v>0</v>
      </c>
      <c r="BI165" s="51">
        <f t="shared" si="78"/>
        <v>0</v>
      </c>
      <c r="BJ165" s="51">
        <f t="shared" si="79"/>
        <v>0</v>
      </c>
      <c r="BK165" s="51"/>
      <c r="BL165" s="51">
        <v>725</v>
      </c>
      <c r="BW165" s="51">
        <v>12</v>
      </c>
      <c r="BX165" s="3" t="s">
        <v>448</v>
      </c>
    </row>
    <row r="166" spans="1:76">
      <c r="A166" s="1" t="s">
        <v>449</v>
      </c>
      <c r="B166" s="2" t="s">
        <v>450</v>
      </c>
      <c r="C166" s="75" t="s">
        <v>451</v>
      </c>
      <c r="D166" s="70"/>
      <c r="E166" s="2" t="s">
        <v>416</v>
      </c>
      <c r="F166" s="51">
        <v>1</v>
      </c>
      <c r="G166" s="52">
        <v>0</v>
      </c>
      <c r="H166" s="51">
        <f t="shared" si="60"/>
        <v>0</v>
      </c>
      <c r="J166" s="41"/>
      <c r="Z166" s="51">
        <f t="shared" si="61"/>
        <v>0</v>
      </c>
      <c r="AB166" s="51">
        <f t="shared" si="62"/>
        <v>0</v>
      </c>
      <c r="AC166" s="51">
        <f t="shared" si="63"/>
        <v>0</v>
      </c>
      <c r="AD166" s="51">
        <f t="shared" si="64"/>
        <v>0</v>
      </c>
      <c r="AE166" s="51">
        <f t="shared" si="65"/>
        <v>0</v>
      </c>
      <c r="AF166" s="51">
        <f t="shared" si="66"/>
        <v>0</v>
      </c>
      <c r="AG166" s="51">
        <f t="shared" si="67"/>
        <v>0</v>
      </c>
      <c r="AH166" s="51">
        <f t="shared" si="68"/>
        <v>0</v>
      </c>
      <c r="AI166" s="35" t="s">
        <v>4</v>
      </c>
      <c r="AJ166" s="51">
        <f t="shared" si="69"/>
        <v>0</v>
      </c>
      <c r="AK166" s="51">
        <f t="shared" si="70"/>
        <v>0</v>
      </c>
      <c r="AL166" s="51">
        <f t="shared" si="71"/>
        <v>0</v>
      </c>
      <c r="AN166" s="51">
        <v>12</v>
      </c>
      <c r="AO166" s="51">
        <f>G166*0.908404118</f>
        <v>0</v>
      </c>
      <c r="AP166" s="51">
        <f>G166*(1-0.908404118)</f>
        <v>0</v>
      </c>
      <c r="AQ166" s="53" t="s">
        <v>149</v>
      </c>
      <c r="AV166" s="51">
        <f t="shared" si="72"/>
        <v>0</v>
      </c>
      <c r="AW166" s="51">
        <f t="shared" si="73"/>
        <v>0</v>
      </c>
      <c r="AX166" s="51">
        <f t="shared" si="74"/>
        <v>0</v>
      </c>
      <c r="AY166" s="53" t="s">
        <v>417</v>
      </c>
      <c r="AZ166" s="53" t="s">
        <v>350</v>
      </c>
      <c r="BA166" s="35" t="s">
        <v>117</v>
      </c>
      <c r="BC166" s="51">
        <f t="shared" si="75"/>
        <v>0</v>
      </c>
      <c r="BD166" s="51">
        <f t="shared" si="76"/>
        <v>0</v>
      </c>
      <c r="BE166" s="51">
        <v>0</v>
      </c>
      <c r="BF166" s="51">
        <f>166</f>
        <v>166</v>
      </c>
      <c r="BH166" s="51">
        <f t="shared" si="77"/>
        <v>0</v>
      </c>
      <c r="BI166" s="51">
        <f t="shared" si="78"/>
        <v>0</v>
      </c>
      <c r="BJ166" s="51">
        <f t="shared" si="79"/>
        <v>0</v>
      </c>
      <c r="BK166" s="51"/>
      <c r="BL166" s="51">
        <v>725</v>
      </c>
      <c r="BW166" s="51">
        <v>12</v>
      </c>
      <c r="BX166" s="3" t="s">
        <v>451</v>
      </c>
    </row>
    <row r="167" spans="1:76">
      <c r="A167" s="1" t="s">
        <v>452</v>
      </c>
      <c r="B167" s="2" t="s">
        <v>453</v>
      </c>
      <c r="C167" s="75" t="s">
        <v>454</v>
      </c>
      <c r="D167" s="70"/>
      <c r="E167" s="2" t="s">
        <v>416</v>
      </c>
      <c r="F167" s="51">
        <v>1</v>
      </c>
      <c r="G167" s="52">
        <v>0</v>
      </c>
      <c r="H167" s="51">
        <f t="shared" si="60"/>
        <v>0</v>
      </c>
      <c r="J167" s="41"/>
      <c r="Z167" s="51">
        <f t="shared" si="61"/>
        <v>0</v>
      </c>
      <c r="AB167" s="51">
        <f t="shared" si="62"/>
        <v>0</v>
      </c>
      <c r="AC167" s="51">
        <f t="shared" si="63"/>
        <v>0</v>
      </c>
      <c r="AD167" s="51">
        <f t="shared" si="64"/>
        <v>0</v>
      </c>
      <c r="AE167" s="51">
        <f t="shared" si="65"/>
        <v>0</v>
      </c>
      <c r="AF167" s="51">
        <f t="shared" si="66"/>
        <v>0</v>
      </c>
      <c r="AG167" s="51">
        <f t="shared" si="67"/>
        <v>0</v>
      </c>
      <c r="AH167" s="51">
        <f t="shared" si="68"/>
        <v>0</v>
      </c>
      <c r="AI167" s="35" t="s">
        <v>4</v>
      </c>
      <c r="AJ167" s="51">
        <f t="shared" si="69"/>
        <v>0</v>
      </c>
      <c r="AK167" s="51">
        <f t="shared" si="70"/>
        <v>0</v>
      </c>
      <c r="AL167" s="51">
        <f t="shared" si="71"/>
        <v>0</v>
      </c>
      <c r="AN167" s="51">
        <v>12</v>
      </c>
      <c r="AO167" s="51">
        <f>G167*0.460774648</f>
        <v>0</v>
      </c>
      <c r="AP167" s="51">
        <f>G167*(1-0.460774648)</f>
        <v>0</v>
      </c>
      <c r="AQ167" s="53" t="s">
        <v>149</v>
      </c>
      <c r="AV167" s="51">
        <f t="shared" si="72"/>
        <v>0</v>
      </c>
      <c r="AW167" s="51">
        <f t="shared" si="73"/>
        <v>0</v>
      </c>
      <c r="AX167" s="51">
        <f t="shared" si="74"/>
        <v>0</v>
      </c>
      <c r="AY167" s="53" t="s">
        <v>417</v>
      </c>
      <c r="AZ167" s="53" t="s">
        <v>350</v>
      </c>
      <c r="BA167" s="35" t="s">
        <v>117</v>
      </c>
      <c r="BC167" s="51">
        <f t="shared" si="75"/>
        <v>0</v>
      </c>
      <c r="BD167" s="51">
        <f t="shared" si="76"/>
        <v>0</v>
      </c>
      <c r="BE167" s="51">
        <v>0</v>
      </c>
      <c r="BF167" s="51">
        <f>167</f>
        <v>167</v>
      </c>
      <c r="BH167" s="51">
        <f t="shared" si="77"/>
        <v>0</v>
      </c>
      <c r="BI167" s="51">
        <f t="shared" si="78"/>
        <v>0</v>
      </c>
      <c r="BJ167" s="51">
        <f t="shared" si="79"/>
        <v>0</v>
      </c>
      <c r="BK167" s="51"/>
      <c r="BL167" s="51">
        <v>725</v>
      </c>
      <c r="BW167" s="51">
        <v>12</v>
      </c>
      <c r="BX167" s="3" t="s">
        <v>454</v>
      </c>
    </row>
    <row r="168" spans="1:76">
      <c r="A168" s="1" t="s">
        <v>455</v>
      </c>
      <c r="B168" s="2" t="s">
        <v>456</v>
      </c>
      <c r="C168" s="75" t="s">
        <v>457</v>
      </c>
      <c r="D168" s="70"/>
      <c r="E168" s="2" t="s">
        <v>416</v>
      </c>
      <c r="F168" s="51">
        <v>1</v>
      </c>
      <c r="G168" s="52">
        <v>0</v>
      </c>
      <c r="H168" s="51">
        <f t="shared" si="60"/>
        <v>0</v>
      </c>
      <c r="J168" s="41"/>
      <c r="Z168" s="51">
        <f t="shared" si="61"/>
        <v>0</v>
      </c>
      <c r="AB168" s="51">
        <f t="shared" si="62"/>
        <v>0</v>
      </c>
      <c r="AC168" s="51">
        <f t="shared" si="63"/>
        <v>0</v>
      </c>
      <c r="AD168" s="51">
        <f t="shared" si="64"/>
        <v>0</v>
      </c>
      <c r="AE168" s="51">
        <f t="shared" si="65"/>
        <v>0</v>
      </c>
      <c r="AF168" s="51">
        <f t="shared" si="66"/>
        <v>0</v>
      </c>
      <c r="AG168" s="51">
        <f t="shared" si="67"/>
        <v>0</v>
      </c>
      <c r="AH168" s="51">
        <f t="shared" si="68"/>
        <v>0</v>
      </c>
      <c r="AI168" s="35" t="s">
        <v>4</v>
      </c>
      <c r="AJ168" s="51">
        <f t="shared" si="69"/>
        <v>0</v>
      </c>
      <c r="AK168" s="51">
        <f t="shared" si="70"/>
        <v>0</v>
      </c>
      <c r="AL168" s="51">
        <f t="shared" si="71"/>
        <v>0</v>
      </c>
      <c r="AN168" s="51">
        <v>12</v>
      </c>
      <c r="AO168" s="51">
        <f>G168*0.911880189</f>
        <v>0</v>
      </c>
      <c r="AP168" s="51">
        <f>G168*(1-0.911880189)</f>
        <v>0</v>
      </c>
      <c r="AQ168" s="53" t="s">
        <v>149</v>
      </c>
      <c r="AV168" s="51">
        <f t="shared" si="72"/>
        <v>0</v>
      </c>
      <c r="AW168" s="51">
        <f t="shared" si="73"/>
        <v>0</v>
      </c>
      <c r="AX168" s="51">
        <f t="shared" si="74"/>
        <v>0</v>
      </c>
      <c r="AY168" s="53" t="s">
        <v>417</v>
      </c>
      <c r="AZ168" s="53" t="s">
        <v>350</v>
      </c>
      <c r="BA168" s="35" t="s">
        <v>117</v>
      </c>
      <c r="BC168" s="51">
        <f t="shared" si="75"/>
        <v>0</v>
      </c>
      <c r="BD168" s="51">
        <f t="shared" si="76"/>
        <v>0</v>
      </c>
      <c r="BE168" s="51">
        <v>0</v>
      </c>
      <c r="BF168" s="51">
        <f>168</f>
        <v>168</v>
      </c>
      <c r="BH168" s="51">
        <f t="shared" si="77"/>
        <v>0</v>
      </c>
      <c r="BI168" s="51">
        <f t="shared" si="78"/>
        <v>0</v>
      </c>
      <c r="BJ168" s="51">
        <f t="shared" si="79"/>
        <v>0</v>
      </c>
      <c r="BK168" s="51"/>
      <c r="BL168" s="51">
        <v>725</v>
      </c>
      <c r="BW168" s="51">
        <v>12</v>
      </c>
      <c r="BX168" s="3" t="s">
        <v>457</v>
      </c>
    </row>
    <row r="169" spans="1:76">
      <c r="A169" s="1" t="s">
        <v>458</v>
      </c>
      <c r="B169" s="2" t="s">
        <v>459</v>
      </c>
      <c r="C169" s="75" t="s">
        <v>460</v>
      </c>
      <c r="D169" s="70"/>
      <c r="E169" s="2" t="s">
        <v>129</v>
      </c>
      <c r="F169" s="51">
        <v>1</v>
      </c>
      <c r="G169" s="52">
        <v>0</v>
      </c>
      <c r="H169" s="51">
        <f t="shared" si="60"/>
        <v>0</v>
      </c>
      <c r="J169" s="41"/>
      <c r="Z169" s="51">
        <f t="shared" si="61"/>
        <v>0</v>
      </c>
      <c r="AB169" s="51">
        <f t="shared" si="62"/>
        <v>0</v>
      </c>
      <c r="AC169" s="51">
        <f t="shared" si="63"/>
        <v>0</v>
      </c>
      <c r="AD169" s="51">
        <f t="shared" si="64"/>
        <v>0</v>
      </c>
      <c r="AE169" s="51">
        <f t="shared" si="65"/>
        <v>0</v>
      </c>
      <c r="AF169" s="51">
        <f t="shared" si="66"/>
        <v>0</v>
      </c>
      <c r="AG169" s="51">
        <f t="shared" si="67"/>
        <v>0</v>
      </c>
      <c r="AH169" s="51">
        <f t="shared" si="68"/>
        <v>0</v>
      </c>
      <c r="AI169" s="35" t="s">
        <v>4</v>
      </c>
      <c r="AJ169" s="51">
        <f t="shared" si="69"/>
        <v>0</v>
      </c>
      <c r="AK169" s="51">
        <f t="shared" si="70"/>
        <v>0</v>
      </c>
      <c r="AL169" s="51">
        <f t="shared" si="71"/>
        <v>0</v>
      </c>
      <c r="AN169" s="51">
        <v>12</v>
      </c>
      <c r="AO169" s="51">
        <f>G169*1</f>
        <v>0</v>
      </c>
      <c r="AP169" s="51">
        <f>G169*(1-1)</f>
        <v>0</v>
      </c>
      <c r="AQ169" s="53" t="s">
        <v>149</v>
      </c>
      <c r="AV169" s="51">
        <f t="shared" si="72"/>
        <v>0</v>
      </c>
      <c r="AW169" s="51">
        <f t="shared" si="73"/>
        <v>0</v>
      </c>
      <c r="AX169" s="51">
        <f t="shared" si="74"/>
        <v>0</v>
      </c>
      <c r="AY169" s="53" t="s">
        <v>417</v>
      </c>
      <c r="AZ169" s="53" t="s">
        <v>350</v>
      </c>
      <c r="BA169" s="35" t="s">
        <v>117</v>
      </c>
      <c r="BC169" s="51">
        <f t="shared" si="75"/>
        <v>0</v>
      </c>
      <c r="BD169" s="51">
        <f t="shared" si="76"/>
        <v>0</v>
      </c>
      <c r="BE169" s="51">
        <v>0</v>
      </c>
      <c r="BF169" s="51">
        <f>169</f>
        <v>169</v>
      </c>
      <c r="BH169" s="51">
        <f t="shared" si="77"/>
        <v>0</v>
      </c>
      <c r="BI169" s="51">
        <f t="shared" si="78"/>
        <v>0</v>
      </c>
      <c r="BJ169" s="51">
        <f t="shared" si="79"/>
        <v>0</v>
      </c>
      <c r="BK169" s="51"/>
      <c r="BL169" s="51">
        <v>725</v>
      </c>
      <c r="BW169" s="51">
        <v>12</v>
      </c>
      <c r="BX169" s="3" t="s">
        <v>460</v>
      </c>
    </row>
    <row r="170" spans="1:76">
      <c r="A170" s="1" t="s">
        <v>461</v>
      </c>
      <c r="B170" s="2" t="s">
        <v>462</v>
      </c>
      <c r="C170" s="75" t="s">
        <v>463</v>
      </c>
      <c r="D170" s="70"/>
      <c r="E170" s="2" t="s">
        <v>129</v>
      </c>
      <c r="F170" s="51">
        <v>1</v>
      </c>
      <c r="G170" s="52">
        <v>0</v>
      </c>
      <c r="H170" s="51">
        <f t="shared" si="60"/>
        <v>0</v>
      </c>
      <c r="J170" s="41"/>
      <c r="Z170" s="51">
        <f t="shared" si="61"/>
        <v>0</v>
      </c>
      <c r="AB170" s="51">
        <f t="shared" si="62"/>
        <v>0</v>
      </c>
      <c r="AC170" s="51">
        <f t="shared" si="63"/>
        <v>0</v>
      </c>
      <c r="AD170" s="51">
        <f t="shared" si="64"/>
        <v>0</v>
      </c>
      <c r="AE170" s="51">
        <f t="shared" si="65"/>
        <v>0</v>
      </c>
      <c r="AF170" s="51">
        <f t="shared" si="66"/>
        <v>0</v>
      </c>
      <c r="AG170" s="51">
        <f t="shared" si="67"/>
        <v>0</v>
      </c>
      <c r="AH170" s="51">
        <f t="shared" si="68"/>
        <v>0</v>
      </c>
      <c r="AI170" s="35" t="s">
        <v>4</v>
      </c>
      <c r="AJ170" s="51">
        <f t="shared" si="69"/>
        <v>0</v>
      </c>
      <c r="AK170" s="51">
        <f t="shared" si="70"/>
        <v>0</v>
      </c>
      <c r="AL170" s="51">
        <f t="shared" si="71"/>
        <v>0</v>
      </c>
      <c r="AN170" s="51">
        <v>12</v>
      </c>
      <c r="AO170" s="51">
        <f>G170*1</f>
        <v>0</v>
      </c>
      <c r="AP170" s="51">
        <f>G170*(1-1)</f>
        <v>0</v>
      </c>
      <c r="AQ170" s="53" t="s">
        <v>149</v>
      </c>
      <c r="AV170" s="51">
        <f t="shared" si="72"/>
        <v>0</v>
      </c>
      <c r="AW170" s="51">
        <f t="shared" si="73"/>
        <v>0</v>
      </c>
      <c r="AX170" s="51">
        <f t="shared" si="74"/>
        <v>0</v>
      </c>
      <c r="AY170" s="53" t="s">
        <v>417</v>
      </c>
      <c r="AZ170" s="53" t="s">
        <v>350</v>
      </c>
      <c r="BA170" s="35" t="s">
        <v>117</v>
      </c>
      <c r="BC170" s="51">
        <f t="shared" si="75"/>
        <v>0</v>
      </c>
      <c r="BD170" s="51">
        <f t="shared" si="76"/>
        <v>0</v>
      </c>
      <c r="BE170" s="51">
        <v>0</v>
      </c>
      <c r="BF170" s="51">
        <f>170</f>
        <v>170</v>
      </c>
      <c r="BH170" s="51">
        <f t="shared" si="77"/>
        <v>0</v>
      </c>
      <c r="BI170" s="51">
        <f t="shared" si="78"/>
        <v>0</v>
      </c>
      <c r="BJ170" s="51">
        <f t="shared" si="79"/>
        <v>0</v>
      </c>
      <c r="BK170" s="51"/>
      <c r="BL170" s="51">
        <v>725</v>
      </c>
      <c r="BW170" s="51">
        <v>12</v>
      </c>
      <c r="BX170" s="3" t="s">
        <v>463</v>
      </c>
    </row>
    <row r="171" spans="1:76">
      <c r="A171" s="1" t="s">
        <v>464</v>
      </c>
      <c r="B171" s="2" t="s">
        <v>465</v>
      </c>
      <c r="C171" s="75" t="s">
        <v>466</v>
      </c>
      <c r="D171" s="70"/>
      <c r="E171" s="2" t="s">
        <v>282</v>
      </c>
      <c r="F171" s="51">
        <v>0.3</v>
      </c>
      <c r="G171" s="52">
        <v>0</v>
      </c>
      <c r="H171" s="51">
        <f t="shared" si="60"/>
        <v>0</v>
      </c>
      <c r="J171" s="41"/>
      <c r="Z171" s="51">
        <f t="shared" si="61"/>
        <v>0</v>
      </c>
      <c r="AB171" s="51">
        <f t="shared" si="62"/>
        <v>0</v>
      </c>
      <c r="AC171" s="51">
        <f t="shared" si="63"/>
        <v>0</v>
      </c>
      <c r="AD171" s="51">
        <f t="shared" si="64"/>
        <v>0</v>
      </c>
      <c r="AE171" s="51">
        <f t="shared" si="65"/>
        <v>0</v>
      </c>
      <c r="AF171" s="51">
        <f t="shared" si="66"/>
        <v>0</v>
      </c>
      <c r="AG171" s="51">
        <f t="shared" si="67"/>
        <v>0</v>
      </c>
      <c r="AH171" s="51">
        <f t="shared" si="68"/>
        <v>0</v>
      </c>
      <c r="AI171" s="35" t="s">
        <v>4</v>
      </c>
      <c r="AJ171" s="51">
        <f t="shared" si="69"/>
        <v>0</v>
      </c>
      <c r="AK171" s="51">
        <f t="shared" si="70"/>
        <v>0</v>
      </c>
      <c r="AL171" s="51">
        <f t="shared" si="71"/>
        <v>0</v>
      </c>
      <c r="AN171" s="51">
        <v>12</v>
      </c>
      <c r="AO171" s="51">
        <f>G171*0</f>
        <v>0</v>
      </c>
      <c r="AP171" s="51">
        <f>G171*(1-0)</f>
        <v>0</v>
      </c>
      <c r="AQ171" s="53" t="s">
        <v>149</v>
      </c>
      <c r="AV171" s="51">
        <f t="shared" si="72"/>
        <v>0</v>
      </c>
      <c r="AW171" s="51">
        <f t="shared" si="73"/>
        <v>0</v>
      </c>
      <c r="AX171" s="51">
        <f t="shared" si="74"/>
        <v>0</v>
      </c>
      <c r="AY171" s="53" t="s">
        <v>417</v>
      </c>
      <c r="AZ171" s="53" t="s">
        <v>350</v>
      </c>
      <c r="BA171" s="35" t="s">
        <v>117</v>
      </c>
      <c r="BC171" s="51">
        <f t="shared" si="75"/>
        <v>0</v>
      </c>
      <c r="BD171" s="51">
        <f t="shared" si="76"/>
        <v>0</v>
      </c>
      <c r="BE171" s="51">
        <v>0</v>
      </c>
      <c r="BF171" s="51">
        <f>171</f>
        <v>171</v>
      </c>
      <c r="BH171" s="51">
        <f t="shared" si="77"/>
        <v>0</v>
      </c>
      <c r="BI171" s="51">
        <f t="shared" si="78"/>
        <v>0</v>
      </c>
      <c r="BJ171" s="51">
        <f t="shared" si="79"/>
        <v>0</v>
      </c>
      <c r="BK171" s="51"/>
      <c r="BL171" s="51">
        <v>725</v>
      </c>
      <c r="BW171" s="51">
        <v>12</v>
      </c>
      <c r="BX171" s="3" t="s">
        <v>466</v>
      </c>
    </row>
    <row r="172" spans="1:76">
      <c r="A172" s="47" t="s">
        <v>4</v>
      </c>
      <c r="B172" s="48" t="s">
        <v>467</v>
      </c>
      <c r="C172" s="150" t="s">
        <v>468</v>
      </c>
      <c r="D172" s="151"/>
      <c r="E172" s="49" t="s">
        <v>79</v>
      </c>
      <c r="F172" s="49" t="s">
        <v>79</v>
      </c>
      <c r="G172" s="50" t="s">
        <v>79</v>
      </c>
      <c r="H172" s="28">
        <f>SUM(H173:H175)</f>
        <v>0</v>
      </c>
      <c r="J172" s="41"/>
      <c r="AI172" s="35" t="s">
        <v>4</v>
      </c>
      <c r="AS172" s="28">
        <f>SUM(AJ173:AJ175)</f>
        <v>0</v>
      </c>
      <c r="AT172" s="28">
        <f>SUM(AK173:AK175)</f>
        <v>0</v>
      </c>
      <c r="AU172" s="28">
        <f>SUM(AL173:AL175)</f>
        <v>0</v>
      </c>
    </row>
    <row r="173" spans="1:76">
      <c r="A173" s="1" t="s">
        <v>469</v>
      </c>
      <c r="B173" s="2" t="s">
        <v>470</v>
      </c>
      <c r="C173" s="75" t="s">
        <v>471</v>
      </c>
      <c r="D173" s="70"/>
      <c r="E173" s="2" t="s">
        <v>416</v>
      </c>
      <c r="F173" s="51">
        <v>1</v>
      </c>
      <c r="G173" s="52">
        <v>0</v>
      </c>
      <c r="H173" s="51">
        <f>F173*G173</f>
        <v>0</v>
      </c>
      <c r="J173" s="41"/>
      <c r="Z173" s="51">
        <f>IF(AQ173="5",BJ173,0)</f>
        <v>0</v>
      </c>
      <c r="AB173" s="51">
        <f>IF(AQ173="1",BH173,0)</f>
        <v>0</v>
      </c>
      <c r="AC173" s="51">
        <f>IF(AQ173="1",BI173,0)</f>
        <v>0</v>
      </c>
      <c r="AD173" s="51">
        <f>IF(AQ173="7",BH173,0)</f>
        <v>0</v>
      </c>
      <c r="AE173" s="51">
        <f>IF(AQ173="7",BI173,0)</f>
        <v>0</v>
      </c>
      <c r="AF173" s="51">
        <f>IF(AQ173="2",BH173,0)</f>
        <v>0</v>
      </c>
      <c r="AG173" s="51">
        <f>IF(AQ173="2",BI173,0)</f>
        <v>0</v>
      </c>
      <c r="AH173" s="51">
        <f>IF(AQ173="0",BJ173,0)</f>
        <v>0</v>
      </c>
      <c r="AI173" s="35" t="s">
        <v>4</v>
      </c>
      <c r="AJ173" s="51">
        <f>IF(AN173=0,H173,0)</f>
        <v>0</v>
      </c>
      <c r="AK173" s="51">
        <f>IF(AN173=12,H173,0)</f>
        <v>0</v>
      </c>
      <c r="AL173" s="51">
        <f>IF(AN173=21,H173,0)</f>
        <v>0</v>
      </c>
      <c r="AN173" s="51">
        <v>12</v>
      </c>
      <c r="AO173" s="51">
        <f>G173*0</f>
        <v>0</v>
      </c>
      <c r="AP173" s="51">
        <f>G173*(1-0)</f>
        <v>0</v>
      </c>
      <c r="AQ173" s="53" t="s">
        <v>149</v>
      </c>
      <c r="AV173" s="51">
        <f>AW173+AX173</f>
        <v>0</v>
      </c>
      <c r="AW173" s="51">
        <f>F173*AO173</f>
        <v>0</v>
      </c>
      <c r="AX173" s="51">
        <f>F173*AP173</f>
        <v>0</v>
      </c>
      <c r="AY173" s="53" t="s">
        <v>472</v>
      </c>
      <c r="AZ173" s="53" t="s">
        <v>350</v>
      </c>
      <c r="BA173" s="35" t="s">
        <v>117</v>
      </c>
      <c r="BC173" s="51">
        <f>AW173+AX173</f>
        <v>0</v>
      </c>
      <c r="BD173" s="51">
        <f>G173/(100-BE173)*100</f>
        <v>0</v>
      </c>
      <c r="BE173" s="51">
        <v>0</v>
      </c>
      <c r="BF173" s="51">
        <f>173</f>
        <v>173</v>
      </c>
      <c r="BH173" s="51">
        <f>F173*AO173</f>
        <v>0</v>
      </c>
      <c r="BI173" s="51">
        <f>F173*AP173</f>
        <v>0</v>
      </c>
      <c r="BJ173" s="51">
        <f>F173*G173</f>
        <v>0</v>
      </c>
      <c r="BK173" s="51"/>
      <c r="BL173" s="51">
        <v>728</v>
      </c>
      <c r="BW173" s="51">
        <v>12</v>
      </c>
      <c r="BX173" s="3" t="s">
        <v>471</v>
      </c>
    </row>
    <row r="174" spans="1:76">
      <c r="A174" s="1" t="s">
        <v>473</v>
      </c>
      <c r="B174" s="2" t="s">
        <v>474</v>
      </c>
      <c r="C174" s="75" t="s">
        <v>475</v>
      </c>
      <c r="D174" s="70"/>
      <c r="E174" s="2" t="s">
        <v>129</v>
      </c>
      <c r="F174" s="51">
        <v>1</v>
      </c>
      <c r="G174" s="52">
        <v>0</v>
      </c>
      <c r="H174" s="51">
        <f>F174*G174</f>
        <v>0</v>
      </c>
      <c r="J174" s="41"/>
      <c r="Z174" s="51">
        <f>IF(AQ174="5",BJ174,0)</f>
        <v>0</v>
      </c>
      <c r="AB174" s="51">
        <f>IF(AQ174="1",BH174,0)</f>
        <v>0</v>
      </c>
      <c r="AC174" s="51">
        <f>IF(AQ174="1",BI174,0)</f>
        <v>0</v>
      </c>
      <c r="AD174" s="51">
        <f>IF(AQ174="7",BH174,0)</f>
        <v>0</v>
      </c>
      <c r="AE174" s="51">
        <f>IF(AQ174="7",BI174,0)</f>
        <v>0</v>
      </c>
      <c r="AF174" s="51">
        <f>IF(AQ174="2",BH174,0)</f>
        <v>0</v>
      </c>
      <c r="AG174" s="51">
        <f>IF(AQ174="2",BI174,0)</f>
        <v>0</v>
      </c>
      <c r="AH174" s="51">
        <f>IF(AQ174="0",BJ174,0)</f>
        <v>0</v>
      </c>
      <c r="AI174" s="35" t="s">
        <v>4</v>
      </c>
      <c r="AJ174" s="51">
        <f>IF(AN174=0,H174,0)</f>
        <v>0</v>
      </c>
      <c r="AK174" s="51">
        <f>IF(AN174=12,H174,0)</f>
        <v>0</v>
      </c>
      <c r="AL174" s="51">
        <f>IF(AN174=21,H174,0)</f>
        <v>0</v>
      </c>
      <c r="AN174" s="51">
        <v>12</v>
      </c>
      <c r="AO174" s="51">
        <f>G174*0</f>
        <v>0</v>
      </c>
      <c r="AP174" s="51">
        <f>G174*(1-0)</f>
        <v>0</v>
      </c>
      <c r="AQ174" s="53" t="s">
        <v>149</v>
      </c>
      <c r="AV174" s="51">
        <f>AW174+AX174</f>
        <v>0</v>
      </c>
      <c r="AW174" s="51">
        <f>F174*AO174</f>
        <v>0</v>
      </c>
      <c r="AX174" s="51">
        <f>F174*AP174</f>
        <v>0</v>
      </c>
      <c r="AY174" s="53" t="s">
        <v>472</v>
      </c>
      <c r="AZ174" s="53" t="s">
        <v>350</v>
      </c>
      <c r="BA174" s="35" t="s">
        <v>117</v>
      </c>
      <c r="BC174" s="51">
        <f>AW174+AX174</f>
        <v>0</v>
      </c>
      <c r="BD174" s="51">
        <f>G174/(100-BE174)*100</f>
        <v>0</v>
      </c>
      <c r="BE174" s="51">
        <v>0</v>
      </c>
      <c r="BF174" s="51">
        <f>174</f>
        <v>174</v>
      </c>
      <c r="BH174" s="51">
        <f>F174*AO174</f>
        <v>0</v>
      </c>
      <c r="BI174" s="51">
        <f>F174*AP174</f>
        <v>0</v>
      </c>
      <c r="BJ174" s="51">
        <f>F174*G174</f>
        <v>0</v>
      </c>
      <c r="BK174" s="51"/>
      <c r="BL174" s="51">
        <v>728</v>
      </c>
      <c r="BW174" s="51">
        <v>12</v>
      </c>
      <c r="BX174" s="3" t="s">
        <v>475</v>
      </c>
    </row>
    <row r="175" spans="1:76">
      <c r="A175" s="1" t="s">
        <v>476</v>
      </c>
      <c r="B175" s="2" t="s">
        <v>477</v>
      </c>
      <c r="C175" s="75" t="s">
        <v>478</v>
      </c>
      <c r="D175" s="70"/>
      <c r="E175" s="2" t="s">
        <v>129</v>
      </c>
      <c r="F175" s="51">
        <v>1</v>
      </c>
      <c r="G175" s="52">
        <v>0</v>
      </c>
      <c r="H175" s="51">
        <f>F175*G175</f>
        <v>0</v>
      </c>
      <c r="J175" s="41"/>
      <c r="Z175" s="51">
        <f>IF(AQ175="5",BJ175,0)</f>
        <v>0</v>
      </c>
      <c r="AB175" s="51">
        <f>IF(AQ175="1",BH175,0)</f>
        <v>0</v>
      </c>
      <c r="AC175" s="51">
        <f>IF(AQ175="1",BI175,0)</f>
        <v>0</v>
      </c>
      <c r="AD175" s="51">
        <f>IF(AQ175="7",BH175,0)</f>
        <v>0</v>
      </c>
      <c r="AE175" s="51">
        <f>IF(AQ175="7",BI175,0)</f>
        <v>0</v>
      </c>
      <c r="AF175" s="51">
        <f>IF(AQ175="2",BH175,0)</f>
        <v>0</v>
      </c>
      <c r="AG175" s="51">
        <f>IF(AQ175="2",BI175,0)</f>
        <v>0</v>
      </c>
      <c r="AH175" s="51">
        <f>IF(AQ175="0",BJ175,0)</f>
        <v>0</v>
      </c>
      <c r="AI175" s="35" t="s">
        <v>4</v>
      </c>
      <c r="AJ175" s="51">
        <f>IF(AN175=0,H175,0)</f>
        <v>0</v>
      </c>
      <c r="AK175" s="51">
        <f>IF(AN175=12,H175,0)</f>
        <v>0</v>
      </c>
      <c r="AL175" s="51">
        <f>IF(AN175=21,H175,0)</f>
        <v>0</v>
      </c>
      <c r="AN175" s="51">
        <v>12</v>
      </c>
      <c r="AO175" s="51">
        <f>G175*1</f>
        <v>0</v>
      </c>
      <c r="AP175" s="51">
        <f>G175*(1-1)</f>
        <v>0</v>
      </c>
      <c r="AQ175" s="53" t="s">
        <v>149</v>
      </c>
      <c r="AV175" s="51">
        <f>AW175+AX175</f>
        <v>0</v>
      </c>
      <c r="AW175" s="51">
        <f>F175*AO175</f>
        <v>0</v>
      </c>
      <c r="AX175" s="51">
        <f>F175*AP175</f>
        <v>0</v>
      </c>
      <c r="AY175" s="53" t="s">
        <v>472</v>
      </c>
      <c r="AZ175" s="53" t="s">
        <v>350</v>
      </c>
      <c r="BA175" s="35" t="s">
        <v>117</v>
      </c>
      <c r="BC175" s="51">
        <f>AW175+AX175</f>
        <v>0</v>
      </c>
      <c r="BD175" s="51">
        <f>G175/(100-BE175)*100</f>
        <v>0</v>
      </c>
      <c r="BE175" s="51">
        <v>0</v>
      </c>
      <c r="BF175" s="51">
        <f>175</f>
        <v>175</v>
      </c>
      <c r="BH175" s="51">
        <f>F175*AO175</f>
        <v>0</v>
      </c>
      <c r="BI175" s="51">
        <f>F175*AP175</f>
        <v>0</v>
      </c>
      <c r="BJ175" s="51">
        <f>F175*G175</f>
        <v>0</v>
      </c>
      <c r="BK175" s="51"/>
      <c r="BL175" s="51">
        <v>728</v>
      </c>
      <c r="BW175" s="51">
        <v>12</v>
      </c>
      <c r="BX175" s="3" t="s">
        <v>478</v>
      </c>
    </row>
    <row r="176" spans="1:76">
      <c r="A176" s="47" t="s">
        <v>4</v>
      </c>
      <c r="B176" s="48" t="s">
        <v>479</v>
      </c>
      <c r="C176" s="150" t="s">
        <v>480</v>
      </c>
      <c r="D176" s="151"/>
      <c r="E176" s="49" t="s">
        <v>79</v>
      </c>
      <c r="F176" s="49" t="s">
        <v>79</v>
      </c>
      <c r="G176" s="50" t="s">
        <v>79</v>
      </c>
      <c r="H176" s="28">
        <f>SUM(H177:H177)</f>
        <v>0</v>
      </c>
      <c r="J176" s="41"/>
      <c r="AI176" s="35" t="s">
        <v>4</v>
      </c>
      <c r="AS176" s="28">
        <f>SUM(AJ177:AJ177)</f>
        <v>0</v>
      </c>
      <c r="AT176" s="28">
        <f>SUM(AK177:AK177)</f>
        <v>0</v>
      </c>
      <c r="AU176" s="28">
        <f>SUM(AL177:AL177)</f>
        <v>0</v>
      </c>
    </row>
    <row r="177" spans="1:76">
      <c r="A177" s="1" t="s">
        <v>481</v>
      </c>
      <c r="B177" s="2" t="s">
        <v>482</v>
      </c>
      <c r="C177" s="75" t="s">
        <v>483</v>
      </c>
      <c r="D177" s="70"/>
      <c r="E177" s="2" t="s">
        <v>261</v>
      </c>
      <c r="F177" s="51">
        <v>1</v>
      </c>
      <c r="G177" s="52">
        <v>0</v>
      </c>
      <c r="H177" s="51">
        <f>F177*G177</f>
        <v>0</v>
      </c>
      <c r="J177" s="41"/>
      <c r="Z177" s="51">
        <f>IF(AQ177="5",BJ177,0)</f>
        <v>0</v>
      </c>
      <c r="AB177" s="51">
        <f>IF(AQ177="1",BH177,0)</f>
        <v>0</v>
      </c>
      <c r="AC177" s="51">
        <f>IF(AQ177="1",BI177,0)</f>
        <v>0</v>
      </c>
      <c r="AD177" s="51">
        <f>IF(AQ177="7",BH177,0)</f>
        <v>0</v>
      </c>
      <c r="AE177" s="51">
        <f>IF(AQ177="7",BI177,0)</f>
        <v>0</v>
      </c>
      <c r="AF177" s="51">
        <f>IF(AQ177="2",BH177,0)</f>
        <v>0</v>
      </c>
      <c r="AG177" s="51">
        <f>IF(AQ177="2",BI177,0)</f>
        <v>0</v>
      </c>
      <c r="AH177" s="51">
        <f>IF(AQ177="0",BJ177,0)</f>
        <v>0</v>
      </c>
      <c r="AI177" s="35" t="s">
        <v>4</v>
      </c>
      <c r="AJ177" s="51">
        <f>IF(AN177=0,H177,0)</f>
        <v>0</v>
      </c>
      <c r="AK177" s="51">
        <f>IF(AN177=12,H177,0)</f>
        <v>0</v>
      </c>
      <c r="AL177" s="51">
        <f>IF(AN177=21,H177,0)</f>
        <v>0</v>
      </c>
      <c r="AN177" s="51">
        <v>12</v>
      </c>
      <c r="AO177" s="51">
        <f>G177*0.3452</f>
        <v>0</v>
      </c>
      <c r="AP177" s="51">
        <f>G177*(1-0.3452)</f>
        <v>0</v>
      </c>
      <c r="AQ177" s="53" t="s">
        <v>149</v>
      </c>
      <c r="AV177" s="51">
        <f>AW177+AX177</f>
        <v>0</v>
      </c>
      <c r="AW177" s="51">
        <f>F177*AO177</f>
        <v>0</v>
      </c>
      <c r="AX177" s="51">
        <f>F177*AP177</f>
        <v>0</v>
      </c>
      <c r="AY177" s="53" t="s">
        <v>484</v>
      </c>
      <c r="AZ177" s="53" t="s">
        <v>485</v>
      </c>
      <c r="BA177" s="35" t="s">
        <v>117</v>
      </c>
      <c r="BC177" s="51">
        <f>AW177+AX177</f>
        <v>0</v>
      </c>
      <c r="BD177" s="51">
        <f>G177/(100-BE177)*100</f>
        <v>0</v>
      </c>
      <c r="BE177" s="51">
        <v>0</v>
      </c>
      <c r="BF177" s="51">
        <f>177</f>
        <v>177</v>
      </c>
      <c r="BH177" s="51">
        <f>F177*AO177</f>
        <v>0</v>
      </c>
      <c r="BI177" s="51">
        <f>F177*AP177</f>
        <v>0</v>
      </c>
      <c r="BJ177" s="51">
        <f>F177*G177</f>
        <v>0</v>
      </c>
      <c r="BK177" s="51"/>
      <c r="BL177" s="51">
        <v>735</v>
      </c>
      <c r="BW177" s="51">
        <v>12</v>
      </c>
      <c r="BX177" s="3" t="s">
        <v>483</v>
      </c>
    </row>
    <row r="178" spans="1:76">
      <c r="A178" s="47" t="s">
        <v>4</v>
      </c>
      <c r="B178" s="48" t="s">
        <v>486</v>
      </c>
      <c r="C178" s="150" t="s">
        <v>487</v>
      </c>
      <c r="D178" s="151"/>
      <c r="E178" s="49" t="s">
        <v>79</v>
      </c>
      <c r="F178" s="49" t="s">
        <v>79</v>
      </c>
      <c r="G178" s="50" t="s">
        <v>79</v>
      </c>
      <c r="H178" s="28">
        <f>SUM(H179:H192)</f>
        <v>0</v>
      </c>
      <c r="J178" s="41"/>
      <c r="AI178" s="35" t="s">
        <v>4</v>
      </c>
      <c r="AS178" s="28">
        <f>SUM(AJ179:AJ192)</f>
        <v>0</v>
      </c>
      <c r="AT178" s="28">
        <f>SUM(AK179:AK192)</f>
        <v>0</v>
      </c>
      <c r="AU178" s="28">
        <f>SUM(AL179:AL192)</f>
        <v>0</v>
      </c>
    </row>
    <row r="179" spans="1:76">
      <c r="A179" s="1" t="s">
        <v>488</v>
      </c>
      <c r="B179" s="2" t="s">
        <v>489</v>
      </c>
      <c r="C179" s="75" t="s">
        <v>490</v>
      </c>
      <c r="D179" s="70"/>
      <c r="E179" s="2" t="s">
        <v>129</v>
      </c>
      <c r="F179" s="51">
        <v>4</v>
      </c>
      <c r="G179" s="52">
        <v>0</v>
      </c>
      <c r="H179" s="51">
        <f>F179*G179</f>
        <v>0</v>
      </c>
      <c r="J179" s="41"/>
      <c r="Z179" s="51">
        <f>IF(AQ179="5",BJ179,0)</f>
        <v>0</v>
      </c>
      <c r="AB179" s="51">
        <f>IF(AQ179="1",BH179,0)</f>
        <v>0</v>
      </c>
      <c r="AC179" s="51">
        <f>IF(AQ179="1",BI179,0)</f>
        <v>0</v>
      </c>
      <c r="AD179" s="51">
        <f>IF(AQ179="7",BH179,0)</f>
        <v>0</v>
      </c>
      <c r="AE179" s="51">
        <f>IF(AQ179="7",BI179,0)</f>
        <v>0</v>
      </c>
      <c r="AF179" s="51">
        <f>IF(AQ179="2",BH179,0)</f>
        <v>0</v>
      </c>
      <c r="AG179" s="51">
        <f>IF(AQ179="2",BI179,0)</f>
        <v>0</v>
      </c>
      <c r="AH179" s="51">
        <f>IF(AQ179="0",BJ179,0)</f>
        <v>0</v>
      </c>
      <c r="AI179" s="35" t="s">
        <v>4</v>
      </c>
      <c r="AJ179" s="51">
        <f>IF(AN179=0,H179,0)</f>
        <v>0</v>
      </c>
      <c r="AK179" s="51">
        <f>IF(AN179=12,H179,0)</f>
        <v>0</v>
      </c>
      <c r="AL179" s="51">
        <f>IF(AN179=21,H179,0)</f>
        <v>0</v>
      </c>
      <c r="AN179" s="51">
        <v>12</v>
      </c>
      <c r="AO179" s="51">
        <f>G179*0</f>
        <v>0</v>
      </c>
      <c r="AP179" s="51">
        <f>G179*(1-0)</f>
        <v>0</v>
      </c>
      <c r="AQ179" s="53" t="s">
        <v>149</v>
      </c>
      <c r="AV179" s="51">
        <f>AW179+AX179</f>
        <v>0</v>
      </c>
      <c r="AW179" s="51">
        <f>F179*AO179</f>
        <v>0</v>
      </c>
      <c r="AX179" s="51">
        <f>F179*AP179</f>
        <v>0</v>
      </c>
      <c r="AY179" s="53" t="s">
        <v>491</v>
      </c>
      <c r="AZ179" s="53" t="s">
        <v>492</v>
      </c>
      <c r="BA179" s="35" t="s">
        <v>117</v>
      </c>
      <c r="BC179" s="51">
        <f>AW179+AX179</f>
        <v>0</v>
      </c>
      <c r="BD179" s="51">
        <f>G179/(100-BE179)*100</f>
        <v>0</v>
      </c>
      <c r="BE179" s="51">
        <v>0</v>
      </c>
      <c r="BF179" s="51">
        <f>179</f>
        <v>179</v>
      </c>
      <c r="BH179" s="51">
        <f>F179*AO179</f>
        <v>0</v>
      </c>
      <c r="BI179" s="51">
        <f>F179*AP179</f>
        <v>0</v>
      </c>
      <c r="BJ179" s="51">
        <f>F179*G179</f>
        <v>0</v>
      </c>
      <c r="BK179" s="51"/>
      <c r="BL179" s="51">
        <v>766</v>
      </c>
      <c r="BW179" s="51">
        <v>12</v>
      </c>
      <c r="BX179" s="3" t="s">
        <v>490</v>
      </c>
    </row>
    <row r="180" spans="1:76">
      <c r="A180" s="54"/>
      <c r="C180" s="55" t="s">
        <v>132</v>
      </c>
      <c r="D180" s="56" t="s">
        <v>493</v>
      </c>
      <c r="F180" s="57">
        <v>4</v>
      </c>
      <c r="J180" s="41"/>
    </row>
    <row r="181" spans="1:76">
      <c r="A181" s="1" t="s">
        <v>494</v>
      </c>
      <c r="B181" s="2" t="s">
        <v>495</v>
      </c>
      <c r="C181" s="75" t="s">
        <v>496</v>
      </c>
      <c r="D181" s="70"/>
      <c r="E181" s="2" t="s">
        <v>129</v>
      </c>
      <c r="F181" s="51">
        <v>1</v>
      </c>
      <c r="G181" s="52">
        <v>0</v>
      </c>
      <c r="H181" s="51">
        <f t="shared" ref="H181:H192" si="80">F181*G181</f>
        <v>0</v>
      </c>
      <c r="J181" s="41"/>
      <c r="Z181" s="51">
        <f t="shared" ref="Z181:Z192" si="81">IF(AQ181="5",BJ181,0)</f>
        <v>0</v>
      </c>
      <c r="AB181" s="51">
        <f t="shared" ref="AB181:AB192" si="82">IF(AQ181="1",BH181,0)</f>
        <v>0</v>
      </c>
      <c r="AC181" s="51">
        <f t="shared" ref="AC181:AC192" si="83">IF(AQ181="1",BI181,0)</f>
        <v>0</v>
      </c>
      <c r="AD181" s="51">
        <f t="shared" ref="AD181:AD192" si="84">IF(AQ181="7",BH181,0)</f>
        <v>0</v>
      </c>
      <c r="AE181" s="51">
        <f t="shared" ref="AE181:AE192" si="85">IF(AQ181="7",BI181,0)</f>
        <v>0</v>
      </c>
      <c r="AF181" s="51">
        <f t="shared" ref="AF181:AF192" si="86">IF(AQ181="2",BH181,0)</f>
        <v>0</v>
      </c>
      <c r="AG181" s="51">
        <f t="shared" ref="AG181:AG192" si="87">IF(AQ181="2",BI181,0)</f>
        <v>0</v>
      </c>
      <c r="AH181" s="51">
        <f t="shared" ref="AH181:AH192" si="88">IF(AQ181="0",BJ181,0)</f>
        <v>0</v>
      </c>
      <c r="AI181" s="35" t="s">
        <v>4</v>
      </c>
      <c r="AJ181" s="51">
        <f t="shared" ref="AJ181:AJ192" si="89">IF(AN181=0,H181,0)</f>
        <v>0</v>
      </c>
      <c r="AK181" s="51">
        <f t="shared" ref="AK181:AK192" si="90">IF(AN181=12,H181,0)</f>
        <v>0</v>
      </c>
      <c r="AL181" s="51">
        <f t="shared" ref="AL181:AL192" si="91">IF(AN181=21,H181,0)</f>
        <v>0</v>
      </c>
      <c r="AN181" s="51">
        <v>12</v>
      </c>
      <c r="AO181" s="51">
        <f t="shared" ref="AO181:AO187" si="92">G181*0</f>
        <v>0</v>
      </c>
      <c r="AP181" s="51">
        <f t="shared" ref="AP181:AP187" si="93">G181*(1-0)</f>
        <v>0</v>
      </c>
      <c r="AQ181" s="53" t="s">
        <v>149</v>
      </c>
      <c r="AV181" s="51">
        <f t="shared" ref="AV181:AV192" si="94">AW181+AX181</f>
        <v>0</v>
      </c>
      <c r="AW181" s="51">
        <f t="shared" ref="AW181:AW192" si="95">F181*AO181</f>
        <v>0</v>
      </c>
      <c r="AX181" s="51">
        <f t="shared" ref="AX181:AX192" si="96">F181*AP181</f>
        <v>0</v>
      </c>
      <c r="AY181" s="53" t="s">
        <v>491</v>
      </c>
      <c r="AZ181" s="53" t="s">
        <v>492</v>
      </c>
      <c r="BA181" s="35" t="s">
        <v>117</v>
      </c>
      <c r="BC181" s="51">
        <f t="shared" ref="BC181:BC192" si="97">AW181+AX181</f>
        <v>0</v>
      </c>
      <c r="BD181" s="51">
        <f t="shared" ref="BD181:BD192" si="98">G181/(100-BE181)*100</f>
        <v>0</v>
      </c>
      <c r="BE181" s="51">
        <v>0</v>
      </c>
      <c r="BF181" s="51">
        <f>181</f>
        <v>181</v>
      </c>
      <c r="BH181" s="51">
        <f t="shared" ref="BH181:BH192" si="99">F181*AO181</f>
        <v>0</v>
      </c>
      <c r="BI181" s="51">
        <f t="shared" ref="BI181:BI192" si="100">F181*AP181</f>
        <v>0</v>
      </c>
      <c r="BJ181" s="51">
        <f t="shared" ref="BJ181:BJ192" si="101">F181*G181</f>
        <v>0</v>
      </c>
      <c r="BK181" s="51"/>
      <c r="BL181" s="51">
        <v>766</v>
      </c>
      <c r="BW181" s="51">
        <v>12</v>
      </c>
      <c r="BX181" s="3" t="s">
        <v>496</v>
      </c>
    </row>
    <row r="182" spans="1:76">
      <c r="A182" s="1" t="s">
        <v>497</v>
      </c>
      <c r="B182" s="2" t="s">
        <v>498</v>
      </c>
      <c r="C182" s="75" t="s">
        <v>499</v>
      </c>
      <c r="D182" s="70"/>
      <c r="E182" s="2" t="s">
        <v>129</v>
      </c>
      <c r="F182" s="51">
        <v>2</v>
      </c>
      <c r="G182" s="52">
        <v>0</v>
      </c>
      <c r="H182" s="51">
        <f t="shared" si="80"/>
        <v>0</v>
      </c>
      <c r="J182" s="41"/>
      <c r="Z182" s="51">
        <f t="shared" si="81"/>
        <v>0</v>
      </c>
      <c r="AB182" s="51">
        <f t="shared" si="82"/>
        <v>0</v>
      </c>
      <c r="AC182" s="51">
        <f t="shared" si="83"/>
        <v>0</v>
      </c>
      <c r="AD182" s="51">
        <f t="shared" si="84"/>
        <v>0</v>
      </c>
      <c r="AE182" s="51">
        <f t="shared" si="85"/>
        <v>0</v>
      </c>
      <c r="AF182" s="51">
        <f t="shared" si="86"/>
        <v>0</v>
      </c>
      <c r="AG182" s="51">
        <f t="shared" si="87"/>
        <v>0</v>
      </c>
      <c r="AH182" s="51">
        <f t="shared" si="88"/>
        <v>0</v>
      </c>
      <c r="AI182" s="35" t="s">
        <v>4</v>
      </c>
      <c r="AJ182" s="51">
        <f t="shared" si="89"/>
        <v>0</v>
      </c>
      <c r="AK182" s="51">
        <f t="shared" si="90"/>
        <v>0</v>
      </c>
      <c r="AL182" s="51">
        <f t="shared" si="91"/>
        <v>0</v>
      </c>
      <c r="AN182" s="51">
        <v>12</v>
      </c>
      <c r="AO182" s="51">
        <f t="shared" si="92"/>
        <v>0</v>
      </c>
      <c r="AP182" s="51">
        <f t="shared" si="93"/>
        <v>0</v>
      </c>
      <c r="AQ182" s="53" t="s">
        <v>149</v>
      </c>
      <c r="AV182" s="51">
        <f t="shared" si="94"/>
        <v>0</v>
      </c>
      <c r="AW182" s="51">
        <f t="shared" si="95"/>
        <v>0</v>
      </c>
      <c r="AX182" s="51">
        <f t="shared" si="96"/>
        <v>0</v>
      </c>
      <c r="AY182" s="53" t="s">
        <v>491</v>
      </c>
      <c r="AZ182" s="53" t="s">
        <v>492</v>
      </c>
      <c r="BA182" s="35" t="s">
        <v>117</v>
      </c>
      <c r="BC182" s="51">
        <f t="shared" si="97"/>
        <v>0</v>
      </c>
      <c r="BD182" s="51">
        <f t="shared" si="98"/>
        <v>0</v>
      </c>
      <c r="BE182" s="51">
        <v>0</v>
      </c>
      <c r="BF182" s="51">
        <f>182</f>
        <v>182</v>
      </c>
      <c r="BH182" s="51">
        <f t="shared" si="99"/>
        <v>0</v>
      </c>
      <c r="BI182" s="51">
        <f t="shared" si="100"/>
        <v>0</v>
      </c>
      <c r="BJ182" s="51">
        <f t="shared" si="101"/>
        <v>0</v>
      </c>
      <c r="BK182" s="51"/>
      <c r="BL182" s="51">
        <v>766</v>
      </c>
      <c r="BW182" s="51">
        <v>12</v>
      </c>
      <c r="BX182" s="3" t="s">
        <v>499</v>
      </c>
    </row>
    <row r="183" spans="1:76">
      <c r="A183" s="1" t="s">
        <v>500</v>
      </c>
      <c r="B183" s="2" t="s">
        <v>501</v>
      </c>
      <c r="C183" s="75" t="s">
        <v>502</v>
      </c>
      <c r="D183" s="70"/>
      <c r="E183" s="2" t="s">
        <v>129</v>
      </c>
      <c r="F183" s="51">
        <v>1</v>
      </c>
      <c r="G183" s="52">
        <v>0</v>
      </c>
      <c r="H183" s="51">
        <f t="shared" si="80"/>
        <v>0</v>
      </c>
      <c r="J183" s="41"/>
      <c r="Z183" s="51">
        <f t="shared" si="81"/>
        <v>0</v>
      </c>
      <c r="AB183" s="51">
        <f t="shared" si="82"/>
        <v>0</v>
      </c>
      <c r="AC183" s="51">
        <f t="shared" si="83"/>
        <v>0</v>
      </c>
      <c r="AD183" s="51">
        <f t="shared" si="84"/>
        <v>0</v>
      </c>
      <c r="AE183" s="51">
        <f t="shared" si="85"/>
        <v>0</v>
      </c>
      <c r="AF183" s="51">
        <f t="shared" si="86"/>
        <v>0</v>
      </c>
      <c r="AG183" s="51">
        <f t="shared" si="87"/>
        <v>0</v>
      </c>
      <c r="AH183" s="51">
        <f t="shared" si="88"/>
        <v>0</v>
      </c>
      <c r="AI183" s="35" t="s">
        <v>4</v>
      </c>
      <c r="AJ183" s="51">
        <f t="shared" si="89"/>
        <v>0</v>
      </c>
      <c r="AK183" s="51">
        <f t="shared" si="90"/>
        <v>0</v>
      </c>
      <c r="AL183" s="51">
        <f t="shared" si="91"/>
        <v>0</v>
      </c>
      <c r="AN183" s="51">
        <v>12</v>
      </c>
      <c r="AO183" s="51">
        <f t="shared" si="92"/>
        <v>0</v>
      </c>
      <c r="AP183" s="51">
        <f t="shared" si="93"/>
        <v>0</v>
      </c>
      <c r="AQ183" s="53" t="s">
        <v>149</v>
      </c>
      <c r="AV183" s="51">
        <f t="shared" si="94"/>
        <v>0</v>
      </c>
      <c r="AW183" s="51">
        <f t="shared" si="95"/>
        <v>0</v>
      </c>
      <c r="AX183" s="51">
        <f t="shared" si="96"/>
        <v>0</v>
      </c>
      <c r="AY183" s="53" t="s">
        <v>491</v>
      </c>
      <c r="AZ183" s="53" t="s">
        <v>492</v>
      </c>
      <c r="BA183" s="35" t="s">
        <v>117</v>
      </c>
      <c r="BC183" s="51">
        <f t="shared" si="97"/>
        <v>0</v>
      </c>
      <c r="BD183" s="51">
        <f t="shared" si="98"/>
        <v>0</v>
      </c>
      <c r="BE183" s="51">
        <v>0</v>
      </c>
      <c r="BF183" s="51">
        <f>183</f>
        <v>183</v>
      </c>
      <c r="BH183" s="51">
        <f t="shared" si="99"/>
        <v>0</v>
      </c>
      <c r="BI183" s="51">
        <f t="shared" si="100"/>
        <v>0</v>
      </c>
      <c r="BJ183" s="51">
        <f t="shared" si="101"/>
        <v>0</v>
      </c>
      <c r="BK183" s="51"/>
      <c r="BL183" s="51">
        <v>766</v>
      </c>
      <c r="BW183" s="51">
        <v>12</v>
      </c>
      <c r="BX183" s="3" t="s">
        <v>502</v>
      </c>
    </row>
    <row r="184" spans="1:76">
      <c r="A184" s="1" t="s">
        <v>503</v>
      </c>
      <c r="B184" s="2" t="s">
        <v>504</v>
      </c>
      <c r="C184" s="75" t="s">
        <v>505</v>
      </c>
      <c r="D184" s="70"/>
      <c r="E184" s="2" t="s">
        <v>129</v>
      </c>
      <c r="F184" s="51">
        <v>6</v>
      </c>
      <c r="G184" s="52">
        <v>0</v>
      </c>
      <c r="H184" s="51">
        <f t="shared" si="80"/>
        <v>0</v>
      </c>
      <c r="J184" s="41"/>
      <c r="Z184" s="51">
        <f t="shared" si="81"/>
        <v>0</v>
      </c>
      <c r="AB184" s="51">
        <f t="shared" si="82"/>
        <v>0</v>
      </c>
      <c r="AC184" s="51">
        <f t="shared" si="83"/>
        <v>0</v>
      </c>
      <c r="AD184" s="51">
        <f t="shared" si="84"/>
        <v>0</v>
      </c>
      <c r="AE184" s="51">
        <f t="shared" si="85"/>
        <v>0</v>
      </c>
      <c r="AF184" s="51">
        <f t="shared" si="86"/>
        <v>0</v>
      </c>
      <c r="AG184" s="51">
        <f t="shared" si="87"/>
        <v>0</v>
      </c>
      <c r="AH184" s="51">
        <f t="shared" si="88"/>
        <v>0</v>
      </c>
      <c r="AI184" s="35" t="s">
        <v>4</v>
      </c>
      <c r="AJ184" s="51">
        <f t="shared" si="89"/>
        <v>0</v>
      </c>
      <c r="AK184" s="51">
        <f t="shared" si="90"/>
        <v>0</v>
      </c>
      <c r="AL184" s="51">
        <f t="shared" si="91"/>
        <v>0</v>
      </c>
      <c r="AN184" s="51">
        <v>12</v>
      </c>
      <c r="AO184" s="51">
        <f t="shared" si="92"/>
        <v>0</v>
      </c>
      <c r="AP184" s="51">
        <f t="shared" si="93"/>
        <v>0</v>
      </c>
      <c r="AQ184" s="53" t="s">
        <v>149</v>
      </c>
      <c r="AV184" s="51">
        <f t="shared" si="94"/>
        <v>0</v>
      </c>
      <c r="AW184" s="51">
        <f t="shared" si="95"/>
        <v>0</v>
      </c>
      <c r="AX184" s="51">
        <f t="shared" si="96"/>
        <v>0</v>
      </c>
      <c r="AY184" s="53" t="s">
        <v>491</v>
      </c>
      <c r="AZ184" s="53" t="s">
        <v>492</v>
      </c>
      <c r="BA184" s="35" t="s">
        <v>117</v>
      </c>
      <c r="BC184" s="51">
        <f t="shared" si="97"/>
        <v>0</v>
      </c>
      <c r="BD184" s="51">
        <f t="shared" si="98"/>
        <v>0</v>
      </c>
      <c r="BE184" s="51">
        <v>0</v>
      </c>
      <c r="BF184" s="51">
        <f>184</f>
        <v>184</v>
      </c>
      <c r="BH184" s="51">
        <f t="shared" si="99"/>
        <v>0</v>
      </c>
      <c r="BI184" s="51">
        <f t="shared" si="100"/>
        <v>0</v>
      </c>
      <c r="BJ184" s="51">
        <f t="shared" si="101"/>
        <v>0</v>
      </c>
      <c r="BK184" s="51"/>
      <c r="BL184" s="51">
        <v>766</v>
      </c>
      <c r="BW184" s="51">
        <v>12</v>
      </c>
      <c r="BX184" s="3" t="s">
        <v>505</v>
      </c>
    </row>
    <row r="185" spans="1:76">
      <c r="A185" s="1" t="s">
        <v>506</v>
      </c>
      <c r="B185" s="2" t="s">
        <v>507</v>
      </c>
      <c r="C185" s="75" t="s">
        <v>508</v>
      </c>
      <c r="D185" s="70"/>
      <c r="E185" s="2" t="s">
        <v>129</v>
      </c>
      <c r="F185" s="51">
        <v>1</v>
      </c>
      <c r="G185" s="52">
        <v>0</v>
      </c>
      <c r="H185" s="51">
        <f t="shared" si="80"/>
        <v>0</v>
      </c>
      <c r="J185" s="41"/>
      <c r="Z185" s="51">
        <f t="shared" si="81"/>
        <v>0</v>
      </c>
      <c r="AB185" s="51">
        <f t="shared" si="82"/>
        <v>0</v>
      </c>
      <c r="AC185" s="51">
        <f t="shared" si="83"/>
        <v>0</v>
      </c>
      <c r="AD185" s="51">
        <f t="shared" si="84"/>
        <v>0</v>
      </c>
      <c r="AE185" s="51">
        <f t="shared" si="85"/>
        <v>0</v>
      </c>
      <c r="AF185" s="51">
        <f t="shared" si="86"/>
        <v>0</v>
      </c>
      <c r="AG185" s="51">
        <f t="shared" si="87"/>
        <v>0</v>
      </c>
      <c r="AH185" s="51">
        <f t="shared" si="88"/>
        <v>0</v>
      </c>
      <c r="AI185" s="35" t="s">
        <v>4</v>
      </c>
      <c r="AJ185" s="51">
        <f t="shared" si="89"/>
        <v>0</v>
      </c>
      <c r="AK185" s="51">
        <f t="shared" si="90"/>
        <v>0</v>
      </c>
      <c r="AL185" s="51">
        <f t="shared" si="91"/>
        <v>0</v>
      </c>
      <c r="AN185" s="51">
        <v>12</v>
      </c>
      <c r="AO185" s="51">
        <f t="shared" si="92"/>
        <v>0</v>
      </c>
      <c r="AP185" s="51">
        <f t="shared" si="93"/>
        <v>0</v>
      </c>
      <c r="AQ185" s="53" t="s">
        <v>149</v>
      </c>
      <c r="AV185" s="51">
        <f t="shared" si="94"/>
        <v>0</v>
      </c>
      <c r="AW185" s="51">
        <f t="shared" si="95"/>
        <v>0</v>
      </c>
      <c r="AX185" s="51">
        <f t="shared" si="96"/>
        <v>0</v>
      </c>
      <c r="AY185" s="53" t="s">
        <v>491</v>
      </c>
      <c r="AZ185" s="53" t="s">
        <v>492</v>
      </c>
      <c r="BA185" s="35" t="s">
        <v>117</v>
      </c>
      <c r="BC185" s="51">
        <f t="shared" si="97"/>
        <v>0</v>
      </c>
      <c r="BD185" s="51">
        <f t="shared" si="98"/>
        <v>0</v>
      </c>
      <c r="BE185" s="51">
        <v>0</v>
      </c>
      <c r="BF185" s="51">
        <f>185</f>
        <v>185</v>
      </c>
      <c r="BH185" s="51">
        <f t="shared" si="99"/>
        <v>0</v>
      </c>
      <c r="BI185" s="51">
        <f t="shared" si="100"/>
        <v>0</v>
      </c>
      <c r="BJ185" s="51">
        <f t="shared" si="101"/>
        <v>0</v>
      </c>
      <c r="BK185" s="51"/>
      <c r="BL185" s="51">
        <v>766</v>
      </c>
      <c r="BW185" s="51">
        <v>12</v>
      </c>
      <c r="BX185" s="3" t="s">
        <v>508</v>
      </c>
    </row>
    <row r="186" spans="1:76">
      <c r="A186" s="1" t="s">
        <v>509</v>
      </c>
      <c r="B186" s="2" t="s">
        <v>510</v>
      </c>
      <c r="C186" s="75" t="s">
        <v>511</v>
      </c>
      <c r="D186" s="70"/>
      <c r="E186" s="2" t="s">
        <v>512</v>
      </c>
      <c r="F186" s="51">
        <v>3</v>
      </c>
      <c r="G186" s="52">
        <v>0</v>
      </c>
      <c r="H186" s="51">
        <f t="shared" si="80"/>
        <v>0</v>
      </c>
      <c r="J186" s="41"/>
      <c r="Z186" s="51">
        <f t="shared" si="81"/>
        <v>0</v>
      </c>
      <c r="AB186" s="51">
        <f t="shared" si="82"/>
        <v>0</v>
      </c>
      <c r="AC186" s="51">
        <f t="shared" si="83"/>
        <v>0</v>
      </c>
      <c r="AD186" s="51">
        <f t="shared" si="84"/>
        <v>0</v>
      </c>
      <c r="AE186" s="51">
        <f t="shared" si="85"/>
        <v>0</v>
      </c>
      <c r="AF186" s="51">
        <f t="shared" si="86"/>
        <v>0</v>
      </c>
      <c r="AG186" s="51">
        <f t="shared" si="87"/>
        <v>0</v>
      </c>
      <c r="AH186" s="51">
        <f t="shared" si="88"/>
        <v>0</v>
      </c>
      <c r="AI186" s="35" t="s">
        <v>4</v>
      </c>
      <c r="AJ186" s="51">
        <f t="shared" si="89"/>
        <v>0</v>
      </c>
      <c r="AK186" s="51">
        <f t="shared" si="90"/>
        <v>0</v>
      </c>
      <c r="AL186" s="51">
        <f t="shared" si="91"/>
        <v>0</v>
      </c>
      <c r="AN186" s="51">
        <v>12</v>
      </c>
      <c r="AO186" s="51">
        <f t="shared" si="92"/>
        <v>0</v>
      </c>
      <c r="AP186" s="51">
        <f t="shared" si="93"/>
        <v>0</v>
      </c>
      <c r="AQ186" s="53" t="s">
        <v>149</v>
      </c>
      <c r="AV186" s="51">
        <f t="shared" si="94"/>
        <v>0</v>
      </c>
      <c r="AW186" s="51">
        <f t="shared" si="95"/>
        <v>0</v>
      </c>
      <c r="AX186" s="51">
        <f t="shared" si="96"/>
        <v>0</v>
      </c>
      <c r="AY186" s="53" t="s">
        <v>491</v>
      </c>
      <c r="AZ186" s="53" t="s">
        <v>492</v>
      </c>
      <c r="BA186" s="35" t="s">
        <v>117</v>
      </c>
      <c r="BC186" s="51">
        <f t="shared" si="97"/>
        <v>0</v>
      </c>
      <c r="BD186" s="51">
        <f t="shared" si="98"/>
        <v>0</v>
      </c>
      <c r="BE186" s="51">
        <v>0</v>
      </c>
      <c r="BF186" s="51">
        <f>186</f>
        <v>186</v>
      </c>
      <c r="BH186" s="51">
        <f t="shared" si="99"/>
        <v>0</v>
      </c>
      <c r="BI186" s="51">
        <f t="shared" si="100"/>
        <v>0</v>
      </c>
      <c r="BJ186" s="51">
        <f t="shared" si="101"/>
        <v>0</v>
      </c>
      <c r="BK186" s="51"/>
      <c r="BL186" s="51">
        <v>766</v>
      </c>
      <c r="BW186" s="51">
        <v>12</v>
      </c>
      <c r="BX186" s="3" t="s">
        <v>511</v>
      </c>
    </row>
    <row r="187" spans="1:76">
      <c r="A187" s="1" t="s">
        <v>513</v>
      </c>
      <c r="B187" s="2" t="s">
        <v>514</v>
      </c>
      <c r="C187" s="75" t="s">
        <v>515</v>
      </c>
      <c r="D187" s="70"/>
      <c r="E187" s="2" t="s">
        <v>129</v>
      </c>
      <c r="F187" s="51">
        <v>1</v>
      </c>
      <c r="G187" s="52">
        <v>0</v>
      </c>
      <c r="H187" s="51">
        <f t="shared" si="80"/>
        <v>0</v>
      </c>
      <c r="J187" s="41"/>
      <c r="Z187" s="51">
        <f t="shared" si="81"/>
        <v>0</v>
      </c>
      <c r="AB187" s="51">
        <f t="shared" si="82"/>
        <v>0</v>
      </c>
      <c r="AC187" s="51">
        <f t="shared" si="83"/>
        <v>0</v>
      </c>
      <c r="AD187" s="51">
        <f t="shared" si="84"/>
        <v>0</v>
      </c>
      <c r="AE187" s="51">
        <f t="shared" si="85"/>
        <v>0</v>
      </c>
      <c r="AF187" s="51">
        <f t="shared" si="86"/>
        <v>0</v>
      </c>
      <c r="AG187" s="51">
        <f t="shared" si="87"/>
        <v>0</v>
      </c>
      <c r="AH187" s="51">
        <f t="shared" si="88"/>
        <v>0</v>
      </c>
      <c r="AI187" s="35" t="s">
        <v>4</v>
      </c>
      <c r="AJ187" s="51">
        <f t="shared" si="89"/>
        <v>0</v>
      </c>
      <c r="AK187" s="51">
        <f t="shared" si="90"/>
        <v>0</v>
      </c>
      <c r="AL187" s="51">
        <f t="shared" si="91"/>
        <v>0</v>
      </c>
      <c r="AN187" s="51">
        <v>12</v>
      </c>
      <c r="AO187" s="51">
        <f t="shared" si="92"/>
        <v>0</v>
      </c>
      <c r="AP187" s="51">
        <f t="shared" si="93"/>
        <v>0</v>
      </c>
      <c r="AQ187" s="53" t="s">
        <v>149</v>
      </c>
      <c r="AV187" s="51">
        <f t="shared" si="94"/>
        <v>0</v>
      </c>
      <c r="AW187" s="51">
        <f t="shared" si="95"/>
        <v>0</v>
      </c>
      <c r="AX187" s="51">
        <f t="shared" si="96"/>
        <v>0</v>
      </c>
      <c r="AY187" s="53" t="s">
        <v>491</v>
      </c>
      <c r="AZ187" s="53" t="s">
        <v>492</v>
      </c>
      <c r="BA187" s="35" t="s">
        <v>117</v>
      </c>
      <c r="BC187" s="51">
        <f t="shared" si="97"/>
        <v>0</v>
      </c>
      <c r="BD187" s="51">
        <f t="shared" si="98"/>
        <v>0</v>
      </c>
      <c r="BE187" s="51">
        <v>0</v>
      </c>
      <c r="BF187" s="51">
        <f>187</f>
        <v>187</v>
      </c>
      <c r="BH187" s="51">
        <f t="shared" si="99"/>
        <v>0</v>
      </c>
      <c r="BI187" s="51">
        <f t="shared" si="100"/>
        <v>0</v>
      </c>
      <c r="BJ187" s="51">
        <f t="shared" si="101"/>
        <v>0</v>
      </c>
      <c r="BK187" s="51"/>
      <c r="BL187" s="51">
        <v>766</v>
      </c>
      <c r="BW187" s="51">
        <v>12</v>
      </c>
      <c r="BX187" s="3" t="s">
        <v>515</v>
      </c>
    </row>
    <row r="188" spans="1:76" ht="25.5">
      <c r="A188" s="1" t="s">
        <v>516</v>
      </c>
      <c r="B188" s="2" t="s">
        <v>517</v>
      </c>
      <c r="C188" s="75" t="s">
        <v>518</v>
      </c>
      <c r="D188" s="70"/>
      <c r="E188" s="2" t="s">
        <v>129</v>
      </c>
      <c r="F188" s="51">
        <v>1</v>
      </c>
      <c r="G188" s="52">
        <v>0</v>
      </c>
      <c r="H188" s="51">
        <f t="shared" si="80"/>
        <v>0</v>
      </c>
      <c r="J188" s="41"/>
      <c r="Z188" s="51">
        <f t="shared" si="81"/>
        <v>0</v>
      </c>
      <c r="AB188" s="51">
        <f t="shared" si="82"/>
        <v>0</v>
      </c>
      <c r="AC188" s="51">
        <f t="shared" si="83"/>
        <v>0</v>
      </c>
      <c r="AD188" s="51">
        <f t="shared" si="84"/>
        <v>0</v>
      </c>
      <c r="AE188" s="51">
        <f t="shared" si="85"/>
        <v>0</v>
      </c>
      <c r="AF188" s="51">
        <f t="shared" si="86"/>
        <v>0</v>
      </c>
      <c r="AG188" s="51">
        <f t="shared" si="87"/>
        <v>0</v>
      </c>
      <c r="AH188" s="51">
        <f t="shared" si="88"/>
        <v>0</v>
      </c>
      <c r="AI188" s="35" t="s">
        <v>4</v>
      </c>
      <c r="AJ188" s="51">
        <f t="shared" si="89"/>
        <v>0</v>
      </c>
      <c r="AK188" s="51">
        <f t="shared" si="90"/>
        <v>0</v>
      </c>
      <c r="AL188" s="51">
        <f t="shared" si="91"/>
        <v>0</v>
      </c>
      <c r="AN188" s="51">
        <v>12</v>
      </c>
      <c r="AO188" s="51">
        <f>G188*1</f>
        <v>0</v>
      </c>
      <c r="AP188" s="51">
        <f>G188*(1-1)</f>
        <v>0</v>
      </c>
      <c r="AQ188" s="53" t="s">
        <v>149</v>
      </c>
      <c r="AV188" s="51">
        <f t="shared" si="94"/>
        <v>0</v>
      </c>
      <c r="AW188" s="51">
        <f t="shared" si="95"/>
        <v>0</v>
      </c>
      <c r="AX188" s="51">
        <f t="shared" si="96"/>
        <v>0</v>
      </c>
      <c r="AY188" s="53" t="s">
        <v>491</v>
      </c>
      <c r="AZ188" s="53" t="s">
        <v>492</v>
      </c>
      <c r="BA188" s="35" t="s">
        <v>117</v>
      </c>
      <c r="BC188" s="51">
        <f t="shared" si="97"/>
        <v>0</v>
      </c>
      <c r="BD188" s="51">
        <f t="shared" si="98"/>
        <v>0</v>
      </c>
      <c r="BE188" s="51">
        <v>0</v>
      </c>
      <c r="BF188" s="51">
        <f>188</f>
        <v>188</v>
      </c>
      <c r="BH188" s="51">
        <f t="shared" si="99"/>
        <v>0</v>
      </c>
      <c r="BI188" s="51">
        <f t="shared" si="100"/>
        <v>0</v>
      </c>
      <c r="BJ188" s="51">
        <f t="shared" si="101"/>
        <v>0</v>
      </c>
      <c r="BK188" s="51"/>
      <c r="BL188" s="51">
        <v>766</v>
      </c>
      <c r="BW188" s="51">
        <v>12</v>
      </c>
      <c r="BX188" s="3" t="s">
        <v>518</v>
      </c>
    </row>
    <row r="189" spans="1:76" ht="25.5">
      <c r="A189" s="1" t="s">
        <v>519</v>
      </c>
      <c r="B189" s="2" t="s">
        <v>520</v>
      </c>
      <c r="C189" s="75" t="s">
        <v>521</v>
      </c>
      <c r="D189" s="70"/>
      <c r="E189" s="2" t="s">
        <v>129</v>
      </c>
      <c r="F189" s="51">
        <v>3</v>
      </c>
      <c r="G189" s="52">
        <v>0</v>
      </c>
      <c r="H189" s="51">
        <f t="shared" si="80"/>
        <v>0</v>
      </c>
      <c r="J189" s="41"/>
      <c r="Z189" s="51">
        <f t="shared" si="81"/>
        <v>0</v>
      </c>
      <c r="AB189" s="51">
        <f t="shared" si="82"/>
        <v>0</v>
      </c>
      <c r="AC189" s="51">
        <f t="shared" si="83"/>
        <v>0</v>
      </c>
      <c r="AD189" s="51">
        <f t="shared" si="84"/>
        <v>0</v>
      </c>
      <c r="AE189" s="51">
        <f t="shared" si="85"/>
        <v>0</v>
      </c>
      <c r="AF189" s="51">
        <f t="shared" si="86"/>
        <v>0</v>
      </c>
      <c r="AG189" s="51">
        <f t="shared" si="87"/>
        <v>0</v>
      </c>
      <c r="AH189" s="51">
        <f t="shared" si="88"/>
        <v>0</v>
      </c>
      <c r="AI189" s="35" t="s">
        <v>4</v>
      </c>
      <c r="AJ189" s="51">
        <f t="shared" si="89"/>
        <v>0</v>
      </c>
      <c r="AK189" s="51">
        <f t="shared" si="90"/>
        <v>0</v>
      </c>
      <c r="AL189" s="51">
        <f t="shared" si="91"/>
        <v>0</v>
      </c>
      <c r="AN189" s="51">
        <v>12</v>
      </c>
      <c r="AO189" s="51">
        <f>G189*1</f>
        <v>0</v>
      </c>
      <c r="AP189" s="51">
        <f>G189*(1-1)</f>
        <v>0</v>
      </c>
      <c r="AQ189" s="53" t="s">
        <v>149</v>
      </c>
      <c r="AV189" s="51">
        <f t="shared" si="94"/>
        <v>0</v>
      </c>
      <c r="AW189" s="51">
        <f t="shared" si="95"/>
        <v>0</v>
      </c>
      <c r="AX189" s="51">
        <f t="shared" si="96"/>
        <v>0</v>
      </c>
      <c r="AY189" s="53" t="s">
        <v>491</v>
      </c>
      <c r="AZ189" s="53" t="s">
        <v>492</v>
      </c>
      <c r="BA189" s="35" t="s">
        <v>117</v>
      </c>
      <c r="BC189" s="51">
        <f t="shared" si="97"/>
        <v>0</v>
      </c>
      <c r="BD189" s="51">
        <f t="shared" si="98"/>
        <v>0</v>
      </c>
      <c r="BE189" s="51">
        <v>0</v>
      </c>
      <c r="BF189" s="51">
        <f>189</f>
        <v>189</v>
      </c>
      <c r="BH189" s="51">
        <f t="shared" si="99"/>
        <v>0</v>
      </c>
      <c r="BI189" s="51">
        <f t="shared" si="100"/>
        <v>0</v>
      </c>
      <c r="BJ189" s="51">
        <f t="shared" si="101"/>
        <v>0</v>
      </c>
      <c r="BK189" s="51"/>
      <c r="BL189" s="51">
        <v>766</v>
      </c>
      <c r="BW189" s="51">
        <v>12</v>
      </c>
      <c r="BX189" s="3" t="s">
        <v>521</v>
      </c>
    </row>
    <row r="190" spans="1:76" ht="25.5">
      <c r="A190" s="1" t="s">
        <v>239</v>
      </c>
      <c r="B190" s="2" t="s">
        <v>522</v>
      </c>
      <c r="C190" s="75" t="s">
        <v>523</v>
      </c>
      <c r="D190" s="70"/>
      <c r="E190" s="2" t="s">
        <v>129</v>
      </c>
      <c r="F190" s="51">
        <v>1</v>
      </c>
      <c r="G190" s="52">
        <v>0</v>
      </c>
      <c r="H190" s="51">
        <f t="shared" si="80"/>
        <v>0</v>
      </c>
      <c r="J190" s="41"/>
      <c r="Z190" s="51">
        <f t="shared" si="81"/>
        <v>0</v>
      </c>
      <c r="AB190" s="51">
        <f t="shared" si="82"/>
        <v>0</v>
      </c>
      <c r="AC190" s="51">
        <f t="shared" si="83"/>
        <v>0</v>
      </c>
      <c r="AD190" s="51">
        <f t="shared" si="84"/>
        <v>0</v>
      </c>
      <c r="AE190" s="51">
        <f t="shared" si="85"/>
        <v>0</v>
      </c>
      <c r="AF190" s="51">
        <f t="shared" si="86"/>
        <v>0</v>
      </c>
      <c r="AG190" s="51">
        <f t="shared" si="87"/>
        <v>0</v>
      </c>
      <c r="AH190" s="51">
        <f t="shared" si="88"/>
        <v>0</v>
      </c>
      <c r="AI190" s="35" t="s">
        <v>4</v>
      </c>
      <c r="AJ190" s="51">
        <f t="shared" si="89"/>
        <v>0</v>
      </c>
      <c r="AK190" s="51">
        <f t="shared" si="90"/>
        <v>0</v>
      </c>
      <c r="AL190" s="51">
        <f t="shared" si="91"/>
        <v>0</v>
      </c>
      <c r="AN190" s="51">
        <v>12</v>
      </c>
      <c r="AO190" s="51">
        <f>G190*1</f>
        <v>0</v>
      </c>
      <c r="AP190" s="51">
        <f>G190*(1-1)</f>
        <v>0</v>
      </c>
      <c r="AQ190" s="53" t="s">
        <v>149</v>
      </c>
      <c r="AV190" s="51">
        <f t="shared" si="94"/>
        <v>0</v>
      </c>
      <c r="AW190" s="51">
        <f t="shared" si="95"/>
        <v>0</v>
      </c>
      <c r="AX190" s="51">
        <f t="shared" si="96"/>
        <v>0</v>
      </c>
      <c r="AY190" s="53" t="s">
        <v>491</v>
      </c>
      <c r="AZ190" s="53" t="s">
        <v>492</v>
      </c>
      <c r="BA190" s="35" t="s">
        <v>117</v>
      </c>
      <c r="BC190" s="51">
        <f t="shared" si="97"/>
        <v>0</v>
      </c>
      <c r="BD190" s="51">
        <f t="shared" si="98"/>
        <v>0</v>
      </c>
      <c r="BE190" s="51">
        <v>0</v>
      </c>
      <c r="BF190" s="51">
        <f>190</f>
        <v>190</v>
      </c>
      <c r="BH190" s="51">
        <f t="shared" si="99"/>
        <v>0</v>
      </c>
      <c r="BI190" s="51">
        <f t="shared" si="100"/>
        <v>0</v>
      </c>
      <c r="BJ190" s="51">
        <f t="shared" si="101"/>
        <v>0</v>
      </c>
      <c r="BK190" s="51"/>
      <c r="BL190" s="51">
        <v>766</v>
      </c>
      <c r="BW190" s="51">
        <v>12</v>
      </c>
      <c r="BX190" s="3" t="s">
        <v>523</v>
      </c>
    </row>
    <row r="191" spans="1:76" ht="25.5">
      <c r="A191" s="1" t="s">
        <v>263</v>
      </c>
      <c r="B191" s="2" t="s">
        <v>522</v>
      </c>
      <c r="C191" s="75" t="s">
        <v>524</v>
      </c>
      <c r="D191" s="70"/>
      <c r="E191" s="2" t="s">
        <v>129</v>
      </c>
      <c r="F191" s="51">
        <v>1</v>
      </c>
      <c r="G191" s="52">
        <v>0</v>
      </c>
      <c r="H191" s="51">
        <f t="shared" si="80"/>
        <v>0</v>
      </c>
      <c r="J191" s="41"/>
      <c r="Z191" s="51">
        <f t="shared" si="81"/>
        <v>0</v>
      </c>
      <c r="AB191" s="51">
        <f t="shared" si="82"/>
        <v>0</v>
      </c>
      <c r="AC191" s="51">
        <f t="shared" si="83"/>
        <v>0</v>
      </c>
      <c r="AD191" s="51">
        <f t="shared" si="84"/>
        <v>0</v>
      </c>
      <c r="AE191" s="51">
        <f t="shared" si="85"/>
        <v>0</v>
      </c>
      <c r="AF191" s="51">
        <f t="shared" si="86"/>
        <v>0</v>
      </c>
      <c r="AG191" s="51">
        <f t="shared" si="87"/>
        <v>0</v>
      </c>
      <c r="AH191" s="51">
        <f t="shared" si="88"/>
        <v>0</v>
      </c>
      <c r="AI191" s="35" t="s">
        <v>4</v>
      </c>
      <c r="AJ191" s="51">
        <f t="shared" si="89"/>
        <v>0</v>
      </c>
      <c r="AK191" s="51">
        <f t="shared" si="90"/>
        <v>0</v>
      </c>
      <c r="AL191" s="51">
        <f t="shared" si="91"/>
        <v>0</v>
      </c>
      <c r="AN191" s="51">
        <v>12</v>
      </c>
      <c r="AO191" s="51">
        <f>G191*1</f>
        <v>0</v>
      </c>
      <c r="AP191" s="51">
        <f>G191*(1-1)</f>
        <v>0</v>
      </c>
      <c r="AQ191" s="53" t="s">
        <v>149</v>
      </c>
      <c r="AV191" s="51">
        <f t="shared" si="94"/>
        <v>0</v>
      </c>
      <c r="AW191" s="51">
        <f t="shared" si="95"/>
        <v>0</v>
      </c>
      <c r="AX191" s="51">
        <f t="shared" si="96"/>
        <v>0</v>
      </c>
      <c r="AY191" s="53" t="s">
        <v>491</v>
      </c>
      <c r="AZ191" s="53" t="s">
        <v>492</v>
      </c>
      <c r="BA191" s="35" t="s">
        <v>117</v>
      </c>
      <c r="BC191" s="51">
        <f t="shared" si="97"/>
        <v>0</v>
      </c>
      <c r="BD191" s="51">
        <f t="shared" si="98"/>
        <v>0</v>
      </c>
      <c r="BE191" s="51">
        <v>0</v>
      </c>
      <c r="BF191" s="51">
        <f>191</f>
        <v>191</v>
      </c>
      <c r="BH191" s="51">
        <f t="shared" si="99"/>
        <v>0</v>
      </c>
      <c r="BI191" s="51">
        <f t="shared" si="100"/>
        <v>0</v>
      </c>
      <c r="BJ191" s="51">
        <f t="shared" si="101"/>
        <v>0</v>
      </c>
      <c r="BK191" s="51"/>
      <c r="BL191" s="51">
        <v>766</v>
      </c>
      <c r="BW191" s="51">
        <v>12</v>
      </c>
      <c r="BX191" s="3" t="s">
        <v>524</v>
      </c>
    </row>
    <row r="192" spans="1:76">
      <c r="A192" s="1" t="s">
        <v>525</v>
      </c>
      <c r="B192" s="2" t="s">
        <v>526</v>
      </c>
      <c r="C192" s="75" t="s">
        <v>527</v>
      </c>
      <c r="D192" s="70"/>
      <c r="E192" s="2" t="s">
        <v>282</v>
      </c>
      <c r="F192" s="51">
        <v>0.68799999999999994</v>
      </c>
      <c r="G192" s="52">
        <v>0</v>
      </c>
      <c r="H192" s="51">
        <f t="shared" si="80"/>
        <v>0</v>
      </c>
      <c r="J192" s="41"/>
      <c r="Z192" s="51">
        <f t="shared" si="81"/>
        <v>0</v>
      </c>
      <c r="AB192" s="51">
        <f t="shared" si="82"/>
        <v>0</v>
      </c>
      <c r="AC192" s="51">
        <f t="shared" si="83"/>
        <v>0</v>
      </c>
      <c r="AD192" s="51">
        <f t="shared" si="84"/>
        <v>0</v>
      </c>
      <c r="AE192" s="51">
        <f t="shared" si="85"/>
        <v>0</v>
      </c>
      <c r="AF192" s="51">
        <f t="shared" si="86"/>
        <v>0</v>
      </c>
      <c r="AG192" s="51">
        <f t="shared" si="87"/>
        <v>0</v>
      </c>
      <c r="AH192" s="51">
        <f t="shared" si="88"/>
        <v>0</v>
      </c>
      <c r="AI192" s="35" t="s">
        <v>4</v>
      </c>
      <c r="AJ192" s="51">
        <f t="shared" si="89"/>
        <v>0</v>
      </c>
      <c r="AK192" s="51">
        <f t="shared" si="90"/>
        <v>0</v>
      </c>
      <c r="AL192" s="51">
        <f t="shared" si="91"/>
        <v>0</v>
      </c>
      <c r="AN192" s="51">
        <v>12</v>
      </c>
      <c r="AO192" s="51">
        <f>G192*0</f>
        <v>0</v>
      </c>
      <c r="AP192" s="51">
        <f>G192*(1-0)</f>
        <v>0</v>
      </c>
      <c r="AQ192" s="53" t="s">
        <v>137</v>
      </c>
      <c r="AV192" s="51">
        <f t="shared" si="94"/>
        <v>0</v>
      </c>
      <c r="AW192" s="51">
        <f t="shared" si="95"/>
        <v>0</v>
      </c>
      <c r="AX192" s="51">
        <f t="shared" si="96"/>
        <v>0</v>
      </c>
      <c r="AY192" s="53" t="s">
        <v>491</v>
      </c>
      <c r="AZ192" s="53" t="s">
        <v>492</v>
      </c>
      <c r="BA192" s="35" t="s">
        <v>117</v>
      </c>
      <c r="BC192" s="51">
        <f t="shared" si="97"/>
        <v>0</v>
      </c>
      <c r="BD192" s="51">
        <f t="shared" si="98"/>
        <v>0</v>
      </c>
      <c r="BE192" s="51">
        <v>0</v>
      </c>
      <c r="BF192" s="51">
        <f>192</f>
        <v>192</v>
      </c>
      <c r="BH192" s="51">
        <f t="shared" si="99"/>
        <v>0</v>
      </c>
      <c r="BI192" s="51">
        <f t="shared" si="100"/>
        <v>0</v>
      </c>
      <c r="BJ192" s="51">
        <f t="shared" si="101"/>
        <v>0</v>
      </c>
      <c r="BK192" s="51"/>
      <c r="BL192" s="51">
        <v>766</v>
      </c>
      <c r="BW192" s="51">
        <v>12</v>
      </c>
      <c r="BX192" s="3" t="s">
        <v>527</v>
      </c>
    </row>
    <row r="193" spans="1:76">
      <c r="A193" s="47" t="s">
        <v>4</v>
      </c>
      <c r="B193" s="48" t="s">
        <v>528</v>
      </c>
      <c r="C193" s="150" t="s">
        <v>529</v>
      </c>
      <c r="D193" s="151"/>
      <c r="E193" s="49" t="s">
        <v>79</v>
      </c>
      <c r="F193" s="49" t="s">
        <v>79</v>
      </c>
      <c r="G193" s="50" t="s">
        <v>79</v>
      </c>
      <c r="H193" s="28">
        <f>SUM(H194:H205)</f>
        <v>0</v>
      </c>
      <c r="J193" s="41"/>
      <c r="AI193" s="35" t="s">
        <v>4</v>
      </c>
      <c r="AS193" s="28">
        <f>SUM(AJ194:AJ205)</f>
        <v>0</v>
      </c>
      <c r="AT193" s="28">
        <f>SUM(AK194:AK205)</f>
        <v>0</v>
      </c>
      <c r="AU193" s="28">
        <f>SUM(AL194:AL205)</f>
        <v>0</v>
      </c>
    </row>
    <row r="194" spans="1:76">
      <c r="A194" s="1" t="s">
        <v>530</v>
      </c>
      <c r="B194" s="2" t="s">
        <v>531</v>
      </c>
      <c r="C194" s="75" t="s">
        <v>532</v>
      </c>
      <c r="D194" s="70"/>
      <c r="E194" s="2" t="s">
        <v>114</v>
      </c>
      <c r="F194" s="51">
        <v>3.7149999999999999</v>
      </c>
      <c r="G194" s="52">
        <v>0</v>
      </c>
      <c r="H194" s="51">
        <f>F194*G194</f>
        <v>0</v>
      </c>
      <c r="J194" s="41"/>
      <c r="Z194" s="51">
        <f>IF(AQ194="5",BJ194,0)</f>
        <v>0</v>
      </c>
      <c r="AB194" s="51">
        <f>IF(AQ194="1",BH194,0)</f>
        <v>0</v>
      </c>
      <c r="AC194" s="51">
        <f>IF(AQ194="1",BI194,0)</f>
        <v>0</v>
      </c>
      <c r="AD194" s="51">
        <f>IF(AQ194="7",BH194,0)</f>
        <v>0</v>
      </c>
      <c r="AE194" s="51">
        <f>IF(AQ194="7",BI194,0)</f>
        <v>0</v>
      </c>
      <c r="AF194" s="51">
        <f>IF(AQ194="2",BH194,0)</f>
        <v>0</v>
      </c>
      <c r="AG194" s="51">
        <f>IF(AQ194="2",BI194,0)</f>
        <v>0</v>
      </c>
      <c r="AH194" s="51">
        <f>IF(AQ194="0",BJ194,0)</f>
        <v>0</v>
      </c>
      <c r="AI194" s="35" t="s">
        <v>4</v>
      </c>
      <c r="AJ194" s="51">
        <f>IF(AN194=0,H194,0)</f>
        <v>0</v>
      </c>
      <c r="AK194" s="51">
        <f>IF(AN194=12,H194,0)</f>
        <v>0</v>
      </c>
      <c r="AL194" s="51">
        <f>IF(AN194=21,H194,0)</f>
        <v>0</v>
      </c>
      <c r="AN194" s="51">
        <v>12</v>
      </c>
      <c r="AO194" s="51">
        <f>G194*0.47241712</f>
        <v>0</v>
      </c>
      <c r="AP194" s="51">
        <f>G194*(1-0.47241712)</f>
        <v>0</v>
      </c>
      <c r="AQ194" s="53" t="s">
        <v>149</v>
      </c>
      <c r="AV194" s="51">
        <f>AW194+AX194</f>
        <v>0</v>
      </c>
      <c r="AW194" s="51">
        <f>F194*AO194</f>
        <v>0</v>
      </c>
      <c r="AX194" s="51">
        <f>F194*AP194</f>
        <v>0</v>
      </c>
      <c r="AY194" s="53" t="s">
        <v>533</v>
      </c>
      <c r="AZ194" s="53" t="s">
        <v>534</v>
      </c>
      <c r="BA194" s="35" t="s">
        <v>117</v>
      </c>
      <c r="BC194" s="51">
        <f>AW194+AX194</f>
        <v>0</v>
      </c>
      <c r="BD194" s="51">
        <f>G194/(100-BE194)*100</f>
        <v>0</v>
      </c>
      <c r="BE194" s="51">
        <v>0</v>
      </c>
      <c r="BF194" s="51">
        <f>194</f>
        <v>194</v>
      </c>
      <c r="BH194" s="51">
        <f>F194*AO194</f>
        <v>0</v>
      </c>
      <c r="BI194" s="51">
        <f>F194*AP194</f>
        <v>0</v>
      </c>
      <c r="BJ194" s="51">
        <f>F194*G194</f>
        <v>0</v>
      </c>
      <c r="BK194" s="51"/>
      <c r="BL194" s="51">
        <v>771</v>
      </c>
      <c r="BW194" s="51">
        <v>12</v>
      </c>
      <c r="BX194" s="3" t="s">
        <v>532</v>
      </c>
    </row>
    <row r="195" spans="1:76">
      <c r="A195" s="1" t="s">
        <v>310</v>
      </c>
      <c r="B195" s="2" t="s">
        <v>535</v>
      </c>
      <c r="C195" s="75" t="s">
        <v>536</v>
      </c>
      <c r="D195" s="70"/>
      <c r="E195" s="2" t="s">
        <v>114</v>
      </c>
      <c r="F195" s="51">
        <v>3.7149999999999999</v>
      </c>
      <c r="G195" s="52">
        <v>0</v>
      </c>
      <c r="H195" s="51">
        <f>F195*G195</f>
        <v>0</v>
      </c>
      <c r="J195" s="41"/>
      <c r="Z195" s="51">
        <f>IF(AQ195="5",BJ195,0)</f>
        <v>0</v>
      </c>
      <c r="AB195" s="51">
        <f>IF(AQ195="1",BH195,0)</f>
        <v>0</v>
      </c>
      <c r="AC195" s="51">
        <f>IF(AQ195="1",BI195,0)</f>
        <v>0</v>
      </c>
      <c r="AD195" s="51">
        <f>IF(AQ195="7",BH195,0)</f>
        <v>0</v>
      </c>
      <c r="AE195" s="51">
        <f>IF(AQ195="7",BI195,0)</f>
        <v>0</v>
      </c>
      <c r="AF195" s="51">
        <f>IF(AQ195="2",BH195,0)</f>
        <v>0</v>
      </c>
      <c r="AG195" s="51">
        <f>IF(AQ195="2",BI195,0)</f>
        <v>0</v>
      </c>
      <c r="AH195" s="51">
        <f>IF(AQ195="0",BJ195,0)</f>
        <v>0</v>
      </c>
      <c r="AI195" s="35" t="s">
        <v>4</v>
      </c>
      <c r="AJ195" s="51">
        <f>IF(AN195=0,H195,0)</f>
        <v>0</v>
      </c>
      <c r="AK195" s="51">
        <f>IF(AN195=12,H195,0)</f>
        <v>0</v>
      </c>
      <c r="AL195" s="51">
        <f>IF(AN195=21,H195,0)</f>
        <v>0</v>
      </c>
      <c r="AN195" s="51">
        <v>12</v>
      </c>
      <c r="AO195" s="51">
        <f>G195*0.245838482</f>
        <v>0</v>
      </c>
      <c r="AP195" s="51">
        <f>G195*(1-0.245838482)</f>
        <v>0</v>
      </c>
      <c r="AQ195" s="53" t="s">
        <v>149</v>
      </c>
      <c r="AV195" s="51">
        <f>AW195+AX195</f>
        <v>0</v>
      </c>
      <c r="AW195" s="51">
        <f>F195*AO195</f>
        <v>0</v>
      </c>
      <c r="AX195" s="51">
        <f>F195*AP195</f>
        <v>0</v>
      </c>
      <c r="AY195" s="53" t="s">
        <v>533</v>
      </c>
      <c r="AZ195" s="53" t="s">
        <v>534</v>
      </c>
      <c r="BA195" s="35" t="s">
        <v>117</v>
      </c>
      <c r="BC195" s="51">
        <f>AW195+AX195</f>
        <v>0</v>
      </c>
      <c r="BD195" s="51">
        <f>G195/(100-BE195)*100</f>
        <v>0</v>
      </c>
      <c r="BE195" s="51">
        <v>0</v>
      </c>
      <c r="BF195" s="51">
        <f>195</f>
        <v>195</v>
      </c>
      <c r="BH195" s="51">
        <f>F195*AO195</f>
        <v>0</v>
      </c>
      <c r="BI195" s="51">
        <f>F195*AP195</f>
        <v>0</v>
      </c>
      <c r="BJ195" s="51">
        <f>F195*G195</f>
        <v>0</v>
      </c>
      <c r="BK195" s="51"/>
      <c r="BL195" s="51">
        <v>771</v>
      </c>
      <c r="BW195" s="51">
        <v>12</v>
      </c>
      <c r="BX195" s="3" t="s">
        <v>536</v>
      </c>
    </row>
    <row r="196" spans="1:76">
      <c r="A196" s="54"/>
      <c r="C196" s="55" t="s">
        <v>327</v>
      </c>
      <c r="D196" s="56" t="s">
        <v>167</v>
      </c>
      <c r="F196" s="57">
        <v>2.6349999999999998</v>
      </c>
      <c r="J196" s="41"/>
    </row>
    <row r="197" spans="1:76">
      <c r="A197" s="54"/>
      <c r="C197" s="55" t="s">
        <v>537</v>
      </c>
      <c r="D197" s="56" t="s">
        <v>165</v>
      </c>
      <c r="F197" s="57">
        <v>1.08</v>
      </c>
      <c r="J197" s="41"/>
    </row>
    <row r="198" spans="1:76">
      <c r="A198" s="1" t="s">
        <v>538</v>
      </c>
      <c r="B198" s="2" t="s">
        <v>539</v>
      </c>
      <c r="C198" s="75" t="s">
        <v>540</v>
      </c>
      <c r="D198" s="70"/>
      <c r="E198" s="2" t="s">
        <v>135</v>
      </c>
      <c r="F198" s="51">
        <v>14.7</v>
      </c>
      <c r="G198" s="52">
        <v>0</v>
      </c>
      <c r="H198" s="51">
        <f>F198*G198</f>
        <v>0</v>
      </c>
      <c r="J198" s="41"/>
      <c r="Z198" s="51">
        <f>IF(AQ198="5",BJ198,0)</f>
        <v>0</v>
      </c>
      <c r="AB198" s="51">
        <f>IF(AQ198="1",BH198,0)</f>
        <v>0</v>
      </c>
      <c r="AC198" s="51">
        <f>IF(AQ198="1",BI198,0)</f>
        <v>0</v>
      </c>
      <c r="AD198" s="51">
        <f>IF(AQ198="7",BH198,0)</f>
        <v>0</v>
      </c>
      <c r="AE198" s="51">
        <f>IF(AQ198="7",BI198,0)</f>
        <v>0</v>
      </c>
      <c r="AF198" s="51">
        <f>IF(AQ198="2",BH198,0)</f>
        <v>0</v>
      </c>
      <c r="AG198" s="51">
        <f>IF(AQ198="2",BI198,0)</f>
        <v>0</v>
      </c>
      <c r="AH198" s="51">
        <f>IF(AQ198="0",BJ198,0)</f>
        <v>0</v>
      </c>
      <c r="AI198" s="35" t="s">
        <v>4</v>
      </c>
      <c r="AJ198" s="51">
        <f>IF(AN198=0,H198,0)</f>
        <v>0</v>
      </c>
      <c r="AK198" s="51">
        <f>IF(AN198=12,H198,0)</f>
        <v>0</v>
      </c>
      <c r="AL198" s="51">
        <f>IF(AN198=21,H198,0)</f>
        <v>0</v>
      </c>
      <c r="AN198" s="51">
        <v>12</v>
      </c>
      <c r="AO198" s="51">
        <f>G198*0.495226131</f>
        <v>0</v>
      </c>
      <c r="AP198" s="51">
        <f>G198*(1-0.495226131)</f>
        <v>0</v>
      </c>
      <c r="AQ198" s="53" t="s">
        <v>149</v>
      </c>
      <c r="AV198" s="51">
        <f>AW198+AX198</f>
        <v>0</v>
      </c>
      <c r="AW198" s="51">
        <f>F198*AO198</f>
        <v>0</v>
      </c>
      <c r="AX198" s="51">
        <f>F198*AP198</f>
        <v>0</v>
      </c>
      <c r="AY198" s="53" t="s">
        <v>533</v>
      </c>
      <c r="AZ198" s="53" t="s">
        <v>534</v>
      </c>
      <c r="BA198" s="35" t="s">
        <v>117</v>
      </c>
      <c r="BC198" s="51">
        <f>AW198+AX198</f>
        <v>0</v>
      </c>
      <c r="BD198" s="51">
        <f>G198/(100-BE198)*100</f>
        <v>0</v>
      </c>
      <c r="BE198" s="51">
        <v>0</v>
      </c>
      <c r="BF198" s="51">
        <f>198</f>
        <v>198</v>
      </c>
      <c r="BH198" s="51">
        <f>F198*AO198</f>
        <v>0</v>
      </c>
      <c r="BI198" s="51">
        <f>F198*AP198</f>
        <v>0</v>
      </c>
      <c r="BJ198" s="51">
        <f>F198*G198</f>
        <v>0</v>
      </c>
      <c r="BK198" s="51"/>
      <c r="BL198" s="51">
        <v>771</v>
      </c>
      <c r="BW198" s="51">
        <v>12</v>
      </c>
      <c r="BX198" s="3" t="s">
        <v>540</v>
      </c>
    </row>
    <row r="199" spans="1:76">
      <c r="A199" s="54"/>
      <c r="C199" s="55" t="s">
        <v>337</v>
      </c>
      <c r="D199" s="56" t="s">
        <v>541</v>
      </c>
      <c r="F199" s="57">
        <v>5.7</v>
      </c>
      <c r="J199" s="41"/>
    </row>
    <row r="200" spans="1:76">
      <c r="A200" s="54"/>
      <c r="C200" s="55" t="s">
        <v>542</v>
      </c>
      <c r="D200" s="56" t="s">
        <v>543</v>
      </c>
      <c r="F200" s="57">
        <v>8.4</v>
      </c>
      <c r="J200" s="41"/>
    </row>
    <row r="201" spans="1:76">
      <c r="A201" s="54"/>
      <c r="C201" s="55" t="s">
        <v>544</v>
      </c>
      <c r="D201" s="56" t="s">
        <v>545</v>
      </c>
      <c r="F201" s="57">
        <v>0.6</v>
      </c>
      <c r="J201" s="41"/>
    </row>
    <row r="202" spans="1:76">
      <c r="A202" s="1" t="s">
        <v>546</v>
      </c>
      <c r="B202" s="2" t="s">
        <v>547</v>
      </c>
      <c r="C202" s="75" t="s">
        <v>548</v>
      </c>
      <c r="D202" s="70"/>
      <c r="E202" s="2" t="s">
        <v>114</v>
      </c>
      <c r="F202" s="51">
        <v>3.7149999999999999</v>
      </c>
      <c r="G202" s="52">
        <v>0</v>
      </c>
      <c r="H202" s="51">
        <f>F202*G202</f>
        <v>0</v>
      </c>
      <c r="J202" s="41"/>
      <c r="Z202" s="51">
        <f>IF(AQ202="5",BJ202,0)</f>
        <v>0</v>
      </c>
      <c r="AB202" s="51">
        <f>IF(AQ202="1",BH202,0)</f>
        <v>0</v>
      </c>
      <c r="AC202" s="51">
        <f>IF(AQ202="1",BI202,0)</f>
        <v>0</v>
      </c>
      <c r="AD202" s="51">
        <f>IF(AQ202="7",BH202,0)</f>
        <v>0</v>
      </c>
      <c r="AE202" s="51">
        <f>IF(AQ202="7",BI202,0)</f>
        <v>0</v>
      </c>
      <c r="AF202" s="51">
        <f>IF(AQ202="2",BH202,0)</f>
        <v>0</v>
      </c>
      <c r="AG202" s="51">
        <f>IF(AQ202="2",BI202,0)</f>
        <v>0</v>
      </c>
      <c r="AH202" s="51">
        <f>IF(AQ202="0",BJ202,0)</f>
        <v>0</v>
      </c>
      <c r="AI202" s="35" t="s">
        <v>4</v>
      </c>
      <c r="AJ202" s="51">
        <f>IF(AN202=0,H202,0)</f>
        <v>0</v>
      </c>
      <c r="AK202" s="51">
        <f>IF(AN202=12,H202,0)</f>
        <v>0</v>
      </c>
      <c r="AL202" s="51">
        <f>IF(AN202=21,H202,0)</f>
        <v>0</v>
      </c>
      <c r="AN202" s="51">
        <v>12</v>
      </c>
      <c r="AO202" s="51">
        <f>G202*0</f>
        <v>0</v>
      </c>
      <c r="AP202" s="51">
        <f>G202*(1-0)</f>
        <v>0</v>
      </c>
      <c r="AQ202" s="53" t="s">
        <v>149</v>
      </c>
      <c r="AV202" s="51">
        <f>AW202+AX202</f>
        <v>0</v>
      </c>
      <c r="AW202" s="51">
        <f>F202*AO202</f>
        <v>0</v>
      </c>
      <c r="AX202" s="51">
        <f>F202*AP202</f>
        <v>0</v>
      </c>
      <c r="AY202" s="53" t="s">
        <v>533</v>
      </c>
      <c r="AZ202" s="53" t="s">
        <v>534</v>
      </c>
      <c r="BA202" s="35" t="s">
        <v>117</v>
      </c>
      <c r="BC202" s="51">
        <f>AW202+AX202</f>
        <v>0</v>
      </c>
      <c r="BD202" s="51">
        <f>G202/(100-BE202)*100</f>
        <v>0</v>
      </c>
      <c r="BE202" s="51">
        <v>0</v>
      </c>
      <c r="BF202" s="51">
        <f>202</f>
        <v>202</v>
      </c>
      <c r="BH202" s="51">
        <f>F202*AO202</f>
        <v>0</v>
      </c>
      <c r="BI202" s="51">
        <f>F202*AP202</f>
        <v>0</v>
      </c>
      <c r="BJ202" s="51">
        <f>F202*G202</f>
        <v>0</v>
      </c>
      <c r="BK202" s="51"/>
      <c r="BL202" s="51">
        <v>771</v>
      </c>
      <c r="BW202" s="51">
        <v>12</v>
      </c>
      <c r="BX202" s="3" t="s">
        <v>548</v>
      </c>
    </row>
    <row r="203" spans="1:76">
      <c r="A203" s="1" t="s">
        <v>549</v>
      </c>
      <c r="B203" s="2" t="s">
        <v>550</v>
      </c>
      <c r="C203" s="75" t="s">
        <v>551</v>
      </c>
      <c r="D203" s="70"/>
      <c r="E203" s="2" t="s">
        <v>114</v>
      </c>
      <c r="F203" s="51">
        <v>4.0869999999999997</v>
      </c>
      <c r="G203" s="52">
        <v>0</v>
      </c>
      <c r="H203" s="51">
        <f>F203*G203</f>
        <v>0</v>
      </c>
      <c r="J203" s="41"/>
      <c r="Z203" s="51">
        <f>IF(AQ203="5",BJ203,0)</f>
        <v>0</v>
      </c>
      <c r="AB203" s="51">
        <f>IF(AQ203="1",BH203,0)</f>
        <v>0</v>
      </c>
      <c r="AC203" s="51">
        <f>IF(AQ203="1",BI203,0)</f>
        <v>0</v>
      </c>
      <c r="AD203" s="51">
        <f>IF(AQ203="7",BH203,0)</f>
        <v>0</v>
      </c>
      <c r="AE203" s="51">
        <f>IF(AQ203="7",BI203,0)</f>
        <v>0</v>
      </c>
      <c r="AF203" s="51">
        <f>IF(AQ203="2",BH203,0)</f>
        <v>0</v>
      </c>
      <c r="AG203" s="51">
        <f>IF(AQ203="2",BI203,0)</f>
        <v>0</v>
      </c>
      <c r="AH203" s="51">
        <f>IF(AQ203="0",BJ203,0)</f>
        <v>0</v>
      </c>
      <c r="AI203" s="35" t="s">
        <v>4</v>
      </c>
      <c r="AJ203" s="51">
        <f>IF(AN203=0,H203,0)</f>
        <v>0</v>
      </c>
      <c r="AK203" s="51">
        <f>IF(AN203=12,H203,0)</f>
        <v>0</v>
      </c>
      <c r="AL203" s="51">
        <f>IF(AN203=21,H203,0)</f>
        <v>0</v>
      </c>
      <c r="AN203" s="51">
        <v>12</v>
      </c>
      <c r="AO203" s="51">
        <f>G203*1</f>
        <v>0</v>
      </c>
      <c r="AP203" s="51">
        <f>G203*(1-1)</f>
        <v>0</v>
      </c>
      <c r="AQ203" s="53" t="s">
        <v>149</v>
      </c>
      <c r="AV203" s="51">
        <f>AW203+AX203</f>
        <v>0</v>
      </c>
      <c r="AW203" s="51">
        <f>F203*AO203</f>
        <v>0</v>
      </c>
      <c r="AX203" s="51">
        <f>F203*AP203</f>
        <v>0</v>
      </c>
      <c r="AY203" s="53" t="s">
        <v>533</v>
      </c>
      <c r="AZ203" s="53" t="s">
        <v>534</v>
      </c>
      <c r="BA203" s="35" t="s">
        <v>117</v>
      </c>
      <c r="BC203" s="51">
        <f>AW203+AX203</f>
        <v>0</v>
      </c>
      <c r="BD203" s="51">
        <f>G203/(100-BE203)*100</f>
        <v>0</v>
      </c>
      <c r="BE203" s="51">
        <v>0</v>
      </c>
      <c r="BF203" s="51">
        <f>203</f>
        <v>203</v>
      </c>
      <c r="BH203" s="51">
        <f>F203*AO203</f>
        <v>0</v>
      </c>
      <c r="BI203" s="51">
        <f>F203*AP203</f>
        <v>0</v>
      </c>
      <c r="BJ203" s="51">
        <f>F203*G203</f>
        <v>0</v>
      </c>
      <c r="BK203" s="51"/>
      <c r="BL203" s="51">
        <v>771</v>
      </c>
      <c r="BW203" s="51">
        <v>12</v>
      </c>
      <c r="BX203" s="3" t="s">
        <v>551</v>
      </c>
    </row>
    <row r="204" spans="1:76">
      <c r="A204" s="54"/>
      <c r="C204" s="55" t="s">
        <v>552</v>
      </c>
      <c r="D204" s="56" t="s">
        <v>4</v>
      </c>
      <c r="F204" s="57">
        <v>4.0869999999999997</v>
      </c>
      <c r="J204" s="41"/>
    </row>
    <row r="205" spans="1:76">
      <c r="A205" s="1" t="s">
        <v>553</v>
      </c>
      <c r="B205" s="2" t="s">
        <v>554</v>
      </c>
      <c r="C205" s="75" t="s">
        <v>555</v>
      </c>
      <c r="D205" s="70"/>
      <c r="E205" s="2" t="s">
        <v>282</v>
      </c>
      <c r="F205" s="51">
        <v>9.9000000000000005E-2</v>
      </c>
      <c r="G205" s="52">
        <v>0</v>
      </c>
      <c r="H205" s="51">
        <f>F205*G205</f>
        <v>0</v>
      </c>
      <c r="J205" s="41"/>
      <c r="Z205" s="51">
        <f>IF(AQ205="5",BJ205,0)</f>
        <v>0</v>
      </c>
      <c r="AB205" s="51">
        <f>IF(AQ205="1",BH205,0)</f>
        <v>0</v>
      </c>
      <c r="AC205" s="51">
        <f>IF(AQ205="1",BI205,0)</f>
        <v>0</v>
      </c>
      <c r="AD205" s="51">
        <f>IF(AQ205="7",BH205,0)</f>
        <v>0</v>
      </c>
      <c r="AE205" s="51">
        <f>IF(AQ205="7",BI205,0)</f>
        <v>0</v>
      </c>
      <c r="AF205" s="51">
        <f>IF(AQ205="2",BH205,0)</f>
        <v>0</v>
      </c>
      <c r="AG205" s="51">
        <f>IF(AQ205="2",BI205,0)</f>
        <v>0</v>
      </c>
      <c r="AH205" s="51">
        <f>IF(AQ205="0",BJ205,0)</f>
        <v>0</v>
      </c>
      <c r="AI205" s="35" t="s">
        <v>4</v>
      </c>
      <c r="AJ205" s="51">
        <f>IF(AN205=0,H205,0)</f>
        <v>0</v>
      </c>
      <c r="AK205" s="51">
        <f>IF(AN205=12,H205,0)</f>
        <v>0</v>
      </c>
      <c r="AL205" s="51">
        <f>IF(AN205=21,H205,0)</f>
        <v>0</v>
      </c>
      <c r="AN205" s="51">
        <v>12</v>
      </c>
      <c r="AO205" s="51">
        <f>G205*0</f>
        <v>0</v>
      </c>
      <c r="AP205" s="51">
        <f>G205*(1-0)</f>
        <v>0</v>
      </c>
      <c r="AQ205" s="53" t="s">
        <v>137</v>
      </c>
      <c r="AV205" s="51">
        <f>AW205+AX205</f>
        <v>0</v>
      </c>
      <c r="AW205" s="51">
        <f>F205*AO205</f>
        <v>0</v>
      </c>
      <c r="AX205" s="51">
        <f>F205*AP205</f>
        <v>0</v>
      </c>
      <c r="AY205" s="53" t="s">
        <v>533</v>
      </c>
      <c r="AZ205" s="53" t="s">
        <v>534</v>
      </c>
      <c r="BA205" s="35" t="s">
        <v>117</v>
      </c>
      <c r="BC205" s="51">
        <f>AW205+AX205</f>
        <v>0</v>
      </c>
      <c r="BD205" s="51">
        <f>G205/(100-BE205)*100</f>
        <v>0</v>
      </c>
      <c r="BE205" s="51">
        <v>0</v>
      </c>
      <c r="BF205" s="51">
        <f>205</f>
        <v>205</v>
      </c>
      <c r="BH205" s="51">
        <f>F205*AO205</f>
        <v>0</v>
      </c>
      <c r="BI205" s="51">
        <f>F205*AP205</f>
        <v>0</v>
      </c>
      <c r="BJ205" s="51">
        <f>F205*G205</f>
        <v>0</v>
      </c>
      <c r="BK205" s="51"/>
      <c r="BL205" s="51">
        <v>771</v>
      </c>
      <c r="BW205" s="51">
        <v>12</v>
      </c>
      <c r="BX205" s="3" t="s">
        <v>555</v>
      </c>
    </row>
    <row r="206" spans="1:76">
      <c r="A206" s="47" t="s">
        <v>4</v>
      </c>
      <c r="B206" s="48" t="s">
        <v>556</v>
      </c>
      <c r="C206" s="150" t="s">
        <v>557</v>
      </c>
      <c r="D206" s="151"/>
      <c r="E206" s="49" t="s">
        <v>79</v>
      </c>
      <c r="F206" s="49" t="s">
        <v>79</v>
      </c>
      <c r="G206" s="50" t="s">
        <v>79</v>
      </c>
      <c r="H206" s="28">
        <f>SUM(H207:H227)</f>
        <v>0</v>
      </c>
      <c r="J206" s="41"/>
      <c r="AI206" s="35" t="s">
        <v>4</v>
      </c>
      <c r="AS206" s="28">
        <f>SUM(AJ207:AJ227)</f>
        <v>0</v>
      </c>
      <c r="AT206" s="28">
        <f>SUM(AK207:AK227)</f>
        <v>0</v>
      </c>
      <c r="AU206" s="28">
        <f>SUM(AL207:AL227)</f>
        <v>0</v>
      </c>
    </row>
    <row r="207" spans="1:76">
      <c r="A207" s="1" t="s">
        <v>558</v>
      </c>
      <c r="B207" s="2" t="s">
        <v>559</v>
      </c>
      <c r="C207" s="75" t="s">
        <v>560</v>
      </c>
      <c r="D207" s="70"/>
      <c r="E207" s="2" t="s">
        <v>135</v>
      </c>
      <c r="F207" s="51">
        <v>59.67</v>
      </c>
      <c r="G207" s="52">
        <v>0</v>
      </c>
      <c r="H207" s="51">
        <f>F207*G207</f>
        <v>0</v>
      </c>
      <c r="J207" s="41"/>
      <c r="Z207" s="51">
        <f>IF(AQ207="5",BJ207,0)</f>
        <v>0</v>
      </c>
      <c r="AB207" s="51">
        <f>IF(AQ207="1",BH207,0)</f>
        <v>0</v>
      </c>
      <c r="AC207" s="51">
        <f>IF(AQ207="1",BI207,0)</f>
        <v>0</v>
      </c>
      <c r="AD207" s="51">
        <f>IF(AQ207="7",BH207,0)</f>
        <v>0</v>
      </c>
      <c r="AE207" s="51">
        <f>IF(AQ207="7",BI207,0)</f>
        <v>0</v>
      </c>
      <c r="AF207" s="51">
        <f>IF(AQ207="2",BH207,0)</f>
        <v>0</v>
      </c>
      <c r="AG207" s="51">
        <f>IF(AQ207="2",BI207,0)</f>
        <v>0</v>
      </c>
      <c r="AH207" s="51">
        <f>IF(AQ207="0",BJ207,0)</f>
        <v>0</v>
      </c>
      <c r="AI207" s="35" t="s">
        <v>4</v>
      </c>
      <c r="AJ207" s="51">
        <f>IF(AN207=0,H207,0)</f>
        <v>0</v>
      </c>
      <c r="AK207" s="51">
        <f>IF(AN207=12,H207,0)</f>
        <v>0</v>
      </c>
      <c r="AL207" s="51">
        <f>IF(AN207=21,H207,0)</f>
        <v>0</v>
      </c>
      <c r="AN207" s="51">
        <v>12</v>
      </c>
      <c r="AO207" s="51">
        <f>G207*0</f>
        <v>0</v>
      </c>
      <c r="AP207" s="51">
        <f>G207*(1-0)</f>
        <v>0</v>
      </c>
      <c r="AQ207" s="53" t="s">
        <v>149</v>
      </c>
      <c r="AV207" s="51">
        <f>AW207+AX207</f>
        <v>0</v>
      </c>
      <c r="AW207" s="51">
        <f>F207*AO207</f>
        <v>0</v>
      </c>
      <c r="AX207" s="51">
        <f>F207*AP207</f>
        <v>0</v>
      </c>
      <c r="AY207" s="53" t="s">
        <v>561</v>
      </c>
      <c r="AZ207" s="53" t="s">
        <v>534</v>
      </c>
      <c r="BA207" s="35" t="s">
        <v>117</v>
      </c>
      <c r="BC207" s="51">
        <f>AW207+AX207</f>
        <v>0</v>
      </c>
      <c r="BD207" s="51">
        <f>G207/(100-BE207)*100</f>
        <v>0</v>
      </c>
      <c r="BE207" s="51">
        <v>0</v>
      </c>
      <c r="BF207" s="51">
        <f>207</f>
        <v>207</v>
      </c>
      <c r="BH207" s="51">
        <f>F207*AO207</f>
        <v>0</v>
      </c>
      <c r="BI207" s="51">
        <f>F207*AP207</f>
        <v>0</v>
      </c>
      <c r="BJ207" s="51">
        <f>F207*G207</f>
        <v>0</v>
      </c>
      <c r="BK207" s="51"/>
      <c r="BL207" s="51">
        <v>776</v>
      </c>
      <c r="BW207" s="51">
        <v>12</v>
      </c>
      <c r="BX207" s="3" t="s">
        <v>560</v>
      </c>
    </row>
    <row r="208" spans="1:76">
      <c r="A208" s="54"/>
      <c r="C208" s="55" t="s">
        <v>562</v>
      </c>
      <c r="D208" s="56" t="s">
        <v>163</v>
      </c>
      <c r="F208" s="57">
        <v>8.5</v>
      </c>
      <c r="J208" s="41"/>
    </row>
    <row r="209" spans="1:76">
      <c r="A209" s="54"/>
      <c r="C209" s="55" t="s">
        <v>563</v>
      </c>
      <c r="D209" s="56" t="s">
        <v>169</v>
      </c>
      <c r="F209" s="57">
        <v>14.83</v>
      </c>
      <c r="J209" s="41"/>
    </row>
    <row r="210" spans="1:76">
      <c r="A210" s="54"/>
      <c r="C210" s="55" t="s">
        <v>564</v>
      </c>
      <c r="D210" s="56" t="s">
        <v>171</v>
      </c>
      <c r="F210" s="57">
        <v>15.63</v>
      </c>
      <c r="J210" s="41"/>
    </row>
    <row r="211" spans="1:76">
      <c r="A211" s="54"/>
      <c r="C211" s="55" t="s">
        <v>565</v>
      </c>
      <c r="D211" s="56" t="s">
        <v>173</v>
      </c>
      <c r="F211" s="57">
        <v>5.7</v>
      </c>
      <c r="J211" s="41"/>
    </row>
    <row r="212" spans="1:76">
      <c r="A212" s="54"/>
      <c r="C212" s="55" t="s">
        <v>566</v>
      </c>
      <c r="D212" s="56" t="s">
        <v>171</v>
      </c>
      <c r="F212" s="57">
        <v>15.01</v>
      </c>
      <c r="J212" s="41"/>
    </row>
    <row r="213" spans="1:76">
      <c r="A213" s="1" t="s">
        <v>567</v>
      </c>
      <c r="B213" s="2" t="s">
        <v>568</v>
      </c>
      <c r="C213" s="75" t="s">
        <v>569</v>
      </c>
      <c r="D213" s="70"/>
      <c r="E213" s="2" t="s">
        <v>114</v>
      </c>
      <c r="F213" s="51">
        <v>53.5</v>
      </c>
      <c r="G213" s="52">
        <v>0</v>
      </c>
      <c r="H213" s="51">
        <f>F213*G213</f>
        <v>0</v>
      </c>
      <c r="J213" s="41"/>
      <c r="Z213" s="51">
        <f>IF(AQ213="5",BJ213,0)</f>
        <v>0</v>
      </c>
      <c r="AB213" s="51">
        <f>IF(AQ213="1",BH213,0)</f>
        <v>0</v>
      </c>
      <c r="AC213" s="51">
        <f>IF(AQ213="1",BI213,0)</f>
        <v>0</v>
      </c>
      <c r="AD213" s="51">
        <f>IF(AQ213="7",BH213,0)</f>
        <v>0</v>
      </c>
      <c r="AE213" s="51">
        <f>IF(AQ213="7",BI213,0)</f>
        <v>0</v>
      </c>
      <c r="AF213" s="51">
        <f>IF(AQ213="2",BH213,0)</f>
        <v>0</v>
      </c>
      <c r="AG213" s="51">
        <f>IF(AQ213="2",BI213,0)</f>
        <v>0</v>
      </c>
      <c r="AH213" s="51">
        <f>IF(AQ213="0",BJ213,0)</f>
        <v>0</v>
      </c>
      <c r="AI213" s="35" t="s">
        <v>4</v>
      </c>
      <c r="AJ213" s="51">
        <f>IF(AN213=0,H213,0)</f>
        <v>0</v>
      </c>
      <c r="AK213" s="51">
        <f>IF(AN213=12,H213,0)</f>
        <v>0</v>
      </c>
      <c r="AL213" s="51">
        <f>IF(AN213=21,H213,0)</f>
        <v>0</v>
      </c>
      <c r="AN213" s="51">
        <v>12</v>
      </c>
      <c r="AO213" s="51">
        <f>G213*0</f>
        <v>0</v>
      </c>
      <c r="AP213" s="51">
        <f>G213*(1-0)</f>
        <v>0</v>
      </c>
      <c r="AQ213" s="53" t="s">
        <v>149</v>
      </c>
      <c r="AV213" s="51">
        <f>AW213+AX213</f>
        <v>0</v>
      </c>
      <c r="AW213" s="51">
        <f>F213*AO213</f>
        <v>0</v>
      </c>
      <c r="AX213" s="51">
        <f>F213*AP213</f>
        <v>0</v>
      </c>
      <c r="AY213" s="53" t="s">
        <v>561</v>
      </c>
      <c r="AZ213" s="53" t="s">
        <v>534</v>
      </c>
      <c r="BA213" s="35" t="s">
        <v>117</v>
      </c>
      <c r="BC213" s="51">
        <f>AW213+AX213</f>
        <v>0</v>
      </c>
      <c r="BD213" s="51">
        <f>G213/(100-BE213)*100</f>
        <v>0</v>
      </c>
      <c r="BE213" s="51">
        <v>0</v>
      </c>
      <c r="BF213" s="51">
        <f>213</f>
        <v>213</v>
      </c>
      <c r="BH213" s="51">
        <f>F213*AO213</f>
        <v>0</v>
      </c>
      <c r="BI213" s="51">
        <f>F213*AP213</f>
        <v>0</v>
      </c>
      <c r="BJ213" s="51">
        <f>F213*G213</f>
        <v>0</v>
      </c>
      <c r="BK213" s="51"/>
      <c r="BL213" s="51">
        <v>776</v>
      </c>
      <c r="BW213" s="51">
        <v>12</v>
      </c>
      <c r="BX213" s="3" t="s">
        <v>569</v>
      </c>
    </row>
    <row r="214" spans="1:76">
      <c r="A214" s="54"/>
      <c r="C214" s="55" t="s">
        <v>235</v>
      </c>
      <c r="D214" s="56" t="s">
        <v>4</v>
      </c>
      <c r="F214" s="57">
        <v>53.5</v>
      </c>
      <c r="J214" s="41"/>
    </row>
    <row r="215" spans="1:76">
      <c r="A215" s="1" t="s">
        <v>570</v>
      </c>
      <c r="B215" s="2" t="s">
        <v>571</v>
      </c>
      <c r="C215" s="75" t="s">
        <v>572</v>
      </c>
      <c r="D215" s="70"/>
      <c r="E215" s="2" t="s">
        <v>135</v>
      </c>
      <c r="F215" s="51">
        <v>59.57</v>
      </c>
      <c r="G215" s="52">
        <v>0</v>
      </c>
      <c r="H215" s="51">
        <f>F215*G215</f>
        <v>0</v>
      </c>
      <c r="J215" s="41"/>
      <c r="Z215" s="51">
        <f>IF(AQ215="5",BJ215,0)</f>
        <v>0</v>
      </c>
      <c r="AB215" s="51">
        <f>IF(AQ215="1",BH215,0)</f>
        <v>0</v>
      </c>
      <c r="AC215" s="51">
        <f>IF(AQ215="1",BI215,0)</f>
        <v>0</v>
      </c>
      <c r="AD215" s="51">
        <f>IF(AQ215="7",BH215,0)</f>
        <v>0</v>
      </c>
      <c r="AE215" s="51">
        <f>IF(AQ215="7",BI215,0)</f>
        <v>0</v>
      </c>
      <c r="AF215" s="51">
        <f>IF(AQ215="2",BH215,0)</f>
        <v>0</v>
      </c>
      <c r="AG215" s="51">
        <f>IF(AQ215="2",BI215,0)</f>
        <v>0</v>
      </c>
      <c r="AH215" s="51">
        <f>IF(AQ215="0",BJ215,0)</f>
        <v>0</v>
      </c>
      <c r="AI215" s="35" t="s">
        <v>4</v>
      </c>
      <c r="AJ215" s="51">
        <f>IF(AN215=0,H215,0)</f>
        <v>0</v>
      </c>
      <c r="AK215" s="51">
        <f>IF(AN215=12,H215,0)</f>
        <v>0</v>
      </c>
      <c r="AL215" s="51">
        <f>IF(AN215=21,H215,0)</f>
        <v>0</v>
      </c>
      <c r="AN215" s="51">
        <v>12</v>
      </c>
      <c r="AO215" s="51">
        <f>G215*0.357142612</f>
        <v>0</v>
      </c>
      <c r="AP215" s="51">
        <f>G215*(1-0.357142612)</f>
        <v>0</v>
      </c>
      <c r="AQ215" s="53" t="s">
        <v>149</v>
      </c>
      <c r="AV215" s="51">
        <f>AW215+AX215</f>
        <v>0</v>
      </c>
      <c r="AW215" s="51">
        <f>F215*AO215</f>
        <v>0</v>
      </c>
      <c r="AX215" s="51">
        <f>F215*AP215</f>
        <v>0</v>
      </c>
      <c r="AY215" s="53" t="s">
        <v>561</v>
      </c>
      <c r="AZ215" s="53" t="s">
        <v>534</v>
      </c>
      <c r="BA215" s="35" t="s">
        <v>117</v>
      </c>
      <c r="BC215" s="51">
        <f>AW215+AX215</f>
        <v>0</v>
      </c>
      <c r="BD215" s="51">
        <f>G215/(100-BE215)*100</f>
        <v>0</v>
      </c>
      <c r="BE215" s="51">
        <v>0</v>
      </c>
      <c r="BF215" s="51">
        <f>215</f>
        <v>215</v>
      </c>
      <c r="BH215" s="51">
        <f>F215*AO215</f>
        <v>0</v>
      </c>
      <c r="BI215" s="51">
        <f>F215*AP215</f>
        <v>0</v>
      </c>
      <c r="BJ215" s="51">
        <f>F215*G215</f>
        <v>0</v>
      </c>
      <c r="BK215" s="51"/>
      <c r="BL215" s="51">
        <v>776</v>
      </c>
      <c r="BW215" s="51">
        <v>12</v>
      </c>
      <c r="BX215" s="3" t="s">
        <v>572</v>
      </c>
    </row>
    <row r="216" spans="1:76" ht="13.5" customHeight="1">
      <c r="A216" s="54"/>
      <c r="B216" s="58" t="s">
        <v>130</v>
      </c>
      <c r="C216" s="152" t="s">
        <v>573</v>
      </c>
      <c r="D216" s="153"/>
      <c r="E216" s="153"/>
      <c r="F216" s="153"/>
      <c r="G216" s="154"/>
      <c r="H216" s="153"/>
      <c r="I216" s="153"/>
      <c r="J216" s="155"/>
    </row>
    <row r="217" spans="1:76">
      <c r="A217" s="54"/>
      <c r="C217" s="55" t="s">
        <v>574</v>
      </c>
      <c r="D217" s="56" t="s">
        <v>163</v>
      </c>
      <c r="F217" s="57">
        <v>8.4</v>
      </c>
      <c r="J217" s="41"/>
    </row>
    <row r="218" spans="1:76">
      <c r="A218" s="54"/>
      <c r="C218" s="55" t="s">
        <v>563</v>
      </c>
      <c r="D218" s="56" t="s">
        <v>169</v>
      </c>
      <c r="F218" s="57">
        <v>14.83</v>
      </c>
      <c r="J218" s="41"/>
    </row>
    <row r="219" spans="1:76">
      <c r="A219" s="54"/>
      <c r="C219" s="55" t="s">
        <v>564</v>
      </c>
      <c r="D219" s="56" t="s">
        <v>171</v>
      </c>
      <c r="F219" s="57">
        <v>15.63</v>
      </c>
      <c r="J219" s="41"/>
    </row>
    <row r="220" spans="1:76">
      <c r="A220" s="54"/>
      <c r="C220" s="55" t="s">
        <v>565</v>
      </c>
      <c r="D220" s="56" t="s">
        <v>173</v>
      </c>
      <c r="F220" s="57">
        <v>5.7</v>
      </c>
      <c r="J220" s="41"/>
    </row>
    <row r="221" spans="1:76">
      <c r="A221" s="54"/>
      <c r="C221" s="55" t="s">
        <v>566</v>
      </c>
      <c r="D221" s="56" t="s">
        <v>171</v>
      </c>
      <c r="F221" s="57">
        <v>15.01</v>
      </c>
      <c r="J221" s="41"/>
    </row>
    <row r="222" spans="1:76">
      <c r="A222" s="1" t="s">
        <v>575</v>
      </c>
      <c r="B222" s="2" t="s">
        <v>576</v>
      </c>
      <c r="C222" s="75" t="s">
        <v>577</v>
      </c>
      <c r="D222" s="70"/>
      <c r="E222" s="2" t="s">
        <v>114</v>
      </c>
      <c r="F222" s="51">
        <v>53.5</v>
      </c>
      <c r="G222" s="52">
        <v>0</v>
      </c>
      <c r="H222" s="51">
        <f>F222*G222</f>
        <v>0</v>
      </c>
      <c r="J222" s="41"/>
      <c r="Z222" s="51">
        <f>IF(AQ222="5",BJ222,0)</f>
        <v>0</v>
      </c>
      <c r="AB222" s="51">
        <f>IF(AQ222="1",BH222,0)</f>
        <v>0</v>
      </c>
      <c r="AC222" s="51">
        <f>IF(AQ222="1",BI222,0)</f>
        <v>0</v>
      </c>
      <c r="AD222" s="51">
        <f>IF(AQ222="7",BH222,0)</f>
        <v>0</v>
      </c>
      <c r="AE222" s="51">
        <f>IF(AQ222="7",BI222,0)</f>
        <v>0</v>
      </c>
      <c r="AF222" s="51">
        <f>IF(AQ222="2",BH222,0)</f>
        <v>0</v>
      </c>
      <c r="AG222" s="51">
        <f>IF(AQ222="2",BI222,0)</f>
        <v>0</v>
      </c>
      <c r="AH222" s="51">
        <f>IF(AQ222="0",BJ222,0)</f>
        <v>0</v>
      </c>
      <c r="AI222" s="35" t="s">
        <v>4</v>
      </c>
      <c r="AJ222" s="51">
        <f>IF(AN222=0,H222,0)</f>
        <v>0</v>
      </c>
      <c r="AK222" s="51">
        <f>IF(AN222=12,H222,0)</f>
        <v>0</v>
      </c>
      <c r="AL222" s="51">
        <f>IF(AN222=21,H222,0)</f>
        <v>0</v>
      </c>
      <c r="AN222" s="51">
        <v>12</v>
      </c>
      <c r="AO222" s="51">
        <f>G222*0.207381317</f>
        <v>0</v>
      </c>
      <c r="AP222" s="51">
        <f>G222*(1-0.207381317)</f>
        <v>0</v>
      </c>
      <c r="AQ222" s="53" t="s">
        <v>149</v>
      </c>
      <c r="AV222" s="51">
        <f>AW222+AX222</f>
        <v>0</v>
      </c>
      <c r="AW222" s="51">
        <f>F222*AO222</f>
        <v>0</v>
      </c>
      <c r="AX222" s="51">
        <f>F222*AP222</f>
        <v>0</v>
      </c>
      <c r="AY222" s="53" t="s">
        <v>561</v>
      </c>
      <c r="AZ222" s="53" t="s">
        <v>534</v>
      </c>
      <c r="BA222" s="35" t="s">
        <v>117</v>
      </c>
      <c r="BC222" s="51">
        <f>AW222+AX222</f>
        <v>0</v>
      </c>
      <c r="BD222" s="51">
        <f>G222/(100-BE222)*100</f>
        <v>0</v>
      </c>
      <c r="BE222" s="51">
        <v>0</v>
      </c>
      <c r="BF222" s="51">
        <f>222</f>
        <v>222</v>
      </c>
      <c r="BH222" s="51">
        <f>F222*AO222</f>
        <v>0</v>
      </c>
      <c r="BI222" s="51">
        <f>F222*AP222</f>
        <v>0</v>
      </c>
      <c r="BJ222" s="51">
        <f>F222*G222</f>
        <v>0</v>
      </c>
      <c r="BK222" s="51"/>
      <c r="BL222" s="51">
        <v>776</v>
      </c>
      <c r="BW222" s="51">
        <v>12</v>
      </c>
      <c r="BX222" s="3" t="s">
        <v>577</v>
      </c>
    </row>
    <row r="223" spans="1:76">
      <c r="A223" s="54"/>
      <c r="C223" s="55" t="s">
        <v>235</v>
      </c>
      <c r="D223" s="56" t="s">
        <v>4</v>
      </c>
      <c r="F223" s="57">
        <v>53.5</v>
      </c>
      <c r="J223" s="41"/>
    </row>
    <row r="224" spans="1:76">
      <c r="A224" s="1" t="s">
        <v>578</v>
      </c>
      <c r="B224" s="2" t="s">
        <v>579</v>
      </c>
      <c r="C224" s="75" t="s">
        <v>580</v>
      </c>
      <c r="D224" s="70"/>
      <c r="E224" s="2" t="s">
        <v>512</v>
      </c>
      <c r="F224" s="51">
        <v>2</v>
      </c>
      <c r="G224" s="52">
        <v>0</v>
      </c>
      <c r="H224" s="51">
        <f>F224*G224</f>
        <v>0</v>
      </c>
      <c r="J224" s="41"/>
      <c r="Z224" s="51">
        <f>IF(AQ224="5",BJ224,0)</f>
        <v>0</v>
      </c>
      <c r="AB224" s="51">
        <f>IF(AQ224="1",BH224,0)</f>
        <v>0</v>
      </c>
      <c r="AC224" s="51">
        <f>IF(AQ224="1",BI224,0)</f>
        <v>0</v>
      </c>
      <c r="AD224" s="51">
        <f>IF(AQ224="7",BH224,0)</f>
        <v>0</v>
      </c>
      <c r="AE224" s="51">
        <f>IF(AQ224="7",BI224,0)</f>
        <v>0</v>
      </c>
      <c r="AF224" s="51">
        <f>IF(AQ224="2",BH224,0)</f>
        <v>0</v>
      </c>
      <c r="AG224" s="51">
        <f>IF(AQ224="2",BI224,0)</f>
        <v>0</v>
      </c>
      <c r="AH224" s="51">
        <f>IF(AQ224="0",BJ224,0)</f>
        <v>0</v>
      </c>
      <c r="AI224" s="35" t="s">
        <v>4</v>
      </c>
      <c r="AJ224" s="51">
        <f>IF(AN224=0,H224,0)</f>
        <v>0</v>
      </c>
      <c r="AK224" s="51">
        <f>IF(AN224=12,H224,0)</f>
        <v>0</v>
      </c>
      <c r="AL224" s="51">
        <f>IF(AN224=21,H224,0)</f>
        <v>0</v>
      </c>
      <c r="AN224" s="51">
        <v>12</v>
      </c>
      <c r="AO224" s="51">
        <f>G224*0</f>
        <v>0</v>
      </c>
      <c r="AP224" s="51">
        <f>G224*(1-0)</f>
        <v>0</v>
      </c>
      <c r="AQ224" s="53" t="s">
        <v>149</v>
      </c>
      <c r="AV224" s="51">
        <f>AW224+AX224</f>
        <v>0</v>
      </c>
      <c r="AW224" s="51">
        <f>F224*AO224</f>
        <v>0</v>
      </c>
      <c r="AX224" s="51">
        <f>F224*AP224</f>
        <v>0</v>
      </c>
      <c r="AY224" s="53" t="s">
        <v>561</v>
      </c>
      <c r="AZ224" s="53" t="s">
        <v>534</v>
      </c>
      <c r="BA224" s="35" t="s">
        <v>117</v>
      </c>
      <c r="BC224" s="51">
        <f>AW224+AX224</f>
        <v>0</v>
      </c>
      <c r="BD224" s="51">
        <f>G224/(100-BE224)*100</f>
        <v>0</v>
      </c>
      <c r="BE224" s="51">
        <v>0</v>
      </c>
      <c r="BF224" s="51">
        <f>224</f>
        <v>224</v>
      </c>
      <c r="BH224" s="51">
        <f>F224*AO224</f>
        <v>0</v>
      </c>
      <c r="BI224" s="51">
        <f>F224*AP224</f>
        <v>0</v>
      </c>
      <c r="BJ224" s="51">
        <f>F224*G224</f>
        <v>0</v>
      </c>
      <c r="BK224" s="51"/>
      <c r="BL224" s="51">
        <v>776</v>
      </c>
      <c r="BW224" s="51">
        <v>12</v>
      </c>
      <c r="BX224" s="3" t="s">
        <v>580</v>
      </c>
    </row>
    <row r="225" spans="1:76">
      <c r="A225" s="1" t="s">
        <v>581</v>
      </c>
      <c r="B225" s="2" t="s">
        <v>582</v>
      </c>
      <c r="C225" s="75" t="s">
        <v>583</v>
      </c>
      <c r="D225" s="70"/>
      <c r="E225" s="2" t="s">
        <v>114</v>
      </c>
      <c r="F225" s="51">
        <v>58.85</v>
      </c>
      <c r="G225" s="52">
        <v>0</v>
      </c>
      <c r="H225" s="51">
        <f>F225*G225</f>
        <v>0</v>
      </c>
      <c r="J225" s="41"/>
      <c r="Z225" s="51">
        <f>IF(AQ225="5",BJ225,0)</f>
        <v>0</v>
      </c>
      <c r="AB225" s="51">
        <f>IF(AQ225="1",BH225,0)</f>
        <v>0</v>
      </c>
      <c r="AC225" s="51">
        <f>IF(AQ225="1",BI225,0)</f>
        <v>0</v>
      </c>
      <c r="AD225" s="51">
        <f>IF(AQ225="7",BH225,0)</f>
        <v>0</v>
      </c>
      <c r="AE225" s="51">
        <f>IF(AQ225="7",BI225,0)</f>
        <v>0</v>
      </c>
      <c r="AF225" s="51">
        <f>IF(AQ225="2",BH225,0)</f>
        <v>0</v>
      </c>
      <c r="AG225" s="51">
        <f>IF(AQ225="2",BI225,0)</f>
        <v>0</v>
      </c>
      <c r="AH225" s="51">
        <f>IF(AQ225="0",BJ225,0)</f>
        <v>0</v>
      </c>
      <c r="AI225" s="35" t="s">
        <v>4</v>
      </c>
      <c r="AJ225" s="51">
        <f>IF(AN225=0,H225,0)</f>
        <v>0</v>
      </c>
      <c r="AK225" s="51">
        <f>IF(AN225=12,H225,0)</f>
        <v>0</v>
      </c>
      <c r="AL225" s="51">
        <f>IF(AN225=21,H225,0)</f>
        <v>0</v>
      </c>
      <c r="AN225" s="51">
        <v>12</v>
      </c>
      <c r="AO225" s="51">
        <f>G225*1</f>
        <v>0</v>
      </c>
      <c r="AP225" s="51">
        <f>G225*(1-1)</f>
        <v>0</v>
      </c>
      <c r="AQ225" s="53" t="s">
        <v>149</v>
      </c>
      <c r="AV225" s="51">
        <f>AW225+AX225</f>
        <v>0</v>
      </c>
      <c r="AW225" s="51">
        <f>F225*AO225</f>
        <v>0</v>
      </c>
      <c r="AX225" s="51">
        <f>F225*AP225</f>
        <v>0</v>
      </c>
      <c r="AY225" s="53" t="s">
        <v>561</v>
      </c>
      <c r="AZ225" s="53" t="s">
        <v>534</v>
      </c>
      <c r="BA225" s="35" t="s">
        <v>117</v>
      </c>
      <c r="BC225" s="51">
        <f>AW225+AX225</f>
        <v>0</v>
      </c>
      <c r="BD225" s="51">
        <f>G225/(100-BE225)*100</f>
        <v>0</v>
      </c>
      <c r="BE225" s="51">
        <v>0</v>
      </c>
      <c r="BF225" s="51">
        <f>225</f>
        <v>225</v>
      </c>
      <c r="BH225" s="51">
        <f>F225*AO225</f>
        <v>0</v>
      </c>
      <c r="BI225" s="51">
        <f>F225*AP225</f>
        <v>0</v>
      </c>
      <c r="BJ225" s="51">
        <f>F225*G225</f>
        <v>0</v>
      </c>
      <c r="BK225" s="51"/>
      <c r="BL225" s="51">
        <v>776</v>
      </c>
      <c r="BW225" s="51">
        <v>12</v>
      </c>
      <c r="BX225" s="3" t="s">
        <v>583</v>
      </c>
    </row>
    <row r="226" spans="1:76">
      <c r="A226" s="54"/>
      <c r="C226" s="55" t="s">
        <v>584</v>
      </c>
      <c r="D226" s="56" t="s">
        <v>4</v>
      </c>
      <c r="F226" s="57">
        <v>58.85</v>
      </c>
      <c r="J226" s="41"/>
    </row>
    <row r="227" spans="1:76">
      <c r="A227" s="1" t="s">
        <v>585</v>
      </c>
      <c r="B227" s="2" t="s">
        <v>586</v>
      </c>
      <c r="C227" s="75" t="s">
        <v>587</v>
      </c>
      <c r="D227" s="70"/>
      <c r="E227" s="2" t="s">
        <v>282</v>
      </c>
      <c r="F227" s="51">
        <v>0.36899999999999999</v>
      </c>
      <c r="G227" s="52">
        <v>0</v>
      </c>
      <c r="H227" s="51">
        <f>F227*G227</f>
        <v>0</v>
      </c>
      <c r="J227" s="41"/>
      <c r="Z227" s="51">
        <f>IF(AQ227="5",BJ227,0)</f>
        <v>0</v>
      </c>
      <c r="AB227" s="51">
        <f>IF(AQ227="1",BH227,0)</f>
        <v>0</v>
      </c>
      <c r="AC227" s="51">
        <f>IF(AQ227="1",BI227,0)</f>
        <v>0</v>
      </c>
      <c r="AD227" s="51">
        <f>IF(AQ227="7",BH227,0)</f>
        <v>0</v>
      </c>
      <c r="AE227" s="51">
        <f>IF(AQ227="7",BI227,0)</f>
        <v>0</v>
      </c>
      <c r="AF227" s="51">
        <f>IF(AQ227="2",BH227,0)</f>
        <v>0</v>
      </c>
      <c r="AG227" s="51">
        <f>IF(AQ227="2",BI227,0)</f>
        <v>0</v>
      </c>
      <c r="AH227" s="51">
        <f>IF(AQ227="0",BJ227,0)</f>
        <v>0</v>
      </c>
      <c r="AI227" s="35" t="s">
        <v>4</v>
      </c>
      <c r="AJ227" s="51">
        <f>IF(AN227=0,H227,0)</f>
        <v>0</v>
      </c>
      <c r="AK227" s="51">
        <f>IF(AN227=12,H227,0)</f>
        <v>0</v>
      </c>
      <c r="AL227" s="51">
        <f>IF(AN227=21,H227,0)</f>
        <v>0</v>
      </c>
      <c r="AN227" s="51">
        <v>12</v>
      </c>
      <c r="AO227" s="51">
        <f>G227*0</f>
        <v>0</v>
      </c>
      <c r="AP227" s="51">
        <f>G227*(1-0)</f>
        <v>0</v>
      </c>
      <c r="AQ227" s="53" t="s">
        <v>137</v>
      </c>
      <c r="AV227" s="51">
        <f>AW227+AX227</f>
        <v>0</v>
      </c>
      <c r="AW227" s="51">
        <f>F227*AO227</f>
        <v>0</v>
      </c>
      <c r="AX227" s="51">
        <f>F227*AP227</f>
        <v>0</v>
      </c>
      <c r="AY227" s="53" t="s">
        <v>561</v>
      </c>
      <c r="AZ227" s="53" t="s">
        <v>534</v>
      </c>
      <c r="BA227" s="35" t="s">
        <v>117</v>
      </c>
      <c r="BC227" s="51">
        <f>AW227+AX227</f>
        <v>0</v>
      </c>
      <c r="BD227" s="51">
        <f>G227/(100-BE227)*100</f>
        <v>0</v>
      </c>
      <c r="BE227" s="51">
        <v>0</v>
      </c>
      <c r="BF227" s="51">
        <f>227</f>
        <v>227</v>
      </c>
      <c r="BH227" s="51">
        <f>F227*AO227</f>
        <v>0</v>
      </c>
      <c r="BI227" s="51">
        <f>F227*AP227</f>
        <v>0</v>
      </c>
      <c r="BJ227" s="51">
        <f>F227*G227</f>
        <v>0</v>
      </c>
      <c r="BK227" s="51"/>
      <c r="BL227" s="51">
        <v>776</v>
      </c>
      <c r="BW227" s="51">
        <v>12</v>
      </c>
      <c r="BX227" s="3" t="s">
        <v>587</v>
      </c>
    </row>
    <row r="228" spans="1:76">
      <c r="A228" s="47" t="s">
        <v>4</v>
      </c>
      <c r="B228" s="48" t="s">
        <v>588</v>
      </c>
      <c r="C228" s="150" t="s">
        <v>589</v>
      </c>
      <c r="D228" s="151"/>
      <c r="E228" s="49" t="s">
        <v>79</v>
      </c>
      <c r="F228" s="49" t="s">
        <v>79</v>
      </c>
      <c r="G228" s="50" t="s">
        <v>79</v>
      </c>
      <c r="H228" s="28">
        <f>SUM(H229:H240)</f>
        <v>0</v>
      </c>
      <c r="J228" s="41"/>
      <c r="AI228" s="35" t="s">
        <v>4</v>
      </c>
      <c r="AS228" s="28">
        <f>SUM(AJ229:AJ240)</f>
        <v>0</v>
      </c>
      <c r="AT228" s="28">
        <f>SUM(AK229:AK240)</f>
        <v>0</v>
      </c>
      <c r="AU228" s="28">
        <f>SUM(AL229:AL240)</f>
        <v>0</v>
      </c>
    </row>
    <row r="229" spans="1:76">
      <c r="A229" s="1" t="s">
        <v>590</v>
      </c>
      <c r="B229" s="2" t="s">
        <v>591</v>
      </c>
      <c r="C229" s="75" t="s">
        <v>592</v>
      </c>
      <c r="D229" s="70"/>
      <c r="E229" s="2" t="s">
        <v>114</v>
      </c>
      <c r="F229" s="51">
        <v>20.968</v>
      </c>
      <c r="G229" s="52">
        <v>0</v>
      </c>
      <c r="H229" s="51">
        <f>F229*G229</f>
        <v>0</v>
      </c>
      <c r="J229" s="41"/>
      <c r="Z229" s="51">
        <f>IF(AQ229="5",BJ229,0)</f>
        <v>0</v>
      </c>
      <c r="AB229" s="51">
        <f>IF(AQ229="1",BH229,0)</f>
        <v>0</v>
      </c>
      <c r="AC229" s="51">
        <f>IF(AQ229="1",BI229,0)</f>
        <v>0</v>
      </c>
      <c r="AD229" s="51">
        <f>IF(AQ229="7",BH229,0)</f>
        <v>0</v>
      </c>
      <c r="AE229" s="51">
        <f>IF(AQ229="7",BI229,0)</f>
        <v>0</v>
      </c>
      <c r="AF229" s="51">
        <f>IF(AQ229="2",BH229,0)</f>
        <v>0</v>
      </c>
      <c r="AG229" s="51">
        <f>IF(AQ229="2",BI229,0)</f>
        <v>0</v>
      </c>
      <c r="AH229" s="51">
        <f>IF(AQ229="0",BJ229,0)</f>
        <v>0</v>
      </c>
      <c r="AI229" s="35" t="s">
        <v>4</v>
      </c>
      <c r="AJ229" s="51">
        <f>IF(AN229=0,H229,0)</f>
        <v>0</v>
      </c>
      <c r="AK229" s="51">
        <f>IF(AN229=12,H229,0)</f>
        <v>0</v>
      </c>
      <c r="AL229" s="51">
        <f>IF(AN229=21,H229,0)</f>
        <v>0</v>
      </c>
      <c r="AN229" s="51">
        <v>12</v>
      </c>
      <c r="AO229" s="51">
        <f>G229*0.182075257</f>
        <v>0</v>
      </c>
      <c r="AP229" s="51">
        <f>G229*(1-0.182075257)</f>
        <v>0</v>
      </c>
      <c r="AQ229" s="53" t="s">
        <v>149</v>
      </c>
      <c r="AV229" s="51">
        <f>AW229+AX229</f>
        <v>0</v>
      </c>
      <c r="AW229" s="51">
        <f>F229*AO229</f>
        <v>0</v>
      </c>
      <c r="AX229" s="51">
        <f>F229*AP229</f>
        <v>0</v>
      </c>
      <c r="AY229" s="53" t="s">
        <v>593</v>
      </c>
      <c r="AZ229" s="53" t="s">
        <v>594</v>
      </c>
      <c r="BA229" s="35" t="s">
        <v>117</v>
      </c>
      <c r="BC229" s="51">
        <f>AW229+AX229</f>
        <v>0</v>
      </c>
      <c r="BD229" s="51">
        <f>G229/(100-BE229)*100</f>
        <v>0</v>
      </c>
      <c r="BE229" s="51">
        <v>0</v>
      </c>
      <c r="BF229" s="51">
        <f>229</f>
        <v>229</v>
      </c>
      <c r="BH229" s="51">
        <f>F229*AO229</f>
        <v>0</v>
      </c>
      <c r="BI229" s="51">
        <f>F229*AP229</f>
        <v>0</v>
      </c>
      <c r="BJ229" s="51">
        <f>F229*G229</f>
        <v>0</v>
      </c>
      <c r="BK229" s="51"/>
      <c r="BL229" s="51">
        <v>781</v>
      </c>
      <c r="BW229" s="51">
        <v>12</v>
      </c>
      <c r="BX229" s="3" t="s">
        <v>592</v>
      </c>
    </row>
    <row r="230" spans="1:76">
      <c r="A230" s="54"/>
      <c r="C230" s="55" t="s">
        <v>595</v>
      </c>
      <c r="D230" s="56" t="s">
        <v>167</v>
      </c>
      <c r="F230" s="57">
        <v>12.05</v>
      </c>
      <c r="J230" s="41"/>
    </row>
    <row r="231" spans="1:76">
      <c r="A231" s="54"/>
      <c r="C231" s="55" t="s">
        <v>596</v>
      </c>
      <c r="D231" s="56" t="s">
        <v>165</v>
      </c>
      <c r="F231" s="57">
        <v>6.3</v>
      </c>
      <c r="J231" s="41"/>
    </row>
    <row r="232" spans="1:76">
      <c r="A232" s="54"/>
      <c r="C232" s="55" t="s">
        <v>597</v>
      </c>
      <c r="D232" s="56" t="s">
        <v>545</v>
      </c>
      <c r="F232" s="57">
        <v>2.6179999999999999</v>
      </c>
      <c r="J232" s="41"/>
    </row>
    <row r="233" spans="1:76">
      <c r="A233" s="1" t="s">
        <v>598</v>
      </c>
      <c r="B233" s="2" t="s">
        <v>599</v>
      </c>
      <c r="C233" s="75" t="s">
        <v>600</v>
      </c>
      <c r="D233" s="70"/>
      <c r="E233" s="2" t="s">
        <v>114</v>
      </c>
      <c r="F233" s="51">
        <v>8.9179999999999993</v>
      </c>
      <c r="G233" s="52">
        <v>0</v>
      </c>
      <c r="H233" s="51">
        <f>F233*G233</f>
        <v>0</v>
      </c>
      <c r="J233" s="41"/>
      <c r="Z233" s="51">
        <f>IF(AQ233="5",BJ233,0)</f>
        <v>0</v>
      </c>
      <c r="AB233" s="51">
        <f>IF(AQ233="1",BH233,0)</f>
        <v>0</v>
      </c>
      <c r="AC233" s="51">
        <f>IF(AQ233="1",BI233,0)</f>
        <v>0</v>
      </c>
      <c r="AD233" s="51">
        <f>IF(AQ233="7",BH233,0)</f>
        <v>0</v>
      </c>
      <c r="AE233" s="51">
        <f>IF(AQ233="7",BI233,0)</f>
        <v>0</v>
      </c>
      <c r="AF233" s="51">
        <f>IF(AQ233="2",BH233,0)</f>
        <v>0</v>
      </c>
      <c r="AG233" s="51">
        <f>IF(AQ233="2",BI233,0)</f>
        <v>0</v>
      </c>
      <c r="AH233" s="51">
        <f>IF(AQ233="0",BJ233,0)</f>
        <v>0</v>
      </c>
      <c r="AI233" s="35" t="s">
        <v>4</v>
      </c>
      <c r="AJ233" s="51">
        <f>IF(AN233=0,H233,0)</f>
        <v>0</v>
      </c>
      <c r="AK233" s="51">
        <f>IF(AN233=12,H233,0)</f>
        <v>0</v>
      </c>
      <c r="AL233" s="51">
        <f>IF(AN233=21,H233,0)</f>
        <v>0</v>
      </c>
      <c r="AN233" s="51">
        <v>12</v>
      </c>
      <c r="AO233" s="51">
        <f>G233*0</f>
        <v>0</v>
      </c>
      <c r="AP233" s="51">
        <f>G233*(1-0)</f>
        <v>0</v>
      </c>
      <c r="AQ233" s="53" t="s">
        <v>149</v>
      </c>
      <c r="AV233" s="51">
        <f>AW233+AX233</f>
        <v>0</v>
      </c>
      <c r="AW233" s="51">
        <f>F233*AO233</f>
        <v>0</v>
      </c>
      <c r="AX233" s="51">
        <f>F233*AP233</f>
        <v>0</v>
      </c>
      <c r="AY233" s="53" t="s">
        <v>593</v>
      </c>
      <c r="AZ233" s="53" t="s">
        <v>594</v>
      </c>
      <c r="BA233" s="35" t="s">
        <v>117</v>
      </c>
      <c r="BC233" s="51">
        <f>AW233+AX233</f>
        <v>0</v>
      </c>
      <c r="BD233" s="51">
        <f>G233/(100-BE233)*100</f>
        <v>0</v>
      </c>
      <c r="BE233" s="51">
        <v>0</v>
      </c>
      <c r="BF233" s="51">
        <f>233</f>
        <v>233</v>
      </c>
      <c r="BH233" s="51">
        <f>F233*AO233</f>
        <v>0</v>
      </c>
      <c r="BI233" s="51">
        <f>F233*AP233</f>
        <v>0</v>
      </c>
      <c r="BJ233" s="51">
        <f>F233*G233</f>
        <v>0</v>
      </c>
      <c r="BK233" s="51"/>
      <c r="BL233" s="51">
        <v>781</v>
      </c>
      <c r="BW233" s="51">
        <v>12</v>
      </c>
      <c r="BX233" s="3" t="s">
        <v>600</v>
      </c>
    </row>
    <row r="234" spans="1:76">
      <c r="A234" s="54"/>
      <c r="C234" s="55" t="s">
        <v>601</v>
      </c>
      <c r="D234" s="56" t="s">
        <v>4</v>
      </c>
      <c r="F234" s="57">
        <v>8.9179999999999993</v>
      </c>
      <c r="J234" s="41"/>
    </row>
    <row r="235" spans="1:76">
      <c r="A235" s="1" t="s">
        <v>602</v>
      </c>
      <c r="B235" s="2" t="s">
        <v>603</v>
      </c>
      <c r="C235" s="75" t="s">
        <v>604</v>
      </c>
      <c r="D235" s="70"/>
      <c r="E235" s="2" t="s">
        <v>135</v>
      </c>
      <c r="F235" s="51">
        <v>15.6</v>
      </c>
      <c r="G235" s="52">
        <v>0</v>
      </c>
      <c r="H235" s="51">
        <f>F235*G235</f>
        <v>0</v>
      </c>
      <c r="J235" s="41"/>
      <c r="Z235" s="51">
        <f>IF(AQ235="5",BJ235,0)</f>
        <v>0</v>
      </c>
      <c r="AB235" s="51">
        <f>IF(AQ235="1",BH235,0)</f>
        <v>0</v>
      </c>
      <c r="AC235" s="51">
        <f>IF(AQ235="1",BI235,0)</f>
        <v>0</v>
      </c>
      <c r="AD235" s="51">
        <f>IF(AQ235="7",BH235,0)</f>
        <v>0</v>
      </c>
      <c r="AE235" s="51">
        <f>IF(AQ235="7",BI235,0)</f>
        <v>0</v>
      </c>
      <c r="AF235" s="51">
        <f>IF(AQ235="2",BH235,0)</f>
        <v>0</v>
      </c>
      <c r="AG235" s="51">
        <f>IF(AQ235="2",BI235,0)</f>
        <v>0</v>
      </c>
      <c r="AH235" s="51">
        <f>IF(AQ235="0",BJ235,0)</f>
        <v>0</v>
      </c>
      <c r="AI235" s="35" t="s">
        <v>4</v>
      </c>
      <c r="AJ235" s="51">
        <f>IF(AN235=0,H235,0)</f>
        <v>0</v>
      </c>
      <c r="AK235" s="51">
        <f>IF(AN235=12,H235,0)</f>
        <v>0</v>
      </c>
      <c r="AL235" s="51">
        <f>IF(AN235=21,H235,0)</f>
        <v>0</v>
      </c>
      <c r="AN235" s="51">
        <v>12</v>
      </c>
      <c r="AO235" s="51">
        <f>G235*0.05314554</f>
        <v>0</v>
      </c>
      <c r="AP235" s="51">
        <f>G235*(1-0.05314554)</f>
        <v>0</v>
      </c>
      <c r="AQ235" s="53" t="s">
        <v>149</v>
      </c>
      <c r="AV235" s="51">
        <f>AW235+AX235</f>
        <v>0</v>
      </c>
      <c r="AW235" s="51">
        <f>F235*AO235</f>
        <v>0</v>
      </c>
      <c r="AX235" s="51">
        <f>F235*AP235</f>
        <v>0</v>
      </c>
      <c r="AY235" s="53" t="s">
        <v>593</v>
      </c>
      <c r="AZ235" s="53" t="s">
        <v>594</v>
      </c>
      <c r="BA235" s="35" t="s">
        <v>117</v>
      </c>
      <c r="BC235" s="51">
        <f>AW235+AX235</f>
        <v>0</v>
      </c>
      <c r="BD235" s="51">
        <f>G235/(100-BE235)*100</f>
        <v>0</v>
      </c>
      <c r="BE235" s="51">
        <v>0</v>
      </c>
      <c r="BF235" s="51">
        <f>235</f>
        <v>235</v>
      </c>
      <c r="BH235" s="51">
        <f>F235*AO235</f>
        <v>0</v>
      </c>
      <c r="BI235" s="51">
        <f>F235*AP235</f>
        <v>0</v>
      </c>
      <c r="BJ235" s="51">
        <f>F235*G235</f>
        <v>0</v>
      </c>
      <c r="BK235" s="51"/>
      <c r="BL235" s="51">
        <v>781</v>
      </c>
      <c r="BW235" s="51">
        <v>12</v>
      </c>
      <c r="BX235" s="3" t="s">
        <v>604</v>
      </c>
    </row>
    <row r="236" spans="1:76">
      <c r="A236" s="54"/>
      <c r="C236" s="55" t="s">
        <v>605</v>
      </c>
      <c r="D236" s="56" t="s">
        <v>4</v>
      </c>
      <c r="F236" s="57">
        <v>15.6</v>
      </c>
      <c r="J236" s="41"/>
    </row>
    <row r="237" spans="1:76">
      <c r="A237" s="1" t="s">
        <v>606</v>
      </c>
      <c r="B237" s="2" t="s">
        <v>607</v>
      </c>
      <c r="C237" s="75" t="s">
        <v>608</v>
      </c>
      <c r="D237" s="70"/>
      <c r="E237" s="2" t="s">
        <v>129</v>
      </c>
      <c r="F237" s="51">
        <v>8</v>
      </c>
      <c r="G237" s="52">
        <v>0</v>
      </c>
      <c r="H237" s="51">
        <f>F237*G237</f>
        <v>0</v>
      </c>
      <c r="J237" s="41"/>
      <c r="Z237" s="51">
        <f>IF(AQ237="5",BJ237,0)</f>
        <v>0</v>
      </c>
      <c r="AB237" s="51">
        <f>IF(AQ237="1",BH237,0)</f>
        <v>0</v>
      </c>
      <c r="AC237" s="51">
        <f>IF(AQ237="1",BI237,0)</f>
        <v>0</v>
      </c>
      <c r="AD237" s="51">
        <f>IF(AQ237="7",BH237,0)</f>
        <v>0</v>
      </c>
      <c r="AE237" s="51">
        <f>IF(AQ237="7",BI237,0)</f>
        <v>0</v>
      </c>
      <c r="AF237" s="51">
        <f>IF(AQ237="2",BH237,0)</f>
        <v>0</v>
      </c>
      <c r="AG237" s="51">
        <f>IF(AQ237="2",BI237,0)</f>
        <v>0</v>
      </c>
      <c r="AH237" s="51">
        <f>IF(AQ237="0",BJ237,0)</f>
        <v>0</v>
      </c>
      <c r="AI237" s="35" t="s">
        <v>4</v>
      </c>
      <c r="AJ237" s="51">
        <f>IF(AN237=0,H237,0)</f>
        <v>0</v>
      </c>
      <c r="AK237" s="51">
        <f>IF(AN237=12,H237,0)</f>
        <v>0</v>
      </c>
      <c r="AL237" s="51">
        <f>IF(AN237=21,H237,0)</f>
        <v>0</v>
      </c>
      <c r="AN237" s="51">
        <v>12</v>
      </c>
      <c r="AO237" s="51">
        <f>G237*0.062462908</f>
        <v>0</v>
      </c>
      <c r="AP237" s="51">
        <f>G237*(1-0.062462908)</f>
        <v>0</v>
      </c>
      <c r="AQ237" s="53" t="s">
        <v>149</v>
      </c>
      <c r="AV237" s="51">
        <f>AW237+AX237</f>
        <v>0</v>
      </c>
      <c r="AW237" s="51">
        <f>F237*AO237</f>
        <v>0</v>
      </c>
      <c r="AX237" s="51">
        <f>F237*AP237</f>
        <v>0</v>
      </c>
      <c r="AY237" s="53" t="s">
        <v>593</v>
      </c>
      <c r="AZ237" s="53" t="s">
        <v>594</v>
      </c>
      <c r="BA237" s="35" t="s">
        <v>117</v>
      </c>
      <c r="BC237" s="51">
        <f>AW237+AX237</f>
        <v>0</v>
      </c>
      <c r="BD237" s="51">
        <f>G237/(100-BE237)*100</f>
        <v>0</v>
      </c>
      <c r="BE237" s="51">
        <v>0</v>
      </c>
      <c r="BF237" s="51">
        <f>237</f>
        <v>237</v>
      </c>
      <c r="BH237" s="51">
        <f>F237*AO237</f>
        <v>0</v>
      </c>
      <c r="BI237" s="51">
        <f>F237*AP237</f>
        <v>0</v>
      </c>
      <c r="BJ237" s="51">
        <f>F237*G237</f>
        <v>0</v>
      </c>
      <c r="BK237" s="51"/>
      <c r="BL237" s="51">
        <v>781</v>
      </c>
      <c r="BW237" s="51">
        <v>12</v>
      </c>
      <c r="BX237" s="3" t="s">
        <v>608</v>
      </c>
    </row>
    <row r="238" spans="1:76">
      <c r="A238" s="1" t="s">
        <v>609</v>
      </c>
      <c r="B238" s="2" t="s">
        <v>610</v>
      </c>
      <c r="C238" s="75" t="s">
        <v>611</v>
      </c>
      <c r="D238" s="70"/>
      <c r="E238" s="2" t="s">
        <v>114</v>
      </c>
      <c r="F238" s="51">
        <v>23.065000000000001</v>
      </c>
      <c r="G238" s="52">
        <v>0</v>
      </c>
      <c r="H238" s="51">
        <f>F238*G238</f>
        <v>0</v>
      </c>
      <c r="J238" s="41"/>
      <c r="Z238" s="51">
        <f>IF(AQ238="5",BJ238,0)</f>
        <v>0</v>
      </c>
      <c r="AB238" s="51">
        <f>IF(AQ238="1",BH238,0)</f>
        <v>0</v>
      </c>
      <c r="AC238" s="51">
        <f>IF(AQ238="1",BI238,0)</f>
        <v>0</v>
      </c>
      <c r="AD238" s="51">
        <f>IF(AQ238="7",BH238,0)</f>
        <v>0</v>
      </c>
      <c r="AE238" s="51">
        <f>IF(AQ238="7",BI238,0)</f>
        <v>0</v>
      </c>
      <c r="AF238" s="51">
        <f>IF(AQ238="2",BH238,0)</f>
        <v>0</v>
      </c>
      <c r="AG238" s="51">
        <f>IF(AQ238="2",BI238,0)</f>
        <v>0</v>
      </c>
      <c r="AH238" s="51">
        <f>IF(AQ238="0",BJ238,0)</f>
        <v>0</v>
      </c>
      <c r="AI238" s="35" t="s">
        <v>4</v>
      </c>
      <c r="AJ238" s="51">
        <f>IF(AN238=0,H238,0)</f>
        <v>0</v>
      </c>
      <c r="AK238" s="51">
        <f>IF(AN238=12,H238,0)</f>
        <v>0</v>
      </c>
      <c r="AL238" s="51">
        <f>IF(AN238=21,H238,0)</f>
        <v>0</v>
      </c>
      <c r="AN238" s="51">
        <v>12</v>
      </c>
      <c r="AO238" s="51">
        <f>G238*1</f>
        <v>0</v>
      </c>
      <c r="AP238" s="51">
        <f>G238*(1-1)</f>
        <v>0</v>
      </c>
      <c r="AQ238" s="53" t="s">
        <v>149</v>
      </c>
      <c r="AV238" s="51">
        <f>AW238+AX238</f>
        <v>0</v>
      </c>
      <c r="AW238" s="51">
        <f>F238*AO238</f>
        <v>0</v>
      </c>
      <c r="AX238" s="51">
        <f>F238*AP238</f>
        <v>0</v>
      </c>
      <c r="AY238" s="53" t="s">
        <v>593</v>
      </c>
      <c r="AZ238" s="53" t="s">
        <v>594</v>
      </c>
      <c r="BA238" s="35" t="s">
        <v>117</v>
      </c>
      <c r="BC238" s="51">
        <f>AW238+AX238</f>
        <v>0</v>
      </c>
      <c r="BD238" s="51">
        <f>G238/(100-BE238)*100</f>
        <v>0</v>
      </c>
      <c r="BE238" s="51">
        <v>0</v>
      </c>
      <c r="BF238" s="51">
        <f>238</f>
        <v>238</v>
      </c>
      <c r="BH238" s="51">
        <f>F238*AO238</f>
        <v>0</v>
      </c>
      <c r="BI238" s="51">
        <f>F238*AP238</f>
        <v>0</v>
      </c>
      <c r="BJ238" s="51">
        <f>F238*G238</f>
        <v>0</v>
      </c>
      <c r="BK238" s="51"/>
      <c r="BL238" s="51">
        <v>781</v>
      </c>
      <c r="BW238" s="51">
        <v>12</v>
      </c>
      <c r="BX238" s="3" t="s">
        <v>611</v>
      </c>
    </row>
    <row r="239" spans="1:76">
      <c r="A239" s="54"/>
      <c r="C239" s="55" t="s">
        <v>612</v>
      </c>
      <c r="D239" s="56" t="s">
        <v>4</v>
      </c>
      <c r="F239" s="57">
        <v>23.065000000000001</v>
      </c>
      <c r="J239" s="41"/>
    </row>
    <row r="240" spans="1:76">
      <c r="A240" s="1" t="s">
        <v>613</v>
      </c>
      <c r="B240" s="2" t="s">
        <v>614</v>
      </c>
      <c r="C240" s="75" t="s">
        <v>615</v>
      </c>
      <c r="D240" s="70"/>
      <c r="E240" s="2" t="s">
        <v>282</v>
      </c>
      <c r="F240" s="51">
        <v>0.38400000000000001</v>
      </c>
      <c r="G240" s="52">
        <v>0</v>
      </c>
      <c r="H240" s="51">
        <f>F240*G240</f>
        <v>0</v>
      </c>
      <c r="J240" s="41"/>
      <c r="Z240" s="51">
        <f>IF(AQ240="5",BJ240,0)</f>
        <v>0</v>
      </c>
      <c r="AB240" s="51">
        <f>IF(AQ240="1",BH240,0)</f>
        <v>0</v>
      </c>
      <c r="AC240" s="51">
        <f>IF(AQ240="1",BI240,0)</f>
        <v>0</v>
      </c>
      <c r="AD240" s="51">
        <f>IF(AQ240="7",BH240,0)</f>
        <v>0</v>
      </c>
      <c r="AE240" s="51">
        <f>IF(AQ240="7",BI240,0)</f>
        <v>0</v>
      </c>
      <c r="AF240" s="51">
        <f>IF(AQ240="2",BH240,0)</f>
        <v>0</v>
      </c>
      <c r="AG240" s="51">
        <f>IF(AQ240="2",BI240,0)</f>
        <v>0</v>
      </c>
      <c r="AH240" s="51">
        <f>IF(AQ240="0",BJ240,0)</f>
        <v>0</v>
      </c>
      <c r="AI240" s="35" t="s">
        <v>4</v>
      </c>
      <c r="AJ240" s="51">
        <f>IF(AN240=0,H240,0)</f>
        <v>0</v>
      </c>
      <c r="AK240" s="51">
        <f>IF(AN240=12,H240,0)</f>
        <v>0</v>
      </c>
      <c r="AL240" s="51">
        <f>IF(AN240=21,H240,0)</f>
        <v>0</v>
      </c>
      <c r="AN240" s="51">
        <v>12</v>
      </c>
      <c r="AO240" s="51">
        <f>G240*0</f>
        <v>0</v>
      </c>
      <c r="AP240" s="51">
        <f>G240*(1-0)</f>
        <v>0</v>
      </c>
      <c r="AQ240" s="53" t="s">
        <v>137</v>
      </c>
      <c r="AV240" s="51">
        <f>AW240+AX240</f>
        <v>0</v>
      </c>
      <c r="AW240" s="51">
        <f>F240*AO240</f>
        <v>0</v>
      </c>
      <c r="AX240" s="51">
        <f>F240*AP240</f>
        <v>0</v>
      </c>
      <c r="AY240" s="53" t="s">
        <v>593</v>
      </c>
      <c r="AZ240" s="53" t="s">
        <v>594</v>
      </c>
      <c r="BA240" s="35" t="s">
        <v>117</v>
      </c>
      <c r="BC240" s="51">
        <f>AW240+AX240</f>
        <v>0</v>
      </c>
      <c r="BD240" s="51">
        <f>G240/(100-BE240)*100</f>
        <v>0</v>
      </c>
      <c r="BE240" s="51">
        <v>0</v>
      </c>
      <c r="BF240" s="51">
        <f>240</f>
        <v>240</v>
      </c>
      <c r="BH240" s="51">
        <f>F240*AO240</f>
        <v>0</v>
      </c>
      <c r="BI240" s="51">
        <f>F240*AP240</f>
        <v>0</v>
      </c>
      <c r="BJ240" s="51">
        <f>F240*G240</f>
        <v>0</v>
      </c>
      <c r="BK240" s="51"/>
      <c r="BL240" s="51">
        <v>781</v>
      </c>
      <c r="BW240" s="51">
        <v>12</v>
      </c>
      <c r="BX240" s="3" t="s">
        <v>615</v>
      </c>
    </row>
    <row r="241" spans="1:76">
      <c r="A241" s="47" t="s">
        <v>4</v>
      </c>
      <c r="B241" s="48" t="s">
        <v>616</v>
      </c>
      <c r="C241" s="150" t="s">
        <v>617</v>
      </c>
      <c r="D241" s="151"/>
      <c r="E241" s="49" t="s">
        <v>79</v>
      </c>
      <c r="F241" s="49" t="s">
        <v>79</v>
      </c>
      <c r="G241" s="50" t="s">
        <v>79</v>
      </c>
      <c r="H241" s="28">
        <f>SUM(H242:H245)</f>
        <v>0</v>
      </c>
      <c r="J241" s="41"/>
      <c r="AI241" s="35" t="s">
        <v>4</v>
      </c>
      <c r="AS241" s="28">
        <f>SUM(AJ242:AJ245)</f>
        <v>0</v>
      </c>
      <c r="AT241" s="28">
        <f>SUM(AK242:AK245)</f>
        <v>0</v>
      </c>
      <c r="AU241" s="28">
        <f>SUM(AL242:AL245)</f>
        <v>0</v>
      </c>
    </row>
    <row r="242" spans="1:76">
      <c r="A242" s="1" t="s">
        <v>618</v>
      </c>
      <c r="B242" s="2" t="s">
        <v>619</v>
      </c>
      <c r="C242" s="75" t="s">
        <v>620</v>
      </c>
      <c r="D242" s="70"/>
      <c r="E242" s="2" t="s">
        <v>512</v>
      </c>
      <c r="F242" s="51">
        <v>7</v>
      </c>
      <c r="G242" s="52">
        <v>0</v>
      </c>
      <c r="H242" s="51">
        <f>F242*G242</f>
        <v>0</v>
      </c>
      <c r="J242" s="41"/>
      <c r="Z242" s="51">
        <f>IF(AQ242="5",BJ242,0)</f>
        <v>0</v>
      </c>
      <c r="AB242" s="51">
        <f>IF(AQ242="1",BH242,0)</f>
        <v>0</v>
      </c>
      <c r="AC242" s="51">
        <f>IF(AQ242="1",BI242,0)</f>
        <v>0</v>
      </c>
      <c r="AD242" s="51">
        <f>IF(AQ242="7",BH242,0)</f>
        <v>0</v>
      </c>
      <c r="AE242" s="51">
        <f>IF(AQ242="7",BI242,0)</f>
        <v>0</v>
      </c>
      <c r="AF242" s="51">
        <f>IF(AQ242="2",BH242,0)</f>
        <v>0</v>
      </c>
      <c r="AG242" s="51">
        <f>IF(AQ242="2",BI242,0)</f>
        <v>0</v>
      </c>
      <c r="AH242" s="51">
        <f>IF(AQ242="0",BJ242,0)</f>
        <v>0</v>
      </c>
      <c r="AI242" s="35" t="s">
        <v>4</v>
      </c>
      <c r="AJ242" s="51">
        <f>IF(AN242=0,H242,0)</f>
        <v>0</v>
      </c>
      <c r="AK242" s="51">
        <f>IF(AN242=12,H242,0)</f>
        <v>0</v>
      </c>
      <c r="AL242" s="51">
        <f>IF(AN242=21,H242,0)</f>
        <v>0</v>
      </c>
      <c r="AN242" s="51">
        <v>12</v>
      </c>
      <c r="AO242" s="51">
        <f>G242*0.194314286</f>
        <v>0</v>
      </c>
      <c r="AP242" s="51">
        <f>G242*(1-0.194314286)</f>
        <v>0</v>
      </c>
      <c r="AQ242" s="53" t="s">
        <v>149</v>
      </c>
      <c r="AV242" s="51">
        <f>AW242+AX242</f>
        <v>0</v>
      </c>
      <c r="AW242" s="51">
        <f>F242*AO242</f>
        <v>0</v>
      </c>
      <c r="AX242" s="51">
        <f>F242*AP242</f>
        <v>0</v>
      </c>
      <c r="AY242" s="53" t="s">
        <v>621</v>
      </c>
      <c r="AZ242" s="53" t="s">
        <v>594</v>
      </c>
      <c r="BA242" s="35" t="s">
        <v>117</v>
      </c>
      <c r="BC242" s="51">
        <f>AW242+AX242</f>
        <v>0</v>
      </c>
      <c r="BD242" s="51">
        <f>G242/(100-BE242)*100</f>
        <v>0</v>
      </c>
      <c r="BE242" s="51">
        <v>0</v>
      </c>
      <c r="BF242" s="51">
        <f>242</f>
        <v>242</v>
      </c>
      <c r="BH242" s="51">
        <f>F242*AO242</f>
        <v>0</v>
      </c>
      <c r="BI242" s="51">
        <f>F242*AP242</f>
        <v>0</v>
      </c>
      <c r="BJ242" s="51">
        <f>F242*G242</f>
        <v>0</v>
      </c>
      <c r="BK242" s="51"/>
      <c r="BL242" s="51">
        <v>783</v>
      </c>
      <c r="BW242" s="51">
        <v>12</v>
      </c>
      <c r="BX242" s="3" t="s">
        <v>620</v>
      </c>
    </row>
    <row r="243" spans="1:76" ht="13.5" customHeight="1">
      <c r="A243" s="54"/>
      <c r="B243" s="58" t="s">
        <v>130</v>
      </c>
      <c r="C243" s="152" t="s">
        <v>622</v>
      </c>
      <c r="D243" s="153"/>
      <c r="E243" s="153"/>
      <c r="F243" s="153"/>
      <c r="G243" s="154"/>
      <c r="H243" s="153"/>
      <c r="I243" s="153"/>
      <c r="J243" s="155"/>
    </row>
    <row r="244" spans="1:76">
      <c r="A244" s="1" t="s">
        <v>623</v>
      </c>
      <c r="B244" s="2" t="s">
        <v>624</v>
      </c>
      <c r="C244" s="75" t="s">
        <v>625</v>
      </c>
      <c r="D244" s="70"/>
      <c r="E244" s="2" t="s">
        <v>114</v>
      </c>
      <c r="F244" s="51">
        <v>10</v>
      </c>
      <c r="G244" s="52">
        <v>0</v>
      </c>
      <c r="H244" s="51">
        <f>F244*G244</f>
        <v>0</v>
      </c>
      <c r="J244" s="41"/>
      <c r="Z244" s="51">
        <f>IF(AQ244="5",BJ244,0)</f>
        <v>0</v>
      </c>
      <c r="AB244" s="51">
        <f>IF(AQ244="1",BH244,0)</f>
        <v>0</v>
      </c>
      <c r="AC244" s="51">
        <f>IF(AQ244="1",BI244,0)</f>
        <v>0</v>
      </c>
      <c r="AD244" s="51">
        <f>IF(AQ244="7",BH244,0)</f>
        <v>0</v>
      </c>
      <c r="AE244" s="51">
        <f>IF(AQ244="7",BI244,0)</f>
        <v>0</v>
      </c>
      <c r="AF244" s="51">
        <f>IF(AQ244="2",BH244,0)</f>
        <v>0</v>
      </c>
      <c r="AG244" s="51">
        <f>IF(AQ244="2",BI244,0)</f>
        <v>0</v>
      </c>
      <c r="AH244" s="51">
        <f>IF(AQ244="0",BJ244,0)</f>
        <v>0</v>
      </c>
      <c r="AI244" s="35" t="s">
        <v>4</v>
      </c>
      <c r="AJ244" s="51">
        <f>IF(AN244=0,H244,0)</f>
        <v>0</v>
      </c>
      <c r="AK244" s="51">
        <f>IF(AN244=12,H244,0)</f>
        <v>0</v>
      </c>
      <c r="AL244" s="51">
        <f>IF(AN244=21,H244,0)</f>
        <v>0</v>
      </c>
      <c r="AN244" s="51">
        <v>12</v>
      </c>
      <c r="AO244" s="51">
        <f>G244*0.032470588</f>
        <v>0</v>
      </c>
      <c r="AP244" s="51">
        <f>G244*(1-0.032470588)</f>
        <v>0</v>
      </c>
      <c r="AQ244" s="53" t="s">
        <v>149</v>
      </c>
      <c r="AV244" s="51">
        <f>AW244+AX244</f>
        <v>0</v>
      </c>
      <c r="AW244" s="51">
        <f>F244*AO244</f>
        <v>0</v>
      </c>
      <c r="AX244" s="51">
        <f>F244*AP244</f>
        <v>0</v>
      </c>
      <c r="AY244" s="53" t="s">
        <v>621</v>
      </c>
      <c r="AZ244" s="53" t="s">
        <v>594</v>
      </c>
      <c r="BA244" s="35" t="s">
        <v>117</v>
      </c>
      <c r="BC244" s="51">
        <f>AW244+AX244</f>
        <v>0</v>
      </c>
      <c r="BD244" s="51">
        <f>G244/(100-BE244)*100</f>
        <v>0</v>
      </c>
      <c r="BE244" s="51">
        <v>0</v>
      </c>
      <c r="BF244" s="51">
        <f>244</f>
        <v>244</v>
      </c>
      <c r="BH244" s="51">
        <f>F244*AO244</f>
        <v>0</v>
      </c>
      <c r="BI244" s="51">
        <f>F244*AP244</f>
        <v>0</v>
      </c>
      <c r="BJ244" s="51">
        <f>F244*G244</f>
        <v>0</v>
      </c>
      <c r="BK244" s="51"/>
      <c r="BL244" s="51">
        <v>783</v>
      </c>
      <c r="BW244" s="51">
        <v>12</v>
      </c>
      <c r="BX244" s="3" t="s">
        <v>625</v>
      </c>
    </row>
    <row r="245" spans="1:76">
      <c r="A245" s="1" t="s">
        <v>626</v>
      </c>
      <c r="B245" s="2" t="s">
        <v>627</v>
      </c>
      <c r="C245" s="75" t="s">
        <v>628</v>
      </c>
      <c r="D245" s="70"/>
      <c r="E245" s="2" t="s">
        <v>114</v>
      </c>
      <c r="F245" s="51">
        <v>10</v>
      </c>
      <c r="G245" s="52">
        <v>0</v>
      </c>
      <c r="H245" s="51">
        <f>F245*G245</f>
        <v>0</v>
      </c>
      <c r="J245" s="41"/>
      <c r="Z245" s="51">
        <f>IF(AQ245="5",BJ245,0)</f>
        <v>0</v>
      </c>
      <c r="AB245" s="51">
        <f>IF(AQ245="1",BH245,0)</f>
        <v>0</v>
      </c>
      <c r="AC245" s="51">
        <f>IF(AQ245="1",BI245,0)</f>
        <v>0</v>
      </c>
      <c r="AD245" s="51">
        <f>IF(AQ245="7",BH245,0)</f>
        <v>0</v>
      </c>
      <c r="AE245" s="51">
        <f>IF(AQ245="7",BI245,0)</f>
        <v>0</v>
      </c>
      <c r="AF245" s="51">
        <f>IF(AQ245="2",BH245,0)</f>
        <v>0</v>
      </c>
      <c r="AG245" s="51">
        <f>IF(AQ245="2",BI245,0)</f>
        <v>0</v>
      </c>
      <c r="AH245" s="51">
        <f>IF(AQ245="0",BJ245,0)</f>
        <v>0</v>
      </c>
      <c r="AI245" s="35" t="s">
        <v>4</v>
      </c>
      <c r="AJ245" s="51">
        <f>IF(AN245=0,H245,0)</f>
        <v>0</v>
      </c>
      <c r="AK245" s="51">
        <f>IF(AN245=12,H245,0)</f>
        <v>0</v>
      </c>
      <c r="AL245" s="51">
        <f>IF(AN245=21,H245,0)</f>
        <v>0</v>
      </c>
      <c r="AN245" s="51">
        <v>12</v>
      </c>
      <c r="AO245" s="51">
        <f>G245*0.421268827</f>
        <v>0</v>
      </c>
      <c r="AP245" s="51">
        <f>G245*(1-0.421268827)</f>
        <v>0</v>
      </c>
      <c r="AQ245" s="53" t="s">
        <v>149</v>
      </c>
      <c r="AV245" s="51">
        <f>AW245+AX245</f>
        <v>0</v>
      </c>
      <c r="AW245" s="51">
        <f>F245*AO245</f>
        <v>0</v>
      </c>
      <c r="AX245" s="51">
        <f>F245*AP245</f>
        <v>0</v>
      </c>
      <c r="AY245" s="53" t="s">
        <v>621</v>
      </c>
      <c r="AZ245" s="53" t="s">
        <v>594</v>
      </c>
      <c r="BA245" s="35" t="s">
        <v>117</v>
      </c>
      <c r="BC245" s="51">
        <f>AW245+AX245</f>
        <v>0</v>
      </c>
      <c r="BD245" s="51">
        <f>G245/(100-BE245)*100</f>
        <v>0</v>
      </c>
      <c r="BE245" s="51">
        <v>0</v>
      </c>
      <c r="BF245" s="51">
        <f>245</f>
        <v>245</v>
      </c>
      <c r="BH245" s="51">
        <f>F245*AO245</f>
        <v>0</v>
      </c>
      <c r="BI245" s="51">
        <f>F245*AP245</f>
        <v>0</v>
      </c>
      <c r="BJ245" s="51">
        <f>F245*G245</f>
        <v>0</v>
      </c>
      <c r="BK245" s="51"/>
      <c r="BL245" s="51">
        <v>783</v>
      </c>
      <c r="BW245" s="51">
        <v>12</v>
      </c>
      <c r="BX245" s="3" t="s">
        <v>628</v>
      </c>
    </row>
    <row r="246" spans="1:76">
      <c r="A246" s="47" t="s">
        <v>4</v>
      </c>
      <c r="B246" s="48" t="s">
        <v>629</v>
      </c>
      <c r="C246" s="150" t="s">
        <v>630</v>
      </c>
      <c r="D246" s="151"/>
      <c r="E246" s="49" t="s">
        <v>79</v>
      </c>
      <c r="F246" s="49" t="s">
        <v>79</v>
      </c>
      <c r="G246" s="50" t="s">
        <v>79</v>
      </c>
      <c r="H246" s="28">
        <f>SUM(H247:H251)</f>
        <v>0</v>
      </c>
      <c r="J246" s="41"/>
      <c r="AI246" s="35" t="s">
        <v>4</v>
      </c>
      <c r="AS246" s="28">
        <f>SUM(AJ247:AJ251)</f>
        <v>0</v>
      </c>
      <c r="AT246" s="28">
        <f>SUM(AK247:AK251)</f>
        <v>0</v>
      </c>
      <c r="AU246" s="28">
        <f>SUM(AL247:AL251)</f>
        <v>0</v>
      </c>
    </row>
    <row r="247" spans="1:76">
      <c r="A247" s="1" t="s">
        <v>631</v>
      </c>
      <c r="B247" s="2" t="s">
        <v>632</v>
      </c>
      <c r="C247" s="75" t="s">
        <v>633</v>
      </c>
      <c r="D247" s="70"/>
      <c r="E247" s="2" t="s">
        <v>114</v>
      </c>
      <c r="F247" s="51">
        <v>192.01599999999999</v>
      </c>
      <c r="G247" s="52">
        <v>0</v>
      </c>
      <c r="H247" s="51">
        <f>F247*G247</f>
        <v>0</v>
      </c>
      <c r="J247" s="41"/>
      <c r="Z247" s="51">
        <f>IF(AQ247="5",BJ247,0)</f>
        <v>0</v>
      </c>
      <c r="AB247" s="51">
        <f>IF(AQ247="1",BH247,0)</f>
        <v>0</v>
      </c>
      <c r="AC247" s="51">
        <f>IF(AQ247="1",BI247,0)</f>
        <v>0</v>
      </c>
      <c r="AD247" s="51">
        <f>IF(AQ247="7",BH247,0)</f>
        <v>0</v>
      </c>
      <c r="AE247" s="51">
        <f>IF(AQ247="7",BI247,0)</f>
        <v>0</v>
      </c>
      <c r="AF247" s="51">
        <f>IF(AQ247="2",BH247,0)</f>
        <v>0</v>
      </c>
      <c r="AG247" s="51">
        <f>IF(AQ247="2",BI247,0)</f>
        <v>0</v>
      </c>
      <c r="AH247" s="51">
        <f>IF(AQ247="0",BJ247,0)</f>
        <v>0</v>
      </c>
      <c r="AI247" s="35" t="s">
        <v>4</v>
      </c>
      <c r="AJ247" s="51">
        <f>IF(AN247=0,H247,0)</f>
        <v>0</v>
      </c>
      <c r="AK247" s="51">
        <f>IF(AN247=12,H247,0)</f>
        <v>0</v>
      </c>
      <c r="AL247" s="51">
        <f>IF(AN247=21,H247,0)</f>
        <v>0</v>
      </c>
      <c r="AN247" s="51">
        <v>12</v>
      </c>
      <c r="AO247" s="51">
        <f>G247*0.002564101</f>
        <v>0</v>
      </c>
      <c r="AP247" s="51">
        <f>G247*(1-0.002564101)</f>
        <v>0</v>
      </c>
      <c r="AQ247" s="53" t="s">
        <v>149</v>
      </c>
      <c r="AV247" s="51">
        <f>AW247+AX247</f>
        <v>0</v>
      </c>
      <c r="AW247" s="51">
        <f>F247*AO247</f>
        <v>0</v>
      </c>
      <c r="AX247" s="51">
        <f>F247*AP247</f>
        <v>0</v>
      </c>
      <c r="AY247" s="53" t="s">
        <v>634</v>
      </c>
      <c r="AZ247" s="53" t="s">
        <v>594</v>
      </c>
      <c r="BA247" s="35" t="s">
        <v>117</v>
      </c>
      <c r="BC247" s="51">
        <f>AW247+AX247</f>
        <v>0</v>
      </c>
      <c r="BD247" s="51">
        <f>G247/(100-BE247)*100</f>
        <v>0</v>
      </c>
      <c r="BE247" s="51">
        <v>0</v>
      </c>
      <c r="BF247" s="51">
        <f>247</f>
        <v>247</v>
      </c>
      <c r="BH247" s="51">
        <f>F247*AO247</f>
        <v>0</v>
      </c>
      <c r="BI247" s="51">
        <f>F247*AP247</f>
        <v>0</v>
      </c>
      <c r="BJ247" s="51">
        <f>F247*G247</f>
        <v>0</v>
      </c>
      <c r="BK247" s="51"/>
      <c r="BL247" s="51">
        <v>784</v>
      </c>
      <c r="BW247" s="51">
        <v>12</v>
      </c>
      <c r="BX247" s="3" t="s">
        <v>633</v>
      </c>
    </row>
    <row r="248" spans="1:76">
      <c r="A248" s="54"/>
      <c r="C248" s="55" t="s">
        <v>635</v>
      </c>
      <c r="D248" s="56" t="s">
        <v>636</v>
      </c>
      <c r="F248" s="57">
        <v>57.22</v>
      </c>
      <c r="J248" s="41"/>
    </row>
    <row r="249" spans="1:76">
      <c r="A249" s="54"/>
      <c r="C249" s="55" t="s">
        <v>637</v>
      </c>
      <c r="D249" s="56" t="s">
        <v>638</v>
      </c>
      <c r="F249" s="57">
        <v>134.79599999999999</v>
      </c>
      <c r="J249" s="41"/>
    </row>
    <row r="250" spans="1:76">
      <c r="A250" s="1" t="s">
        <v>639</v>
      </c>
      <c r="B250" s="2" t="s">
        <v>640</v>
      </c>
      <c r="C250" s="75" t="s">
        <v>641</v>
      </c>
      <c r="D250" s="70"/>
      <c r="E250" s="2" t="s">
        <v>114</v>
      </c>
      <c r="F250" s="51">
        <v>217</v>
      </c>
      <c r="G250" s="52">
        <v>0</v>
      </c>
      <c r="H250" s="51">
        <f>F250*G250</f>
        <v>0</v>
      </c>
      <c r="J250" s="41"/>
      <c r="Z250" s="51">
        <f>IF(AQ250="5",BJ250,0)</f>
        <v>0</v>
      </c>
      <c r="AB250" s="51">
        <f>IF(AQ250="1",BH250,0)</f>
        <v>0</v>
      </c>
      <c r="AC250" s="51">
        <f>IF(AQ250="1",BI250,0)</f>
        <v>0</v>
      </c>
      <c r="AD250" s="51">
        <f>IF(AQ250="7",BH250,0)</f>
        <v>0</v>
      </c>
      <c r="AE250" s="51">
        <f>IF(AQ250="7",BI250,0)</f>
        <v>0</v>
      </c>
      <c r="AF250" s="51">
        <f>IF(AQ250="2",BH250,0)</f>
        <v>0</v>
      </c>
      <c r="AG250" s="51">
        <f>IF(AQ250="2",BI250,0)</f>
        <v>0</v>
      </c>
      <c r="AH250" s="51">
        <f>IF(AQ250="0",BJ250,0)</f>
        <v>0</v>
      </c>
      <c r="AI250" s="35" t="s">
        <v>4</v>
      </c>
      <c r="AJ250" s="51">
        <f>IF(AN250=0,H250,0)</f>
        <v>0</v>
      </c>
      <c r="AK250" s="51">
        <f>IF(AN250=12,H250,0)</f>
        <v>0</v>
      </c>
      <c r="AL250" s="51">
        <f>IF(AN250=21,H250,0)</f>
        <v>0</v>
      </c>
      <c r="AN250" s="51">
        <v>12</v>
      </c>
      <c r="AO250" s="51">
        <f>G250*0.271311794</f>
        <v>0</v>
      </c>
      <c r="AP250" s="51">
        <f>G250*(1-0.271311794)</f>
        <v>0</v>
      </c>
      <c r="AQ250" s="53" t="s">
        <v>149</v>
      </c>
      <c r="AV250" s="51">
        <f>AW250+AX250</f>
        <v>0</v>
      </c>
      <c r="AW250" s="51">
        <f>F250*AO250</f>
        <v>0</v>
      </c>
      <c r="AX250" s="51">
        <f>F250*AP250</f>
        <v>0</v>
      </c>
      <c r="AY250" s="53" t="s">
        <v>634</v>
      </c>
      <c r="AZ250" s="53" t="s">
        <v>594</v>
      </c>
      <c r="BA250" s="35" t="s">
        <v>117</v>
      </c>
      <c r="BC250" s="51">
        <f>AW250+AX250</f>
        <v>0</v>
      </c>
      <c r="BD250" s="51">
        <f>G250/(100-BE250)*100</f>
        <v>0</v>
      </c>
      <c r="BE250" s="51">
        <v>0</v>
      </c>
      <c r="BF250" s="51">
        <f>250</f>
        <v>250</v>
      </c>
      <c r="BH250" s="51">
        <f>F250*AO250</f>
        <v>0</v>
      </c>
      <c r="BI250" s="51">
        <f>F250*AP250</f>
        <v>0</v>
      </c>
      <c r="BJ250" s="51">
        <f>F250*G250</f>
        <v>0</v>
      </c>
      <c r="BK250" s="51"/>
      <c r="BL250" s="51">
        <v>784</v>
      </c>
      <c r="BW250" s="51">
        <v>12</v>
      </c>
      <c r="BX250" s="3" t="s">
        <v>641</v>
      </c>
    </row>
    <row r="251" spans="1:76">
      <c r="A251" s="1" t="s">
        <v>642</v>
      </c>
      <c r="B251" s="2" t="s">
        <v>643</v>
      </c>
      <c r="C251" s="75" t="s">
        <v>644</v>
      </c>
      <c r="D251" s="70"/>
      <c r="E251" s="2" t="s">
        <v>114</v>
      </c>
      <c r="F251" s="51">
        <v>217</v>
      </c>
      <c r="G251" s="52">
        <v>0</v>
      </c>
      <c r="H251" s="51">
        <f>F251*G251</f>
        <v>0</v>
      </c>
      <c r="J251" s="41"/>
      <c r="Z251" s="51">
        <f>IF(AQ251="5",BJ251,0)</f>
        <v>0</v>
      </c>
      <c r="AB251" s="51">
        <f>IF(AQ251="1",BH251,0)</f>
        <v>0</v>
      </c>
      <c r="AC251" s="51">
        <f>IF(AQ251="1",BI251,0)</f>
        <v>0</v>
      </c>
      <c r="AD251" s="51">
        <f>IF(AQ251="7",BH251,0)</f>
        <v>0</v>
      </c>
      <c r="AE251" s="51">
        <f>IF(AQ251="7",BI251,0)</f>
        <v>0</v>
      </c>
      <c r="AF251" s="51">
        <f>IF(AQ251="2",BH251,0)</f>
        <v>0</v>
      </c>
      <c r="AG251" s="51">
        <f>IF(AQ251="2",BI251,0)</f>
        <v>0</v>
      </c>
      <c r="AH251" s="51">
        <f>IF(AQ251="0",BJ251,0)</f>
        <v>0</v>
      </c>
      <c r="AI251" s="35" t="s">
        <v>4</v>
      </c>
      <c r="AJ251" s="51">
        <f>IF(AN251=0,H251,0)</f>
        <v>0</v>
      </c>
      <c r="AK251" s="51">
        <f>IF(AN251=12,H251,0)</f>
        <v>0</v>
      </c>
      <c r="AL251" s="51">
        <f>IF(AN251=21,H251,0)</f>
        <v>0</v>
      </c>
      <c r="AN251" s="51">
        <v>12</v>
      </c>
      <c r="AO251" s="51">
        <f>G251*0.242142026</f>
        <v>0</v>
      </c>
      <c r="AP251" s="51">
        <f>G251*(1-0.242142026)</f>
        <v>0</v>
      </c>
      <c r="AQ251" s="53" t="s">
        <v>149</v>
      </c>
      <c r="AV251" s="51">
        <f>AW251+AX251</f>
        <v>0</v>
      </c>
      <c r="AW251" s="51">
        <f>F251*AO251</f>
        <v>0</v>
      </c>
      <c r="AX251" s="51">
        <f>F251*AP251</f>
        <v>0</v>
      </c>
      <c r="AY251" s="53" t="s">
        <v>634</v>
      </c>
      <c r="AZ251" s="53" t="s">
        <v>594</v>
      </c>
      <c r="BA251" s="35" t="s">
        <v>117</v>
      </c>
      <c r="BC251" s="51">
        <f>AW251+AX251</f>
        <v>0</v>
      </c>
      <c r="BD251" s="51">
        <f>G251/(100-BE251)*100</f>
        <v>0</v>
      </c>
      <c r="BE251" s="51">
        <v>0</v>
      </c>
      <c r="BF251" s="51">
        <f>251</f>
        <v>251</v>
      </c>
      <c r="BH251" s="51">
        <f>F251*AO251</f>
        <v>0</v>
      </c>
      <c r="BI251" s="51">
        <f>F251*AP251</f>
        <v>0</v>
      </c>
      <c r="BJ251" s="51">
        <f>F251*G251</f>
        <v>0</v>
      </c>
      <c r="BK251" s="51"/>
      <c r="BL251" s="51">
        <v>784</v>
      </c>
      <c r="BW251" s="51">
        <v>12</v>
      </c>
      <c r="BX251" s="3" t="s">
        <v>644</v>
      </c>
    </row>
    <row r="252" spans="1:76">
      <c r="A252" s="54"/>
      <c r="C252" s="55" t="s">
        <v>645</v>
      </c>
      <c r="D252" s="56" t="s">
        <v>4</v>
      </c>
      <c r="F252" s="57">
        <v>217</v>
      </c>
      <c r="J252" s="41"/>
    </row>
    <row r="253" spans="1:76">
      <c r="A253" s="47" t="s">
        <v>4</v>
      </c>
      <c r="B253" s="48" t="s">
        <v>646</v>
      </c>
      <c r="C253" s="150" t="s">
        <v>647</v>
      </c>
      <c r="D253" s="151"/>
      <c r="E253" s="49" t="s">
        <v>79</v>
      </c>
      <c r="F253" s="49" t="s">
        <v>79</v>
      </c>
      <c r="G253" s="50" t="s">
        <v>79</v>
      </c>
      <c r="H253" s="28">
        <f>SUM(H254:H258)</f>
        <v>0</v>
      </c>
      <c r="J253" s="41"/>
      <c r="AI253" s="35" t="s">
        <v>4</v>
      </c>
      <c r="AS253" s="28">
        <f>SUM(AJ254:AJ258)</f>
        <v>0</v>
      </c>
      <c r="AT253" s="28">
        <f>SUM(AK254:AK258)</f>
        <v>0</v>
      </c>
      <c r="AU253" s="28">
        <f>SUM(AL254:AL258)</f>
        <v>0</v>
      </c>
    </row>
    <row r="254" spans="1:76">
      <c r="A254" s="1" t="s">
        <v>648</v>
      </c>
      <c r="B254" s="2" t="s">
        <v>649</v>
      </c>
      <c r="C254" s="75" t="s">
        <v>650</v>
      </c>
      <c r="D254" s="70"/>
      <c r="E254" s="2" t="s">
        <v>129</v>
      </c>
      <c r="F254" s="51">
        <v>1</v>
      </c>
      <c r="G254" s="52">
        <v>0</v>
      </c>
      <c r="H254" s="51">
        <f>F254*G254</f>
        <v>0</v>
      </c>
      <c r="J254" s="41"/>
      <c r="Z254" s="51">
        <f>IF(AQ254="5",BJ254,0)</f>
        <v>0</v>
      </c>
      <c r="AB254" s="51">
        <f>IF(AQ254="1",BH254,0)</f>
        <v>0</v>
      </c>
      <c r="AC254" s="51">
        <f>IF(AQ254="1",BI254,0)</f>
        <v>0</v>
      </c>
      <c r="AD254" s="51">
        <f>IF(AQ254="7",BH254,0)</f>
        <v>0</v>
      </c>
      <c r="AE254" s="51">
        <f>IF(AQ254="7",BI254,0)</f>
        <v>0</v>
      </c>
      <c r="AF254" s="51">
        <f>IF(AQ254="2",BH254,0)</f>
        <v>0</v>
      </c>
      <c r="AG254" s="51">
        <f>IF(AQ254="2",BI254,0)</f>
        <v>0</v>
      </c>
      <c r="AH254" s="51">
        <f>IF(AQ254="0",BJ254,0)</f>
        <v>0</v>
      </c>
      <c r="AI254" s="35" t="s">
        <v>4</v>
      </c>
      <c r="AJ254" s="51">
        <f>IF(AN254=0,H254,0)</f>
        <v>0</v>
      </c>
      <c r="AK254" s="51">
        <f>IF(AN254=12,H254,0)</f>
        <v>0</v>
      </c>
      <c r="AL254" s="51">
        <f>IF(AN254=21,H254,0)</f>
        <v>0</v>
      </c>
      <c r="AN254" s="51">
        <v>12</v>
      </c>
      <c r="AO254" s="51">
        <f>G254*0</f>
        <v>0</v>
      </c>
      <c r="AP254" s="51">
        <f>G254*(1-0)</f>
        <v>0</v>
      </c>
      <c r="AQ254" s="53" t="s">
        <v>120</v>
      </c>
      <c r="AV254" s="51">
        <f>AW254+AX254</f>
        <v>0</v>
      </c>
      <c r="AW254" s="51">
        <f>F254*AO254</f>
        <v>0</v>
      </c>
      <c r="AX254" s="51">
        <f>F254*AP254</f>
        <v>0</v>
      </c>
      <c r="AY254" s="53" t="s">
        <v>651</v>
      </c>
      <c r="AZ254" s="53" t="s">
        <v>246</v>
      </c>
      <c r="BA254" s="35" t="s">
        <v>117</v>
      </c>
      <c r="BC254" s="51">
        <f>AW254+AX254</f>
        <v>0</v>
      </c>
      <c r="BD254" s="51">
        <f>G254/(100-BE254)*100</f>
        <v>0</v>
      </c>
      <c r="BE254" s="51">
        <v>0</v>
      </c>
      <c r="BF254" s="51">
        <f>254</f>
        <v>254</v>
      </c>
      <c r="BH254" s="51">
        <f>F254*AO254</f>
        <v>0</v>
      </c>
      <c r="BI254" s="51">
        <f>F254*AP254</f>
        <v>0</v>
      </c>
      <c r="BJ254" s="51">
        <f>F254*G254</f>
        <v>0</v>
      </c>
      <c r="BK254" s="51"/>
      <c r="BL254" s="51"/>
      <c r="BW254" s="51">
        <v>12</v>
      </c>
      <c r="BX254" s="3" t="s">
        <v>650</v>
      </c>
    </row>
    <row r="255" spans="1:76">
      <c r="A255" s="1" t="s">
        <v>652</v>
      </c>
      <c r="B255" s="2" t="s">
        <v>653</v>
      </c>
      <c r="C255" s="75" t="s">
        <v>654</v>
      </c>
      <c r="D255" s="70"/>
      <c r="E255" s="2" t="s">
        <v>129</v>
      </c>
      <c r="F255" s="51">
        <v>1</v>
      </c>
      <c r="G255" s="52">
        <v>0</v>
      </c>
      <c r="H255" s="51">
        <f>F255*G255</f>
        <v>0</v>
      </c>
      <c r="J255" s="41"/>
      <c r="Z255" s="51">
        <f>IF(AQ255="5",BJ255,0)</f>
        <v>0</v>
      </c>
      <c r="AB255" s="51">
        <f>IF(AQ255="1",BH255,0)</f>
        <v>0</v>
      </c>
      <c r="AC255" s="51">
        <f>IF(AQ255="1",BI255,0)</f>
        <v>0</v>
      </c>
      <c r="AD255" s="51">
        <f>IF(AQ255="7",BH255,0)</f>
        <v>0</v>
      </c>
      <c r="AE255" s="51">
        <f>IF(AQ255="7",BI255,0)</f>
        <v>0</v>
      </c>
      <c r="AF255" s="51">
        <f>IF(AQ255="2",BH255,0)</f>
        <v>0</v>
      </c>
      <c r="AG255" s="51">
        <f>IF(AQ255="2",BI255,0)</f>
        <v>0</v>
      </c>
      <c r="AH255" s="51">
        <f>IF(AQ255="0",BJ255,0)</f>
        <v>0</v>
      </c>
      <c r="AI255" s="35" t="s">
        <v>4</v>
      </c>
      <c r="AJ255" s="51">
        <f>IF(AN255=0,H255,0)</f>
        <v>0</v>
      </c>
      <c r="AK255" s="51">
        <f>IF(AN255=12,H255,0)</f>
        <v>0</v>
      </c>
      <c r="AL255" s="51">
        <f>IF(AN255=21,H255,0)</f>
        <v>0</v>
      </c>
      <c r="AN255" s="51">
        <v>12</v>
      </c>
      <c r="AO255" s="51">
        <f>G255*0</f>
        <v>0</v>
      </c>
      <c r="AP255" s="51">
        <f>G255*(1-0)</f>
        <v>0</v>
      </c>
      <c r="AQ255" s="53" t="s">
        <v>120</v>
      </c>
      <c r="AV255" s="51">
        <f>AW255+AX255</f>
        <v>0</v>
      </c>
      <c r="AW255" s="51">
        <f>F255*AO255</f>
        <v>0</v>
      </c>
      <c r="AX255" s="51">
        <f>F255*AP255</f>
        <v>0</v>
      </c>
      <c r="AY255" s="53" t="s">
        <v>651</v>
      </c>
      <c r="AZ255" s="53" t="s">
        <v>246</v>
      </c>
      <c r="BA255" s="35" t="s">
        <v>117</v>
      </c>
      <c r="BC255" s="51">
        <f>AW255+AX255</f>
        <v>0</v>
      </c>
      <c r="BD255" s="51">
        <f>G255/(100-BE255)*100</f>
        <v>0</v>
      </c>
      <c r="BE255" s="51">
        <v>0</v>
      </c>
      <c r="BF255" s="51">
        <f>255</f>
        <v>255</v>
      </c>
      <c r="BH255" s="51">
        <f>F255*AO255</f>
        <v>0</v>
      </c>
      <c r="BI255" s="51">
        <f>F255*AP255</f>
        <v>0</v>
      </c>
      <c r="BJ255" s="51">
        <f>F255*G255</f>
        <v>0</v>
      </c>
      <c r="BK255" s="51"/>
      <c r="BL255" s="51"/>
      <c r="BW255" s="51">
        <v>12</v>
      </c>
      <c r="BX255" s="3" t="s">
        <v>654</v>
      </c>
    </row>
    <row r="256" spans="1:76">
      <c r="A256" s="1" t="s">
        <v>655</v>
      </c>
      <c r="B256" s="2" t="s">
        <v>656</v>
      </c>
      <c r="C256" s="75" t="s">
        <v>657</v>
      </c>
      <c r="D256" s="70"/>
      <c r="E256" s="2" t="s">
        <v>416</v>
      </c>
      <c r="F256" s="51">
        <v>1</v>
      </c>
      <c r="G256" s="52">
        <v>0</v>
      </c>
      <c r="H256" s="51">
        <f>F256*G256</f>
        <v>0</v>
      </c>
      <c r="J256" s="41"/>
      <c r="Z256" s="51">
        <f>IF(AQ256="5",BJ256,0)</f>
        <v>0</v>
      </c>
      <c r="AB256" s="51">
        <f>IF(AQ256="1",BH256,0)</f>
        <v>0</v>
      </c>
      <c r="AC256" s="51">
        <f>IF(AQ256="1",BI256,0)</f>
        <v>0</v>
      </c>
      <c r="AD256" s="51">
        <f>IF(AQ256="7",BH256,0)</f>
        <v>0</v>
      </c>
      <c r="AE256" s="51">
        <f>IF(AQ256="7",BI256,0)</f>
        <v>0</v>
      </c>
      <c r="AF256" s="51">
        <f>IF(AQ256="2",BH256,0)</f>
        <v>0</v>
      </c>
      <c r="AG256" s="51">
        <f>IF(AQ256="2",BI256,0)</f>
        <v>0</v>
      </c>
      <c r="AH256" s="51">
        <f>IF(AQ256="0",BJ256,0)</f>
        <v>0</v>
      </c>
      <c r="AI256" s="35" t="s">
        <v>4</v>
      </c>
      <c r="AJ256" s="51">
        <f>IF(AN256=0,H256,0)</f>
        <v>0</v>
      </c>
      <c r="AK256" s="51">
        <f>IF(AN256=12,H256,0)</f>
        <v>0</v>
      </c>
      <c r="AL256" s="51">
        <f>IF(AN256=21,H256,0)</f>
        <v>0</v>
      </c>
      <c r="AN256" s="51">
        <v>12</v>
      </c>
      <c r="AO256" s="51">
        <f>G256*0</f>
        <v>0</v>
      </c>
      <c r="AP256" s="51">
        <f>G256*(1-0)</f>
        <v>0</v>
      </c>
      <c r="AQ256" s="53" t="s">
        <v>120</v>
      </c>
      <c r="AV256" s="51">
        <f>AW256+AX256</f>
        <v>0</v>
      </c>
      <c r="AW256" s="51">
        <f>F256*AO256</f>
        <v>0</v>
      </c>
      <c r="AX256" s="51">
        <f>F256*AP256</f>
        <v>0</v>
      </c>
      <c r="AY256" s="53" t="s">
        <v>651</v>
      </c>
      <c r="AZ256" s="53" t="s">
        <v>246</v>
      </c>
      <c r="BA256" s="35" t="s">
        <v>117</v>
      </c>
      <c r="BC256" s="51">
        <f>AW256+AX256</f>
        <v>0</v>
      </c>
      <c r="BD256" s="51">
        <f>G256/(100-BE256)*100</f>
        <v>0</v>
      </c>
      <c r="BE256" s="51">
        <v>0</v>
      </c>
      <c r="BF256" s="51">
        <f>256</f>
        <v>256</v>
      </c>
      <c r="BH256" s="51">
        <f>F256*AO256</f>
        <v>0</v>
      </c>
      <c r="BI256" s="51">
        <f>F256*AP256</f>
        <v>0</v>
      </c>
      <c r="BJ256" s="51">
        <f>F256*G256</f>
        <v>0</v>
      </c>
      <c r="BK256" s="51"/>
      <c r="BL256" s="51"/>
      <c r="BW256" s="51">
        <v>12</v>
      </c>
      <c r="BX256" s="3" t="s">
        <v>657</v>
      </c>
    </row>
    <row r="257" spans="1:76">
      <c r="A257" s="1" t="s">
        <v>658</v>
      </c>
      <c r="B257" s="2" t="s">
        <v>659</v>
      </c>
      <c r="C257" s="75" t="s">
        <v>660</v>
      </c>
      <c r="D257" s="70"/>
      <c r="E257" s="2" t="s">
        <v>416</v>
      </c>
      <c r="F257" s="51">
        <v>1</v>
      </c>
      <c r="G257" s="52">
        <v>0</v>
      </c>
      <c r="H257" s="51">
        <f>F257*G257</f>
        <v>0</v>
      </c>
      <c r="J257" s="41"/>
      <c r="Z257" s="51">
        <f>IF(AQ257="5",BJ257,0)</f>
        <v>0</v>
      </c>
      <c r="AB257" s="51">
        <f>IF(AQ257="1",BH257,0)</f>
        <v>0</v>
      </c>
      <c r="AC257" s="51">
        <f>IF(AQ257="1",BI257,0)</f>
        <v>0</v>
      </c>
      <c r="AD257" s="51">
        <f>IF(AQ257="7",BH257,0)</f>
        <v>0</v>
      </c>
      <c r="AE257" s="51">
        <f>IF(AQ257="7",BI257,0)</f>
        <v>0</v>
      </c>
      <c r="AF257" s="51">
        <f>IF(AQ257="2",BH257,0)</f>
        <v>0</v>
      </c>
      <c r="AG257" s="51">
        <f>IF(AQ257="2",BI257,0)</f>
        <v>0</v>
      </c>
      <c r="AH257" s="51">
        <f>IF(AQ257="0",BJ257,0)</f>
        <v>0</v>
      </c>
      <c r="AI257" s="35" t="s">
        <v>4</v>
      </c>
      <c r="AJ257" s="51">
        <f>IF(AN257=0,H257,0)</f>
        <v>0</v>
      </c>
      <c r="AK257" s="51">
        <f>IF(AN257=12,H257,0)</f>
        <v>0</v>
      </c>
      <c r="AL257" s="51">
        <f>IF(AN257=21,H257,0)</f>
        <v>0</v>
      </c>
      <c r="AN257" s="51">
        <v>12</v>
      </c>
      <c r="AO257" s="51">
        <f>G257*0</f>
        <v>0</v>
      </c>
      <c r="AP257" s="51">
        <f>G257*(1-0)</f>
        <v>0</v>
      </c>
      <c r="AQ257" s="53" t="s">
        <v>120</v>
      </c>
      <c r="AV257" s="51">
        <f>AW257+AX257</f>
        <v>0</v>
      </c>
      <c r="AW257" s="51">
        <f>F257*AO257</f>
        <v>0</v>
      </c>
      <c r="AX257" s="51">
        <f>F257*AP257</f>
        <v>0</v>
      </c>
      <c r="AY257" s="53" t="s">
        <v>651</v>
      </c>
      <c r="AZ257" s="53" t="s">
        <v>246</v>
      </c>
      <c r="BA257" s="35" t="s">
        <v>117</v>
      </c>
      <c r="BC257" s="51">
        <f>AW257+AX257</f>
        <v>0</v>
      </c>
      <c r="BD257" s="51">
        <f>G257/(100-BE257)*100</f>
        <v>0</v>
      </c>
      <c r="BE257" s="51">
        <v>0</v>
      </c>
      <c r="BF257" s="51">
        <f>257</f>
        <v>257</v>
      </c>
      <c r="BH257" s="51">
        <f>F257*AO257</f>
        <v>0</v>
      </c>
      <c r="BI257" s="51">
        <f>F257*AP257</f>
        <v>0</v>
      </c>
      <c r="BJ257" s="51">
        <f>F257*G257</f>
        <v>0</v>
      </c>
      <c r="BK257" s="51"/>
      <c r="BL257" s="51"/>
      <c r="BW257" s="51">
        <v>12</v>
      </c>
      <c r="BX257" s="3" t="s">
        <v>660</v>
      </c>
    </row>
    <row r="258" spans="1:76">
      <c r="A258" s="1" t="s">
        <v>661</v>
      </c>
      <c r="B258" s="2" t="s">
        <v>662</v>
      </c>
      <c r="C258" s="75" t="s">
        <v>663</v>
      </c>
      <c r="D258" s="70"/>
      <c r="E258" s="2" t="s">
        <v>129</v>
      </c>
      <c r="F258" s="51">
        <v>1</v>
      </c>
      <c r="G258" s="52">
        <v>0</v>
      </c>
      <c r="H258" s="51">
        <f>F258*G258</f>
        <v>0</v>
      </c>
      <c r="J258" s="41"/>
      <c r="Z258" s="51">
        <f>IF(AQ258="5",BJ258,0)</f>
        <v>0</v>
      </c>
      <c r="AB258" s="51">
        <f>IF(AQ258="1",BH258,0)</f>
        <v>0</v>
      </c>
      <c r="AC258" s="51">
        <f>IF(AQ258="1",BI258,0)</f>
        <v>0</v>
      </c>
      <c r="AD258" s="51">
        <f>IF(AQ258="7",BH258,0)</f>
        <v>0</v>
      </c>
      <c r="AE258" s="51">
        <f>IF(AQ258="7",BI258,0)</f>
        <v>0</v>
      </c>
      <c r="AF258" s="51">
        <f>IF(AQ258="2",BH258,0)</f>
        <v>0</v>
      </c>
      <c r="AG258" s="51">
        <f>IF(AQ258="2",BI258,0)</f>
        <v>0</v>
      </c>
      <c r="AH258" s="51">
        <f>IF(AQ258="0",BJ258,0)</f>
        <v>0</v>
      </c>
      <c r="AI258" s="35" t="s">
        <v>4</v>
      </c>
      <c r="AJ258" s="51">
        <f>IF(AN258=0,H258,0)</f>
        <v>0</v>
      </c>
      <c r="AK258" s="51">
        <f>IF(AN258=12,H258,0)</f>
        <v>0</v>
      </c>
      <c r="AL258" s="51">
        <f>IF(AN258=21,H258,0)</f>
        <v>0</v>
      </c>
      <c r="AN258" s="51">
        <v>12</v>
      </c>
      <c r="AO258" s="51">
        <f>G258*0</f>
        <v>0</v>
      </c>
      <c r="AP258" s="51">
        <f>G258*(1-0)</f>
        <v>0</v>
      </c>
      <c r="AQ258" s="53" t="s">
        <v>120</v>
      </c>
      <c r="AV258" s="51">
        <f>AW258+AX258</f>
        <v>0</v>
      </c>
      <c r="AW258" s="51">
        <f>F258*AO258</f>
        <v>0</v>
      </c>
      <c r="AX258" s="51">
        <f>F258*AP258</f>
        <v>0</v>
      </c>
      <c r="AY258" s="53" t="s">
        <v>651</v>
      </c>
      <c r="AZ258" s="53" t="s">
        <v>246</v>
      </c>
      <c r="BA258" s="35" t="s">
        <v>117</v>
      </c>
      <c r="BC258" s="51">
        <f>AW258+AX258</f>
        <v>0</v>
      </c>
      <c r="BD258" s="51">
        <f>G258/(100-BE258)*100</f>
        <v>0</v>
      </c>
      <c r="BE258" s="51">
        <v>0</v>
      </c>
      <c r="BF258" s="51">
        <f>258</f>
        <v>258</v>
      </c>
      <c r="BH258" s="51">
        <f>F258*AO258</f>
        <v>0</v>
      </c>
      <c r="BI258" s="51">
        <f>F258*AP258</f>
        <v>0</v>
      </c>
      <c r="BJ258" s="51">
        <f>F258*G258</f>
        <v>0</v>
      </c>
      <c r="BK258" s="51"/>
      <c r="BL258" s="51"/>
      <c r="BW258" s="51">
        <v>12</v>
      </c>
      <c r="BX258" s="3" t="s">
        <v>663</v>
      </c>
    </row>
    <row r="259" spans="1:76">
      <c r="A259" s="47" t="s">
        <v>4</v>
      </c>
      <c r="B259" s="48" t="s">
        <v>664</v>
      </c>
      <c r="C259" s="150" t="s">
        <v>57</v>
      </c>
      <c r="D259" s="151"/>
      <c r="E259" s="49" t="s">
        <v>79</v>
      </c>
      <c r="F259" s="49" t="s">
        <v>79</v>
      </c>
      <c r="G259" s="50" t="s">
        <v>79</v>
      </c>
      <c r="H259" s="28">
        <f>H260+H262</f>
        <v>0</v>
      </c>
      <c r="J259" s="41"/>
      <c r="AI259" s="35" t="s">
        <v>4</v>
      </c>
    </row>
    <row r="260" spans="1:76">
      <c r="A260" s="47" t="s">
        <v>4</v>
      </c>
      <c r="B260" s="48" t="s">
        <v>665</v>
      </c>
      <c r="C260" s="150" t="s">
        <v>25</v>
      </c>
      <c r="D260" s="151"/>
      <c r="E260" s="49" t="s">
        <v>79</v>
      </c>
      <c r="F260" s="49" t="s">
        <v>79</v>
      </c>
      <c r="G260" s="50" t="s">
        <v>79</v>
      </c>
      <c r="H260" s="28">
        <f>SUM(H261:H261)</f>
        <v>0</v>
      </c>
      <c r="J260" s="41"/>
      <c r="AI260" s="35" t="s">
        <v>4</v>
      </c>
      <c r="AS260" s="28">
        <f>SUM(AJ261:AJ261)</f>
        <v>0</v>
      </c>
      <c r="AT260" s="28">
        <f>SUM(AK261:AK261)</f>
        <v>0</v>
      </c>
      <c r="AU260" s="28">
        <f>SUM(AL261:AL261)</f>
        <v>0</v>
      </c>
    </row>
    <row r="261" spans="1:76">
      <c r="A261" s="1" t="s">
        <v>666</v>
      </c>
      <c r="B261" s="2" t="s">
        <v>667</v>
      </c>
      <c r="C261" s="75" t="s">
        <v>25</v>
      </c>
      <c r="D261" s="70"/>
      <c r="E261" s="2" t="s">
        <v>668</v>
      </c>
      <c r="F261" s="51">
        <v>1</v>
      </c>
      <c r="G261" s="52">
        <v>0</v>
      </c>
      <c r="H261" s="51">
        <f>F261*G261</f>
        <v>0</v>
      </c>
      <c r="J261" s="41"/>
      <c r="Z261" s="51">
        <f>IF(AQ261="5",BJ261,0)</f>
        <v>0</v>
      </c>
      <c r="AB261" s="51">
        <f>IF(AQ261="1",BH261,0)</f>
        <v>0</v>
      </c>
      <c r="AC261" s="51">
        <f>IF(AQ261="1",BI261,0)</f>
        <v>0</v>
      </c>
      <c r="AD261" s="51">
        <f>IF(AQ261="7",BH261,0)</f>
        <v>0</v>
      </c>
      <c r="AE261" s="51">
        <f>IF(AQ261="7",BI261,0)</f>
        <v>0</v>
      </c>
      <c r="AF261" s="51">
        <f>IF(AQ261="2",BH261,0)</f>
        <v>0</v>
      </c>
      <c r="AG261" s="51">
        <f>IF(AQ261="2",BI261,0)</f>
        <v>0</v>
      </c>
      <c r="AH261" s="51">
        <f>IF(AQ261="0",BJ261,0)</f>
        <v>0</v>
      </c>
      <c r="AI261" s="35" t="s">
        <v>4</v>
      </c>
      <c r="AJ261" s="51">
        <f>IF(AN261=0,H261,0)</f>
        <v>0</v>
      </c>
      <c r="AK261" s="51">
        <f>IF(AN261=12,H261,0)</f>
        <v>0</v>
      </c>
      <c r="AL261" s="51">
        <f>IF(AN261=21,H261,0)</f>
        <v>0</v>
      </c>
      <c r="AN261" s="51">
        <v>12</v>
      </c>
      <c r="AO261" s="51">
        <f>G261*0</f>
        <v>0</v>
      </c>
      <c r="AP261" s="51">
        <f>G261*(1-0)</f>
        <v>0</v>
      </c>
      <c r="AQ261" s="53" t="s">
        <v>310</v>
      </c>
      <c r="AV261" s="51">
        <f>AW261+AX261</f>
        <v>0</v>
      </c>
      <c r="AW261" s="51">
        <f>F261*AO261</f>
        <v>0</v>
      </c>
      <c r="AX261" s="51">
        <f>F261*AP261</f>
        <v>0</v>
      </c>
      <c r="AY261" s="53" t="s">
        <v>669</v>
      </c>
      <c r="AZ261" s="53" t="s">
        <v>670</v>
      </c>
      <c r="BA261" s="35" t="s">
        <v>117</v>
      </c>
      <c r="BC261" s="51">
        <f>AW261+AX261</f>
        <v>0</v>
      </c>
      <c r="BD261" s="51">
        <f>G261/(100-BE261)*100</f>
        <v>0</v>
      </c>
      <c r="BE261" s="51">
        <v>0</v>
      </c>
      <c r="BF261" s="51">
        <f>261</f>
        <v>261</v>
      </c>
      <c r="BH261" s="51">
        <f>F261*AO261</f>
        <v>0</v>
      </c>
      <c r="BI261" s="51">
        <f>F261*AP261</f>
        <v>0</v>
      </c>
      <c r="BJ261" s="51">
        <f>F261*G261</f>
        <v>0</v>
      </c>
      <c r="BK261" s="51"/>
      <c r="BL261" s="51"/>
      <c r="BO261" s="51">
        <f>F261*G261</f>
        <v>0</v>
      </c>
      <c r="BW261" s="51">
        <v>12</v>
      </c>
      <c r="BX261" s="3" t="s">
        <v>25</v>
      </c>
    </row>
    <row r="262" spans="1:76">
      <c r="A262" s="47" t="s">
        <v>4</v>
      </c>
      <c r="B262" s="48" t="s">
        <v>671</v>
      </c>
      <c r="C262" s="150" t="s">
        <v>31</v>
      </c>
      <c r="D262" s="151"/>
      <c r="E262" s="49" t="s">
        <v>79</v>
      </c>
      <c r="F262" s="49" t="s">
        <v>79</v>
      </c>
      <c r="G262" s="50" t="s">
        <v>79</v>
      </c>
      <c r="H262" s="28">
        <f>SUM(H263:H263)</f>
        <v>0</v>
      </c>
      <c r="J262" s="41"/>
      <c r="AI262" s="35" t="s">
        <v>4</v>
      </c>
      <c r="AS262" s="28">
        <f>SUM(AJ263:AJ263)</f>
        <v>0</v>
      </c>
      <c r="AT262" s="28">
        <f>SUM(AK263:AK263)</f>
        <v>0</v>
      </c>
      <c r="AU262" s="28">
        <f>SUM(AL263:AL263)</f>
        <v>0</v>
      </c>
    </row>
    <row r="263" spans="1:76">
      <c r="A263" s="4" t="s">
        <v>672</v>
      </c>
      <c r="B263" s="5" t="s">
        <v>673</v>
      </c>
      <c r="C263" s="156" t="s">
        <v>674</v>
      </c>
      <c r="D263" s="73"/>
      <c r="E263" s="5" t="s">
        <v>668</v>
      </c>
      <c r="F263" s="59">
        <v>1</v>
      </c>
      <c r="G263" s="60">
        <v>0</v>
      </c>
      <c r="H263" s="59">
        <f>F263*G263</f>
        <v>0</v>
      </c>
      <c r="I263" s="61"/>
      <c r="J263" s="62"/>
      <c r="Z263" s="51">
        <f>IF(AQ263="5",BJ263,0)</f>
        <v>0</v>
      </c>
      <c r="AB263" s="51">
        <f>IF(AQ263="1",BH263,0)</f>
        <v>0</v>
      </c>
      <c r="AC263" s="51">
        <f>IF(AQ263="1",BI263,0)</f>
        <v>0</v>
      </c>
      <c r="AD263" s="51">
        <f>IF(AQ263="7",BH263,0)</f>
        <v>0</v>
      </c>
      <c r="AE263" s="51">
        <f>IF(AQ263="7",BI263,0)</f>
        <v>0</v>
      </c>
      <c r="AF263" s="51">
        <f>IF(AQ263="2",BH263,0)</f>
        <v>0</v>
      </c>
      <c r="AG263" s="51">
        <f>IF(AQ263="2",BI263,0)</f>
        <v>0</v>
      </c>
      <c r="AH263" s="51">
        <f>IF(AQ263="0",BJ263,0)</f>
        <v>0</v>
      </c>
      <c r="AI263" s="35" t="s">
        <v>4</v>
      </c>
      <c r="AJ263" s="51">
        <f>IF(AN263=0,H263,0)</f>
        <v>0</v>
      </c>
      <c r="AK263" s="51">
        <f>IF(AN263=12,H263,0)</f>
        <v>0</v>
      </c>
      <c r="AL263" s="51">
        <f>IF(AN263=21,H263,0)</f>
        <v>0</v>
      </c>
      <c r="AN263" s="51">
        <v>12</v>
      </c>
      <c r="AO263" s="51">
        <f>G263*0</f>
        <v>0</v>
      </c>
      <c r="AP263" s="51">
        <f>G263*(1-0)</f>
        <v>0</v>
      </c>
      <c r="AQ263" s="53" t="s">
        <v>310</v>
      </c>
      <c r="AV263" s="51">
        <f>AW263+AX263</f>
        <v>0</v>
      </c>
      <c r="AW263" s="51">
        <f>F263*AO263</f>
        <v>0</v>
      </c>
      <c r="AX263" s="51">
        <f>F263*AP263</f>
        <v>0</v>
      </c>
      <c r="AY263" s="53" t="s">
        <v>675</v>
      </c>
      <c r="AZ263" s="53" t="s">
        <v>670</v>
      </c>
      <c r="BA263" s="35" t="s">
        <v>117</v>
      </c>
      <c r="BC263" s="51">
        <f>AW263+AX263</f>
        <v>0</v>
      </c>
      <c r="BD263" s="51">
        <f>G263/(100-BE263)*100</f>
        <v>0</v>
      </c>
      <c r="BE263" s="51">
        <v>0</v>
      </c>
      <c r="BF263" s="51">
        <f>263</f>
        <v>263</v>
      </c>
      <c r="BH263" s="51">
        <f>F263*AO263</f>
        <v>0</v>
      </c>
      <c r="BI263" s="51">
        <f>F263*AP263</f>
        <v>0</v>
      </c>
      <c r="BJ263" s="51">
        <f>F263*G263</f>
        <v>0</v>
      </c>
      <c r="BK263" s="51"/>
      <c r="BL263" s="51"/>
      <c r="BR263" s="51">
        <f>F263*G263</f>
        <v>0</v>
      </c>
      <c r="BW263" s="51">
        <v>12</v>
      </c>
      <c r="BX263" s="3" t="s">
        <v>674</v>
      </c>
    </row>
    <row r="264" spans="1:76">
      <c r="H264" s="63">
        <f>H13+H25+H80+H88+H97+H116+H118+H130+H141+H153+H172+H176+H178+H193+H206+H228+H241+H246+H253+H260+H262</f>
        <v>0</v>
      </c>
    </row>
    <row r="265" spans="1:76">
      <c r="A265" s="64" t="s">
        <v>56</v>
      </c>
    </row>
    <row r="266" spans="1:76" ht="12.75" customHeight="1">
      <c r="A266" s="75" t="s">
        <v>4</v>
      </c>
      <c r="B266" s="70"/>
      <c r="C266" s="70"/>
      <c r="D266" s="70"/>
      <c r="E266" s="70"/>
      <c r="F266" s="70"/>
      <c r="G266" s="70"/>
      <c r="H266" s="70"/>
      <c r="I266" s="70"/>
      <c r="J266" s="70"/>
    </row>
  </sheetData>
  <sheetProtection password="CF7A" sheet="1"/>
  <mergeCells count="193">
    <mergeCell ref="C263:D263"/>
    <mergeCell ref="A266:J266"/>
    <mergeCell ref="C258:D258"/>
    <mergeCell ref="C259:D259"/>
    <mergeCell ref="C260:D260"/>
    <mergeCell ref="C261:D261"/>
    <mergeCell ref="C262:D262"/>
    <mergeCell ref="C253:D253"/>
    <mergeCell ref="C254:D254"/>
    <mergeCell ref="C255:D255"/>
    <mergeCell ref="C256:D256"/>
    <mergeCell ref="C257:D257"/>
    <mergeCell ref="C245:D245"/>
    <mergeCell ref="C246:D246"/>
    <mergeCell ref="C247:D247"/>
    <mergeCell ref="C250:D250"/>
    <mergeCell ref="C251:D251"/>
    <mergeCell ref="C240:D240"/>
    <mergeCell ref="C241:D241"/>
    <mergeCell ref="C242:D242"/>
    <mergeCell ref="C243:J243"/>
    <mergeCell ref="C244:D244"/>
    <mergeCell ref="C229:D229"/>
    <mergeCell ref="C233:D233"/>
    <mergeCell ref="C235:D235"/>
    <mergeCell ref="C237:D237"/>
    <mergeCell ref="C238:D238"/>
    <mergeCell ref="C222:D222"/>
    <mergeCell ref="C224:D224"/>
    <mergeCell ref="C225:D225"/>
    <mergeCell ref="C227:D227"/>
    <mergeCell ref="C228:D228"/>
    <mergeCell ref="C206:D206"/>
    <mergeCell ref="C207:D207"/>
    <mergeCell ref="C213:D213"/>
    <mergeCell ref="C215:D215"/>
    <mergeCell ref="C216:J216"/>
    <mergeCell ref="C195:D195"/>
    <mergeCell ref="C198:D198"/>
    <mergeCell ref="C202:D202"/>
    <mergeCell ref="C203:D203"/>
    <mergeCell ref="C205:D205"/>
    <mergeCell ref="C190:D190"/>
    <mergeCell ref="C191:D191"/>
    <mergeCell ref="C192:D192"/>
    <mergeCell ref="C193:D193"/>
    <mergeCell ref="C194:D194"/>
    <mergeCell ref="C185:D185"/>
    <mergeCell ref="C186:D186"/>
    <mergeCell ref="C187:D187"/>
    <mergeCell ref="C188:D188"/>
    <mergeCell ref="C189:D189"/>
    <mergeCell ref="C179:D179"/>
    <mergeCell ref="C181:D181"/>
    <mergeCell ref="C182:D182"/>
    <mergeCell ref="C183:D183"/>
    <mergeCell ref="C184:D184"/>
    <mergeCell ref="C174:D174"/>
    <mergeCell ref="C175:D175"/>
    <mergeCell ref="C176:D176"/>
    <mergeCell ref="C177:D177"/>
    <mergeCell ref="C178:D178"/>
    <mergeCell ref="C169:D169"/>
    <mergeCell ref="C170:D170"/>
    <mergeCell ref="C171:D171"/>
    <mergeCell ref="C172:D172"/>
    <mergeCell ref="C173:D173"/>
    <mergeCell ref="C164:D164"/>
    <mergeCell ref="C165:D165"/>
    <mergeCell ref="C166:D166"/>
    <mergeCell ref="C167:D167"/>
    <mergeCell ref="C168:D168"/>
    <mergeCell ref="C159:D159"/>
    <mergeCell ref="C160:D160"/>
    <mergeCell ref="C161:J161"/>
    <mergeCell ref="C162:D162"/>
    <mergeCell ref="C163:D163"/>
    <mergeCell ref="C154:D154"/>
    <mergeCell ref="C155:D155"/>
    <mergeCell ref="C156:D156"/>
    <mergeCell ref="C157:D157"/>
    <mergeCell ref="C158:D158"/>
    <mergeCell ref="C149:D149"/>
    <mergeCell ref="C150:D150"/>
    <mergeCell ref="C151:D151"/>
    <mergeCell ref="C152:D152"/>
    <mergeCell ref="C153:D153"/>
    <mergeCell ref="C144:D144"/>
    <mergeCell ref="C145:D145"/>
    <mergeCell ref="C146:D146"/>
    <mergeCell ref="C147:D147"/>
    <mergeCell ref="C148:J148"/>
    <mergeCell ref="C139:D139"/>
    <mergeCell ref="C140:D140"/>
    <mergeCell ref="C141:D141"/>
    <mergeCell ref="C142:D142"/>
    <mergeCell ref="C143:D143"/>
    <mergeCell ref="C134:D134"/>
    <mergeCell ref="C135:D135"/>
    <mergeCell ref="C136:D136"/>
    <mergeCell ref="C137:D137"/>
    <mergeCell ref="C138:D138"/>
    <mergeCell ref="C129:D129"/>
    <mergeCell ref="C130:D130"/>
    <mergeCell ref="C131:D131"/>
    <mergeCell ref="C132:D132"/>
    <mergeCell ref="C133:D133"/>
    <mergeCell ref="C119:D119"/>
    <mergeCell ref="C120:D120"/>
    <mergeCell ref="C121:J121"/>
    <mergeCell ref="C125:D125"/>
    <mergeCell ref="C126:J126"/>
    <mergeCell ref="C111:D111"/>
    <mergeCell ref="C113:D113"/>
    <mergeCell ref="C116:D116"/>
    <mergeCell ref="C117:D117"/>
    <mergeCell ref="C118:D118"/>
    <mergeCell ref="C104:D104"/>
    <mergeCell ref="C105:D105"/>
    <mergeCell ref="C106:D106"/>
    <mergeCell ref="C108:D108"/>
    <mergeCell ref="C109:D109"/>
    <mergeCell ref="C98:D98"/>
    <mergeCell ref="C99:D99"/>
    <mergeCell ref="C100:D100"/>
    <mergeCell ref="C101:D101"/>
    <mergeCell ref="C103:D103"/>
    <mergeCell ref="C91:D91"/>
    <mergeCell ref="C92:D92"/>
    <mergeCell ref="C94:D94"/>
    <mergeCell ref="C95:D95"/>
    <mergeCell ref="C97:D97"/>
    <mergeCell ref="C85:J85"/>
    <mergeCell ref="C87:D87"/>
    <mergeCell ref="C88:D88"/>
    <mergeCell ref="C89:D89"/>
    <mergeCell ref="C90:J90"/>
    <mergeCell ref="C76:J76"/>
    <mergeCell ref="C77:D77"/>
    <mergeCell ref="C80:D80"/>
    <mergeCell ref="C81:D81"/>
    <mergeCell ref="C84:D84"/>
    <mergeCell ref="C66:D66"/>
    <mergeCell ref="C67:J67"/>
    <mergeCell ref="C72:D72"/>
    <mergeCell ref="C73:J73"/>
    <mergeCell ref="C75:D75"/>
    <mergeCell ref="C42:D42"/>
    <mergeCell ref="C44:D44"/>
    <mergeCell ref="C52:D52"/>
    <mergeCell ref="C53:J53"/>
    <mergeCell ref="C64:D64"/>
    <mergeCell ref="C26:D26"/>
    <mergeCell ref="C28:D28"/>
    <mergeCell ref="C30:D30"/>
    <mergeCell ref="C31:D31"/>
    <mergeCell ref="C32:D32"/>
    <mergeCell ref="C19:D19"/>
    <mergeCell ref="C20:J20"/>
    <mergeCell ref="C21:D21"/>
    <mergeCell ref="C23:D23"/>
    <mergeCell ref="C25:D25"/>
    <mergeCell ref="C11:D11"/>
    <mergeCell ref="C12:D12"/>
    <mergeCell ref="C13:D13"/>
    <mergeCell ref="C14:D14"/>
    <mergeCell ref="C16:D16"/>
    <mergeCell ref="I2:J3"/>
    <mergeCell ref="I4:J5"/>
    <mergeCell ref="I6:J7"/>
    <mergeCell ref="I8:J9"/>
    <mergeCell ref="C10:D10"/>
    <mergeCell ref="C8:D9"/>
    <mergeCell ref="G2:G3"/>
    <mergeCell ref="G4:G5"/>
    <mergeCell ref="G6:G7"/>
    <mergeCell ref="G8:G9"/>
    <mergeCell ref="A1:J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Franta</cp:lastModifiedBy>
  <dcterms:created xsi:type="dcterms:W3CDTF">2021-06-10T20:06:38Z</dcterms:created>
  <dcterms:modified xsi:type="dcterms:W3CDTF">2025-02-11T14:56:07Z</dcterms:modified>
</cp:coreProperties>
</file>