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VORN!$I$45</definedName>
  </definedNames>
  <calcPr calcId="124519"/>
</workbook>
</file>

<file path=xl/calcChain.xml><?xml version="1.0" encoding="utf-8"?>
<calcChain xmlns="http://schemas.openxmlformats.org/spreadsheetml/2006/main">
  <c r="BR269" i="3"/>
  <c r="BJ269"/>
  <c r="BF269"/>
  <c r="BD269"/>
  <c r="AW269"/>
  <c r="AP269"/>
  <c r="BI269" s="1"/>
  <c r="AO269"/>
  <c r="BH269" s="1"/>
  <c r="AL269"/>
  <c r="AJ269"/>
  <c r="AH269"/>
  <c r="AG269"/>
  <c r="AF269"/>
  <c r="AE269"/>
  <c r="AD269"/>
  <c r="AC269"/>
  <c r="AB269"/>
  <c r="Z269"/>
  <c r="H269"/>
  <c r="AK269" s="1"/>
  <c r="AT268" s="1"/>
  <c r="AU268"/>
  <c r="AS268"/>
  <c r="H268"/>
  <c r="BO267"/>
  <c r="BJ267"/>
  <c r="BF267"/>
  <c r="BD267"/>
  <c r="AW267"/>
  <c r="AP267"/>
  <c r="BI267" s="1"/>
  <c r="AO267"/>
  <c r="BH267" s="1"/>
  <c r="AL267"/>
  <c r="AJ267"/>
  <c r="AH267"/>
  <c r="AG267"/>
  <c r="AF267"/>
  <c r="AE267"/>
  <c r="AD267"/>
  <c r="AC267"/>
  <c r="AB267"/>
  <c r="Z267"/>
  <c r="H267"/>
  <c r="AK267" s="1"/>
  <c r="AT266" s="1"/>
  <c r="AU266"/>
  <c r="AS266"/>
  <c r="H266"/>
  <c r="H265"/>
  <c r="BJ264"/>
  <c r="BF264"/>
  <c r="BD264"/>
  <c r="AW264"/>
  <c r="AP264"/>
  <c r="BI264" s="1"/>
  <c r="AG264" s="1"/>
  <c r="AO264"/>
  <c r="BH264" s="1"/>
  <c r="AF264" s="1"/>
  <c r="AL264"/>
  <c r="AJ264"/>
  <c r="AH264"/>
  <c r="AE264"/>
  <c r="AD264"/>
  <c r="AC264"/>
  <c r="AB264"/>
  <c r="Z264"/>
  <c r="H264"/>
  <c r="AK264" s="1"/>
  <c r="BJ263"/>
  <c r="BF263"/>
  <c r="BD263"/>
  <c r="AW263"/>
  <c r="BC263" s="1"/>
  <c r="AP263"/>
  <c r="AX263" s="1"/>
  <c r="AV263" s="1"/>
  <c r="AO263"/>
  <c r="BH263" s="1"/>
  <c r="AF263" s="1"/>
  <c r="AL263"/>
  <c r="AK263"/>
  <c r="AJ263"/>
  <c r="AH263"/>
  <c r="AE263"/>
  <c r="AD263"/>
  <c r="AC263"/>
  <c r="AB263"/>
  <c r="Z263"/>
  <c r="H263"/>
  <c r="BJ262"/>
  <c r="BF262"/>
  <c r="BD262"/>
  <c r="AP262"/>
  <c r="AX262" s="1"/>
  <c r="AO262"/>
  <c r="AW262" s="1"/>
  <c r="AL262"/>
  <c r="AK262"/>
  <c r="AJ262"/>
  <c r="AH262"/>
  <c r="AE262"/>
  <c r="AD262"/>
  <c r="AC262"/>
  <c r="AB262"/>
  <c r="Z262"/>
  <c r="H262"/>
  <c r="BJ261"/>
  <c r="BF261"/>
  <c r="BD261"/>
  <c r="AX261"/>
  <c r="AP261"/>
  <c r="BI261" s="1"/>
  <c r="AG261" s="1"/>
  <c r="AO261"/>
  <c r="AW261" s="1"/>
  <c r="AL261"/>
  <c r="AJ261"/>
  <c r="AH261"/>
  <c r="AE261"/>
  <c r="AD261"/>
  <c r="AC261"/>
  <c r="AB261"/>
  <c r="Z261"/>
  <c r="H261"/>
  <c r="AK261" s="1"/>
  <c r="BJ260"/>
  <c r="BF260"/>
  <c r="BD260"/>
  <c r="AX260"/>
  <c r="AW260"/>
  <c r="BC260" s="1"/>
  <c r="AP260"/>
  <c r="BI260" s="1"/>
  <c r="AG260" s="1"/>
  <c r="AO260"/>
  <c r="BH260" s="1"/>
  <c r="AF260" s="1"/>
  <c r="AL260"/>
  <c r="AJ260"/>
  <c r="AH260"/>
  <c r="AE260"/>
  <c r="AD260"/>
  <c r="AC260"/>
  <c r="AB260"/>
  <c r="Z260"/>
  <c r="H260"/>
  <c r="AK260" s="1"/>
  <c r="AU259"/>
  <c r="AS259"/>
  <c r="BJ257"/>
  <c r="BF257"/>
  <c r="BD257"/>
  <c r="AX257"/>
  <c r="AW257"/>
  <c r="BC257" s="1"/>
  <c r="AV257"/>
  <c r="AP257"/>
  <c r="BI257" s="1"/>
  <c r="AE257" s="1"/>
  <c r="AO257"/>
  <c r="BH257" s="1"/>
  <c r="AD257" s="1"/>
  <c r="AL257"/>
  <c r="AK257"/>
  <c r="AJ257"/>
  <c r="AH257"/>
  <c r="AG257"/>
  <c r="AF257"/>
  <c r="AC257"/>
  <c r="AB257"/>
  <c r="Z257"/>
  <c r="H257"/>
  <c r="BJ256"/>
  <c r="BF256"/>
  <c r="BD256"/>
  <c r="AW256"/>
  <c r="AP256"/>
  <c r="AX256" s="1"/>
  <c r="AO256"/>
  <c r="BH256" s="1"/>
  <c r="AD256" s="1"/>
  <c r="AL256"/>
  <c r="AK256"/>
  <c r="AJ256"/>
  <c r="AH256"/>
  <c r="AG256"/>
  <c r="AF256"/>
  <c r="AC256"/>
  <c r="AB256"/>
  <c r="Z256"/>
  <c r="H256"/>
  <c r="BJ250"/>
  <c r="BF250"/>
  <c r="BD250"/>
  <c r="AX250"/>
  <c r="AP250"/>
  <c r="BI250" s="1"/>
  <c r="AE250" s="1"/>
  <c r="AO250"/>
  <c r="AW250" s="1"/>
  <c r="AL250"/>
  <c r="AJ250"/>
  <c r="AH250"/>
  <c r="AG250"/>
  <c r="AF250"/>
  <c r="AC250"/>
  <c r="AB250"/>
  <c r="Z250"/>
  <c r="H250"/>
  <c r="AK250" s="1"/>
  <c r="AT249" s="1"/>
  <c r="AU249"/>
  <c r="AS249"/>
  <c r="H249"/>
  <c r="BJ247"/>
  <c r="BF247"/>
  <c r="BD247"/>
  <c r="AX247"/>
  <c r="AW247"/>
  <c r="BC247" s="1"/>
  <c r="AP247"/>
  <c r="BI247" s="1"/>
  <c r="AE247" s="1"/>
  <c r="AO247"/>
  <c r="BH247" s="1"/>
  <c r="AD247" s="1"/>
  <c r="AL247"/>
  <c r="AJ247"/>
  <c r="AH247"/>
  <c r="AG247"/>
  <c r="AF247"/>
  <c r="AC247"/>
  <c r="AB247"/>
  <c r="Z247"/>
  <c r="H247"/>
  <c r="AK247" s="1"/>
  <c r="BJ246"/>
  <c r="BF246"/>
  <c r="BD246"/>
  <c r="AW246"/>
  <c r="BC246" s="1"/>
  <c r="AP246"/>
  <c r="AX246" s="1"/>
  <c r="AV246" s="1"/>
  <c r="AO246"/>
  <c r="BH246" s="1"/>
  <c r="AD246" s="1"/>
  <c r="AL246"/>
  <c r="AK246"/>
  <c r="AJ246"/>
  <c r="AH246"/>
  <c r="AG246"/>
  <c r="AF246"/>
  <c r="AC246"/>
  <c r="AB246"/>
  <c r="Z246"/>
  <c r="H246"/>
  <c r="BJ245"/>
  <c r="BF245"/>
  <c r="BD245"/>
  <c r="AP245"/>
  <c r="AX245" s="1"/>
  <c r="AO245"/>
  <c r="AW245" s="1"/>
  <c r="AL245"/>
  <c r="AK245"/>
  <c r="AJ245"/>
  <c r="AH245"/>
  <c r="AG245"/>
  <c r="AF245"/>
  <c r="AC245"/>
  <c r="AB245"/>
  <c r="Z245"/>
  <c r="H245"/>
  <c r="BJ243"/>
  <c r="BF243"/>
  <c r="BD243"/>
  <c r="AP243"/>
  <c r="AX243" s="1"/>
  <c r="AO243"/>
  <c r="AW243" s="1"/>
  <c r="AL243"/>
  <c r="AJ243"/>
  <c r="AH243"/>
  <c r="AG243"/>
  <c r="AF243"/>
  <c r="AC243"/>
  <c r="AB243"/>
  <c r="Z243"/>
  <c r="H243"/>
  <c r="AK243" s="1"/>
  <c r="AU242"/>
  <c r="AS242"/>
  <c r="H242"/>
  <c r="BJ241"/>
  <c r="BF241"/>
  <c r="BD241"/>
  <c r="AX241"/>
  <c r="AP241"/>
  <c r="BI241" s="1"/>
  <c r="AO241"/>
  <c r="AW241" s="1"/>
  <c r="AL241"/>
  <c r="AJ241"/>
  <c r="AH241"/>
  <c r="AG241"/>
  <c r="AF241"/>
  <c r="AE241"/>
  <c r="AD241"/>
  <c r="AC241"/>
  <c r="AB241"/>
  <c r="Z241"/>
  <c r="H241"/>
  <c r="AK241" s="1"/>
  <c r="BJ239"/>
  <c r="BF239"/>
  <c r="BD239"/>
  <c r="AW239"/>
  <c r="BC239" s="1"/>
  <c r="AP239"/>
  <c r="AX239" s="1"/>
  <c r="AO239"/>
  <c r="BH239" s="1"/>
  <c r="AD239" s="1"/>
  <c r="AL239"/>
  <c r="AK239"/>
  <c r="AJ239"/>
  <c r="AH239"/>
  <c r="AG239"/>
  <c r="AF239"/>
  <c r="AC239"/>
  <c r="AB239"/>
  <c r="Z239"/>
  <c r="H239"/>
  <c r="BJ235"/>
  <c r="BF235"/>
  <c r="BD235"/>
  <c r="AP235"/>
  <c r="AX235" s="1"/>
  <c r="AO235"/>
  <c r="AW235" s="1"/>
  <c r="AL235"/>
  <c r="AK235"/>
  <c r="AJ235"/>
  <c r="AH235"/>
  <c r="AG235"/>
  <c r="AF235"/>
  <c r="AC235"/>
  <c r="AB235"/>
  <c r="Z235"/>
  <c r="H235"/>
  <c r="BJ234"/>
  <c r="BF234"/>
  <c r="BD234"/>
  <c r="AP234"/>
  <c r="AX234" s="1"/>
  <c r="AO234"/>
  <c r="AW234" s="1"/>
  <c r="AL234"/>
  <c r="AJ234"/>
  <c r="AH234"/>
  <c r="AG234"/>
  <c r="AF234"/>
  <c r="AC234"/>
  <c r="AB234"/>
  <c r="Z234"/>
  <c r="H234"/>
  <c r="AK234" s="1"/>
  <c r="BJ232"/>
  <c r="BF232"/>
  <c r="BD232"/>
  <c r="AX232"/>
  <c r="AP232"/>
  <c r="BI232" s="1"/>
  <c r="AE232" s="1"/>
  <c r="AO232"/>
  <c r="AW232" s="1"/>
  <c r="AL232"/>
  <c r="AJ232"/>
  <c r="AH232"/>
  <c r="AG232"/>
  <c r="AF232"/>
  <c r="AC232"/>
  <c r="AB232"/>
  <c r="Z232"/>
  <c r="H232"/>
  <c r="AK232" s="1"/>
  <c r="AT226" s="1"/>
  <c r="BJ231"/>
  <c r="BF231"/>
  <c r="BD231"/>
  <c r="AX231"/>
  <c r="AW231"/>
  <c r="BC231" s="1"/>
  <c r="AV231"/>
  <c r="AP231"/>
  <c r="BI231" s="1"/>
  <c r="AE231" s="1"/>
  <c r="AO231"/>
  <c r="BH231" s="1"/>
  <c r="AD231" s="1"/>
  <c r="AL231"/>
  <c r="AK231"/>
  <c r="AJ231"/>
  <c r="AH231"/>
  <c r="AG231"/>
  <c r="AF231"/>
  <c r="AC231"/>
  <c r="AB231"/>
  <c r="Z231"/>
  <c r="H231"/>
  <c r="BJ227"/>
  <c r="BF227"/>
  <c r="BD227"/>
  <c r="AP227"/>
  <c r="AX227" s="1"/>
  <c r="AO227"/>
  <c r="AW227" s="1"/>
  <c r="AL227"/>
  <c r="AK227"/>
  <c r="AJ227"/>
  <c r="AH227"/>
  <c r="AG227"/>
  <c r="AF227"/>
  <c r="AC227"/>
  <c r="AB227"/>
  <c r="Z227"/>
  <c r="H227"/>
  <c r="AU226"/>
  <c r="AS226"/>
  <c r="H226"/>
  <c r="BJ225"/>
  <c r="BF225"/>
  <c r="BD225"/>
  <c r="AP225"/>
  <c r="AX225" s="1"/>
  <c r="AO225"/>
  <c r="AW225" s="1"/>
  <c r="AL225"/>
  <c r="AJ225"/>
  <c r="AH225"/>
  <c r="AG225"/>
  <c r="AF225"/>
  <c r="AE225"/>
  <c r="AD225"/>
  <c r="AC225"/>
  <c r="AB225"/>
  <c r="Z225"/>
  <c r="H225"/>
  <c r="AK225" s="1"/>
  <c r="BJ223"/>
  <c r="BF223"/>
  <c r="BD223"/>
  <c r="AX223"/>
  <c r="AP223"/>
  <c r="BI223" s="1"/>
  <c r="AE223" s="1"/>
  <c r="AO223"/>
  <c r="AW223" s="1"/>
  <c r="AL223"/>
  <c r="AJ223"/>
  <c r="AH223"/>
  <c r="AG223"/>
  <c r="AF223"/>
  <c r="AC223"/>
  <c r="AB223"/>
  <c r="Z223"/>
  <c r="H223"/>
  <c r="H221" s="1"/>
  <c r="BJ222"/>
  <c r="BF222"/>
  <c r="BD222"/>
  <c r="AW222"/>
  <c r="BC222" s="1"/>
  <c r="AP222"/>
  <c r="AX222" s="1"/>
  <c r="AV222" s="1"/>
  <c r="AO222"/>
  <c r="BH222" s="1"/>
  <c r="AD222" s="1"/>
  <c r="AL222"/>
  <c r="AK222"/>
  <c r="AJ222"/>
  <c r="AH222"/>
  <c r="AG222"/>
  <c r="AF222"/>
  <c r="AC222"/>
  <c r="AB222"/>
  <c r="Z222"/>
  <c r="H222"/>
  <c r="AU221"/>
  <c r="AS221"/>
  <c r="BJ220"/>
  <c r="BF220"/>
  <c r="BD220"/>
  <c r="AW220"/>
  <c r="AP220"/>
  <c r="AX220" s="1"/>
  <c r="AO220"/>
  <c r="BH220" s="1"/>
  <c r="AL220"/>
  <c r="AK220"/>
  <c r="AJ220"/>
  <c r="AH220"/>
  <c r="AG220"/>
  <c r="AF220"/>
  <c r="AE220"/>
  <c r="AD220"/>
  <c r="AC220"/>
  <c r="AB220"/>
  <c r="Z220"/>
  <c r="H220"/>
  <c r="BJ219"/>
  <c r="BF219"/>
  <c r="BD219"/>
  <c r="AP219"/>
  <c r="AX219" s="1"/>
  <c r="AO219"/>
  <c r="AW219" s="1"/>
  <c r="AL219"/>
  <c r="AJ219"/>
  <c r="AH219"/>
  <c r="AG219"/>
  <c r="AF219"/>
  <c r="AC219"/>
  <c r="AB219"/>
  <c r="Z219"/>
  <c r="H219"/>
  <c r="AK219" s="1"/>
  <c r="BJ217"/>
  <c r="BF217"/>
  <c r="BD217"/>
  <c r="AX217"/>
  <c r="AP217"/>
  <c r="BI217" s="1"/>
  <c r="AE217" s="1"/>
  <c r="AO217"/>
  <c r="AW217" s="1"/>
  <c r="AL217"/>
  <c r="AJ217"/>
  <c r="AH217"/>
  <c r="AG217"/>
  <c r="AF217"/>
  <c r="AC217"/>
  <c r="AB217"/>
  <c r="Z217"/>
  <c r="H217"/>
  <c r="AK217" s="1"/>
  <c r="BJ215"/>
  <c r="BF215"/>
  <c r="BD215"/>
  <c r="AW215"/>
  <c r="BC215" s="1"/>
  <c r="AP215"/>
  <c r="AX215" s="1"/>
  <c r="AO215"/>
  <c r="BH215" s="1"/>
  <c r="AD215" s="1"/>
  <c r="AL215"/>
  <c r="AK215"/>
  <c r="AJ215"/>
  <c r="AH215"/>
  <c r="AG215"/>
  <c r="AF215"/>
  <c r="AC215"/>
  <c r="AB215"/>
  <c r="Z215"/>
  <c r="H215"/>
  <c r="BJ210"/>
  <c r="BF210"/>
  <c r="BD210"/>
  <c r="AP210"/>
  <c r="AX210" s="1"/>
  <c r="AO210"/>
  <c r="AW210" s="1"/>
  <c r="AL210"/>
  <c r="AK210"/>
  <c r="AJ210"/>
  <c r="AH210"/>
  <c r="AG210"/>
  <c r="AF210"/>
  <c r="AC210"/>
  <c r="AB210"/>
  <c r="Z210"/>
  <c r="H210"/>
  <c r="BJ206"/>
  <c r="BF206"/>
  <c r="BD206"/>
  <c r="AP206"/>
  <c r="AX206" s="1"/>
  <c r="AO206"/>
  <c r="AW206" s="1"/>
  <c r="AL206"/>
  <c r="AJ206"/>
  <c r="AH206"/>
  <c r="AG206"/>
  <c r="AF206"/>
  <c r="AC206"/>
  <c r="AB206"/>
  <c r="Z206"/>
  <c r="H206"/>
  <c r="AK206" s="1"/>
  <c r="BJ202"/>
  <c r="BF202"/>
  <c r="BD202"/>
  <c r="AX202"/>
  <c r="AP202"/>
  <c r="BI202" s="1"/>
  <c r="AE202" s="1"/>
  <c r="AO202"/>
  <c r="AW202" s="1"/>
  <c r="AL202"/>
  <c r="AJ202"/>
  <c r="AH202"/>
  <c r="AG202"/>
  <c r="AF202"/>
  <c r="AC202"/>
  <c r="AB202"/>
  <c r="Z202"/>
  <c r="H202"/>
  <c r="AK202" s="1"/>
  <c r="AT201" s="1"/>
  <c r="AU201"/>
  <c r="AS201"/>
  <c r="H201"/>
  <c r="BJ200"/>
  <c r="Z200" s="1"/>
  <c r="BF200"/>
  <c r="BD200"/>
  <c r="AX200"/>
  <c r="AW200"/>
  <c r="BC200" s="1"/>
  <c r="AV200"/>
  <c r="AP200"/>
  <c r="BI200" s="1"/>
  <c r="AO200"/>
  <c r="BH200" s="1"/>
  <c r="AL200"/>
  <c r="AK200"/>
  <c r="AJ200"/>
  <c r="AH200"/>
  <c r="AG200"/>
  <c r="AF200"/>
  <c r="AE200"/>
  <c r="AD200"/>
  <c r="AC200"/>
  <c r="AB200"/>
  <c r="H200"/>
  <c r="BJ198"/>
  <c r="BF198"/>
  <c r="BD198"/>
  <c r="AW198"/>
  <c r="AP198"/>
  <c r="AX198" s="1"/>
  <c r="AO198"/>
  <c r="BH198" s="1"/>
  <c r="AD198" s="1"/>
  <c r="AL198"/>
  <c r="AK198"/>
  <c r="AJ198"/>
  <c r="AH198"/>
  <c r="AG198"/>
  <c r="AF198"/>
  <c r="AC198"/>
  <c r="AB198"/>
  <c r="Z198"/>
  <c r="H198"/>
  <c r="BJ197"/>
  <c r="BF197"/>
  <c r="BD197"/>
  <c r="AP197"/>
  <c r="AX197" s="1"/>
  <c r="AO197"/>
  <c r="AW197" s="1"/>
  <c r="AL197"/>
  <c r="AJ197"/>
  <c r="AH197"/>
  <c r="AG197"/>
  <c r="AF197"/>
  <c r="AC197"/>
  <c r="AB197"/>
  <c r="Z197"/>
  <c r="H197"/>
  <c r="AK197" s="1"/>
  <c r="BJ193"/>
  <c r="BF193"/>
  <c r="BD193"/>
  <c r="AX193"/>
  <c r="AP193"/>
  <c r="BI193" s="1"/>
  <c r="AE193" s="1"/>
  <c r="AO193"/>
  <c r="AW193" s="1"/>
  <c r="AL193"/>
  <c r="AJ193"/>
  <c r="AH193"/>
  <c r="AG193"/>
  <c r="AF193"/>
  <c r="AC193"/>
  <c r="AB193"/>
  <c r="Z193"/>
  <c r="H193"/>
  <c r="AK193" s="1"/>
  <c r="BJ191"/>
  <c r="BF191"/>
  <c r="BD191"/>
  <c r="AX191"/>
  <c r="AW191"/>
  <c r="BC191" s="1"/>
  <c r="AP191"/>
  <c r="BI191" s="1"/>
  <c r="AE191" s="1"/>
  <c r="AO191"/>
  <c r="BH191" s="1"/>
  <c r="AD191" s="1"/>
  <c r="AL191"/>
  <c r="AK191"/>
  <c r="AJ191"/>
  <c r="AH191"/>
  <c r="AG191"/>
  <c r="AF191"/>
  <c r="AC191"/>
  <c r="AB191"/>
  <c r="Z191"/>
  <c r="H191"/>
  <c r="BJ189"/>
  <c r="BF189"/>
  <c r="BD189"/>
  <c r="AW189"/>
  <c r="AP189"/>
  <c r="AX189" s="1"/>
  <c r="AO189"/>
  <c r="BH189" s="1"/>
  <c r="AD189" s="1"/>
  <c r="AL189"/>
  <c r="AK189"/>
  <c r="AJ189"/>
  <c r="AH189"/>
  <c r="AG189"/>
  <c r="AF189"/>
  <c r="AC189"/>
  <c r="AB189"/>
  <c r="Z189"/>
  <c r="H189"/>
  <c r="BJ187"/>
  <c r="BF187"/>
  <c r="BD187"/>
  <c r="AP187"/>
  <c r="AX187" s="1"/>
  <c r="AO187"/>
  <c r="AW187" s="1"/>
  <c r="AL187"/>
  <c r="AJ187"/>
  <c r="AH187"/>
  <c r="AG187"/>
  <c r="AF187"/>
  <c r="AC187"/>
  <c r="AB187"/>
  <c r="Z187"/>
  <c r="H187"/>
  <c r="AK187" s="1"/>
  <c r="BJ186"/>
  <c r="BF186"/>
  <c r="BD186"/>
  <c r="AX186"/>
  <c r="AP186"/>
  <c r="BI186" s="1"/>
  <c r="AE186" s="1"/>
  <c r="AO186"/>
  <c r="AW186" s="1"/>
  <c r="AL186"/>
  <c r="AJ186"/>
  <c r="AH186"/>
  <c r="AG186"/>
  <c r="AF186"/>
  <c r="AC186"/>
  <c r="AB186"/>
  <c r="Z186"/>
  <c r="H186"/>
  <c r="AK186" s="1"/>
  <c r="AU185"/>
  <c r="AS185"/>
  <c r="H185"/>
  <c r="BJ184"/>
  <c r="Z184" s="1"/>
  <c r="BF184"/>
  <c r="BD184"/>
  <c r="AX184"/>
  <c r="AW184"/>
  <c r="BC184" s="1"/>
  <c r="AP184"/>
  <c r="BI184" s="1"/>
  <c r="AO184"/>
  <c r="BH184" s="1"/>
  <c r="AL184"/>
  <c r="AK184"/>
  <c r="AJ184"/>
  <c r="AH184"/>
  <c r="AG184"/>
  <c r="AF184"/>
  <c r="AE184"/>
  <c r="AD184"/>
  <c r="AC184"/>
  <c r="AB184"/>
  <c r="H184"/>
  <c r="BJ183"/>
  <c r="BF183"/>
  <c r="BD183"/>
  <c r="AP183"/>
  <c r="AX183" s="1"/>
  <c r="AO183"/>
  <c r="AW183" s="1"/>
  <c r="AL183"/>
  <c r="AK183"/>
  <c r="AJ183"/>
  <c r="AH183"/>
  <c r="AG183"/>
  <c r="AF183"/>
  <c r="AC183"/>
  <c r="AB183"/>
  <c r="Z183"/>
  <c r="H183"/>
  <c r="BJ182"/>
  <c r="BF182"/>
  <c r="BD182"/>
  <c r="AP182"/>
  <c r="AX182" s="1"/>
  <c r="AO182"/>
  <c r="AW182" s="1"/>
  <c r="AL182"/>
  <c r="AJ182"/>
  <c r="AH182"/>
  <c r="AG182"/>
  <c r="AF182"/>
  <c r="AC182"/>
  <c r="AB182"/>
  <c r="Z182"/>
  <c r="H182"/>
  <c r="AK182" s="1"/>
  <c r="BJ181"/>
  <c r="BF181"/>
  <c r="BD181"/>
  <c r="AX181"/>
  <c r="AP181"/>
  <c r="BI181" s="1"/>
  <c r="AE181" s="1"/>
  <c r="AO181"/>
  <c r="AW181" s="1"/>
  <c r="AL181"/>
  <c r="AJ181"/>
  <c r="AH181"/>
  <c r="AG181"/>
  <c r="AF181"/>
  <c r="AC181"/>
  <c r="AB181"/>
  <c r="Z181"/>
  <c r="H181"/>
  <c r="AK181" s="1"/>
  <c r="BJ179"/>
  <c r="BF179"/>
  <c r="BD179"/>
  <c r="AW179"/>
  <c r="BC179" s="1"/>
  <c r="AP179"/>
  <c r="AX179" s="1"/>
  <c r="AO179"/>
  <c r="BH179" s="1"/>
  <c r="AD179" s="1"/>
  <c r="AL179"/>
  <c r="AJ179"/>
  <c r="AH179"/>
  <c r="AG179"/>
  <c r="AF179"/>
  <c r="AC179"/>
  <c r="AB179"/>
  <c r="Z179"/>
  <c r="H179"/>
  <c r="AK179" s="1"/>
  <c r="BJ178"/>
  <c r="BF178"/>
  <c r="BD178"/>
  <c r="AP178"/>
  <c r="AX178" s="1"/>
  <c r="AO178"/>
  <c r="AW178" s="1"/>
  <c r="AL178"/>
  <c r="AJ178"/>
  <c r="AH178"/>
  <c r="AG178"/>
  <c r="AF178"/>
  <c r="AC178"/>
  <c r="AB178"/>
  <c r="Z178"/>
  <c r="H178"/>
  <c r="AK178" s="1"/>
  <c r="BJ177"/>
  <c r="BF177"/>
  <c r="BD177"/>
  <c r="AP177"/>
  <c r="AX177" s="1"/>
  <c r="AO177"/>
  <c r="AW177" s="1"/>
  <c r="AL177"/>
  <c r="AJ177"/>
  <c r="AH177"/>
  <c r="AG177"/>
  <c r="AF177"/>
  <c r="AC177"/>
  <c r="AB177"/>
  <c r="Z177"/>
  <c r="H177"/>
  <c r="AK177" s="1"/>
  <c r="BJ176"/>
  <c r="BF176"/>
  <c r="BD176"/>
  <c r="AP176"/>
  <c r="BI176" s="1"/>
  <c r="AE176" s="1"/>
  <c r="AO176"/>
  <c r="AW176" s="1"/>
  <c r="AL176"/>
  <c r="AJ176"/>
  <c r="AH176"/>
  <c r="AG176"/>
  <c r="AF176"/>
  <c r="AC176"/>
  <c r="AB176"/>
  <c r="Z176"/>
  <c r="H176"/>
  <c r="AK176" s="1"/>
  <c r="BJ175"/>
  <c r="BF175"/>
  <c r="BD175"/>
  <c r="AX175"/>
  <c r="AP175"/>
  <c r="BI175" s="1"/>
  <c r="AE175" s="1"/>
  <c r="AO175"/>
  <c r="BH175" s="1"/>
  <c r="AD175" s="1"/>
  <c r="AL175"/>
  <c r="AJ175"/>
  <c r="AH175"/>
  <c r="AG175"/>
  <c r="AF175"/>
  <c r="AC175"/>
  <c r="AB175"/>
  <c r="Z175"/>
  <c r="H175"/>
  <c r="AK175" s="1"/>
  <c r="BJ174"/>
  <c r="BF174"/>
  <c r="BD174"/>
  <c r="AW174"/>
  <c r="BC174" s="1"/>
  <c r="AP174"/>
  <c r="AX174" s="1"/>
  <c r="AO174"/>
  <c r="BH174" s="1"/>
  <c r="AD174" s="1"/>
  <c r="AL174"/>
  <c r="AJ174"/>
  <c r="AH174"/>
  <c r="AG174"/>
  <c r="AF174"/>
  <c r="AC174"/>
  <c r="AB174"/>
  <c r="Z174"/>
  <c r="H174"/>
  <c r="AK174" s="1"/>
  <c r="BJ173"/>
  <c r="BF173"/>
  <c r="BD173"/>
  <c r="AP173"/>
  <c r="AX173" s="1"/>
  <c r="AO173"/>
  <c r="AW173" s="1"/>
  <c r="AL173"/>
  <c r="AJ173"/>
  <c r="AH173"/>
  <c r="AG173"/>
  <c r="AF173"/>
  <c r="AC173"/>
  <c r="AB173"/>
  <c r="Z173"/>
  <c r="H173"/>
  <c r="AK173" s="1"/>
  <c r="BJ172"/>
  <c r="BF172"/>
  <c r="BD172"/>
  <c r="AW172"/>
  <c r="AP172"/>
  <c r="BI172" s="1"/>
  <c r="AE172" s="1"/>
  <c r="AO172"/>
  <c r="BH172" s="1"/>
  <c r="AD172" s="1"/>
  <c r="AL172"/>
  <c r="AJ172"/>
  <c r="AH172"/>
  <c r="AG172"/>
  <c r="AF172"/>
  <c r="AC172"/>
  <c r="AB172"/>
  <c r="Z172"/>
  <c r="H172"/>
  <c r="AK172" s="1"/>
  <c r="BJ171"/>
  <c r="BF171"/>
  <c r="BD171"/>
  <c r="AX171"/>
  <c r="AP171"/>
  <c r="BI171" s="1"/>
  <c r="AE171" s="1"/>
  <c r="AO171"/>
  <c r="BH171" s="1"/>
  <c r="AD171" s="1"/>
  <c r="AL171"/>
  <c r="AJ171"/>
  <c r="AH171"/>
  <c r="AG171"/>
  <c r="AF171"/>
  <c r="AC171"/>
  <c r="AB171"/>
  <c r="Z171"/>
  <c r="H171"/>
  <c r="AK171" s="1"/>
  <c r="AU170"/>
  <c r="AS170"/>
  <c r="H170"/>
  <c r="BJ169"/>
  <c r="BF169"/>
  <c r="BD169"/>
  <c r="AW169"/>
  <c r="BC169" s="1"/>
  <c r="AP169"/>
  <c r="AX169" s="1"/>
  <c r="AO169"/>
  <c r="BH169" s="1"/>
  <c r="AD169" s="1"/>
  <c r="AL169"/>
  <c r="AJ169"/>
  <c r="AH169"/>
  <c r="AG169"/>
  <c r="AF169"/>
  <c r="AC169"/>
  <c r="AB169"/>
  <c r="Z169"/>
  <c r="H169"/>
  <c r="AK169" s="1"/>
  <c r="AT168" s="1"/>
  <c r="AU168"/>
  <c r="AS168"/>
  <c r="H168"/>
  <c r="BJ167"/>
  <c r="BF167"/>
  <c r="BD167"/>
  <c r="AP167"/>
  <c r="AX167" s="1"/>
  <c r="AO167"/>
  <c r="AW167" s="1"/>
  <c r="AL167"/>
  <c r="AJ167"/>
  <c r="AH167"/>
  <c r="AG167"/>
  <c r="AF167"/>
  <c r="AC167"/>
  <c r="AB167"/>
  <c r="Z167"/>
  <c r="H167"/>
  <c r="AK167" s="1"/>
  <c r="BJ166"/>
  <c r="BF166"/>
  <c r="BD166"/>
  <c r="AX166"/>
  <c r="AP166"/>
  <c r="BI166" s="1"/>
  <c r="AE166" s="1"/>
  <c r="AO166"/>
  <c r="AW166" s="1"/>
  <c r="AL166"/>
  <c r="AJ166"/>
  <c r="AH166"/>
  <c r="AG166"/>
  <c r="AF166"/>
  <c r="AC166"/>
  <c r="AB166"/>
  <c r="Z166"/>
  <c r="H166"/>
  <c r="AK166" s="1"/>
  <c r="BJ165"/>
  <c r="BF165"/>
  <c r="BD165"/>
  <c r="AW165"/>
  <c r="BC165" s="1"/>
  <c r="AP165"/>
  <c r="AX165" s="1"/>
  <c r="AV165" s="1"/>
  <c r="AO165"/>
  <c r="BH165" s="1"/>
  <c r="AD165" s="1"/>
  <c r="AL165"/>
  <c r="AJ165"/>
  <c r="AH165"/>
  <c r="AG165"/>
  <c r="AF165"/>
  <c r="AC165"/>
  <c r="AB165"/>
  <c r="Z165"/>
  <c r="H165"/>
  <c r="AK165" s="1"/>
  <c r="AT164" s="1"/>
  <c r="AU164"/>
  <c r="AS164"/>
  <c r="H164"/>
  <c r="BJ163"/>
  <c r="BF163"/>
  <c r="BD163"/>
  <c r="AP163"/>
  <c r="AX163" s="1"/>
  <c r="AO163"/>
  <c r="AW163" s="1"/>
  <c r="AL163"/>
  <c r="AJ163"/>
  <c r="AH163"/>
  <c r="AG163"/>
  <c r="AF163"/>
  <c r="AE163"/>
  <c r="AD163"/>
  <c r="AC163"/>
  <c r="AB163"/>
  <c r="Z163"/>
  <c r="H163"/>
  <c r="AK163" s="1"/>
  <c r="BJ162"/>
  <c r="BF162"/>
  <c r="BD162"/>
  <c r="AP162"/>
  <c r="AX162" s="1"/>
  <c r="AO162"/>
  <c r="AW162" s="1"/>
  <c r="AL162"/>
  <c r="AJ162"/>
  <c r="AH162"/>
  <c r="AG162"/>
  <c r="AF162"/>
  <c r="AC162"/>
  <c r="AB162"/>
  <c r="Z162"/>
  <c r="H162"/>
  <c r="AK162" s="1"/>
  <c r="BJ161"/>
  <c r="BF161"/>
  <c r="BD161"/>
  <c r="AX161"/>
  <c r="AP161"/>
  <c r="BI161" s="1"/>
  <c r="AE161" s="1"/>
  <c r="AO161"/>
  <c r="AW161" s="1"/>
  <c r="AL161"/>
  <c r="AJ161"/>
  <c r="AH161"/>
  <c r="AG161"/>
  <c r="AF161"/>
  <c r="AC161"/>
  <c r="AB161"/>
  <c r="Z161"/>
  <c r="H161"/>
  <c r="AK161" s="1"/>
  <c r="BJ160"/>
  <c r="BF160"/>
  <c r="BD160"/>
  <c r="AW160"/>
  <c r="BC160" s="1"/>
  <c r="AP160"/>
  <c r="AX160" s="1"/>
  <c r="AO160"/>
  <c r="BH160" s="1"/>
  <c r="AD160" s="1"/>
  <c r="AL160"/>
  <c r="AJ160"/>
  <c r="AH160"/>
  <c r="AG160"/>
  <c r="AF160"/>
  <c r="AC160"/>
  <c r="AB160"/>
  <c r="Z160"/>
  <c r="H160"/>
  <c r="AK160" s="1"/>
  <c r="BJ159"/>
  <c r="BF159"/>
  <c r="BD159"/>
  <c r="AP159"/>
  <c r="AX159" s="1"/>
  <c r="AO159"/>
  <c r="AW159" s="1"/>
  <c r="AL159"/>
  <c r="AJ159"/>
  <c r="AH159"/>
  <c r="AG159"/>
  <c r="AF159"/>
  <c r="AC159"/>
  <c r="AB159"/>
  <c r="Z159"/>
  <c r="H159"/>
  <c r="AK159" s="1"/>
  <c r="BJ158"/>
  <c r="BF158"/>
  <c r="BD158"/>
  <c r="AP158"/>
  <c r="AX158" s="1"/>
  <c r="AO158"/>
  <c r="AW158" s="1"/>
  <c r="AL158"/>
  <c r="AJ158"/>
  <c r="AH158"/>
  <c r="AG158"/>
  <c r="AF158"/>
  <c r="AC158"/>
  <c r="AB158"/>
  <c r="Z158"/>
  <c r="H158"/>
  <c r="AK158" s="1"/>
  <c r="BJ157"/>
  <c r="BF157"/>
  <c r="BD157"/>
  <c r="AX157"/>
  <c r="AP157"/>
  <c r="BI157" s="1"/>
  <c r="AE157" s="1"/>
  <c r="AO157"/>
  <c r="AW157" s="1"/>
  <c r="AL157"/>
  <c r="AJ157"/>
  <c r="AH157"/>
  <c r="AG157"/>
  <c r="AF157"/>
  <c r="AC157"/>
  <c r="AB157"/>
  <c r="Z157"/>
  <c r="H157"/>
  <c r="AK157" s="1"/>
  <c r="BJ156"/>
  <c r="BF156"/>
  <c r="BD156"/>
  <c r="AX156"/>
  <c r="AW156"/>
  <c r="BC156" s="1"/>
  <c r="AP156"/>
  <c r="BI156" s="1"/>
  <c r="AE156" s="1"/>
  <c r="AO156"/>
  <c r="BH156" s="1"/>
  <c r="AD156" s="1"/>
  <c r="AL156"/>
  <c r="AJ156"/>
  <c r="AH156"/>
  <c r="AG156"/>
  <c r="AF156"/>
  <c r="AC156"/>
  <c r="AB156"/>
  <c r="Z156"/>
  <c r="H156"/>
  <c r="AK156" s="1"/>
  <c r="BJ155"/>
  <c r="BF155"/>
  <c r="BD155"/>
  <c r="AW155"/>
  <c r="AP155"/>
  <c r="AX155" s="1"/>
  <c r="AO155"/>
  <c r="BH155" s="1"/>
  <c r="AD155" s="1"/>
  <c r="AL155"/>
  <c r="AK155"/>
  <c r="AJ155"/>
  <c r="AH155"/>
  <c r="AG155"/>
  <c r="AF155"/>
  <c r="AC155"/>
  <c r="AB155"/>
  <c r="Z155"/>
  <c r="H155"/>
  <c r="BJ154"/>
  <c r="BF154"/>
  <c r="BD154"/>
  <c r="AP154"/>
  <c r="AX154" s="1"/>
  <c r="AO154"/>
  <c r="AW154" s="1"/>
  <c r="AL154"/>
  <c r="AJ154"/>
  <c r="AH154"/>
  <c r="AG154"/>
  <c r="AF154"/>
  <c r="AC154"/>
  <c r="AB154"/>
  <c r="Z154"/>
  <c r="H154"/>
  <c r="AK154" s="1"/>
  <c r="BJ153"/>
  <c r="BF153"/>
  <c r="BD153"/>
  <c r="AX153"/>
  <c r="AP153"/>
  <c r="BI153" s="1"/>
  <c r="AE153" s="1"/>
  <c r="AO153"/>
  <c r="AW153" s="1"/>
  <c r="AL153"/>
  <c r="AJ153"/>
  <c r="AH153"/>
  <c r="AG153"/>
  <c r="AF153"/>
  <c r="AC153"/>
  <c r="AB153"/>
  <c r="Z153"/>
  <c r="H153"/>
  <c r="AK153" s="1"/>
  <c r="BJ152"/>
  <c r="BF152"/>
  <c r="BD152"/>
  <c r="AX152"/>
  <c r="AW152"/>
  <c r="BC152" s="1"/>
  <c r="AP152"/>
  <c r="BI152" s="1"/>
  <c r="AE152" s="1"/>
  <c r="AO152"/>
  <c r="BH152" s="1"/>
  <c r="AD152" s="1"/>
  <c r="AL152"/>
  <c r="AK152"/>
  <c r="AJ152"/>
  <c r="AH152"/>
  <c r="AG152"/>
  <c r="AF152"/>
  <c r="AC152"/>
  <c r="AB152"/>
  <c r="Z152"/>
  <c r="H152"/>
  <c r="BJ151"/>
  <c r="BF151"/>
  <c r="BD151"/>
  <c r="AP151"/>
  <c r="AX151" s="1"/>
  <c r="AO151"/>
  <c r="AW151" s="1"/>
  <c r="AL151"/>
  <c r="AK151"/>
  <c r="AJ151"/>
  <c r="AH151"/>
  <c r="AG151"/>
  <c r="AF151"/>
  <c r="AC151"/>
  <c r="AB151"/>
  <c r="Z151"/>
  <c r="H151"/>
  <c r="BJ150"/>
  <c r="BF150"/>
  <c r="BD150"/>
  <c r="AP150"/>
  <c r="AX150" s="1"/>
  <c r="AO150"/>
  <c r="AW150" s="1"/>
  <c r="AL150"/>
  <c r="AJ150"/>
  <c r="AH150"/>
  <c r="AG150"/>
  <c r="AF150"/>
  <c r="AC150"/>
  <c r="AB150"/>
  <c r="Z150"/>
  <c r="H150"/>
  <c r="AK150" s="1"/>
  <c r="BJ148"/>
  <c r="BF148"/>
  <c r="BD148"/>
  <c r="AX148"/>
  <c r="AP148"/>
  <c r="BI148" s="1"/>
  <c r="AE148" s="1"/>
  <c r="AO148"/>
  <c r="AW148" s="1"/>
  <c r="AL148"/>
  <c r="AJ148"/>
  <c r="AH148"/>
  <c r="AG148"/>
  <c r="AF148"/>
  <c r="AC148"/>
  <c r="AB148"/>
  <c r="Z148"/>
  <c r="H148"/>
  <c r="AK148" s="1"/>
  <c r="BJ147"/>
  <c r="BF147"/>
  <c r="BD147"/>
  <c r="AW147"/>
  <c r="BC147" s="1"/>
  <c r="AP147"/>
  <c r="AX147" s="1"/>
  <c r="AO147"/>
  <c r="BH147" s="1"/>
  <c r="AD147" s="1"/>
  <c r="AL147"/>
  <c r="AK147"/>
  <c r="AJ147"/>
  <c r="AH147"/>
  <c r="AG147"/>
  <c r="AF147"/>
  <c r="AC147"/>
  <c r="AB147"/>
  <c r="Z147"/>
  <c r="H147"/>
  <c r="BJ146"/>
  <c r="BF146"/>
  <c r="BD146"/>
  <c r="AW146"/>
  <c r="AP146"/>
  <c r="AX146" s="1"/>
  <c r="AO146"/>
  <c r="BH146" s="1"/>
  <c r="AD146" s="1"/>
  <c r="AL146"/>
  <c r="AK146"/>
  <c r="AJ146"/>
  <c r="AH146"/>
  <c r="AG146"/>
  <c r="AF146"/>
  <c r="AC146"/>
  <c r="AB146"/>
  <c r="Z146"/>
  <c r="H146"/>
  <c r="BJ145"/>
  <c r="BF145"/>
  <c r="BD145"/>
  <c r="AP145"/>
  <c r="AX145" s="1"/>
  <c r="AO145"/>
  <c r="AW145" s="1"/>
  <c r="AL145"/>
  <c r="AJ145"/>
  <c r="AH145"/>
  <c r="AG145"/>
  <c r="AF145"/>
  <c r="AC145"/>
  <c r="AB145"/>
  <c r="Z145"/>
  <c r="H145"/>
  <c r="AK145" s="1"/>
  <c r="BJ144"/>
  <c r="BF144"/>
  <c r="BD144"/>
  <c r="AX144"/>
  <c r="AP144"/>
  <c r="BI144" s="1"/>
  <c r="AE144" s="1"/>
  <c r="AO144"/>
  <c r="AW144" s="1"/>
  <c r="AL144"/>
  <c r="AJ144"/>
  <c r="AH144"/>
  <c r="AG144"/>
  <c r="AF144"/>
  <c r="AC144"/>
  <c r="AB144"/>
  <c r="Z144"/>
  <c r="H144"/>
  <c r="AK144" s="1"/>
  <c r="BJ143"/>
  <c r="BF143"/>
  <c r="BD143"/>
  <c r="AX143"/>
  <c r="AW143"/>
  <c r="BC143" s="1"/>
  <c r="AP143"/>
  <c r="BI143" s="1"/>
  <c r="AE143" s="1"/>
  <c r="AO143"/>
  <c r="BH143" s="1"/>
  <c r="AD143" s="1"/>
  <c r="AL143"/>
  <c r="AU141" s="1"/>
  <c r="AK143"/>
  <c r="AJ143"/>
  <c r="AH143"/>
  <c r="AG143"/>
  <c r="AF143"/>
  <c r="AC143"/>
  <c r="AB143"/>
  <c r="Z143"/>
  <c r="H143"/>
  <c r="BJ142"/>
  <c r="BF142"/>
  <c r="BD142"/>
  <c r="AW142"/>
  <c r="AP142"/>
  <c r="AX142" s="1"/>
  <c r="AO142"/>
  <c r="BH142" s="1"/>
  <c r="AD142" s="1"/>
  <c r="AL142"/>
  <c r="AK142"/>
  <c r="AJ142"/>
  <c r="AH142"/>
  <c r="AG142"/>
  <c r="AF142"/>
  <c r="AC142"/>
  <c r="AB142"/>
  <c r="Z142"/>
  <c r="H142"/>
  <c r="AS141"/>
  <c r="BJ140"/>
  <c r="BF140"/>
  <c r="BD140"/>
  <c r="AP140"/>
  <c r="AX140" s="1"/>
  <c r="AO140"/>
  <c r="AW140" s="1"/>
  <c r="AL140"/>
  <c r="AJ140"/>
  <c r="AH140"/>
  <c r="AG140"/>
  <c r="AF140"/>
  <c r="AE140"/>
  <c r="AD140"/>
  <c r="AC140"/>
  <c r="AB140"/>
  <c r="Z140"/>
  <c r="H140"/>
  <c r="AK140" s="1"/>
  <c r="BJ139"/>
  <c r="BF139"/>
  <c r="BD139"/>
  <c r="AX139"/>
  <c r="AP139"/>
  <c r="BI139" s="1"/>
  <c r="AE139" s="1"/>
  <c r="AO139"/>
  <c r="AW139" s="1"/>
  <c r="AL139"/>
  <c r="AJ139"/>
  <c r="AH139"/>
  <c r="AG139"/>
  <c r="AF139"/>
  <c r="AC139"/>
  <c r="AB139"/>
  <c r="Z139"/>
  <c r="H139"/>
  <c r="AK139" s="1"/>
  <c r="BJ138"/>
  <c r="BF138"/>
  <c r="BD138"/>
  <c r="AW138"/>
  <c r="AP138"/>
  <c r="AX138" s="1"/>
  <c r="AO138"/>
  <c r="BH138" s="1"/>
  <c r="AD138" s="1"/>
  <c r="AL138"/>
  <c r="AK138"/>
  <c r="AJ138"/>
  <c r="AH138"/>
  <c r="AG138"/>
  <c r="AF138"/>
  <c r="AC138"/>
  <c r="AB138"/>
  <c r="Z138"/>
  <c r="H138"/>
  <c r="BJ137"/>
  <c r="BF137"/>
  <c r="BD137"/>
  <c r="AP137"/>
  <c r="AX137" s="1"/>
  <c r="AO137"/>
  <c r="AW137" s="1"/>
  <c r="AL137"/>
  <c r="AK137"/>
  <c r="AJ137"/>
  <c r="AH137"/>
  <c r="AG137"/>
  <c r="AF137"/>
  <c r="AC137"/>
  <c r="AB137"/>
  <c r="Z137"/>
  <c r="H137"/>
  <c r="BJ135"/>
  <c r="BF135"/>
  <c r="BD135"/>
  <c r="AP135"/>
  <c r="AX135" s="1"/>
  <c r="AO135"/>
  <c r="AW135" s="1"/>
  <c r="AL135"/>
  <c r="AJ135"/>
  <c r="AH135"/>
  <c r="AG135"/>
  <c r="AF135"/>
  <c r="AC135"/>
  <c r="AB135"/>
  <c r="Z135"/>
  <c r="H135"/>
  <c r="AK135" s="1"/>
  <c r="BJ134"/>
  <c r="BF134"/>
  <c r="BD134"/>
  <c r="AX134"/>
  <c r="AP134"/>
  <c r="BI134" s="1"/>
  <c r="AE134" s="1"/>
  <c r="AO134"/>
  <c r="AW134" s="1"/>
  <c r="AL134"/>
  <c r="AJ134"/>
  <c r="AH134"/>
  <c r="AG134"/>
  <c r="AF134"/>
  <c r="AC134"/>
  <c r="AB134"/>
  <c r="Z134"/>
  <c r="H134"/>
  <c r="AK134" s="1"/>
  <c r="BJ133"/>
  <c r="BF133"/>
  <c r="BD133"/>
  <c r="AW133"/>
  <c r="AP133"/>
  <c r="AX133" s="1"/>
  <c r="AO133"/>
  <c r="BH133" s="1"/>
  <c r="AD133" s="1"/>
  <c r="AL133"/>
  <c r="AK133"/>
  <c r="AJ133"/>
  <c r="AH133"/>
  <c r="AG133"/>
  <c r="AF133"/>
  <c r="AC133"/>
  <c r="AB133"/>
  <c r="Z133"/>
  <c r="H133"/>
  <c r="BJ132"/>
  <c r="BF132"/>
  <c r="BD132"/>
  <c r="AP132"/>
  <c r="AX132" s="1"/>
  <c r="AO132"/>
  <c r="AW132" s="1"/>
  <c r="AL132"/>
  <c r="AK132"/>
  <c r="AJ132"/>
  <c r="AH132"/>
  <c r="AG132"/>
  <c r="AF132"/>
  <c r="AC132"/>
  <c r="AB132"/>
  <c r="Z132"/>
  <c r="H132"/>
  <c r="BJ131"/>
  <c r="BF131"/>
  <c r="BD131"/>
  <c r="AP131"/>
  <c r="AX131" s="1"/>
  <c r="AO131"/>
  <c r="AW131" s="1"/>
  <c r="AL131"/>
  <c r="AJ131"/>
  <c r="AS129" s="1"/>
  <c r="AH131"/>
  <c r="AG131"/>
  <c r="AF131"/>
  <c r="AC131"/>
  <c r="AB131"/>
  <c r="Z131"/>
  <c r="H131"/>
  <c r="AK131" s="1"/>
  <c r="BJ130"/>
  <c r="BF130"/>
  <c r="BD130"/>
  <c r="AX130"/>
  <c r="AP130"/>
  <c r="BI130" s="1"/>
  <c r="AE130" s="1"/>
  <c r="AO130"/>
  <c r="AW130" s="1"/>
  <c r="AL130"/>
  <c r="AJ130"/>
  <c r="AH130"/>
  <c r="AG130"/>
  <c r="AF130"/>
  <c r="AC130"/>
  <c r="AB130"/>
  <c r="Z130"/>
  <c r="H130"/>
  <c r="AK130" s="1"/>
  <c r="AT129" s="1"/>
  <c r="AU129"/>
  <c r="H129"/>
  <c r="BJ128"/>
  <c r="BF128"/>
  <c r="BD128"/>
  <c r="AW128"/>
  <c r="BC128" s="1"/>
  <c r="AP128"/>
  <c r="AX128" s="1"/>
  <c r="AO128"/>
  <c r="BH128" s="1"/>
  <c r="AL128"/>
  <c r="AK128"/>
  <c r="AJ128"/>
  <c r="AH128"/>
  <c r="AG128"/>
  <c r="AF128"/>
  <c r="AE128"/>
  <c r="AD128"/>
  <c r="AC128"/>
  <c r="AB128"/>
  <c r="Z128"/>
  <c r="H128"/>
  <c r="BJ127"/>
  <c r="BF127"/>
  <c r="BD127"/>
  <c r="AP127"/>
  <c r="AX127" s="1"/>
  <c r="AO127"/>
  <c r="AW127" s="1"/>
  <c r="AL127"/>
  <c r="AK127"/>
  <c r="AJ127"/>
  <c r="AH127"/>
  <c r="AG127"/>
  <c r="AF127"/>
  <c r="AC127"/>
  <c r="AB127"/>
  <c r="Z127"/>
  <c r="H127"/>
  <c r="BJ126"/>
  <c r="BF126"/>
  <c r="BD126"/>
  <c r="AP126"/>
  <c r="AX126" s="1"/>
  <c r="AO126"/>
  <c r="AW126" s="1"/>
  <c r="AL126"/>
  <c r="AJ126"/>
  <c r="AH126"/>
  <c r="AG126"/>
  <c r="AF126"/>
  <c r="AC126"/>
  <c r="AB126"/>
  <c r="Z126"/>
  <c r="H126"/>
  <c r="AK126" s="1"/>
  <c r="BJ125"/>
  <c r="BF125"/>
  <c r="BD125"/>
  <c r="AP125"/>
  <c r="BI125" s="1"/>
  <c r="AG125" s="1"/>
  <c r="AO125"/>
  <c r="AW125" s="1"/>
  <c r="AL125"/>
  <c r="AJ125"/>
  <c r="AH125"/>
  <c r="AE125"/>
  <c r="AD125"/>
  <c r="AC125"/>
  <c r="AB125"/>
  <c r="Z125"/>
  <c r="H125"/>
  <c r="AK125" s="1"/>
  <c r="BJ124"/>
  <c r="BF124"/>
  <c r="BD124"/>
  <c r="AX124"/>
  <c r="AP124"/>
  <c r="BI124" s="1"/>
  <c r="AE124" s="1"/>
  <c r="AO124"/>
  <c r="BH124" s="1"/>
  <c r="AD124" s="1"/>
  <c r="AL124"/>
  <c r="AJ124"/>
  <c r="AH124"/>
  <c r="AG124"/>
  <c r="AF124"/>
  <c r="AC124"/>
  <c r="AB124"/>
  <c r="Z124"/>
  <c r="H124"/>
  <c r="AK124" s="1"/>
  <c r="BJ123"/>
  <c r="BF123"/>
  <c r="BD123"/>
  <c r="AX123"/>
  <c r="AW123"/>
  <c r="BC123" s="1"/>
  <c r="AP123"/>
  <c r="BI123" s="1"/>
  <c r="AE123" s="1"/>
  <c r="AO123"/>
  <c r="BH123" s="1"/>
  <c r="AD123" s="1"/>
  <c r="AL123"/>
  <c r="AJ123"/>
  <c r="AH123"/>
  <c r="AG123"/>
  <c r="AF123"/>
  <c r="AC123"/>
  <c r="AB123"/>
  <c r="Z123"/>
  <c r="H123"/>
  <c r="AK123" s="1"/>
  <c r="BJ122"/>
  <c r="BF122"/>
  <c r="BD122"/>
  <c r="AX122"/>
  <c r="AW122"/>
  <c r="BC122" s="1"/>
  <c r="AV122"/>
  <c r="AP122"/>
  <c r="BI122" s="1"/>
  <c r="AE122" s="1"/>
  <c r="AO122"/>
  <c r="BH122" s="1"/>
  <c r="AD122" s="1"/>
  <c r="AL122"/>
  <c r="AK122"/>
  <c r="AJ122"/>
  <c r="AH122"/>
  <c r="AG122"/>
  <c r="AF122"/>
  <c r="AC122"/>
  <c r="AB122"/>
  <c r="Z122"/>
  <c r="H122"/>
  <c r="BJ121"/>
  <c r="BF121"/>
  <c r="BD121"/>
  <c r="AW121"/>
  <c r="AP121"/>
  <c r="BI121" s="1"/>
  <c r="AE121" s="1"/>
  <c r="AO121"/>
  <c r="BH121" s="1"/>
  <c r="AD121" s="1"/>
  <c r="AL121"/>
  <c r="AK121"/>
  <c r="AJ121"/>
  <c r="AH121"/>
  <c r="AG121"/>
  <c r="AF121"/>
  <c r="AC121"/>
  <c r="AB121"/>
  <c r="Z121"/>
  <c r="H121"/>
  <c r="BJ120"/>
  <c r="BF120"/>
  <c r="BD120"/>
  <c r="AX120"/>
  <c r="AP120"/>
  <c r="BI120" s="1"/>
  <c r="AE120" s="1"/>
  <c r="AO120"/>
  <c r="BH120" s="1"/>
  <c r="AD120" s="1"/>
  <c r="AL120"/>
  <c r="AJ120"/>
  <c r="AS118" s="1"/>
  <c r="AH120"/>
  <c r="AG120"/>
  <c r="AF120"/>
  <c r="AC120"/>
  <c r="AB120"/>
  <c r="Z120"/>
  <c r="H120"/>
  <c r="H118" s="1"/>
  <c r="BJ119"/>
  <c r="BF119"/>
  <c r="BD119"/>
  <c r="AX119"/>
  <c r="AW119"/>
  <c r="BC119" s="1"/>
  <c r="AP119"/>
  <c r="BI119" s="1"/>
  <c r="AE119" s="1"/>
  <c r="AO119"/>
  <c r="BH119" s="1"/>
  <c r="AD119" s="1"/>
  <c r="AL119"/>
  <c r="AJ119"/>
  <c r="AH119"/>
  <c r="AG119"/>
  <c r="AF119"/>
  <c r="AC119"/>
  <c r="AB119"/>
  <c r="Z119"/>
  <c r="H119"/>
  <c r="AK119" s="1"/>
  <c r="AU118"/>
  <c r="BJ117"/>
  <c r="Z117" s="1"/>
  <c r="BF117"/>
  <c r="BD117"/>
  <c r="AX117"/>
  <c r="AW117"/>
  <c r="BC117" s="1"/>
  <c r="AV117"/>
  <c r="AP117"/>
  <c r="BI117" s="1"/>
  <c r="AO117"/>
  <c r="BH117" s="1"/>
  <c r="AL117"/>
  <c r="AK117"/>
  <c r="AJ117"/>
  <c r="AH117"/>
  <c r="AG117"/>
  <c r="AF117"/>
  <c r="AE117"/>
  <c r="AD117"/>
  <c r="AC117"/>
  <c r="AB117"/>
  <c r="H117"/>
  <c r="BJ113"/>
  <c r="BF113"/>
  <c r="BD113"/>
  <c r="AW113"/>
  <c r="AP113"/>
  <c r="BI113" s="1"/>
  <c r="AE113" s="1"/>
  <c r="AO113"/>
  <c r="BH113" s="1"/>
  <c r="AD113" s="1"/>
  <c r="AL113"/>
  <c r="AK113"/>
  <c r="AJ113"/>
  <c r="AH113"/>
  <c r="AG113"/>
  <c r="AF113"/>
  <c r="AC113"/>
  <c r="AB113"/>
  <c r="Z113"/>
  <c r="H113"/>
  <c r="BJ108"/>
  <c r="BF108"/>
  <c r="BD108"/>
  <c r="AX108"/>
  <c r="AP108"/>
  <c r="BI108" s="1"/>
  <c r="AE108" s="1"/>
  <c r="AO108"/>
  <c r="BH108" s="1"/>
  <c r="AD108" s="1"/>
  <c r="AL108"/>
  <c r="AJ108"/>
  <c r="AS106" s="1"/>
  <c r="AH108"/>
  <c r="AG108"/>
  <c r="AF108"/>
  <c r="AC108"/>
  <c r="AB108"/>
  <c r="Z108"/>
  <c r="H108"/>
  <c r="BJ107"/>
  <c r="BF107"/>
  <c r="BD107"/>
  <c r="AX107"/>
  <c r="AW107"/>
  <c r="AP107"/>
  <c r="BI107" s="1"/>
  <c r="AE107" s="1"/>
  <c r="AO107"/>
  <c r="BH107" s="1"/>
  <c r="AD107" s="1"/>
  <c r="AL107"/>
  <c r="AU106" s="1"/>
  <c r="AJ107"/>
  <c r="AH107"/>
  <c r="AG107"/>
  <c r="AF107"/>
  <c r="AC107"/>
  <c r="AB107"/>
  <c r="Z107"/>
  <c r="H107"/>
  <c r="AK107" s="1"/>
  <c r="BJ105"/>
  <c r="Z105" s="1"/>
  <c r="BF105"/>
  <c r="BD105"/>
  <c r="AW105"/>
  <c r="BC105" s="1"/>
  <c r="AP105"/>
  <c r="AX105" s="1"/>
  <c r="AV105" s="1"/>
  <c r="AO105"/>
  <c r="BH105" s="1"/>
  <c r="AL105"/>
  <c r="AK105"/>
  <c r="AJ105"/>
  <c r="AH105"/>
  <c r="AG105"/>
  <c r="AF105"/>
  <c r="AE105"/>
  <c r="AD105"/>
  <c r="AC105"/>
  <c r="AB105"/>
  <c r="H105"/>
  <c r="AU104"/>
  <c r="AT104"/>
  <c r="AS104"/>
  <c r="H104"/>
  <c r="BJ101"/>
  <c r="BF101"/>
  <c r="BD101"/>
  <c r="BC101"/>
  <c r="AP101"/>
  <c r="AX101" s="1"/>
  <c r="AO101"/>
  <c r="AW101" s="1"/>
  <c r="AL101"/>
  <c r="AK101"/>
  <c r="AJ101"/>
  <c r="AH101"/>
  <c r="AG101"/>
  <c r="AF101"/>
  <c r="AE101"/>
  <c r="AD101"/>
  <c r="AC101"/>
  <c r="AB101"/>
  <c r="Z101"/>
  <c r="H101"/>
  <c r="BJ99"/>
  <c r="BH99"/>
  <c r="BF99"/>
  <c r="BD99"/>
  <c r="AX99"/>
  <c r="AP99"/>
  <c r="BI99" s="1"/>
  <c r="AO99"/>
  <c r="AW99" s="1"/>
  <c r="AL99"/>
  <c r="AJ99"/>
  <c r="AH99"/>
  <c r="AG99"/>
  <c r="AF99"/>
  <c r="AE99"/>
  <c r="AD99"/>
  <c r="AC99"/>
  <c r="AB99"/>
  <c r="Z99"/>
  <c r="H99"/>
  <c r="AK99" s="1"/>
  <c r="BJ97"/>
  <c r="BF97"/>
  <c r="BD97"/>
  <c r="AX97"/>
  <c r="AW97"/>
  <c r="AP97"/>
  <c r="BI97" s="1"/>
  <c r="AO97"/>
  <c r="BH97" s="1"/>
  <c r="AL97"/>
  <c r="AJ97"/>
  <c r="AH97"/>
  <c r="AG97"/>
  <c r="AF97"/>
  <c r="AE97"/>
  <c r="AD97"/>
  <c r="AC97"/>
  <c r="AB97"/>
  <c r="Z97"/>
  <c r="H97"/>
  <c r="AK97" s="1"/>
  <c r="BJ96"/>
  <c r="Z96" s="1"/>
  <c r="BF96"/>
  <c r="BD96"/>
  <c r="AX96"/>
  <c r="AW96"/>
  <c r="BC96" s="1"/>
  <c r="AV96"/>
  <c r="AP96"/>
  <c r="BI96" s="1"/>
  <c r="AO96"/>
  <c r="BH96" s="1"/>
  <c r="AL96"/>
  <c r="AK96"/>
  <c r="AJ96"/>
  <c r="AH96"/>
  <c r="AG96"/>
  <c r="AF96"/>
  <c r="AE96"/>
  <c r="AD96"/>
  <c r="AC96"/>
  <c r="AB96"/>
  <c r="H96"/>
  <c r="BJ94"/>
  <c r="BF94"/>
  <c r="BD94"/>
  <c r="AW94"/>
  <c r="AP94"/>
  <c r="AX94" s="1"/>
  <c r="AV94" s="1"/>
  <c r="AO94"/>
  <c r="BH94" s="1"/>
  <c r="AL94"/>
  <c r="AK94"/>
  <c r="AJ94"/>
  <c r="AH94"/>
  <c r="AG94"/>
  <c r="AF94"/>
  <c r="AE94"/>
  <c r="AD94"/>
  <c r="AC94"/>
  <c r="AB94"/>
  <c r="Z94"/>
  <c r="H94"/>
  <c r="BJ93"/>
  <c r="BF93"/>
  <c r="BD93"/>
  <c r="AX93"/>
  <c r="AP93"/>
  <c r="BI93" s="1"/>
  <c r="AO93"/>
  <c r="AW93" s="1"/>
  <c r="AL93"/>
  <c r="AJ93"/>
  <c r="AH93"/>
  <c r="AG93"/>
  <c r="AF93"/>
  <c r="AE93"/>
  <c r="AD93"/>
  <c r="AC93"/>
  <c r="AB93"/>
  <c r="Z93"/>
  <c r="H93"/>
  <c r="AK93" s="1"/>
  <c r="BJ91"/>
  <c r="BF91"/>
  <c r="BD91"/>
  <c r="AX91"/>
  <c r="AW91"/>
  <c r="AP91"/>
  <c r="BI91" s="1"/>
  <c r="AO91"/>
  <c r="BH91" s="1"/>
  <c r="AL91"/>
  <c r="AJ91"/>
  <c r="AH91"/>
  <c r="AG91"/>
  <c r="AF91"/>
  <c r="AE91"/>
  <c r="AD91"/>
  <c r="AC91"/>
  <c r="AB91"/>
  <c r="Z91"/>
  <c r="H91"/>
  <c r="AK91" s="1"/>
  <c r="BJ90"/>
  <c r="Z90" s="1"/>
  <c r="BF90"/>
  <c r="BD90"/>
  <c r="AX90"/>
  <c r="AW90"/>
  <c r="BC90" s="1"/>
  <c r="AV90"/>
  <c r="AP90"/>
  <c r="BI90" s="1"/>
  <c r="AO90"/>
  <c r="BH90" s="1"/>
  <c r="AL90"/>
  <c r="AK90"/>
  <c r="AJ90"/>
  <c r="AH90"/>
  <c r="AG90"/>
  <c r="AF90"/>
  <c r="AE90"/>
  <c r="AD90"/>
  <c r="AC90"/>
  <c r="AB90"/>
  <c r="H90"/>
  <c r="BJ88"/>
  <c r="BF88"/>
  <c r="BD88"/>
  <c r="BC88"/>
  <c r="AW88"/>
  <c r="AP88"/>
  <c r="AX88" s="1"/>
  <c r="AV88" s="1"/>
  <c r="AO88"/>
  <c r="BH88" s="1"/>
  <c r="AB88" s="1"/>
  <c r="AL88"/>
  <c r="AK88"/>
  <c r="AJ88"/>
  <c r="AH88"/>
  <c r="AG88"/>
  <c r="AF88"/>
  <c r="AE88"/>
  <c r="AD88"/>
  <c r="Z88"/>
  <c r="H88"/>
  <c r="BJ87"/>
  <c r="BH87"/>
  <c r="AB87" s="1"/>
  <c r="BF87"/>
  <c r="BD87"/>
  <c r="AX87"/>
  <c r="AP87"/>
  <c r="BI87" s="1"/>
  <c r="AC87" s="1"/>
  <c r="AO87"/>
  <c r="AW87" s="1"/>
  <c r="AL87"/>
  <c r="AJ87"/>
  <c r="AH87"/>
  <c r="AG87"/>
  <c r="AF87"/>
  <c r="AE87"/>
  <c r="AD87"/>
  <c r="Z87"/>
  <c r="H87"/>
  <c r="AK87" s="1"/>
  <c r="BJ86"/>
  <c r="BF86"/>
  <c r="BD86"/>
  <c r="AX86"/>
  <c r="AW86"/>
  <c r="AP86"/>
  <c r="BI86" s="1"/>
  <c r="AC86" s="1"/>
  <c r="AO86"/>
  <c r="BH86" s="1"/>
  <c r="AB86" s="1"/>
  <c r="AL86"/>
  <c r="AJ86"/>
  <c r="AH86"/>
  <c r="AG86"/>
  <c r="AF86"/>
  <c r="AE86"/>
  <c r="AD86"/>
  <c r="Z86"/>
  <c r="H86"/>
  <c r="BJ85"/>
  <c r="BF85"/>
  <c r="BD85"/>
  <c r="AX85"/>
  <c r="AW85"/>
  <c r="BC85" s="1"/>
  <c r="AV85"/>
  <c r="AP85"/>
  <c r="BI85" s="1"/>
  <c r="AC85" s="1"/>
  <c r="AO85"/>
  <c r="BH85" s="1"/>
  <c r="AL85"/>
  <c r="AK85"/>
  <c r="AJ85"/>
  <c r="AH85"/>
  <c r="AG85"/>
  <c r="AF85"/>
  <c r="AE85"/>
  <c r="AD85"/>
  <c r="AB85"/>
  <c r="Z85"/>
  <c r="H85"/>
  <c r="BJ82"/>
  <c r="BF82"/>
  <c r="BD82"/>
  <c r="BC82"/>
  <c r="AP82"/>
  <c r="AX82" s="1"/>
  <c r="AO82"/>
  <c r="AW82" s="1"/>
  <c r="AL82"/>
  <c r="AK82"/>
  <c r="AJ82"/>
  <c r="AH82"/>
  <c r="AG82"/>
  <c r="AF82"/>
  <c r="AE82"/>
  <c r="AD82"/>
  <c r="Z82"/>
  <c r="H82"/>
  <c r="BJ81"/>
  <c r="BF81"/>
  <c r="BD81"/>
  <c r="AX81"/>
  <c r="AP81"/>
  <c r="BI81" s="1"/>
  <c r="AC81" s="1"/>
  <c r="AO81"/>
  <c r="AW81" s="1"/>
  <c r="AL81"/>
  <c r="AJ81"/>
  <c r="AH81"/>
  <c r="AG81"/>
  <c r="AF81"/>
  <c r="AE81"/>
  <c r="AD81"/>
  <c r="Z81"/>
  <c r="H81"/>
  <c r="AK81" s="1"/>
  <c r="BJ79"/>
  <c r="BF79"/>
  <c r="BD79"/>
  <c r="AX79"/>
  <c r="AW79"/>
  <c r="AP79"/>
  <c r="BI79" s="1"/>
  <c r="AO79"/>
  <c r="BH79" s="1"/>
  <c r="AB79" s="1"/>
  <c r="AL79"/>
  <c r="AJ79"/>
  <c r="AH79"/>
  <c r="AG79"/>
  <c r="AF79"/>
  <c r="AE79"/>
  <c r="AD79"/>
  <c r="AC79"/>
  <c r="Z79"/>
  <c r="H79"/>
  <c r="AK79" s="1"/>
  <c r="BJ78"/>
  <c r="BF78"/>
  <c r="BD78"/>
  <c r="AW78"/>
  <c r="BC78" s="1"/>
  <c r="AP78"/>
  <c r="AX78" s="1"/>
  <c r="AV78" s="1"/>
  <c r="AO78"/>
  <c r="BH78" s="1"/>
  <c r="AB78" s="1"/>
  <c r="AL78"/>
  <c r="AK78"/>
  <c r="AJ78"/>
  <c r="AH78"/>
  <c r="AG78"/>
  <c r="AF78"/>
  <c r="AE78"/>
  <c r="AD78"/>
  <c r="Z78"/>
  <c r="H78"/>
  <c r="BJ76"/>
  <c r="BF76"/>
  <c r="BD76"/>
  <c r="BC76"/>
  <c r="AP76"/>
  <c r="AX76" s="1"/>
  <c r="AO76"/>
  <c r="AW76" s="1"/>
  <c r="AL76"/>
  <c r="AK76"/>
  <c r="AJ76"/>
  <c r="AH76"/>
  <c r="AG76"/>
  <c r="AF76"/>
  <c r="AE76"/>
  <c r="AD76"/>
  <c r="Z76"/>
  <c r="H76"/>
  <c r="AS75"/>
  <c r="BJ74"/>
  <c r="BF74"/>
  <c r="BD74"/>
  <c r="AX74"/>
  <c r="AP74"/>
  <c r="BI74" s="1"/>
  <c r="AC74" s="1"/>
  <c r="AO74"/>
  <c r="AW74" s="1"/>
  <c r="AL74"/>
  <c r="AJ74"/>
  <c r="AS68" s="1"/>
  <c r="AH74"/>
  <c r="AG74"/>
  <c r="AF74"/>
  <c r="AE74"/>
  <c r="AD74"/>
  <c r="Z74"/>
  <c r="H74"/>
  <c r="AK74" s="1"/>
  <c r="BJ71"/>
  <c r="BF71"/>
  <c r="BD71"/>
  <c r="AX71"/>
  <c r="AP71"/>
  <c r="BI71" s="1"/>
  <c r="AO71"/>
  <c r="BH71" s="1"/>
  <c r="AB71" s="1"/>
  <c r="AL71"/>
  <c r="AU68" s="1"/>
  <c r="AJ71"/>
  <c r="AH71"/>
  <c r="AG71"/>
  <c r="AF71"/>
  <c r="AE71"/>
  <c r="AD71"/>
  <c r="AC71"/>
  <c r="Z71"/>
  <c r="H71"/>
  <c r="BJ69"/>
  <c r="BF69"/>
  <c r="BD69"/>
  <c r="AW69"/>
  <c r="AP69"/>
  <c r="AX69" s="1"/>
  <c r="AV69" s="1"/>
  <c r="AO69"/>
  <c r="BH69" s="1"/>
  <c r="AB69" s="1"/>
  <c r="AL69"/>
  <c r="AK69"/>
  <c r="AJ69"/>
  <c r="AH69"/>
  <c r="AG69"/>
  <c r="AF69"/>
  <c r="AE69"/>
  <c r="AD69"/>
  <c r="Z69"/>
  <c r="H69"/>
  <c r="BJ65"/>
  <c r="BI65"/>
  <c r="AC65" s="1"/>
  <c r="BF65"/>
  <c r="BD65"/>
  <c r="BC65"/>
  <c r="AV65"/>
  <c r="AP65"/>
  <c r="AX65" s="1"/>
  <c r="AO65"/>
  <c r="AW65" s="1"/>
  <c r="AL65"/>
  <c r="AK65"/>
  <c r="AJ65"/>
  <c r="AH65"/>
  <c r="AG65"/>
  <c r="AF65"/>
  <c r="AE65"/>
  <c r="AD65"/>
  <c r="Z65"/>
  <c r="H65"/>
  <c r="BJ60"/>
  <c r="BF60"/>
  <c r="BD60"/>
  <c r="AP60"/>
  <c r="AX60" s="1"/>
  <c r="AO60"/>
  <c r="AW60" s="1"/>
  <c r="AL60"/>
  <c r="AJ60"/>
  <c r="AH60"/>
  <c r="AG60"/>
  <c r="AF60"/>
  <c r="AE60"/>
  <c r="AD60"/>
  <c r="Z60"/>
  <c r="H60"/>
  <c r="AK60" s="1"/>
  <c r="BJ57"/>
  <c r="BF57"/>
  <c r="BD57"/>
  <c r="AX57"/>
  <c r="AP57"/>
  <c r="BI57" s="1"/>
  <c r="AC57" s="1"/>
  <c r="AO57"/>
  <c r="AW57" s="1"/>
  <c r="AL57"/>
  <c r="AJ57"/>
  <c r="AH57"/>
  <c r="AG57"/>
  <c r="AF57"/>
  <c r="AE57"/>
  <c r="AD57"/>
  <c r="Z57"/>
  <c r="H57"/>
  <c r="AK57" s="1"/>
  <c r="BJ49"/>
  <c r="BF49"/>
  <c r="BD49"/>
  <c r="AW49"/>
  <c r="BC49" s="1"/>
  <c r="AP49"/>
  <c r="AX49" s="1"/>
  <c r="AO49"/>
  <c r="BH49" s="1"/>
  <c r="AB49" s="1"/>
  <c r="AL49"/>
  <c r="AK49"/>
  <c r="AJ49"/>
  <c r="AH49"/>
  <c r="AG49"/>
  <c r="AF49"/>
  <c r="AE49"/>
  <c r="AD49"/>
  <c r="Z49"/>
  <c r="H49"/>
  <c r="BJ44"/>
  <c r="BF44"/>
  <c r="BD44"/>
  <c r="AP44"/>
  <c r="BI44" s="1"/>
  <c r="AC44" s="1"/>
  <c r="AO44"/>
  <c r="AW44" s="1"/>
  <c r="AL44"/>
  <c r="AK44"/>
  <c r="AJ44"/>
  <c r="AH44"/>
  <c r="AG44"/>
  <c r="AF44"/>
  <c r="AE44"/>
  <c r="AD44"/>
  <c r="Z44"/>
  <c r="H44"/>
  <c r="BJ42"/>
  <c r="BF42"/>
  <c r="BD42"/>
  <c r="AP42"/>
  <c r="AX42" s="1"/>
  <c r="AO42"/>
  <c r="AW42" s="1"/>
  <c r="AL42"/>
  <c r="AJ42"/>
  <c r="AH42"/>
  <c r="AG42"/>
  <c r="AF42"/>
  <c r="AE42"/>
  <c r="AD42"/>
  <c r="Z42"/>
  <c r="H42"/>
  <c r="AK42" s="1"/>
  <c r="BJ35"/>
  <c r="BF35"/>
  <c r="BD35"/>
  <c r="AX35"/>
  <c r="AP35"/>
  <c r="BI35" s="1"/>
  <c r="AC35" s="1"/>
  <c r="AO35"/>
  <c r="BH35" s="1"/>
  <c r="AB35" s="1"/>
  <c r="AL35"/>
  <c r="AJ35"/>
  <c r="AH35"/>
  <c r="AG35"/>
  <c r="AF35"/>
  <c r="AE35"/>
  <c r="AD35"/>
  <c r="Z35"/>
  <c r="H35"/>
  <c r="AK35" s="1"/>
  <c r="BJ34"/>
  <c r="BF34"/>
  <c r="BD34"/>
  <c r="AW34"/>
  <c r="BC34" s="1"/>
  <c r="AP34"/>
  <c r="AX34" s="1"/>
  <c r="AO34"/>
  <c r="BH34" s="1"/>
  <c r="AB34" s="1"/>
  <c r="AL34"/>
  <c r="AU28" s="1"/>
  <c r="AK34"/>
  <c r="AJ34"/>
  <c r="AH34"/>
  <c r="AG34"/>
  <c r="AF34"/>
  <c r="AE34"/>
  <c r="AD34"/>
  <c r="Z34"/>
  <c r="H34"/>
  <c r="BJ32"/>
  <c r="BF32"/>
  <c r="BD32"/>
  <c r="AP32"/>
  <c r="BI32" s="1"/>
  <c r="AC32" s="1"/>
  <c r="AO32"/>
  <c r="AW32" s="1"/>
  <c r="AL32"/>
  <c r="AK32"/>
  <c r="AJ32"/>
  <c r="AH32"/>
  <c r="AG32"/>
  <c r="AF32"/>
  <c r="AE32"/>
  <c r="AD32"/>
  <c r="Z32"/>
  <c r="H32"/>
  <c r="BJ30"/>
  <c r="BF30"/>
  <c r="BD30"/>
  <c r="AP30"/>
  <c r="BI30" s="1"/>
  <c r="AC30" s="1"/>
  <c r="AO30"/>
  <c r="BH30" s="1"/>
  <c r="AB30" s="1"/>
  <c r="AL30"/>
  <c r="AJ30"/>
  <c r="AS28" s="1"/>
  <c r="AH30"/>
  <c r="AG30"/>
  <c r="AF30"/>
  <c r="AE30"/>
  <c r="AD30"/>
  <c r="Z30"/>
  <c r="H30"/>
  <c r="AK30" s="1"/>
  <c r="BJ29"/>
  <c r="BF29"/>
  <c r="BD29"/>
  <c r="AX29"/>
  <c r="AP29"/>
  <c r="BI29" s="1"/>
  <c r="AC29" s="1"/>
  <c r="AO29"/>
  <c r="BH29" s="1"/>
  <c r="AB29" s="1"/>
  <c r="AL29"/>
  <c r="AJ29"/>
  <c r="AH29"/>
  <c r="AG29"/>
  <c r="AF29"/>
  <c r="AE29"/>
  <c r="AD29"/>
  <c r="Z29"/>
  <c r="H29"/>
  <c r="H28" s="1"/>
  <c r="BJ26"/>
  <c r="BF26"/>
  <c r="BD26"/>
  <c r="AW26"/>
  <c r="AV26" s="1"/>
  <c r="AP26"/>
  <c r="AX26" s="1"/>
  <c r="AO26"/>
  <c r="BH26" s="1"/>
  <c r="AB26" s="1"/>
  <c r="AL26"/>
  <c r="AK26"/>
  <c r="AJ26"/>
  <c r="AH26"/>
  <c r="AG26"/>
  <c r="AF26"/>
  <c r="AE26"/>
  <c r="AD26"/>
  <c r="Z26"/>
  <c r="H26"/>
  <c r="BJ23"/>
  <c r="BF23"/>
  <c r="BD23"/>
  <c r="AP23"/>
  <c r="BI23" s="1"/>
  <c r="AC23" s="1"/>
  <c r="AO23"/>
  <c r="AW23" s="1"/>
  <c r="AL23"/>
  <c r="AK23"/>
  <c r="AJ23"/>
  <c r="AH23"/>
  <c r="AG23"/>
  <c r="AF23"/>
  <c r="AE23"/>
  <c r="AD23"/>
  <c r="Z23"/>
  <c r="H23"/>
  <c r="BJ21"/>
  <c r="BF21"/>
  <c r="BD21"/>
  <c r="AP21"/>
  <c r="BI21" s="1"/>
  <c r="AC21" s="1"/>
  <c r="AO21"/>
  <c r="BH21" s="1"/>
  <c r="AB21" s="1"/>
  <c r="AL21"/>
  <c r="AJ21"/>
  <c r="AS13" s="1"/>
  <c r="AH21"/>
  <c r="AG21"/>
  <c r="AF21"/>
  <c r="AE21"/>
  <c r="AD21"/>
  <c r="Z21"/>
  <c r="H21"/>
  <c r="AK21" s="1"/>
  <c r="BJ18"/>
  <c r="BF18"/>
  <c r="BD18"/>
  <c r="AX18"/>
  <c r="AP18"/>
  <c r="BI18" s="1"/>
  <c r="AC18" s="1"/>
  <c r="AO18"/>
  <c r="BH18" s="1"/>
  <c r="AB18" s="1"/>
  <c r="AL18"/>
  <c r="AJ18"/>
  <c r="AH18"/>
  <c r="C20" i="1" s="1"/>
  <c r="AG18" i="3"/>
  <c r="AF18"/>
  <c r="AE18"/>
  <c r="AD18"/>
  <c r="Z18"/>
  <c r="H18"/>
  <c r="AK18" s="1"/>
  <c r="BJ16"/>
  <c r="BF16"/>
  <c r="BD16"/>
  <c r="AW16"/>
  <c r="BC16" s="1"/>
  <c r="AP16"/>
  <c r="AX16" s="1"/>
  <c r="AO16"/>
  <c r="BH16" s="1"/>
  <c r="AB16" s="1"/>
  <c r="AL16"/>
  <c r="AU13" s="1"/>
  <c r="AK16"/>
  <c r="AJ16"/>
  <c r="AH16"/>
  <c r="AG16"/>
  <c r="AF16"/>
  <c r="AE16"/>
  <c r="AD16"/>
  <c r="Z16"/>
  <c r="H16"/>
  <c r="BJ14"/>
  <c r="BF14"/>
  <c r="BD14"/>
  <c r="AP14"/>
  <c r="BI14" s="1"/>
  <c r="AC14" s="1"/>
  <c r="AO14"/>
  <c r="AW14" s="1"/>
  <c r="AL14"/>
  <c r="AK14"/>
  <c r="AJ14"/>
  <c r="AH14"/>
  <c r="AG14"/>
  <c r="AF14"/>
  <c r="AE14"/>
  <c r="AD14"/>
  <c r="Z14"/>
  <c r="C21" i="1" s="1"/>
  <c r="H14" i="3"/>
  <c r="AU1"/>
  <c r="AT1"/>
  <c r="AS1"/>
  <c r="I44" i="2"/>
  <c r="F44"/>
  <c r="F43"/>
  <c r="I43" s="1"/>
  <c r="I42"/>
  <c r="F42"/>
  <c r="F41"/>
  <c r="I41" s="1"/>
  <c r="I40"/>
  <c r="F40"/>
  <c r="F39"/>
  <c r="I39" s="1"/>
  <c r="I38"/>
  <c r="F38"/>
  <c r="F37"/>
  <c r="I37" s="1"/>
  <c r="I36"/>
  <c r="F36"/>
  <c r="F35"/>
  <c r="I35" s="1"/>
  <c r="I26"/>
  <c r="I25"/>
  <c r="I18" i="1" s="1"/>
  <c r="I24" i="2"/>
  <c r="I23"/>
  <c r="I27" s="1"/>
  <c r="I22"/>
  <c r="I21"/>
  <c r="I18"/>
  <c r="F29" s="1"/>
  <c r="I17"/>
  <c r="F16" i="1" s="1"/>
  <c r="F22" s="1"/>
  <c r="I16" i="2"/>
  <c r="I15"/>
  <c r="I10"/>
  <c r="F10"/>
  <c r="C10"/>
  <c r="F8"/>
  <c r="C8"/>
  <c r="F6"/>
  <c r="C6"/>
  <c r="F4"/>
  <c r="C4"/>
  <c r="F2"/>
  <c r="C2"/>
  <c r="I19" i="1"/>
  <c r="I17"/>
  <c r="I15"/>
  <c r="F15"/>
  <c r="I14"/>
  <c r="F14"/>
  <c r="I10"/>
  <c r="F10"/>
  <c r="C10"/>
  <c r="F8"/>
  <c r="C8"/>
  <c r="F6"/>
  <c r="C6"/>
  <c r="F4"/>
  <c r="C4"/>
  <c r="F2"/>
  <c r="C2"/>
  <c r="BC14" i="3" l="1"/>
  <c r="BC32"/>
  <c r="AV32"/>
  <c r="I22" i="1"/>
  <c r="I45" i="2"/>
  <c r="I24" i="1" s="1"/>
  <c r="BC57" i="3"/>
  <c r="AV57"/>
  <c r="AT13"/>
  <c r="AV42"/>
  <c r="BC42"/>
  <c r="AV60"/>
  <c r="BC60"/>
  <c r="AV125"/>
  <c r="AV140"/>
  <c r="BC140"/>
  <c r="BC166"/>
  <c r="AV166"/>
  <c r="BC178"/>
  <c r="AV178"/>
  <c r="BC193"/>
  <c r="AV193"/>
  <c r="BC220"/>
  <c r="AV220"/>
  <c r="BC256"/>
  <c r="AV256"/>
  <c r="BC79"/>
  <c r="AV79"/>
  <c r="BC99"/>
  <c r="AV99"/>
  <c r="AV145"/>
  <c r="BC145"/>
  <c r="AV167"/>
  <c r="BC167"/>
  <c r="BC183"/>
  <c r="AV183"/>
  <c r="AV197"/>
  <c r="BC197"/>
  <c r="BC198"/>
  <c r="AV198"/>
  <c r="BC202"/>
  <c r="AV202"/>
  <c r="BC217"/>
  <c r="AV217"/>
  <c r="BC227"/>
  <c r="AV227"/>
  <c r="BC232"/>
  <c r="AV232"/>
  <c r="AV243"/>
  <c r="BC243"/>
  <c r="AV250"/>
  <c r="BC250"/>
  <c r="H68"/>
  <c r="AK71"/>
  <c r="AT68" s="1"/>
  <c r="AV126"/>
  <c r="BC126"/>
  <c r="AV131"/>
  <c r="BC131"/>
  <c r="AV135"/>
  <c r="BC135"/>
  <c r="BC153"/>
  <c r="AV153"/>
  <c r="AV158"/>
  <c r="BC158"/>
  <c r="AV177"/>
  <c r="BC177"/>
  <c r="BC186"/>
  <c r="AV186"/>
  <c r="AV206"/>
  <c r="BC206"/>
  <c r="AV219"/>
  <c r="BC219"/>
  <c r="AV234"/>
  <c r="BC234"/>
  <c r="BC245"/>
  <c r="AV245"/>
  <c r="AV261"/>
  <c r="BC261"/>
  <c r="BC262"/>
  <c r="AV262"/>
  <c r="BI42"/>
  <c r="AC42" s="1"/>
  <c r="BH57"/>
  <c r="AB57" s="1"/>
  <c r="BI60"/>
  <c r="AC60" s="1"/>
  <c r="C29" i="1"/>
  <c r="F29" s="1"/>
  <c r="AV16" i="3"/>
  <c r="AW18"/>
  <c r="AX21"/>
  <c r="AW29"/>
  <c r="AX30"/>
  <c r="AV34"/>
  <c r="AW35"/>
  <c r="BH42"/>
  <c r="AB42" s="1"/>
  <c r="AV49"/>
  <c r="BH60"/>
  <c r="AB60" s="1"/>
  <c r="BI82"/>
  <c r="AC82" s="1"/>
  <c r="I16" i="1"/>
  <c r="H13" i="3"/>
  <c r="AX14"/>
  <c r="AV14" s="1"/>
  <c r="BH14"/>
  <c r="AB14" s="1"/>
  <c r="BI16"/>
  <c r="AC16" s="1"/>
  <c r="AW21"/>
  <c r="AX23"/>
  <c r="AV23" s="1"/>
  <c r="BH23"/>
  <c r="AB23" s="1"/>
  <c r="BC26"/>
  <c r="BI26"/>
  <c r="AC26" s="1"/>
  <c r="C15" i="1" s="1"/>
  <c r="AK29" i="3"/>
  <c r="AT28" s="1"/>
  <c r="AW30"/>
  <c r="AX32"/>
  <c r="BH32"/>
  <c r="AB32" s="1"/>
  <c r="BI34"/>
  <c r="AC34" s="1"/>
  <c r="AX44"/>
  <c r="AV44" s="1"/>
  <c r="BH44"/>
  <c r="AB44" s="1"/>
  <c r="BI49"/>
  <c r="AC49" s="1"/>
  <c r="BC69"/>
  <c r="AW71"/>
  <c r="AV76"/>
  <c r="AT75"/>
  <c r="BH81"/>
  <c r="AB81" s="1"/>
  <c r="AV82"/>
  <c r="AU84"/>
  <c r="BI88"/>
  <c r="AC88" s="1"/>
  <c r="BC94"/>
  <c r="AV101"/>
  <c r="BC133"/>
  <c r="BC138"/>
  <c r="AT242"/>
  <c r="BC74"/>
  <c r="AV74"/>
  <c r="BC91"/>
  <c r="AV91"/>
  <c r="BC93"/>
  <c r="AV93"/>
  <c r="H106"/>
  <c r="AK108"/>
  <c r="BC144"/>
  <c r="AV144"/>
  <c r="AV150"/>
  <c r="BC150"/>
  <c r="BC159"/>
  <c r="AV159"/>
  <c r="AV162"/>
  <c r="BC162"/>
  <c r="BC163"/>
  <c r="AV163"/>
  <c r="AV173"/>
  <c r="BC173"/>
  <c r="AV176"/>
  <c r="AV182"/>
  <c r="BC182"/>
  <c r="BC223"/>
  <c r="AV223"/>
  <c r="BC87"/>
  <c r="AV87"/>
  <c r="BC97"/>
  <c r="AV97"/>
  <c r="BC107"/>
  <c r="AV107"/>
  <c r="BC130"/>
  <c r="AV130"/>
  <c r="BC134"/>
  <c r="AV134"/>
  <c r="BC139"/>
  <c r="AV139"/>
  <c r="BC146"/>
  <c r="AV146"/>
  <c r="BC151"/>
  <c r="AV151"/>
  <c r="BC157"/>
  <c r="AV157"/>
  <c r="BC81"/>
  <c r="AV81"/>
  <c r="BC86"/>
  <c r="AV86"/>
  <c r="BC127"/>
  <c r="AV127"/>
  <c r="BC132"/>
  <c r="AV132"/>
  <c r="BC137"/>
  <c r="AV137"/>
  <c r="BC142"/>
  <c r="AV142"/>
  <c r="BC148"/>
  <c r="AV148"/>
  <c r="AV154"/>
  <c r="BC154"/>
  <c r="BC155"/>
  <c r="AV155"/>
  <c r="BC161"/>
  <c r="AV161"/>
  <c r="BC181"/>
  <c r="AV181"/>
  <c r="AV187"/>
  <c r="BC187"/>
  <c r="BC189"/>
  <c r="AV189"/>
  <c r="BC210"/>
  <c r="AV210"/>
  <c r="AV225"/>
  <c r="BC225"/>
  <c r="BC235"/>
  <c r="AV235"/>
  <c r="BC241"/>
  <c r="AV241"/>
  <c r="AT106"/>
  <c r="BC269"/>
  <c r="C27" i="1"/>
  <c r="BI76" i="3"/>
  <c r="AC76" s="1"/>
  <c r="AU75"/>
  <c r="BI101"/>
  <c r="AT141"/>
  <c r="BH74"/>
  <c r="AB74" s="1"/>
  <c r="H84"/>
  <c r="AS84"/>
  <c r="BH93"/>
  <c r="BI94"/>
  <c r="AT170"/>
  <c r="AT185"/>
  <c r="AT259"/>
  <c r="BH65"/>
  <c r="AB65" s="1"/>
  <c r="BI69"/>
  <c r="AC69" s="1"/>
  <c r="H75"/>
  <c r="BH76"/>
  <c r="AB76" s="1"/>
  <c r="BI78"/>
  <c r="AC78" s="1"/>
  <c r="BH82"/>
  <c r="AB82" s="1"/>
  <c r="AK86"/>
  <c r="AT84" s="1"/>
  <c r="BH101"/>
  <c r="BI105"/>
  <c r="AW108"/>
  <c r="AX113"/>
  <c r="AV119"/>
  <c r="AW120"/>
  <c r="AX121"/>
  <c r="AV123"/>
  <c r="AW124"/>
  <c r="AX125"/>
  <c r="BC125" s="1"/>
  <c r="BH125"/>
  <c r="AF125" s="1"/>
  <c r="BI126"/>
  <c r="AE126" s="1"/>
  <c r="C17" i="1" s="1"/>
  <c r="BH130" i="3"/>
  <c r="AD130" s="1"/>
  <c r="BI131"/>
  <c r="AE131" s="1"/>
  <c r="BH134"/>
  <c r="AD134" s="1"/>
  <c r="BI135"/>
  <c r="AE135" s="1"/>
  <c r="BH139"/>
  <c r="AD139" s="1"/>
  <c r="BI140"/>
  <c r="BH144"/>
  <c r="AD144" s="1"/>
  <c r="BI145"/>
  <c r="AE145" s="1"/>
  <c r="BH148"/>
  <c r="AD148" s="1"/>
  <c r="BI150"/>
  <c r="AE150" s="1"/>
  <c r="BH153"/>
  <c r="AD153" s="1"/>
  <c r="BI154"/>
  <c r="AE154" s="1"/>
  <c r="BH157"/>
  <c r="AD157" s="1"/>
  <c r="BI158"/>
  <c r="AE158" s="1"/>
  <c r="BH161"/>
  <c r="AD161" s="1"/>
  <c r="BI162"/>
  <c r="AE162" s="1"/>
  <c r="BH166"/>
  <c r="AD166" s="1"/>
  <c r="BI167"/>
  <c r="AE167" s="1"/>
  <c r="AV169"/>
  <c r="AW171"/>
  <c r="AX172"/>
  <c r="AV172" s="1"/>
  <c r="BI173"/>
  <c r="AE173" s="1"/>
  <c r="AV174"/>
  <c r="AW175"/>
  <c r="AX176"/>
  <c r="BC176" s="1"/>
  <c r="BH176"/>
  <c r="AD176" s="1"/>
  <c r="BI177"/>
  <c r="AE177" s="1"/>
  <c r="BH181"/>
  <c r="AD181" s="1"/>
  <c r="BI182"/>
  <c r="AE182" s="1"/>
  <c r="BH186"/>
  <c r="AD186" s="1"/>
  <c r="BI187"/>
  <c r="AE187" s="1"/>
  <c r="BH193"/>
  <c r="AD193" s="1"/>
  <c r="BI197"/>
  <c r="AE197" s="1"/>
  <c r="BH202"/>
  <c r="AD202" s="1"/>
  <c r="BI206"/>
  <c r="AE206" s="1"/>
  <c r="BH217"/>
  <c r="AD217" s="1"/>
  <c r="BI219"/>
  <c r="AE219" s="1"/>
  <c r="BH223"/>
  <c r="AD223" s="1"/>
  <c r="BI225"/>
  <c r="BH232"/>
  <c r="AD232" s="1"/>
  <c r="BI234"/>
  <c r="AE234" s="1"/>
  <c r="BH241"/>
  <c r="BI243"/>
  <c r="AE243" s="1"/>
  <c r="H259"/>
  <c r="AX264"/>
  <c r="BC264" s="1"/>
  <c r="AX267"/>
  <c r="BC267" s="1"/>
  <c r="AX269"/>
  <c r="AK120"/>
  <c r="AT118" s="1"/>
  <c r="BH126"/>
  <c r="AD126" s="1"/>
  <c r="BI127"/>
  <c r="AE127" s="1"/>
  <c r="AV128"/>
  <c r="BH131"/>
  <c r="AD131" s="1"/>
  <c r="BI132"/>
  <c r="AE132" s="1"/>
  <c r="AV133"/>
  <c r="BH135"/>
  <c r="AD135" s="1"/>
  <c r="BI137"/>
  <c r="AE137" s="1"/>
  <c r="AV138"/>
  <c r="BH140"/>
  <c r="BI142"/>
  <c r="AE142" s="1"/>
  <c r="AV143"/>
  <c r="BH145"/>
  <c r="AD145" s="1"/>
  <c r="BI146"/>
  <c r="AE146" s="1"/>
  <c r="AV147"/>
  <c r="BH150"/>
  <c r="AD150" s="1"/>
  <c r="BI151"/>
  <c r="AE151" s="1"/>
  <c r="AV152"/>
  <c r="BH154"/>
  <c r="AD154" s="1"/>
  <c r="BI155"/>
  <c r="AE155" s="1"/>
  <c r="AV156"/>
  <c r="BH158"/>
  <c r="AD158" s="1"/>
  <c r="BI159"/>
  <c r="AE159" s="1"/>
  <c r="AV160"/>
  <c r="BH162"/>
  <c r="AD162" s="1"/>
  <c r="BI163"/>
  <c r="BH167"/>
  <c r="AD167" s="1"/>
  <c r="BI169"/>
  <c r="AE169" s="1"/>
  <c r="BH173"/>
  <c r="AD173" s="1"/>
  <c r="BI174"/>
  <c r="AE174" s="1"/>
  <c r="BH177"/>
  <c r="AD177" s="1"/>
  <c r="BI178"/>
  <c r="AE178" s="1"/>
  <c r="AV179"/>
  <c r="BH182"/>
  <c r="AD182" s="1"/>
  <c r="BI183"/>
  <c r="AE183" s="1"/>
  <c r="AV184"/>
  <c r="BH187"/>
  <c r="AD187" s="1"/>
  <c r="BI189"/>
  <c r="AE189" s="1"/>
  <c r="AV191"/>
  <c r="BH197"/>
  <c r="AD197" s="1"/>
  <c r="BI198"/>
  <c r="AE198" s="1"/>
  <c r="BH206"/>
  <c r="AD206" s="1"/>
  <c r="BI210"/>
  <c r="AE210" s="1"/>
  <c r="AV215"/>
  <c r="BH219"/>
  <c r="AD219" s="1"/>
  <c r="BI220"/>
  <c r="BH225"/>
  <c r="BI227"/>
  <c r="AE227" s="1"/>
  <c r="BH234"/>
  <c r="AD234" s="1"/>
  <c r="BI235"/>
  <c r="AE235" s="1"/>
  <c r="AV239"/>
  <c r="BH243"/>
  <c r="AD243" s="1"/>
  <c r="BI245"/>
  <c r="AE245" s="1"/>
  <c r="BH250"/>
  <c r="AD250" s="1"/>
  <c r="BI256"/>
  <c r="AE256" s="1"/>
  <c r="BH261"/>
  <c r="AF261" s="1"/>
  <c r="C18" i="1" s="1"/>
  <c r="BI262" i="3"/>
  <c r="AG262" s="1"/>
  <c r="C19" i="1" s="1"/>
  <c r="BH127" i="3"/>
  <c r="AD127" s="1"/>
  <c r="BI128"/>
  <c r="BH132"/>
  <c r="AD132" s="1"/>
  <c r="BI133"/>
  <c r="AE133" s="1"/>
  <c r="BH137"/>
  <c r="AD137" s="1"/>
  <c r="BI138"/>
  <c r="AE138" s="1"/>
  <c r="H141"/>
  <c r="BI147"/>
  <c r="AE147" s="1"/>
  <c r="BH151"/>
  <c r="AD151" s="1"/>
  <c r="BH159"/>
  <c r="AD159" s="1"/>
  <c r="BI160"/>
  <c r="AE160" s="1"/>
  <c r="BH163"/>
  <c r="BI165"/>
  <c r="AE165" s="1"/>
  <c r="BH178"/>
  <c r="AD178" s="1"/>
  <c r="BI179"/>
  <c r="AE179" s="1"/>
  <c r="BH183"/>
  <c r="AD183" s="1"/>
  <c r="BH210"/>
  <c r="AD210" s="1"/>
  <c r="BI215"/>
  <c r="AE215" s="1"/>
  <c r="BI222"/>
  <c r="AE222" s="1"/>
  <c r="AK223"/>
  <c r="AT221" s="1"/>
  <c r="BH227"/>
  <c r="AD227" s="1"/>
  <c r="BH235"/>
  <c r="AD235" s="1"/>
  <c r="BI239"/>
  <c r="AE239" s="1"/>
  <c r="BH245"/>
  <c r="AD245" s="1"/>
  <c r="BI246"/>
  <c r="AE246" s="1"/>
  <c r="AV247"/>
  <c r="AV260"/>
  <c r="BH262"/>
  <c r="AF262" s="1"/>
  <c r="BI263"/>
  <c r="AG263" s="1"/>
  <c r="AV264"/>
  <c r="AV267"/>
  <c r="AV269"/>
  <c r="BC175" l="1"/>
  <c r="AV175"/>
  <c r="H270"/>
  <c r="H12"/>
  <c r="BC44"/>
  <c r="BC23"/>
  <c r="BC171"/>
  <c r="AV171"/>
  <c r="BC113"/>
  <c r="AV113"/>
  <c r="AV21"/>
  <c r="BC21"/>
  <c r="BC18"/>
  <c r="AV18"/>
  <c r="BC124"/>
  <c r="AV124"/>
  <c r="BC35"/>
  <c r="AV35"/>
  <c r="BC120"/>
  <c r="AV120"/>
  <c r="BC71"/>
  <c r="AV71"/>
  <c r="AV30"/>
  <c r="BC30"/>
  <c r="BC29"/>
  <c r="AV29"/>
  <c r="BC121"/>
  <c r="AV121"/>
  <c r="BC108"/>
  <c r="AV108"/>
  <c r="C16" i="1"/>
  <c r="BC172" i="3"/>
  <c r="C14" i="1"/>
  <c r="C22" s="1"/>
  <c r="I28"/>
  <c r="I29" s="1"/>
  <c r="C28"/>
  <c r="F28" s="1"/>
</calcChain>
</file>

<file path=xl/sharedStrings.xml><?xml version="1.0" encoding="utf-8"?>
<sst xmlns="http://schemas.openxmlformats.org/spreadsheetml/2006/main" count="2002" uniqueCount="715">
  <si>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</si>
  <si>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</si>
  <si>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</si>
  <si>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</si>
  <si>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</si>
  <si>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</si>
  <si>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</si>
  <si>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</si>
  <si>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</si>
  <si>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</si>
  <si>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</si>
  <si>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</si>
  <si>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</si>
  <si>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</si>
  <si>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</si>
  <si>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</si>
  <si>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</si>
  <si>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</si>
  <si>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</si>
  <si>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</si>
  <si>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</si>
  <si>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</si>
  <si>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</si>
  <si>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</si>
  <si>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</si>
  <si>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</si>
  <si>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</si>
  <si>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</si>
  <si>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</si>
  <si>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</si>
  <si>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</si>
  <si>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</si>
  <si>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</si>
  <si>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</si>
  <si>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</si>
  <si>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</si>
  <si>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</si>
  <si>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</si>
  <si>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</si>
  <si>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</si>
  <si>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</si>
  <si>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</si>
  <si>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</si>
  <si>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</si>
  <si>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</si>
  <si>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</si>
  <si>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</si>
  <si>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</si>
  <si>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</si>
  <si>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</si>
  <si>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</si>
  <si>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</si>
  <si>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</si>
  <si>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</si>
  <si>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</si>
  <si>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</si>
  <si>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</si>
  <si>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</si>
  <si>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</si>
  <si>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</si>
  <si>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</si>
  <si>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</si>
  <si>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</si>
  <si>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</si>
  <si>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</si>
  <si>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</si>
  <si>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</si>
  <si>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</si>
  <si>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</si>
  <si>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</si>
  <si>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</si>
  <si>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</si>
  <si>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</si>
  <si>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</si>
  <si>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</si>
  <si>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</si>
  <si>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</si>
  <si>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022-2024 Libušínská 204/13, byt č. 7, 1+1</t>
  </si>
  <si>
    <t>Doba výstavby:</t>
  </si>
  <si>
    <t xml:space="preserve"> </t>
  </si>
  <si>
    <t> </t>
  </si>
  <si>
    <t>Stavební opravy bytu 1+1</t>
  </si>
  <si>
    <t>Zpracováno dne: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</si>
  <si>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</si>
  <si>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</si>
  <si>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</si>
  <si>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</si>
  <si>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</si>
  <si>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</si>
  <si>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</si>
  <si>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</si>
  <si>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</si>
  <si>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</si>
  <si>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</si>
  <si>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</si>
  <si>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</si>
  <si>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</si>
  <si>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</si>
  <si>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</si>
  <si>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</si>
  <si>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</si>
  <si>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</si>
  <si>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</si>
  <si>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</si>
  <si>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</si>
  <si>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</si>
  <si>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</si>
  <si>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</si>
  <si>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</si>
  <si>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34</t>
  </si>
  <si>
    <t>Stěny a příčky</t>
  </si>
  <si>
    <t>1</t>
  </si>
  <si>
    <t>342270040RA0</t>
  </si>
  <si>
    <t>Příčka z desek Pórobetonových hladkých, tloušťka 5 cm</t>
  </si>
  <si>
    <t>m2</t>
  </si>
  <si>
    <t>34_</t>
  </si>
  <si>
    <t>_3_</t>
  </si>
  <si>
    <t>_</t>
  </si>
  <si>
    <t>(0,4+0,85)*2,6-0,5*0,5</t>
  </si>
  <si>
    <t>koupelna obezdění šachty</t>
  </si>
  <si>
    <t>2</t>
  </si>
  <si>
    <t>342255022R00</t>
  </si>
  <si>
    <t>Příčky z desek Pórobetonových tl. 75 mm</t>
  </si>
  <si>
    <t>2,4*1,1</t>
  </si>
  <si>
    <t>instal. přizdívka koupelna</t>
  </si>
  <si>
    <t>3</t>
  </si>
  <si>
    <t>342270042RA0</t>
  </si>
  <si>
    <t>Příčka z desek Pórobetonových hladkých, tloušťka 10 cm</t>
  </si>
  <si>
    <t>2,85*2,6-0,8*2</t>
  </si>
  <si>
    <t>příčka chodba</t>
  </si>
  <si>
    <t>3,46*2,6-0,8*2</t>
  </si>
  <si>
    <t>příčka kuchyň</t>
  </si>
  <si>
    <t>4</t>
  </si>
  <si>
    <t>317121047RT2</t>
  </si>
  <si>
    <t>Překlad nenosný pórobetonový, světlost otvoru do 1050 mm</t>
  </si>
  <si>
    <t>kus</t>
  </si>
  <si>
    <t>Varianta:</t>
  </si>
  <si>
    <t>překlad nenosný  124 x 24,9 x 10 cm</t>
  </si>
  <si>
    <t>5</t>
  </si>
  <si>
    <t>342668111R00</t>
  </si>
  <si>
    <t>Těsnění styku příčky se stáv. konstrukcí PU pěnou</t>
  </si>
  <si>
    <t>m</t>
  </si>
  <si>
    <t>(0,4+0,85)</t>
  </si>
  <si>
    <t>2,85+3,46</t>
  </si>
  <si>
    <t>6</t>
  </si>
  <si>
    <t>342948111R00</t>
  </si>
  <si>
    <t>Ukotvení příček ke konstrukci kotvami na hmoždinky</t>
  </si>
  <si>
    <t>2,6*4</t>
  </si>
  <si>
    <t>61</t>
  </si>
  <si>
    <t>Úprava povrchů vnitřní</t>
  </si>
  <si>
    <t>7</t>
  </si>
  <si>
    <t>611421321R00</t>
  </si>
  <si>
    <t>Oprava váp.omítek stropů do 30% plochy - hladkých</t>
  </si>
  <si>
    <t>61_</t>
  </si>
  <si>
    <t>_6_</t>
  </si>
  <si>
    <t>8</t>
  </si>
  <si>
    <t>620991111R00</t>
  </si>
  <si>
    <t>Zakrývání spár panelů páskou</t>
  </si>
  <si>
    <t>5*5,965</t>
  </si>
  <si>
    <t>9</t>
  </si>
  <si>
    <t>601016191R00</t>
  </si>
  <si>
    <t>Penetrační nátěr stropů</t>
  </si>
  <si>
    <t>3,99+5,37+10,43+20,64</t>
  </si>
  <si>
    <t>10</t>
  </si>
  <si>
    <t>611471411R00</t>
  </si>
  <si>
    <t>Úprava stropů aktivovaným štukem tl. 2 - 3 mm</t>
  </si>
  <si>
    <t>11</t>
  </si>
  <si>
    <t>602016191R00</t>
  </si>
  <si>
    <t>Penetrační nátěr stěn</t>
  </si>
  <si>
    <t>(1,4+2,85)*2*2,6-0,8*2*4</t>
  </si>
  <si>
    <t>stěny  chodba</t>
  </si>
  <si>
    <t>(1,885+2,85)*2*2,6-0,8*2</t>
  </si>
  <si>
    <t>koupelna</t>
  </si>
  <si>
    <t>(3,015+3,46)*2*2,6-2,6*1,5-0,8*2</t>
  </si>
  <si>
    <t>kuchyň</t>
  </si>
  <si>
    <t>(2,6+1,5*2)*0,15</t>
  </si>
  <si>
    <t>ostění okno</t>
  </si>
  <si>
    <t>(3,46+5,965)*2*2,6-0,8*2-0,8*2,3-1,3*1,5</t>
  </si>
  <si>
    <t>pokoj</t>
  </si>
  <si>
    <t>(2,6+2,3*2)*0,15</t>
  </si>
  <si>
    <t>ostění okno dveře</t>
  </si>
  <si>
    <t>12</t>
  </si>
  <si>
    <t>612403399R00</t>
  </si>
  <si>
    <t>Hrubá výplň rýh ve stěnách maltou</t>
  </si>
  <si>
    <t>50*0,1</t>
  </si>
  <si>
    <t>po instalacích</t>
  </si>
  <si>
    <t>13</t>
  </si>
  <si>
    <t>612421321R00</t>
  </si>
  <si>
    <t>Oprava vápen.omítek stěn do 30 % pl. - hladkých</t>
  </si>
  <si>
    <t>(1,4+2,85)*2,6-0,8*2*2</t>
  </si>
  <si>
    <t>(1,985+2,85)*0,5</t>
  </si>
  <si>
    <t>koupelna nad obklady</t>
  </si>
  <si>
    <t>(3,015*2+3,46)*2,6-2,6*1,5</t>
  </si>
  <si>
    <t>14</t>
  </si>
  <si>
    <t>612471411RT2</t>
  </si>
  <si>
    <t>Úprava vnitřních stěn aktivovaným štukem</t>
  </si>
  <si>
    <t>s použitím suché maltové směsi</t>
  </si>
  <si>
    <t>(1,885+2,85)*2*0,5</t>
  </si>
  <si>
    <t>15</t>
  </si>
  <si>
    <t>610991111R00</t>
  </si>
  <si>
    <t>Zakrývání výplní vnitřních otvorů</t>
  </si>
  <si>
    <t>2,6*1,5</t>
  </si>
  <si>
    <t>0,8*2,3+1,3*1,5</t>
  </si>
  <si>
    <t>16</t>
  </si>
  <si>
    <t>612481211RT2</t>
  </si>
  <si>
    <t>Montáž výztužné sítě(perlinky)do stěrky-vnit.stěny</t>
  </si>
  <si>
    <t>včetně výztužné sítě a stěrkového tmelu</t>
  </si>
  <si>
    <t>nové příčky Ytong -  chodba</t>
  </si>
  <si>
    <t>koupelna nad obklad</t>
  </si>
  <si>
    <t>17</t>
  </si>
  <si>
    <t>642942111RT4</t>
  </si>
  <si>
    <t>Osazení zárubní dveřních ocelových, pl. do 2,5 m2</t>
  </si>
  <si>
    <t>včetně dodávky zárubně 800 x 1970 x 100 mm</t>
  </si>
  <si>
    <t>63</t>
  </si>
  <si>
    <t>Podlahy a podlahové konstrukce</t>
  </si>
  <si>
    <t>18</t>
  </si>
  <si>
    <t>632451441R00</t>
  </si>
  <si>
    <t>Doplnění potěru plochy do 1 m2, tl. 30 - 40 mm</t>
  </si>
  <si>
    <t>63_</t>
  </si>
  <si>
    <t>1,2*0,8</t>
  </si>
  <si>
    <t>pod stáv. vanou</t>
  </si>
  <si>
    <t>19</t>
  </si>
  <si>
    <t>632411110RT2</t>
  </si>
  <si>
    <t>Samonivelační stěrka , ruční zpracování tl. 10 mm</t>
  </si>
  <si>
    <t>samonivelační polymercementová stěrka  30 MPa</t>
  </si>
  <si>
    <t>m.č. 1 - 4</t>
  </si>
  <si>
    <t>20</t>
  </si>
  <si>
    <t>632411904R00</t>
  </si>
  <si>
    <t>Penetrace savých podkladů  0,25 l/m2</t>
  </si>
  <si>
    <t>95</t>
  </si>
  <si>
    <t>Různé dokončovací konstrukce a práce na pozemních stavbách</t>
  </si>
  <si>
    <t>21</t>
  </si>
  <si>
    <t>900      R01</t>
  </si>
  <si>
    <t>HZS - drobné nezměřitelné práce</t>
  </si>
  <si>
    <t>h</t>
  </si>
  <si>
    <t>95_</t>
  </si>
  <si>
    <t>_9_</t>
  </si>
  <si>
    <t>stavební dělník</t>
  </si>
  <si>
    <t>22</t>
  </si>
  <si>
    <t>952901111R00</t>
  </si>
  <si>
    <t>Vyčištění budov o výšce podlaží do 4 m</t>
  </si>
  <si>
    <t>23</t>
  </si>
  <si>
    <t>953943111R00</t>
  </si>
  <si>
    <t>Osazení kovových předmětů do zdiva, 1 kg / kus</t>
  </si>
  <si>
    <t>instal. dvířka</t>
  </si>
  <si>
    <t>24</t>
  </si>
  <si>
    <t>553476578</t>
  </si>
  <si>
    <t>Dvířka revizní do zdiva 500 x 500 mm, tl.12,5 mm - vlhké prostředí pro montáž obkladů - dle vzorkování</t>
  </si>
  <si>
    <t>25</t>
  </si>
  <si>
    <t>952902110RVV</t>
  </si>
  <si>
    <t>Zametání a vytírání v místnostech, chodbách, na  schodišti</t>
  </si>
  <si>
    <t>KPL.</t>
  </si>
  <si>
    <t xml:space="preserve"> v průběhu rekonstrukce</t>
  </si>
  <si>
    <t>96</t>
  </si>
  <si>
    <t>Bourání konstrukcí</t>
  </si>
  <si>
    <t>26</t>
  </si>
  <si>
    <t>968061125R00</t>
  </si>
  <si>
    <t>Vyvěšení dřevěných dveřních křídel pl. do 2 m2</t>
  </si>
  <si>
    <t>96_</t>
  </si>
  <si>
    <t>27</t>
  </si>
  <si>
    <t>965044121R00</t>
  </si>
  <si>
    <t>Bourání podkladů bet., tl. 4 cm, s rabic.pletivem</t>
  </si>
  <si>
    <t>28</t>
  </si>
  <si>
    <t>9620. 1</t>
  </si>
  <si>
    <t>Demontáž byt. jádra, vč. zařizovacích předmětů, vč. likvidace do sutě</t>
  </si>
  <si>
    <t>29</t>
  </si>
  <si>
    <t>965048515R00</t>
  </si>
  <si>
    <t>Broušení betonových povrchů do tl. 5 mm</t>
  </si>
  <si>
    <t>7,4+20,64+9,6</t>
  </si>
  <si>
    <t>stáv. místnosti, po odstranění PVC</t>
  </si>
  <si>
    <t>30</t>
  </si>
  <si>
    <t>979011111R00</t>
  </si>
  <si>
    <t>Svislá doprava suti a vybour. hmot za 2.NP a 1.PP</t>
  </si>
  <si>
    <t>t</t>
  </si>
  <si>
    <t>31</t>
  </si>
  <si>
    <t>979011121R00</t>
  </si>
  <si>
    <t>Příplatek za každé další podlaží</t>
  </si>
  <si>
    <t>1,312*2</t>
  </si>
  <si>
    <t>32</t>
  </si>
  <si>
    <t>979081111R00</t>
  </si>
  <si>
    <t>Odvoz suti a vybour. hmot na skládku do 1 km</t>
  </si>
  <si>
    <t>33</t>
  </si>
  <si>
    <t>979081121R00</t>
  </si>
  <si>
    <t>Příplatek k odvozu za každý další 1 km</t>
  </si>
  <si>
    <t>1,312*5</t>
  </si>
  <si>
    <t>979082111R00</t>
  </si>
  <si>
    <t>Vnitrostaveništní doprava suti do 10 m</t>
  </si>
  <si>
    <t>35</t>
  </si>
  <si>
    <t>979082121R00</t>
  </si>
  <si>
    <t>Příplatek k vnitrost. dopravě suti za dalších 5 m</t>
  </si>
  <si>
    <t>1,312*4</t>
  </si>
  <si>
    <t>36</t>
  </si>
  <si>
    <t>979990107R00</t>
  </si>
  <si>
    <t>Poplatek za uložení suti - směs betonu, cihel, dřeva, skupina odpadu 170904</t>
  </si>
  <si>
    <t>1,312-0,165</t>
  </si>
  <si>
    <t>37</t>
  </si>
  <si>
    <t>979990181R00</t>
  </si>
  <si>
    <t>Poplatek za uložení suti - PVC podlahová krytina, skupina odpadu 200307</t>
  </si>
  <si>
    <t>37,608*0,0035</t>
  </si>
  <si>
    <t>PVC</t>
  </si>
  <si>
    <t>41,5*0,0008</t>
  </si>
  <si>
    <t>sokl PVC</t>
  </si>
  <si>
    <t>99</t>
  </si>
  <si>
    <t>Staveništní přesun hmot</t>
  </si>
  <si>
    <t>38</t>
  </si>
  <si>
    <t>999281108R00</t>
  </si>
  <si>
    <t>Přesun hmot pro opravy a údržbu do výšky 12 m</t>
  </si>
  <si>
    <t>99_</t>
  </si>
  <si>
    <t>711</t>
  </si>
  <si>
    <t>Izolace proti vodě</t>
  </si>
  <si>
    <t>39</t>
  </si>
  <si>
    <t>711212000R00</t>
  </si>
  <si>
    <t>Penetrace podkladu pod hydroizolační hmoty, včetně dodávky</t>
  </si>
  <si>
    <t>711_</t>
  </si>
  <si>
    <t>_71_</t>
  </si>
  <si>
    <t>40</t>
  </si>
  <si>
    <t>711212002RT3</t>
  </si>
  <si>
    <t>Stěrka hydroizolační, vč. dodávky HI hmoty</t>
  </si>
  <si>
    <t xml:space="preserve"> tl. 2 mm</t>
  </si>
  <si>
    <t>1,885*2,85</t>
  </si>
  <si>
    <t>koupelna podlaha</t>
  </si>
  <si>
    <t>(1,885+2,85)*2*0,3-0,8*0,3</t>
  </si>
  <si>
    <t>sokl</t>
  </si>
  <si>
    <t>(1,1+1,1)*2,1</t>
  </si>
  <si>
    <t>sprcha svisle</t>
  </si>
  <si>
    <t>41</t>
  </si>
  <si>
    <t>711212601RT2</t>
  </si>
  <si>
    <t>Utěsnění detailů při stěrkových hydroizolacích, těsnicí pás do spoje podlaha - stěna</t>
  </si>
  <si>
    <t>šířka 100 mm</t>
  </si>
  <si>
    <t>(1,885+2,85)*2-0,8</t>
  </si>
  <si>
    <t>koupelna sokl</t>
  </si>
  <si>
    <t>2,1</t>
  </si>
  <si>
    <t>svisle sprcha</t>
  </si>
  <si>
    <t>42</t>
  </si>
  <si>
    <t>998711102R00</t>
  </si>
  <si>
    <t>Přesun hmot pro izolace proti vodě, výšky do 12 m</t>
  </si>
  <si>
    <t>721</t>
  </si>
  <si>
    <t>Vnitřní kanalizace</t>
  </si>
  <si>
    <t>43</t>
  </si>
  <si>
    <t>721140935R00</t>
  </si>
  <si>
    <t>Provedení opravy vnitřní kanalizace, potrubí litinové, přechod z plastových trub na litinu,DN 100 mm</t>
  </si>
  <si>
    <t>721_</t>
  </si>
  <si>
    <t>_72_</t>
  </si>
  <si>
    <t>44</t>
  </si>
  <si>
    <t>721176103R00</t>
  </si>
  <si>
    <t>Potrubí HT připojovací, D 50 x 1,8 mm</t>
  </si>
  <si>
    <t>45</t>
  </si>
  <si>
    <t>721176105R00</t>
  </si>
  <si>
    <t>Potrubí HT připojovací, D 110 x 2,7 mm</t>
  </si>
  <si>
    <t>46</t>
  </si>
  <si>
    <t>721176115R00</t>
  </si>
  <si>
    <t>Potrubí HT odpadní svislé, D 110 x 2,7 mm</t>
  </si>
  <si>
    <t>47</t>
  </si>
  <si>
    <t>721194105R00</t>
  </si>
  <si>
    <t>Vyvedení odpadních výpustek, D 50 x 1,8 mm</t>
  </si>
  <si>
    <t>48</t>
  </si>
  <si>
    <t>721194109R00</t>
  </si>
  <si>
    <t>Vyvedení odpadních výpustek, D 110 x 2,3 mm</t>
  </si>
  <si>
    <t>49</t>
  </si>
  <si>
    <t>230120046R00</t>
  </si>
  <si>
    <t>Čištění potrubí profukováním nebo proplach. DN 100</t>
  </si>
  <si>
    <t>50</t>
  </si>
  <si>
    <t>721290111R00</t>
  </si>
  <si>
    <t>Zkouška těsnosti kanalizace vodou DN 125 mm</t>
  </si>
  <si>
    <t>51</t>
  </si>
  <si>
    <t>721176212R00</t>
  </si>
  <si>
    <t>Potrubí KG odpadní svislé, D 110 x 3,2 mm</t>
  </si>
  <si>
    <t>52</t>
  </si>
  <si>
    <t>998721102R00</t>
  </si>
  <si>
    <t>Přesun hmot pro vnitřní kanalizaci, výšky do 12 m</t>
  </si>
  <si>
    <t>722</t>
  </si>
  <si>
    <t>Vnitřní vodovod</t>
  </si>
  <si>
    <t>53</t>
  </si>
  <si>
    <t>722130913R00</t>
  </si>
  <si>
    <t>Provedení opravy závitového potrubí, přeřezání ocelové trubky do DN 25 mm</t>
  </si>
  <si>
    <t>722_</t>
  </si>
  <si>
    <t>54</t>
  </si>
  <si>
    <t>722260921R00</t>
  </si>
  <si>
    <t>Zpětná montáž vodoměrů závitových G 1/2"</t>
  </si>
  <si>
    <t>55</t>
  </si>
  <si>
    <t>722172631R00</t>
  </si>
  <si>
    <t>Potrubí plastové PP-R Instaplast, bez zednických výpomocí, D 20 x 3,4 mm, PN 20</t>
  </si>
  <si>
    <t>56</t>
  </si>
  <si>
    <t>722220111R00</t>
  </si>
  <si>
    <t>Nástěnka K 247, pro výtokový ventil G 1/2"</t>
  </si>
  <si>
    <t>57</t>
  </si>
  <si>
    <t>722220121R00</t>
  </si>
  <si>
    <t>Nástěnka K 247, pro baterii G 1/2"</t>
  </si>
  <si>
    <t>pár</t>
  </si>
  <si>
    <t>58</t>
  </si>
  <si>
    <t>722181214RT8</t>
  </si>
  <si>
    <t>Izolace návleková MIRELON PRO tl. stěny 20 mm</t>
  </si>
  <si>
    <t>vnitřní průměr 25 mm</t>
  </si>
  <si>
    <t>59</t>
  </si>
  <si>
    <t>722190401R00</t>
  </si>
  <si>
    <t>Vyvedení a upevnění výpustek DN 15 mm</t>
  </si>
  <si>
    <t>60</t>
  </si>
  <si>
    <t>722290234R00</t>
  </si>
  <si>
    <t>Proplach a dezinfekce vodovodního potrubí DN 80 mm</t>
  </si>
  <si>
    <t>722280106R00</t>
  </si>
  <si>
    <t>Tlaková zkouška vodovodního potrubí DN 32 mm</t>
  </si>
  <si>
    <t>62</t>
  </si>
  <si>
    <t>998722102R00</t>
  </si>
  <si>
    <t>Přesun hmot pro vnitřní vodovod, výšky do 12 m</t>
  </si>
  <si>
    <t>725</t>
  </si>
  <si>
    <t>Zařizovací předměty</t>
  </si>
  <si>
    <t>725219401R00</t>
  </si>
  <si>
    <t>Montáž umyvadel na šrouby do zdiva</t>
  </si>
  <si>
    <t>soubor</t>
  </si>
  <si>
    <t>725_</t>
  </si>
  <si>
    <t>64</t>
  </si>
  <si>
    <t>725017153R00</t>
  </si>
  <si>
    <t>Umyvadlo invalidní dle vzorníku</t>
  </si>
  <si>
    <t>65</t>
  </si>
  <si>
    <t>725860213R00</t>
  </si>
  <si>
    <t>Sifon podomítkový umyvadlový</t>
  </si>
  <si>
    <t>66</t>
  </si>
  <si>
    <t>725860107R00</t>
  </si>
  <si>
    <t>Uzávěrka zápachová umyvadlová T 1015, D 40 mm</t>
  </si>
  <si>
    <t>67</t>
  </si>
  <si>
    <t>725829301R00</t>
  </si>
  <si>
    <t>Montáž baterie umyvadlové a dřezové stojánkové</t>
  </si>
  <si>
    <t>68</t>
  </si>
  <si>
    <t>725849201R00</t>
  </si>
  <si>
    <t>Montáž baterií sprchových, pevná výška</t>
  </si>
  <si>
    <t>69</t>
  </si>
  <si>
    <t>725860181RT1</t>
  </si>
  <si>
    <t>Sifon pračkový HL404.1, D 40/50 mm nerezový</t>
  </si>
  <si>
    <t>podomít.uzáv. s přivzd.vent. krycí deska 225x100mm</t>
  </si>
  <si>
    <t>70</t>
  </si>
  <si>
    <t>725860222R00</t>
  </si>
  <si>
    <t>Sifon sprchový PP HL514SN, D 40/50 mm</t>
  </si>
  <si>
    <t>71</t>
  </si>
  <si>
    <t>725810402R00</t>
  </si>
  <si>
    <t>Ventil rohový bez přípojovací trubičky TE 66 G 1/2"</t>
  </si>
  <si>
    <t>72</t>
  </si>
  <si>
    <t>72582</t>
  </si>
  <si>
    <t>Baterie  nástěnná koupelna umyvadlo</t>
  </si>
  <si>
    <t>73</t>
  </si>
  <si>
    <t>725845111R00</t>
  </si>
  <si>
    <t>Baterie sprchová nástěnná ruční, bez příslušenství</t>
  </si>
  <si>
    <t>74</t>
  </si>
  <si>
    <t>725814125R00</t>
  </si>
  <si>
    <t>Ventil pračkový IVAR.70370 DN 20 mm</t>
  </si>
  <si>
    <t>75</t>
  </si>
  <si>
    <t>725119305R00</t>
  </si>
  <si>
    <t>Montáž klozetových mís kombinovaných</t>
  </si>
  <si>
    <t>76</t>
  </si>
  <si>
    <t>725013128R00</t>
  </si>
  <si>
    <t>Klozet kombi  ZTP, nádrž s armaturou, odpad svislý, bílý</t>
  </si>
  <si>
    <t>77</t>
  </si>
  <si>
    <t>72529</t>
  </si>
  <si>
    <t>Madlo sklopné a madlo pevné  dl. 830 mm</t>
  </si>
  <si>
    <t>78</t>
  </si>
  <si>
    <t>725291112R00</t>
  </si>
  <si>
    <t>Madlo rovné bílé  dl. 400 mm</t>
  </si>
  <si>
    <t>79</t>
  </si>
  <si>
    <t>725291114R00</t>
  </si>
  <si>
    <t>Madlo rovné bílé  dl. 600 mm</t>
  </si>
  <si>
    <t>80</t>
  </si>
  <si>
    <t>55430</t>
  </si>
  <si>
    <t>Stolička do sprchy - dle vzorkování</t>
  </si>
  <si>
    <t>81</t>
  </si>
  <si>
    <t>5514</t>
  </si>
  <si>
    <t>Sprchová zástěna sklopná na stěnu, š=900mm - dle vzorkování</t>
  </si>
  <si>
    <t>82</t>
  </si>
  <si>
    <t>5523</t>
  </si>
  <si>
    <t>Žlab sprchový nerezový  dl. 900 mm</t>
  </si>
  <si>
    <t>83</t>
  </si>
  <si>
    <t>998725102R00</t>
  </si>
  <si>
    <t>Přesun hmot pro zařizovací předměty, výšky do 12 m</t>
  </si>
  <si>
    <t>728</t>
  </si>
  <si>
    <t>Vzduchotechnika</t>
  </si>
  <si>
    <t>84</t>
  </si>
  <si>
    <t>72855</t>
  </si>
  <si>
    <t>Vzduchotechnika - odtah od odsavače</t>
  </si>
  <si>
    <t>728_</t>
  </si>
  <si>
    <t>85</t>
  </si>
  <si>
    <t>728415111R00</t>
  </si>
  <si>
    <t>Montáž mřížky větrací nebo ventilační do 0,04 m2</t>
  </si>
  <si>
    <t>86</t>
  </si>
  <si>
    <t>429727810</t>
  </si>
  <si>
    <t>Mřížka kruhová PVC průměr 100 mm</t>
  </si>
  <si>
    <t>735</t>
  </si>
  <si>
    <t>Otopná tělesa</t>
  </si>
  <si>
    <t>87</t>
  </si>
  <si>
    <t>730. 1</t>
  </si>
  <si>
    <t>Demont a zpětná montáž radiatorů ÚT</t>
  </si>
  <si>
    <t>735_</t>
  </si>
  <si>
    <t>_73_</t>
  </si>
  <si>
    <t>766</t>
  </si>
  <si>
    <t>Konstrukce truhlářské</t>
  </si>
  <si>
    <t>88</t>
  </si>
  <si>
    <t>766662811R00</t>
  </si>
  <si>
    <t>Demontáž prahů dveří 1křídlových</t>
  </si>
  <si>
    <t>766_</t>
  </si>
  <si>
    <t>_76_</t>
  </si>
  <si>
    <t>89</t>
  </si>
  <si>
    <t>766812840R00</t>
  </si>
  <si>
    <t>Demontáž kuchyňských linek do 2,1 m</t>
  </si>
  <si>
    <t>90</t>
  </si>
  <si>
    <t>766825811R00</t>
  </si>
  <si>
    <t>Demontáž vestavěných skříní 1křídlových</t>
  </si>
  <si>
    <t>91</t>
  </si>
  <si>
    <t>766825821R00</t>
  </si>
  <si>
    <t>Demontáž vestavěných skříní 2křídlových</t>
  </si>
  <si>
    <t>92</t>
  </si>
  <si>
    <t>766661112R00</t>
  </si>
  <si>
    <t>Montáž dveří do zárubně,otevíravých 1kř.do 0,8 m</t>
  </si>
  <si>
    <t>93</t>
  </si>
  <si>
    <t>766812114R00</t>
  </si>
  <si>
    <t>Montáž kuchyňských linek dřevěných linek š.do 2,1m</t>
  </si>
  <si>
    <t>94</t>
  </si>
  <si>
    <t>766. 2</t>
  </si>
  <si>
    <t>Demontáž garnýže, vč. likvidace</t>
  </si>
  <si>
    <t>ks</t>
  </si>
  <si>
    <t>766. 1</t>
  </si>
  <si>
    <t>Dodávka kuchyňská linka - dle schématu " kuchyně Libušínská "</t>
  </si>
  <si>
    <t>766695212R00</t>
  </si>
  <si>
    <t>Montáž prahů dveří jednokřídlových š. do 10 cm</t>
  </si>
  <si>
    <t>vstupní dveře</t>
  </si>
  <si>
    <t>97</t>
  </si>
  <si>
    <t>6116. 1</t>
  </si>
  <si>
    <t>Dveře vnitřní hladké 1 křídl. bílé, 2/3 sklo 800 x 1970 mm, CPL, DTD výplň, sklo bezpečnostní, kování, zámek - vše dle standarů</t>
  </si>
  <si>
    <t>98</t>
  </si>
  <si>
    <t>6116. 2</t>
  </si>
  <si>
    <t>Dveře posuvné 800 x 2000 mm, CPL, DTD výplň, vč. kování a příslušenství - vše dle standardů</t>
  </si>
  <si>
    <t>61187396</t>
  </si>
  <si>
    <t>Prah bukový dl. 800 mm, š. 100 mm, tl. 20 mm, dle standardů</t>
  </si>
  <si>
    <t>100</t>
  </si>
  <si>
    <t>998766102R00</t>
  </si>
  <si>
    <t>Přesun hmot pro truhlářské konstr., výšky do 12 m</t>
  </si>
  <si>
    <t>771</t>
  </si>
  <si>
    <t>Podlahy z dlaždic</t>
  </si>
  <si>
    <t>101</t>
  </si>
  <si>
    <t>771101210R00</t>
  </si>
  <si>
    <t>Penetrace podkladu pod dlažby</t>
  </si>
  <si>
    <t>771_</t>
  </si>
  <si>
    <t>_77_</t>
  </si>
  <si>
    <t>102</t>
  </si>
  <si>
    <t>771101116R00</t>
  </si>
  <si>
    <t>Vyrovnání podkladů samonivelační hmotou tloušťky do 30 mm</t>
  </si>
  <si>
    <t>103</t>
  </si>
  <si>
    <t>771575109R00</t>
  </si>
  <si>
    <t>Montáž keramické dlažby, hladké, na tmel, 300 x 300 m</t>
  </si>
  <si>
    <t>104</t>
  </si>
  <si>
    <t>771578001R00</t>
  </si>
  <si>
    <t>Montáž podlah.lišt , vnitř.ker.dlažba</t>
  </si>
  <si>
    <t>1,1+0,9</t>
  </si>
  <si>
    <t>sprcha</t>
  </si>
  <si>
    <t>105</t>
  </si>
  <si>
    <t>771578011R00</t>
  </si>
  <si>
    <t>Spára podlaha - stěna, silikonem</t>
  </si>
  <si>
    <t>koupelna vodorovně</t>
  </si>
  <si>
    <t>5*2,1</t>
  </si>
  <si>
    <t>svisle</t>
  </si>
  <si>
    <t>0,6</t>
  </si>
  <si>
    <t>kuchyň. linka</t>
  </si>
  <si>
    <t>106</t>
  </si>
  <si>
    <t>5537</t>
  </si>
  <si>
    <t>Lišta dělicí Al,  l = 2700 mm</t>
  </si>
  <si>
    <t>107</t>
  </si>
  <si>
    <t>59764231</t>
  </si>
  <si>
    <t>Dlažba protiskluzná 300 x 300 x 9 mm, dle vzorkování, dle standardů</t>
  </si>
  <si>
    <t>5,372*1,1</t>
  </si>
  <si>
    <t>108</t>
  </si>
  <si>
    <t>998771102R00</t>
  </si>
  <si>
    <t>Přesun hmot pro podlahy z dlaždic, výšky do 12 m</t>
  </si>
  <si>
    <t>776</t>
  </si>
  <si>
    <t>Podlahy povlakové</t>
  </si>
  <si>
    <t>109</t>
  </si>
  <si>
    <t>776401800R00</t>
  </si>
  <si>
    <t>Demontáž soklíků nebo lišt, pryžových nebo z PVC</t>
  </si>
  <si>
    <t>776_</t>
  </si>
  <si>
    <t>(3,46+3,65)*2-0,8*3-0,6</t>
  </si>
  <si>
    <t>stávající chodba</t>
  </si>
  <si>
    <t>(3,46+5,965)*2-0,8</t>
  </si>
  <si>
    <t>(3,46+3,055)*2-0,8</t>
  </si>
  <si>
    <t>110</t>
  </si>
  <si>
    <t>776511810R00</t>
  </si>
  <si>
    <t>Odstranění PVC a koberců lepených bez podložky</t>
  </si>
  <si>
    <t>1,34*3,65+2,08*1,2</t>
  </si>
  <si>
    <t>(3,46*5,965)</t>
  </si>
  <si>
    <t>1,3*2,295+2,16*3,055</t>
  </si>
  <si>
    <t>111</t>
  </si>
  <si>
    <t>776421100RU1</t>
  </si>
  <si>
    <t>Lepení podlahových soklíků z PVC a vinylu</t>
  </si>
  <si>
    <t>včetně dodávky soklíku PVC</t>
  </si>
  <si>
    <t>(1,4+2,85)*2-0,8*4</t>
  </si>
  <si>
    <t>chodba</t>
  </si>
  <si>
    <t>(3,46+3,015)*2-0,8</t>
  </si>
  <si>
    <t>112</t>
  </si>
  <si>
    <t>776521200R00</t>
  </si>
  <si>
    <t>Lepení povlakových podlah z dílců PVC a CV (vinyl)</t>
  </si>
  <si>
    <t>3,99+10,43+20,64</t>
  </si>
  <si>
    <t>113</t>
  </si>
  <si>
    <t>2841</t>
  </si>
  <si>
    <t>Dodávka podlahovina PVC - dle Standardu a vzorkování</t>
  </si>
  <si>
    <t>35,06*1,1</t>
  </si>
  <si>
    <t>114</t>
  </si>
  <si>
    <t>776. 1</t>
  </si>
  <si>
    <t>Provedení spoje PVC - dlažba bez přechodových lišt</t>
  </si>
  <si>
    <t>115</t>
  </si>
  <si>
    <t>998776102R00</t>
  </si>
  <si>
    <t>Přesun hmot pro podlahy povlakové, výšky do 12 m</t>
  </si>
  <si>
    <t>777</t>
  </si>
  <si>
    <t>Podlahy ze syntetických hmot</t>
  </si>
  <si>
    <t>116</t>
  </si>
  <si>
    <t>777553010R00</t>
  </si>
  <si>
    <t>Penetrace savého podkladu disperzí</t>
  </si>
  <si>
    <t>777_</t>
  </si>
  <si>
    <t>117</t>
  </si>
  <si>
    <t>777553210R00</t>
  </si>
  <si>
    <t>Vyrovnání podlah, samonivel. hmota  tl. 2mm</t>
  </si>
  <si>
    <t>118</t>
  </si>
  <si>
    <t>998777102R00</t>
  </si>
  <si>
    <t>Přesun hmot pro podlahy syntetické, výšky do 12 m</t>
  </si>
  <si>
    <t>781</t>
  </si>
  <si>
    <t>Obklady (keramické)</t>
  </si>
  <si>
    <t>119</t>
  </si>
  <si>
    <t>781475115R00</t>
  </si>
  <si>
    <t>Obklad vnitřní stěn keramický, do tmele, 25x25 cm</t>
  </si>
  <si>
    <t>781_</t>
  </si>
  <si>
    <t>_78_</t>
  </si>
  <si>
    <t>(1,885+2,85)*2*2,1-0,8*2</t>
  </si>
  <si>
    <t>(2,6+0,8)*0,6</t>
  </si>
  <si>
    <t>0,6*0,85+0,2*0,85</t>
  </si>
  <si>
    <t>120</t>
  </si>
  <si>
    <t>781419711R00</t>
  </si>
  <si>
    <t>Příplatek k obkladu stěn za plochu do 10 m2 jedntl</t>
  </si>
  <si>
    <t>121</t>
  </si>
  <si>
    <t>781111111R00</t>
  </si>
  <si>
    <t>Řezání obkladaček diamantovým kotoučem</t>
  </si>
  <si>
    <t>4*2,1</t>
  </si>
  <si>
    <t>122</t>
  </si>
  <si>
    <t>781111116R00</t>
  </si>
  <si>
    <t>Otvor v obkladačce diamant.korunkou prům.do 90 mm</t>
  </si>
  <si>
    <t>123</t>
  </si>
  <si>
    <t>781497132RS4</t>
  </si>
  <si>
    <t>Lišta nerezová rohová k obkladům - dle standardů, dle vzorkování</t>
  </si>
  <si>
    <t>pro tloušťku obkladu 10 mm</t>
  </si>
  <si>
    <t>2,85</t>
  </si>
  <si>
    <t>vodorovně přizdívka</t>
  </si>
  <si>
    <t>124</t>
  </si>
  <si>
    <t>5978</t>
  </si>
  <si>
    <t>Obkládačka  200 x 250 mm, dle vzorkování</t>
  </si>
  <si>
    <t>21,007*1,1</t>
  </si>
  <si>
    <t>125</t>
  </si>
  <si>
    <t>998781102R00</t>
  </si>
  <si>
    <t>Přesun hmot pro obklady keramické, výšky do 12 m</t>
  </si>
  <si>
    <t>783</t>
  </si>
  <si>
    <t>Nátěry</t>
  </si>
  <si>
    <t>126</t>
  </si>
  <si>
    <t>783222100RV1</t>
  </si>
  <si>
    <t>Nátěr syntetický kovových konstrukcí dvojnásobný</t>
  </si>
  <si>
    <t>783_</t>
  </si>
  <si>
    <t>zárubně - dle standardů</t>
  </si>
  <si>
    <t>127</t>
  </si>
  <si>
    <t>7836</t>
  </si>
  <si>
    <t>Očištění radiátorů před nátěrem</t>
  </si>
  <si>
    <t>128</t>
  </si>
  <si>
    <t>783324140R00</t>
  </si>
  <si>
    <t>Nátěr syntetický litin. radiátorů 1x + 1x email</t>
  </si>
  <si>
    <t>129</t>
  </si>
  <si>
    <t>783221900R00</t>
  </si>
  <si>
    <t>Údržba, nátěr syntetický kov. konstr. jednonásobný</t>
  </si>
  <si>
    <t>(0,3+0,3)*2,6</t>
  </si>
  <si>
    <t>plech. kryt kanalizace</t>
  </si>
  <si>
    <t>784</t>
  </si>
  <si>
    <t>Malby</t>
  </si>
  <si>
    <t>130</t>
  </si>
  <si>
    <t>784402801R00</t>
  </si>
  <si>
    <t>Odstranění malby oškrábáním v místnosti H do 3,8 m</t>
  </si>
  <si>
    <t>784_</t>
  </si>
  <si>
    <t>40,43</t>
  </si>
  <si>
    <t>strop</t>
  </si>
  <si>
    <t>(1,985+2,85)*2,6</t>
  </si>
  <si>
    <t>(3,115*2+3,46)*2,6-2,6*1,5</t>
  </si>
  <si>
    <t>131</t>
  </si>
  <si>
    <t>784161401R00</t>
  </si>
  <si>
    <t>Penetrace podkladu nátěrem , 1 x</t>
  </si>
  <si>
    <t>132</t>
  </si>
  <si>
    <t>784165512R00</t>
  </si>
  <si>
    <t>Malba bílá, bez penetrace, 2 x - dle standardů</t>
  </si>
  <si>
    <t>41+95</t>
  </si>
  <si>
    <t>M21</t>
  </si>
  <si>
    <t>Elektromontáže</t>
  </si>
  <si>
    <t>133</t>
  </si>
  <si>
    <t>210. 1</t>
  </si>
  <si>
    <t>Montáž sporáku</t>
  </si>
  <si>
    <t>M21_</t>
  </si>
  <si>
    <t>134</t>
  </si>
  <si>
    <t>210. 2</t>
  </si>
  <si>
    <t>Sporák elektrický</t>
  </si>
  <si>
    <t>135</t>
  </si>
  <si>
    <t>210. 3</t>
  </si>
  <si>
    <t>D + M elektroinstalace dle PD</t>
  </si>
  <si>
    <t>136</t>
  </si>
  <si>
    <t>210. 4</t>
  </si>
  <si>
    <t>D + M požární hlásič bateriový,  životnost baterie min. 5 let</t>
  </si>
  <si>
    <t>137</t>
  </si>
  <si>
    <t>210. 5</t>
  </si>
  <si>
    <t>Dod + montáž digestoře</t>
  </si>
  <si>
    <t>VORN</t>
  </si>
  <si>
    <t>03VRN</t>
  </si>
  <si>
    <t>138</t>
  </si>
  <si>
    <t>030001VRN</t>
  </si>
  <si>
    <t>Soubor</t>
  </si>
  <si>
    <t>03VRN_</t>
  </si>
  <si>
    <t>_Â _</t>
  </si>
  <si>
    <t>06VRN</t>
  </si>
  <si>
    <t>139</t>
  </si>
  <si>
    <t>065002VRN</t>
  </si>
  <si>
    <t>Mimostaveništní doprava</t>
  </si>
  <si>
    <t>06VRN_</t>
  </si>
</sst>
</file>

<file path=xl/styles.xml><?xml version="1.0" encoding="utf-8"?>
<styleSheet xmlns="http://schemas.openxmlformats.org/spreadsheetml/2006/main">
  <fonts count="15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0"/>
      <color rgb="FF400040"/>
      <name val="Arial"/>
      <charset val="238"/>
    </font>
    <font>
      <b/>
      <sz val="10"/>
      <color rgb="FF400040"/>
      <name val="Arial"/>
      <charset val="238"/>
    </font>
    <font>
      <i/>
      <sz val="10"/>
      <color rgb="FF400040"/>
      <name val="Arial"/>
      <charset val="238"/>
    </font>
    <font>
      <i/>
      <sz val="10"/>
      <color rgb="FF0000FF"/>
      <name val="Arial"/>
      <charset val="238"/>
    </font>
    <font>
      <i/>
      <sz val="10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3" fillId="3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0" fillId="0" borderId="62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3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10" fillId="4" borderId="68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10" fillId="4" borderId="40" xfId="0" applyNumberFormat="1" applyFont="1" applyFill="1" applyBorder="1" applyAlignment="1" applyProtection="1">
      <alignment horizontal="left" vertical="center"/>
    </xf>
    <xf numFmtId="0" fontId="10" fillId="5" borderId="40" xfId="0" applyNumberFormat="1" applyFont="1" applyFill="1" applyBorder="1" applyAlignment="1" applyProtection="1">
      <alignment horizontal="left" vertical="center"/>
      <protection locked="0"/>
    </xf>
    <xf numFmtId="4" fontId="11" fillId="4" borderId="40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4" fontId="3" fillId="0" borderId="6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 wrapText="1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3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022-2024 Libušínská 204/13, byt č. 7, 1+1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opravy bytu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139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2" spans="1:9" ht="23.25">
      <c r="A12" s="84" t="s">
        <v>15</v>
      </c>
      <c r="B12" s="84"/>
      <c r="C12" s="84"/>
      <c r="D12" s="84"/>
      <c r="E12" s="84"/>
      <c r="F12" s="84"/>
      <c r="G12" s="84"/>
      <c r="H12" s="84"/>
      <c r="I12" s="84"/>
    </row>
    <row r="13" spans="1:9" ht="26.25" customHeight="1">
      <c r="A13" s="6" t="s">
        <v>16</v>
      </c>
      <c r="B13" s="85" t="s">
        <v>17</v>
      </c>
      <c r="C13" s="86"/>
      <c r="D13" s="7" t="s">
        <v>18</v>
      </c>
      <c r="E13" s="85" t="s">
        <v>19</v>
      </c>
      <c r="F13" s="86"/>
      <c r="G13" s="7" t="s">
        <v>20</v>
      </c>
      <c r="H13" s="85" t="s">
        <v>21</v>
      </c>
      <c r="I13" s="86"/>
    </row>
    <row r="14" spans="1:9" ht="15.75">
      <c r="A14" s="8" t="s">
        <v>22</v>
      </c>
      <c r="B14" s="9" t="s">
        <v>23</v>
      </c>
      <c r="C14" s="10">
        <f>SUM('Stavební rozpočet'!AB12:AB269)</f>
        <v>0</v>
      </c>
      <c r="D14" s="93" t="s">
        <v>24</v>
      </c>
      <c r="E14" s="94"/>
      <c r="F14" s="10">
        <f>VORN!I15</f>
        <v>0</v>
      </c>
      <c r="G14" s="93" t="s">
        <v>25</v>
      </c>
      <c r="H14" s="94"/>
      <c r="I14" s="11">
        <f>VORN!I21</f>
        <v>0</v>
      </c>
    </row>
    <row r="15" spans="1:9" ht="15.75">
      <c r="A15" s="12" t="s">
        <v>4</v>
      </c>
      <c r="B15" s="9" t="s">
        <v>26</v>
      </c>
      <c r="C15" s="10">
        <f>SUM('Stavební rozpočet'!AC12:AC269)</f>
        <v>0</v>
      </c>
      <c r="D15" s="93" t="s">
        <v>27</v>
      </c>
      <c r="E15" s="94"/>
      <c r="F15" s="10">
        <f>VORN!I16</f>
        <v>0</v>
      </c>
      <c r="G15" s="93" t="s">
        <v>28</v>
      </c>
      <c r="H15" s="94"/>
      <c r="I15" s="11">
        <f>VORN!I22</f>
        <v>0</v>
      </c>
    </row>
    <row r="16" spans="1:9" ht="15.75">
      <c r="A16" s="8" t="s">
        <v>29</v>
      </c>
      <c r="B16" s="9" t="s">
        <v>23</v>
      </c>
      <c r="C16" s="10">
        <f>SUM('Stavební rozpočet'!AD12:AD269)</f>
        <v>0</v>
      </c>
      <c r="D16" s="93" t="s">
        <v>30</v>
      </c>
      <c r="E16" s="94"/>
      <c r="F16" s="10">
        <f>VORN!I17</f>
        <v>0</v>
      </c>
      <c r="G16" s="93" t="s">
        <v>31</v>
      </c>
      <c r="H16" s="94"/>
      <c r="I16" s="11">
        <f>VORN!I23</f>
        <v>0</v>
      </c>
    </row>
    <row r="17" spans="1:9" ht="15.75">
      <c r="A17" s="12" t="s">
        <v>4</v>
      </c>
      <c r="B17" s="9" t="s">
        <v>26</v>
      </c>
      <c r="C17" s="10">
        <f>SUM('Stavební rozpočet'!AE12:AE269)</f>
        <v>0</v>
      </c>
      <c r="D17" s="93" t="s">
        <v>4</v>
      </c>
      <c r="E17" s="94"/>
      <c r="F17" s="11" t="s">
        <v>4</v>
      </c>
      <c r="G17" s="93" t="s">
        <v>32</v>
      </c>
      <c r="H17" s="94"/>
      <c r="I17" s="11">
        <f>VORN!I24</f>
        <v>0</v>
      </c>
    </row>
    <row r="18" spans="1:9" ht="15.75">
      <c r="A18" s="8" t="s">
        <v>33</v>
      </c>
      <c r="B18" s="9" t="s">
        <v>23</v>
      </c>
      <c r="C18" s="10">
        <f>SUM('Stavební rozpočet'!AF12:AF269)</f>
        <v>0</v>
      </c>
      <c r="D18" s="93" t="s">
        <v>4</v>
      </c>
      <c r="E18" s="94"/>
      <c r="F18" s="11" t="s">
        <v>4</v>
      </c>
      <c r="G18" s="93" t="s">
        <v>34</v>
      </c>
      <c r="H18" s="94"/>
      <c r="I18" s="11">
        <f>VORN!I25</f>
        <v>0</v>
      </c>
    </row>
    <row r="19" spans="1:9" ht="15.75">
      <c r="A19" s="12" t="s">
        <v>4</v>
      </c>
      <c r="B19" s="9" t="s">
        <v>26</v>
      </c>
      <c r="C19" s="10">
        <f>SUM('Stavební rozpočet'!AG12:AG269)</f>
        <v>0</v>
      </c>
      <c r="D19" s="93" t="s">
        <v>4</v>
      </c>
      <c r="E19" s="94"/>
      <c r="F19" s="11" t="s">
        <v>4</v>
      </c>
      <c r="G19" s="93" t="s">
        <v>35</v>
      </c>
      <c r="H19" s="94"/>
      <c r="I19" s="11">
        <f>VORN!I26</f>
        <v>0</v>
      </c>
    </row>
    <row r="20" spans="1:9" ht="15.75">
      <c r="A20" s="87" t="s">
        <v>36</v>
      </c>
      <c r="B20" s="88"/>
      <c r="C20" s="10">
        <f>SUM('Stavební rozpočet'!AH12:AH269)</f>
        <v>0</v>
      </c>
      <c r="D20" s="93" t="s">
        <v>4</v>
      </c>
      <c r="E20" s="94"/>
      <c r="F20" s="11" t="s">
        <v>4</v>
      </c>
      <c r="G20" s="93" t="s">
        <v>4</v>
      </c>
      <c r="H20" s="94"/>
      <c r="I20" s="11" t="s">
        <v>4</v>
      </c>
    </row>
    <row r="21" spans="1:9" ht="15.75">
      <c r="A21" s="89" t="s">
        <v>37</v>
      </c>
      <c r="B21" s="90"/>
      <c r="C21" s="13">
        <f>SUM('Stavební rozpočet'!Z12:Z269)</f>
        <v>0</v>
      </c>
      <c r="D21" s="95" t="s">
        <v>4</v>
      </c>
      <c r="E21" s="96"/>
      <c r="F21" s="14" t="s">
        <v>4</v>
      </c>
      <c r="G21" s="95" t="s">
        <v>4</v>
      </c>
      <c r="H21" s="96"/>
      <c r="I21" s="14" t="s">
        <v>4</v>
      </c>
    </row>
    <row r="22" spans="1:9" ht="16.5" customHeight="1">
      <c r="A22" s="91" t="s">
        <v>38</v>
      </c>
      <c r="B22" s="92"/>
      <c r="C22" s="15">
        <f>SUM(C14:C21)</f>
        <v>0</v>
      </c>
      <c r="D22" s="97" t="s">
        <v>39</v>
      </c>
      <c r="E22" s="92"/>
      <c r="F22" s="15">
        <f>SUM(F14:F21)</f>
        <v>0</v>
      </c>
      <c r="G22" s="97" t="s">
        <v>40</v>
      </c>
      <c r="H22" s="92"/>
      <c r="I22" s="15">
        <f>SUM(I14:I21)</f>
        <v>0</v>
      </c>
    </row>
    <row r="23" spans="1:9" ht="15.75">
      <c r="D23" s="87" t="s">
        <v>41</v>
      </c>
      <c r="E23" s="88"/>
      <c r="F23" s="16">
        <v>0</v>
      </c>
      <c r="G23" s="98" t="s">
        <v>42</v>
      </c>
      <c r="H23" s="88"/>
      <c r="I23" s="10">
        <v>0</v>
      </c>
    </row>
    <row r="24" spans="1:9" ht="15.75">
      <c r="G24" s="87" t="s">
        <v>43</v>
      </c>
      <c r="H24" s="88"/>
      <c r="I24" s="13">
        <f>vorn_sum</f>
        <v>0</v>
      </c>
    </row>
    <row r="25" spans="1:9" ht="15.75">
      <c r="G25" s="87" t="s">
        <v>44</v>
      </c>
      <c r="H25" s="88"/>
      <c r="I25" s="15">
        <v>0</v>
      </c>
    </row>
    <row r="27" spans="1:9" ht="15.75">
      <c r="A27" s="99" t="s">
        <v>45</v>
      </c>
      <c r="B27" s="100"/>
      <c r="C27" s="17">
        <f>SUM('Stavební rozpočet'!AJ12:AJ269)</f>
        <v>0</v>
      </c>
    </row>
    <row r="28" spans="1:9" ht="15.75">
      <c r="A28" s="101" t="s">
        <v>46</v>
      </c>
      <c r="B28" s="102"/>
      <c r="C28" s="18">
        <f>SUM('Stavební rozpočet'!AK12:AK269)</f>
        <v>0</v>
      </c>
      <c r="D28" s="103" t="s">
        <v>47</v>
      </c>
      <c r="E28" s="100"/>
      <c r="F28" s="17">
        <f>ROUND(C28*(12/100),2)</f>
        <v>0</v>
      </c>
      <c r="G28" s="103" t="s">
        <v>48</v>
      </c>
      <c r="H28" s="100"/>
      <c r="I28" s="17">
        <f>SUM(C27:C29)</f>
        <v>0</v>
      </c>
    </row>
    <row r="29" spans="1:9" ht="15.75">
      <c r="A29" s="101" t="s">
        <v>49</v>
      </c>
      <c r="B29" s="102"/>
      <c r="C29" s="18">
        <f>SUM('Stavební rozpočet'!AL12:AL269)</f>
        <v>0</v>
      </c>
      <c r="D29" s="104" t="s">
        <v>50</v>
      </c>
      <c r="E29" s="102"/>
      <c r="F29" s="18">
        <f>ROUND(C29*(21/100),2)</f>
        <v>0</v>
      </c>
      <c r="G29" s="104" t="s">
        <v>51</v>
      </c>
      <c r="H29" s="102"/>
      <c r="I29" s="18">
        <f>ROUND(SUM(F28:F29)+I28,0)</f>
        <v>0</v>
      </c>
    </row>
    <row r="31" spans="1:9">
      <c r="A31" s="105" t="s">
        <v>52</v>
      </c>
      <c r="B31" s="106"/>
      <c r="C31" s="107"/>
      <c r="D31" s="114" t="s">
        <v>53</v>
      </c>
      <c r="E31" s="106"/>
      <c r="F31" s="107"/>
      <c r="G31" s="114" t="s">
        <v>54</v>
      </c>
      <c r="H31" s="106"/>
      <c r="I31" s="107"/>
    </row>
    <row r="32" spans="1:9">
      <c r="A32" s="108" t="s">
        <v>4</v>
      </c>
      <c r="B32" s="109"/>
      <c r="C32" s="110"/>
      <c r="D32" s="115" t="s">
        <v>4</v>
      </c>
      <c r="E32" s="109"/>
      <c r="F32" s="110"/>
      <c r="G32" s="115" t="s">
        <v>4</v>
      </c>
      <c r="H32" s="109"/>
      <c r="I32" s="110"/>
    </row>
    <row r="33" spans="1:9">
      <c r="A33" s="108" t="s">
        <v>4</v>
      </c>
      <c r="B33" s="109"/>
      <c r="C33" s="110"/>
      <c r="D33" s="115" t="s">
        <v>4</v>
      </c>
      <c r="E33" s="109"/>
      <c r="F33" s="110"/>
      <c r="G33" s="115" t="s">
        <v>4</v>
      </c>
      <c r="H33" s="109"/>
      <c r="I33" s="110"/>
    </row>
    <row r="34" spans="1:9">
      <c r="A34" s="108" t="s">
        <v>4</v>
      </c>
      <c r="B34" s="109"/>
      <c r="C34" s="110"/>
      <c r="D34" s="115" t="s">
        <v>4</v>
      </c>
      <c r="E34" s="109"/>
      <c r="F34" s="110"/>
      <c r="G34" s="115" t="s">
        <v>4</v>
      </c>
      <c r="H34" s="109"/>
      <c r="I34" s="110"/>
    </row>
    <row r="35" spans="1:9">
      <c r="A35" s="111" t="s">
        <v>55</v>
      </c>
      <c r="B35" s="112"/>
      <c r="C35" s="113"/>
      <c r="D35" s="116" t="s">
        <v>55</v>
      </c>
      <c r="E35" s="112"/>
      <c r="F35" s="113"/>
      <c r="G35" s="116" t="s">
        <v>55</v>
      </c>
      <c r="H35" s="112"/>
      <c r="I35" s="113"/>
    </row>
    <row r="36" spans="1:9">
      <c r="A36" s="19" t="s">
        <v>56</v>
      </c>
    </row>
    <row r="37" spans="1:9" ht="12.75" customHeight="1">
      <c r="A37" s="75" t="s">
        <v>4</v>
      </c>
      <c r="B37" s="70"/>
      <c r="C37" s="70"/>
      <c r="D37" s="70"/>
      <c r="E37" s="70"/>
      <c r="F37" s="70"/>
      <c r="G37" s="70"/>
      <c r="H37" s="70"/>
      <c r="I37" s="70"/>
    </row>
  </sheetData>
  <sheetProtection password="CF7A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65" t="s">
        <v>57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022-2024 Libušínská 204/13, byt č. 7, 1+1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opravy bytu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139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3" spans="1:9" ht="15.75">
      <c r="A13" s="117" t="s">
        <v>58</v>
      </c>
      <c r="B13" s="117"/>
      <c r="C13" s="117"/>
      <c r="D13" s="117"/>
      <c r="E13" s="117"/>
    </row>
    <row r="14" spans="1:9">
      <c r="A14" s="118" t="s">
        <v>59</v>
      </c>
      <c r="B14" s="119"/>
      <c r="C14" s="119"/>
      <c r="D14" s="119"/>
      <c r="E14" s="120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>
      <c r="A15" s="121" t="s">
        <v>24</v>
      </c>
      <c r="B15" s="122"/>
      <c r="C15" s="122"/>
      <c r="D15" s="122"/>
      <c r="E15" s="12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>
      <c r="A16" s="121" t="s">
        <v>27</v>
      </c>
      <c r="B16" s="122"/>
      <c r="C16" s="122"/>
      <c r="D16" s="122"/>
      <c r="E16" s="12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>
      <c r="A17" s="124" t="s">
        <v>30</v>
      </c>
      <c r="B17" s="125"/>
      <c r="C17" s="125"/>
      <c r="D17" s="125"/>
      <c r="E17" s="126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>
      <c r="A18" s="127" t="s">
        <v>63</v>
      </c>
      <c r="B18" s="128"/>
      <c r="C18" s="128"/>
      <c r="D18" s="128"/>
      <c r="E18" s="129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>
      <c r="A20" s="118" t="s">
        <v>21</v>
      </c>
      <c r="B20" s="119"/>
      <c r="C20" s="119"/>
      <c r="D20" s="119"/>
      <c r="E20" s="120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>
      <c r="A21" s="121" t="s">
        <v>25</v>
      </c>
      <c r="B21" s="122"/>
      <c r="C21" s="122"/>
      <c r="D21" s="122"/>
      <c r="E21" s="123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>
      <c r="A22" s="121" t="s">
        <v>28</v>
      </c>
      <c r="B22" s="122"/>
      <c r="C22" s="122"/>
      <c r="D22" s="122"/>
      <c r="E22" s="123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>
      <c r="A23" s="121" t="s">
        <v>31</v>
      </c>
      <c r="B23" s="122"/>
      <c r="C23" s="122"/>
      <c r="D23" s="122"/>
      <c r="E23" s="123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>
      <c r="A24" s="121" t="s">
        <v>32</v>
      </c>
      <c r="B24" s="122"/>
      <c r="C24" s="122"/>
      <c r="D24" s="122"/>
      <c r="E24" s="123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>
      <c r="A25" s="121" t="s">
        <v>34</v>
      </c>
      <c r="B25" s="122"/>
      <c r="C25" s="122"/>
      <c r="D25" s="122"/>
      <c r="E25" s="123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>
      <c r="A26" s="124" t="s">
        <v>35</v>
      </c>
      <c r="B26" s="125"/>
      <c r="C26" s="125"/>
      <c r="D26" s="125"/>
      <c r="E26" s="126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>
      <c r="A27" s="127" t="s">
        <v>64</v>
      </c>
      <c r="B27" s="128"/>
      <c r="C27" s="128"/>
      <c r="D27" s="128"/>
      <c r="E27" s="129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>
      <c r="A29" s="130" t="s">
        <v>65</v>
      </c>
      <c r="B29" s="131"/>
      <c r="C29" s="131"/>
      <c r="D29" s="131"/>
      <c r="E29" s="132"/>
      <c r="F29" s="133">
        <f>I18+I27</f>
        <v>0</v>
      </c>
      <c r="G29" s="134"/>
      <c r="H29" s="134"/>
      <c r="I29" s="135"/>
    </row>
    <row r="33" spans="1:9" ht="15.75">
      <c r="A33" s="117" t="s">
        <v>66</v>
      </c>
      <c r="B33" s="117"/>
      <c r="C33" s="117"/>
      <c r="D33" s="117"/>
      <c r="E33" s="117"/>
    </row>
    <row r="34" spans="1:9">
      <c r="A34" s="118" t="s">
        <v>67</v>
      </c>
      <c r="B34" s="119"/>
      <c r="C34" s="119"/>
      <c r="D34" s="119"/>
      <c r="E34" s="120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>
      <c r="A35" s="121" t="s">
        <v>68</v>
      </c>
      <c r="B35" s="122"/>
      <c r="C35" s="122"/>
      <c r="D35" s="122"/>
      <c r="E35" s="123"/>
      <c r="F35" s="21">
        <f>SUM('Stavební rozpočet'!BM12:BM269)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>
      <c r="A36" s="121" t="s">
        <v>69</v>
      </c>
      <c r="B36" s="122"/>
      <c r="C36" s="122"/>
      <c r="D36" s="122"/>
      <c r="E36" s="123"/>
      <c r="F36" s="21">
        <f>SUM('Stavební rozpočet'!BN12:BN269)</f>
        <v>0</v>
      </c>
      <c r="G36" s="22" t="s">
        <v>4</v>
      </c>
      <c r="H36" s="22" t="s">
        <v>4</v>
      </c>
      <c r="I36" s="21">
        <f t="shared" si="1"/>
        <v>0</v>
      </c>
    </row>
    <row r="37" spans="1:9">
      <c r="A37" s="121" t="s">
        <v>25</v>
      </c>
      <c r="B37" s="122"/>
      <c r="C37" s="122"/>
      <c r="D37" s="122"/>
      <c r="E37" s="123"/>
      <c r="F37" s="21">
        <f>SUM('Stavební rozpočet'!BO12:BO269)</f>
        <v>0</v>
      </c>
      <c r="G37" s="22" t="s">
        <v>4</v>
      </c>
      <c r="H37" s="22" t="s">
        <v>4</v>
      </c>
      <c r="I37" s="21">
        <f t="shared" si="1"/>
        <v>0</v>
      </c>
    </row>
    <row r="38" spans="1:9">
      <c r="A38" s="121" t="s">
        <v>70</v>
      </c>
      <c r="B38" s="122"/>
      <c r="C38" s="122"/>
      <c r="D38" s="122"/>
      <c r="E38" s="123"/>
      <c r="F38" s="21">
        <f>SUM('Stavební rozpočet'!BP12:BP269)</f>
        <v>0</v>
      </c>
      <c r="G38" s="22" t="s">
        <v>4</v>
      </c>
      <c r="H38" s="22" t="s">
        <v>4</v>
      </c>
      <c r="I38" s="21">
        <f t="shared" si="1"/>
        <v>0</v>
      </c>
    </row>
    <row r="39" spans="1:9">
      <c r="A39" s="121" t="s">
        <v>71</v>
      </c>
      <c r="B39" s="122"/>
      <c r="C39" s="122"/>
      <c r="D39" s="122"/>
      <c r="E39" s="123"/>
      <c r="F39" s="21">
        <f>SUM('Stavební rozpočet'!BQ12:BQ269)</f>
        <v>0</v>
      </c>
      <c r="G39" s="22" t="s">
        <v>4</v>
      </c>
      <c r="H39" s="22" t="s">
        <v>4</v>
      </c>
      <c r="I39" s="21">
        <f t="shared" si="1"/>
        <v>0</v>
      </c>
    </row>
    <row r="40" spans="1:9">
      <c r="A40" s="121" t="s">
        <v>31</v>
      </c>
      <c r="B40" s="122"/>
      <c r="C40" s="122"/>
      <c r="D40" s="122"/>
      <c r="E40" s="123"/>
      <c r="F40" s="21">
        <f>SUM('Stavební rozpočet'!BR12:BR269)</f>
        <v>0</v>
      </c>
      <c r="G40" s="22" t="s">
        <v>4</v>
      </c>
      <c r="H40" s="22" t="s">
        <v>4</v>
      </c>
      <c r="I40" s="21">
        <f t="shared" si="1"/>
        <v>0</v>
      </c>
    </row>
    <row r="41" spans="1:9">
      <c r="A41" s="121" t="s">
        <v>32</v>
      </c>
      <c r="B41" s="122"/>
      <c r="C41" s="122"/>
      <c r="D41" s="122"/>
      <c r="E41" s="123"/>
      <c r="F41" s="21">
        <f>SUM('Stavební rozpočet'!BS12:BS269)</f>
        <v>0</v>
      </c>
      <c r="G41" s="22" t="s">
        <v>4</v>
      </c>
      <c r="H41" s="22" t="s">
        <v>4</v>
      </c>
      <c r="I41" s="21">
        <f t="shared" si="1"/>
        <v>0</v>
      </c>
    </row>
    <row r="42" spans="1:9">
      <c r="A42" s="121" t="s">
        <v>72</v>
      </c>
      <c r="B42" s="122"/>
      <c r="C42" s="122"/>
      <c r="D42" s="122"/>
      <c r="E42" s="123"/>
      <c r="F42" s="21">
        <f>SUM('Stavební rozpočet'!BT12:BT269)</f>
        <v>0</v>
      </c>
      <c r="G42" s="22" t="s">
        <v>4</v>
      </c>
      <c r="H42" s="22" t="s">
        <v>4</v>
      </c>
      <c r="I42" s="21">
        <f t="shared" si="1"/>
        <v>0</v>
      </c>
    </row>
    <row r="43" spans="1:9">
      <c r="A43" s="121" t="s">
        <v>73</v>
      </c>
      <c r="B43" s="122"/>
      <c r="C43" s="122"/>
      <c r="D43" s="122"/>
      <c r="E43" s="123"/>
      <c r="F43" s="21">
        <f>SUM('Stavební rozpočet'!BU12:BU269)</f>
        <v>0</v>
      </c>
      <c r="G43" s="22" t="s">
        <v>4</v>
      </c>
      <c r="H43" s="22" t="s">
        <v>4</v>
      </c>
      <c r="I43" s="21">
        <f t="shared" si="1"/>
        <v>0</v>
      </c>
    </row>
    <row r="44" spans="1:9">
      <c r="A44" s="124" t="s">
        <v>74</v>
      </c>
      <c r="B44" s="125"/>
      <c r="C44" s="125"/>
      <c r="D44" s="125"/>
      <c r="E44" s="126"/>
      <c r="F44" s="23">
        <f>SUM('Stavební rozpočet'!BV12:BV269)</f>
        <v>0</v>
      </c>
      <c r="G44" s="24" t="s">
        <v>4</v>
      </c>
      <c r="H44" s="24" t="s">
        <v>4</v>
      </c>
      <c r="I44" s="23">
        <f t="shared" si="1"/>
        <v>0</v>
      </c>
    </row>
    <row r="45" spans="1:9">
      <c r="A45" s="127" t="s">
        <v>75</v>
      </c>
      <c r="B45" s="128"/>
      <c r="C45" s="128"/>
      <c r="D45" s="128"/>
      <c r="E45" s="129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F7A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272"/>
  <sheetViews>
    <sheetView workbookViewId="0">
      <pane ySplit="11" topLeftCell="A12" activePane="bottomLeft" state="frozen"/>
      <selection pane="bottomLeft" activeCell="G8" sqref="G8:G9"/>
    </sheetView>
  </sheetViews>
  <sheetFormatPr defaultColWidth="12.140625" defaultRowHeight="15" customHeight="1"/>
  <cols>
    <col min="1" max="1" width="3.140625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8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>
      <c r="A2" s="67" t="s">
        <v>1</v>
      </c>
      <c r="B2" s="68"/>
      <c r="C2" s="76" t="s">
        <v>77</v>
      </c>
      <c r="D2" s="77"/>
      <c r="E2" s="68" t="s">
        <v>78</v>
      </c>
      <c r="F2" s="68"/>
      <c r="G2" s="138" t="s">
        <v>79</v>
      </c>
      <c r="H2" s="74" t="s">
        <v>2</v>
      </c>
      <c r="I2" s="68" t="s">
        <v>80</v>
      </c>
      <c r="J2" s="79"/>
    </row>
    <row r="3" spans="1:76">
      <c r="A3" s="69"/>
      <c r="B3" s="70"/>
      <c r="C3" s="78"/>
      <c r="D3" s="78"/>
      <c r="E3" s="70"/>
      <c r="F3" s="70"/>
      <c r="G3" s="139"/>
      <c r="H3" s="70"/>
      <c r="I3" s="70"/>
      <c r="J3" s="80"/>
    </row>
    <row r="4" spans="1:76">
      <c r="A4" s="71" t="s">
        <v>5</v>
      </c>
      <c r="B4" s="70"/>
      <c r="C4" s="75" t="s">
        <v>81</v>
      </c>
      <c r="D4" s="70"/>
      <c r="E4" s="70" t="s">
        <v>9</v>
      </c>
      <c r="F4" s="70"/>
      <c r="G4" s="139" t="s">
        <v>79</v>
      </c>
      <c r="H4" s="75" t="s">
        <v>6</v>
      </c>
      <c r="I4" s="70" t="s">
        <v>80</v>
      </c>
      <c r="J4" s="80"/>
    </row>
    <row r="5" spans="1:76">
      <c r="A5" s="69"/>
      <c r="B5" s="70"/>
      <c r="C5" s="70"/>
      <c r="D5" s="70"/>
      <c r="E5" s="70"/>
      <c r="F5" s="70"/>
      <c r="G5" s="139"/>
      <c r="H5" s="70"/>
      <c r="I5" s="70"/>
      <c r="J5" s="80"/>
    </row>
    <row r="6" spans="1:76">
      <c r="A6" s="71" t="s">
        <v>7</v>
      </c>
      <c r="B6" s="70"/>
      <c r="C6" s="75" t="s">
        <v>79</v>
      </c>
      <c r="D6" s="70"/>
      <c r="E6" s="70" t="s">
        <v>10</v>
      </c>
      <c r="F6" s="70"/>
      <c r="G6" s="139" t="s">
        <v>79</v>
      </c>
      <c r="H6" s="75" t="s">
        <v>8</v>
      </c>
      <c r="I6" s="139" t="s">
        <v>80</v>
      </c>
      <c r="J6" s="141"/>
    </row>
    <row r="7" spans="1:76">
      <c r="A7" s="69"/>
      <c r="B7" s="70"/>
      <c r="C7" s="70"/>
      <c r="D7" s="70"/>
      <c r="E7" s="70"/>
      <c r="F7" s="70"/>
      <c r="G7" s="139"/>
      <c r="H7" s="70"/>
      <c r="I7" s="139"/>
      <c r="J7" s="141"/>
    </row>
    <row r="8" spans="1:76">
      <c r="A8" s="71" t="s">
        <v>12</v>
      </c>
      <c r="B8" s="70"/>
      <c r="C8" s="75" t="s">
        <v>79</v>
      </c>
      <c r="D8" s="70"/>
      <c r="E8" s="70" t="s">
        <v>82</v>
      </c>
      <c r="F8" s="70"/>
      <c r="G8" s="139"/>
      <c r="H8" s="75" t="s">
        <v>13</v>
      </c>
      <c r="I8" s="139" t="s">
        <v>80</v>
      </c>
      <c r="J8" s="141"/>
    </row>
    <row r="9" spans="1:76">
      <c r="A9" s="136"/>
      <c r="B9" s="137"/>
      <c r="C9" s="137"/>
      <c r="D9" s="137"/>
      <c r="E9" s="137"/>
      <c r="F9" s="137"/>
      <c r="G9" s="140"/>
      <c r="H9" s="137"/>
      <c r="I9" s="142"/>
      <c r="J9" s="143"/>
    </row>
    <row r="10" spans="1:76">
      <c r="A10" s="29" t="s">
        <v>83</v>
      </c>
      <c r="B10" s="30" t="s">
        <v>84</v>
      </c>
      <c r="C10" s="144" t="s">
        <v>85</v>
      </c>
      <c r="D10" s="145"/>
      <c r="E10" s="30" t="s">
        <v>86</v>
      </c>
      <c r="F10" s="31" t="s">
        <v>87</v>
      </c>
      <c r="G10" s="32" t="s">
        <v>88</v>
      </c>
      <c r="H10" s="33" t="s">
        <v>89</v>
      </c>
      <c r="J10" s="34"/>
      <c r="BK10" s="35" t="s">
        <v>90</v>
      </c>
      <c r="BL10" s="36" t="s">
        <v>91</v>
      </c>
      <c r="BW10" s="36" t="s">
        <v>92</v>
      </c>
    </row>
    <row r="11" spans="1:76">
      <c r="A11" s="37" t="s">
        <v>79</v>
      </c>
      <c r="B11" s="38" t="s">
        <v>79</v>
      </c>
      <c r="C11" s="146" t="s">
        <v>93</v>
      </c>
      <c r="D11" s="147"/>
      <c r="E11" s="38" t="s">
        <v>79</v>
      </c>
      <c r="F11" s="38" t="s">
        <v>79</v>
      </c>
      <c r="G11" s="39" t="s">
        <v>94</v>
      </c>
      <c r="H11" s="40" t="s">
        <v>95</v>
      </c>
      <c r="J11" s="41"/>
      <c r="Z11" s="35" t="s">
        <v>96</v>
      </c>
      <c r="AA11" s="35" t="s">
        <v>97</v>
      </c>
      <c r="AB11" s="35" t="s">
        <v>98</v>
      </c>
      <c r="AC11" s="35" t="s">
        <v>99</v>
      </c>
      <c r="AD11" s="35" t="s">
        <v>100</v>
      </c>
      <c r="AE11" s="35" t="s">
        <v>101</v>
      </c>
      <c r="AF11" s="35" t="s">
        <v>102</v>
      </c>
      <c r="AG11" s="35" t="s">
        <v>103</v>
      </c>
      <c r="AH11" s="35" t="s">
        <v>104</v>
      </c>
      <c r="BH11" s="35" t="s">
        <v>105</v>
      </c>
      <c r="BI11" s="35" t="s">
        <v>106</v>
      </c>
      <c r="BJ11" s="35" t="s">
        <v>107</v>
      </c>
    </row>
    <row r="12" spans="1:76">
      <c r="A12" s="42" t="s">
        <v>4</v>
      </c>
      <c r="B12" s="43" t="s">
        <v>4</v>
      </c>
      <c r="C12" s="148" t="s">
        <v>108</v>
      </c>
      <c r="D12" s="149"/>
      <c r="E12" s="44" t="s">
        <v>79</v>
      </c>
      <c r="F12" s="44" t="s">
        <v>79</v>
      </c>
      <c r="G12" s="45" t="s">
        <v>79</v>
      </c>
      <c r="H12" s="46">
        <f>H13+H28+H68+H75+H84+H104+H106+H118+H129+H141+H164+H168+H170+H185+H201+H221+H226+H242+H249+H259+H266+H268</f>
        <v>0</v>
      </c>
      <c r="J12" s="41"/>
    </row>
    <row r="13" spans="1:76">
      <c r="A13" s="47" t="s">
        <v>4</v>
      </c>
      <c r="B13" s="48" t="s">
        <v>109</v>
      </c>
      <c r="C13" s="150" t="s">
        <v>110</v>
      </c>
      <c r="D13" s="151"/>
      <c r="E13" s="49" t="s">
        <v>79</v>
      </c>
      <c r="F13" s="49" t="s">
        <v>79</v>
      </c>
      <c r="G13" s="50" t="s">
        <v>79</v>
      </c>
      <c r="H13" s="28">
        <f>SUM(H14:H26)</f>
        <v>0</v>
      </c>
      <c r="J13" s="41"/>
      <c r="AI13" s="35" t="s">
        <v>4</v>
      </c>
      <c r="AS13" s="28">
        <f>SUM(AJ14:AJ26)</f>
        <v>0</v>
      </c>
      <c r="AT13" s="28">
        <f>SUM(AK14:AK26)</f>
        <v>0</v>
      </c>
      <c r="AU13" s="28">
        <f>SUM(AL14:AL26)</f>
        <v>0</v>
      </c>
    </row>
    <row r="14" spans="1:76">
      <c r="A14" s="1" t="s">
        <v>111</v>
      </c>
      <c r="B14" s="2" t="s">
        <v>112</v>
      </c>
      <c r="C14" s="75" t="s">
        <v>113</v>
      </c>
      <c r="D14" s="70"/>
      <c r="E14" s="2" t="s">
        <v>114</v>
      </c>
      <c r="F14" s="51">
        <v>3</v>
      </c>
      <c r="G14" s="52">
        <v>0</v>
      </c>
      <c r="H14" s="51">
        <f>F14*G14</f>
        <v>0</v>
      </c>
      <c r="J14" s="41"/>
      <c r="Z14" s="51">
        <f>IF(AQ14="5",BJ14,0)</f>
        <v>0</v>
      </c>
      <c r="AB14" s="51">
        <f>IF(AQ14="1",BH14,0)</f>
        <v>0</v>
      </c>
      <c r="AC14" s="51">
        <f>IF(AQ14="1",BI14,0)</f>
        <v>0</v>
      </c>
      <c r="AD14" s="51">
        <f>IF(AQ14="7",BH14,0)</f>
        <v>0</v>
      </c>
      <c r="AE14" s="51">
        <f>IF(AQ14="7",BI14,0)</f>
        <v>0</v>
      </c>
      <c r="AF14" s="51">
        <f>IF(AQ14="2",BH14,0)</f>
        <v>0</v>
      </c>
      <c r="AG14" s="51">
        <f>IF(AQ14="2",BI14,0)</f>
        <v>0</v>
      </c>
      <c r="AH14" s="51">
        <f>IF(AQ14="0",BJ14,0)</f>
        <v>0</v>
      </c>
      <c r="AI14" s="35" t="s">
        <v>4</v>
      </c>
      <c r="AJ14" s="51">
        <f>IF(AN14=0,H14,0)</f>
        <v>0</v>
      </c>
      <c r="AK14" s="51">
        <f>IF(AN14=12,H14,0)</f>
        <v>0</v>
      </c>
      <c r="AL14" s="51">
        <f>IF(AN14=21,H14,0)</f>
        <v>0</v>
      </c>
      <c r="AN14" s="51">
        <v>12</v>
      </c>
      <c r="AO14" s="51">
        <f>G14*0.549716841</f>
        <v>0</v>
      </c>
      <c r="AP14" s="51">
        <f>G14*(1-0.549716841)</f>
        <v>0</v>
      </c>
      <c r="AQ14" s="53" t="s">
        <v>111</v>
      </c>
      <c r="AV14" s="51">
        <f>AW14+AX14</f>
        <v>0</v>
      </c>
      <c r="AW14" s="51">
        <f>F14*AO14</f>
        <v>0</v>
      </c>
      <c r="AX14" s="51">
        <f>F14*AP14</f>
        <v>0</v>
      </c>
      <c r="AY14" s="53" t="s">
        <v>115</v>
      </c>
      <c r="AZ14" s="53" t="s">
        <v>116</v>
      </c>
      <c r="BA14" s="35" t="s">
        <v>117</v>
      </c>
      <c r="BC14" s="51">
        <f>AW14+AX14</f>
        <v>0</v>
      </c>
      <c r="BD14" s="51">
        <f>G14/(100-BE14)*100</f>
        <v>0</v>
      </c>
      <c r="BE14" s="51">
        <v>0</v>
      </c>
      <c r="BF14" s="51">
        <f>14</f>
        <v>14</v>
      </c>
      <c r="BH14" s="51">
        <f>F14*AO14</f>
        <v>0</v>
      </c>
      <c r="BI14" s="51">
        <f>F14*AP14</f>
        <v>0</v>
      </c>
      <c r="BJ14" s="51">
        <f>F14*G14</f>
        <v>0</v>
      </c>
      <c r="BK14" s="51"/>
      <c r="BL14" s="51">
        <v>34</v>
      </c>
      <c r="BW14" s="51">
        <v>12</v>
      </c>
      <c r="BX14" s="3" t="s">
        <v>113</v>
      </c>
    </row>
    <row r="15" spans="1:76">
      <c r="A15" s="54"/>
      <c r="C15" s="55" t="s">
        <v>118</v>
      </c>
      <c r="D15" s="56" t="s">
        <v>119</v>
      </c>
      <c r="F15" s="57">
        <v>3</v>
      </c>
      <c r="J15" s="41"/>
    </row>
    <row r="16" spans="1:76">
      <c r="A16" s="1" t="s">
        <v>120</v>
      </c>
      <c r="B16" s="2" t="s">
        <v>121</v>
      </c>
      <c r="C16" s="75" t="s">
        <v>122</v>
      </c>
      <c r="D16" s="70"/>
      <c r="E16" s="2" t="s">
        <v>114</v>
      </c>
      <c r="F16" s="51">
        <v>2.64</v>
      </c>
      <c r="G16" s="52">
        <v>0</v>
      </c>
      <c r="H16" s="51">
        <f>F16*G16</f>
        <v>0</v>
      </c>
      <c r="J16" s="41"/>
      <c r="Z16" s="51">
        <f>IF(AQ16="5",BJ16,0)</f>
        <v>0</v>
      </c>
      <c r="AB16" s="51">
        <f>IF(AQ16="1",BH16,0)</f>
        <v>0</v>
      </c>
      <c r="AC16" s="51">
        <f>IF(AQ16="1",BI16,0)</f>
        <v>0</v>
      </c>
      <c r="AD16" s="51">
        <f>IF(AQ16="7",BH16,0)</f>
        <v>0</v>
      </c>
      <c r="AE16" s="51">
        <f>IF(AQ16="7",BI16,0)</f>
        <v>0</v>
      </c>
      <c r="AF16" s="51">
        <f>IF(AQ16="2",BH16,0)</f>
        <v>0</v>
      </c>
      <c r="AG16" s="51">
        <f>IF(AQ16="2",BI16,0)</f>
        <v>0</v>
      </c>
      <c r="AH16" s="51">
        <f>IF(AQ16="0",BJ16,0)</f>
        <v>0</v>
      </c>
      <c r="AI16" s="35" t="s">
        <v>4</v>
      </c>
      <c r="AJ16" s="51">
        <f>IF(AN16=0,H16,0)</f>
        <v>0</v>
      </c>
      <c r="AK16" s="51">
        <f>IF(AN16=12,H16,0)</f>
        <v>0</v>
      </c>
      <c r="AL16" s="51">
        <f>IF(AN16=21,H16,0)</f>
        <v>0</v>
      </c>
      <c r="AN16" s="51">
        <v>12</v>
      </c>
      <c r="AO16" s="51">
        <f>G16*0.632838542</f>
        <v>0</v>
      </c>
      <c r="AP16" s="51">
        <f>G16*(1-0.632838542)</f>
        <v>0</v>
      </c>
      <c r="AQ16" s="53" t="s">
        <v>111</v>
      </c>
      <c r="AV16" s="51">
        <f>AW16+AX16</f>
        <v>0</v>
      </c>
      <c r="AW16" s="51">
        <f>F16*AO16</f>
        <v>0</v>
      </c>
      <c r="AX16" s="51">
        <f>F16*AP16</f>
        <v>0</v>
      </c>
      <c r="AY16" s="53" t="s">
        <v>115</v>
      </c>
      <c r="AZ16" s="53" t="s">
        <v>116</v>
      </c>
      <c r="BA16" s="35" t="s">
        <v>117</v>
      </c>
      <c r="BC16" s="51">
        <f>AW16+AX16</f>
        <v>0</v>
      </c>
      <c r="BD16" s="51">
        <f>G16/(100-BE16)*100</f>
        <v>0</v>
      </c>
      <c r="BE16" s="51">
        <v>0</v>
      </c>
      <c r="BF16" s="51">
        <f>16</f>
        <v>16</v>
      </c>
      <c r="BH16" s="51">
        <f>F16*AO16</f>
        <v>0</v>
      </c>
      <c r="BI16" s="51">
        <f>F16*AP16</f>
        <v>0</v>
      </c>
      <c r="BJ16" s="51">
        <f>F16*G16</f>
        <v>0</v>
      </c>
      <c r="BK16" s="51"/>
      <c r="BL16" s="51">
        <v>34</v>
      </c>
      <c r="BW16" s="51">
        <v>12</v>
      </c>
      <c r="BX16" s="3" t="s">
        <v>122</v>
      </c>
    </row>
    <row r="17" spans="1:76">
      <c r="A17" s="54"/>
      <c r="C17" s="55" t="s">
        <v>123</v>
      </c>
      <c r="D17" s="56" t="s">
        <v>124</v>
      </c>
      <c r="F17" s="57">
        <v>2.64</v>
      </c>
      <c r="J17" s="41"/>
    </row>
    <row r="18" spans="1:76">
      <c r="A18" s="1" t="s">
        <v>125</v>
      </c>
      <c r="B18" s="2" t="s">
        <v>126</v>
      </c>
      <c r="C18" s="75" t="s">
        <v>127</v>
      </c>
      <c r="D18" s="70"/>
      <c r="E18" s="2" t="s">
        <v>114</v>
      </c>
      <c r="F18" s="51">
        <v>13.206</v>
      </c>
      <c r="G18" s="52">
        <v>0</v>
      </c>
      <c r="H18" s="51">
        <f>F18*G18</f>
        <v>0</v>
      </c>
      <c r="J18" s="41"/>
      <c r="Z18" s="51">
        <f>IF(AQ18="5",BJ18,0)</f>
        <v>0</v>
      </c>
      <c r="AB18" s="51">
        <f>IF(AQ18="1",BH18,0)</f>
        <v>0</v>
      </c>
      <c r="AC18" s="51">
        <f>IF(AQ18="1",BI18,0)</f>
        <v>0</v>
      </c>
      <c r="AD18" s="51">
        <f>IF(AQ18="7",BH18,0)</f>
        <v>0</v>
      </c>
      <c r="AE18" s="51">
        <f>IF(AQ18="7",BI18,0)</f>
        <v>0</v>
      </c>
      <c r="AF18" s="51">
        <f>IF(AQ18="2",BH18,0)</f>
        <v>0</v>
      </c>
      <c r="AG18" s="51">
        <f>IF(AQ18="2",BI18,0)</f>
        <v>0</v>
      </c>
      <c r="AH18" s="51">
        <f>IF(AQ18="0",BJ18,0)</f>
        <v>0</v>
      </c>
      <c r="AI18" s="35" t="s">
        <v>4</v>
      </c>
      <c r="AJ18" s="51">
        <f>IF(AN18=0,H18,0)</f>
        <v>0</v>
      </c>
      <c r="AK18" s="51">
        <f>IF(AN18=12,H18,0)</f>
        <v>0</v>
      </c>
      <c r="AL18" s="51">
        <f>IF(AN18=21,H18,0)</f>
        <v>0</v>
      </c>
      <c r="AN18" s="51">
        <v>12</v>
      </c>
      <c r="AO18" s="51">
        <f>G18*0.649358058</f>
        <v>0</v>
      </c>
      <c r="AP18" s="51">
        <f>G18*(1-0.649358058)</f>
        <v>0</v>
      </c>
      <c r="AQ18" s="53" t="s">
        <v>111</v>
      </c>
      <c r="AV18" s="51">
        <f>AW18+AX18</f>
        <v>0</v>
      </c>
      <c r="AW18" s="51">
        <f>F18*AO18</f>
        <v>0</v>
      </c>
      <c r="AX18" s="51">
        <f>F18*AP18</f>
        <v>0</v>
      </c>
      <c r="AY18" s="53" t="s">
        <v>115</v>
      </c>
      <c r="AZ18" s="53" t="s">
        <v>116</v>
      </c>
      <c r="BA18" s="35" t="s">
        <v>117</v>
      </c>
      <c r="BC18" s="51">
        <f>AW18+AX18</f>
        <v>0</v>
      </c>
      <c r="BD18" s="51">
        <f>G18/(100-BE18)*100</f>
        <v>0</v>
      </c>
      <c r="BE18" s="51">
        <v>0</v>
      </c>
      <c r="BF18" s="51">
        <f>18</f>
        <v>18</v>
      </c>
      <c r="BH18" s="51">
        <f>F18*AO18</f>
        <v>0</v>
      </c>
      <c r="BI18" s="51">
        <f>F18*AP18</f>
        <v>0</v>
      </c>
      <c r="BJ18" s="51">
        <f>F18*G18</f>
        <v>0</v>
      </c>
      <c r="BK18" s="51"/>
      <c r="BL18" s="51">
        <v>34</v>
      </c>
      <c r="BW18" s="51">
        <v>12</v>
      </c>
      <c r="BX18" s="3" t="s">
        <v>127</v>
      </c>
    </row>
    <row r="19" spans="1:76">
      <c r="A19" s="54"/>
      <c r="C19" s="55" t="s">
        <v>128</v>
      </c>
      <c r="D19" s="56" t="s">
        <v>129</v>
      </c>
      <c r="F19" s="57">
        <v>5.81</v>
      </c>
      <c r="J19" s="41"/>
    </row>
    <row r="20" spans="1:76">
      <c r="A20" s="54"/>
      <c r="C20" s="55" t="s">
        <v>130</v>
      </c>
      <c r="D20" s="56" t="s">
        <v>131</v>
      </c>
      <c r="F20" s="57">
        <v>7.3959999999999999</v>
      </c>
      <c r="J20" s="41"/>
    </row>
    <row r="21" spans="1:76">
      <c r="A21" s="1" t="s">
        <v>132</v>
      </c>
      <c r="B21" s="2" t="s">
        <v>133</v>
      </c>
      <c r="C21" s="75" t="s">
        <v>134</v>
      </c>
      <c r="D21" s="70"/>
      <c r="E21" s="2" t="s">
        <v>135</v>
      </c>
      <c r="F21" s="51">
        <v>2</v>
      </c>
      <c r="G21" s="52">
        <v>0</v>
      </c>
      <c r="H21" s="51">
        <f>F21*G21</f>
        <v>0</v>
      </c>
      <c r="J21" s="41"/>
      <c r="Z21" s="51">
        <f>IF(AQ21="5",BJ21,0)</f>
        <v>0</v>
      </c>
      <c r="AB21" s="51">
        <f>IF(AQ21="1",BH21,0)</f>
        <v>0</v>
      </c>
      <c r="AC21" s="51">
        <f>IF(AQ21="1",BI21,0)</f>
        <v>0</v>
      </c>
      <c r="AD21" s="51">
        <f>IF(AQ21="7",BH21,0)</f>
        <v>0</v>
      </c>
      <c r="AE21" s="51">
        <f>IF(AQ21="7",BI21,0)</f>
        <v>0</v>
      </c>
      <c r="AF21" s="51">
        <f>IF(AQ21="2",BH21,0)</f>
        <v>0</v>
      </c>
      <c r="AG21" s="51">
        <f>IF(AQ21="2",BI21,0)</f>
        <v>0</v>
      </c>
      <c r="AH21" s="51">
        <f>IF(AQ21="0",BJ21,0)</f>
        <v>0</v>
      </c>
      <c r="AI21" s="35" t="s">
        <v>4</v>
      </c>
      <c r="AJ21" s="51">
        <f>IF(AN21=0,H21,0)</f>
        <v>0</v>
      </c>
      <c r="AK21" s="51">
        <f>IF(AN21=12,H21,0)</f>
        <v>0</v>
      </c>
      <c r="AL21" s="51">
        <f>IF(AN21=21,H21,0)</f>
        <v>0</v>
      </c>
      <c r="AN21" s="51">
        <v>12</v>
      </c>
      <c r="AO21" s="51">
        <f>G21*0.863109072</f>
        <v>0</v>
      </c>
      <c r="AP21" s="51">
        <f>G21*(1-0.863109072)</f>
        <v>0</v>
      </c>
      <c r="AQ21" s="53" t="s">
        <v>111</v>
      </c>
      <c r="AV21" s="51">
        <f>AW21+AX21</f>
        <v>0</v>
      </c>
      <c r="AW21" s="51">
        <f>F21*AO21</f>
        <v>0</v>
      </c>
      <c r="AX21" s="51">
        <f>F21*AP21</f>
        <v>0</v>
      </c>
      <c r="AY21" s="53" t="s">
        <v>115</v>
      </c>
      <c r="AZ21" s="53" t="s">
        <v>116</v>
      </c>
      <c r="BA21" s="35" t="s">
        <v>117</v>
      </c>
      <c r="BC21" s="51">
        <f>AW21+AX21</f>
        <v>0</v>
      </c>
      <c r="BD21" s="51">
        <f>G21/(100-BE21)*100</f>
        <v>0</v>
      </c>
      <c r="BE21" s="51">
        <v>0</v>
      </c>
      <c r="BF21" s="51">
        <f>21</f>
        <v>21</v>
      </c>
      <c r="BH21" s="51">
        <f>F21*AO21</f>
        <v>0</v>
      </c>
      <c r="BI21" s="51">
        <f>F21*AP21</f>
        <v>0</v>
      </c>
      <c r="BJ21" s="51">
        <f>F21*G21</f>
        <v>0</v>
      </c>
      <c r="BK21" s="51"/>
      <c r="BL21" s="51">
        <v>34</v>
      </c>
      <c r="BW21" s="51">
        <v>12</v>
      </c>
      <c r="BX21" s="3" t="s">
        <v>134</v>
      </c>
    </row>
    <row r="22" spans="1:76" ht="13.5" customHeight="1">
      <c r="A22" s="54"/>
      <c r="B22" s="58" t="s">
        <v>136</v>
      </c>
      <c r="C22" s="152" t="s">
        <v>137</v>
      </c>
      <c r="D22" s="153"/>
      <c r="E22" s="153"/>
      <c r="F22" s="153"/>
      <c r="G22" s="154"/>
      <c r="H22" s="153"/>
      <c r="I22" s="153"/>
      <c r="J22" s="155"/>
    </row>
    <row r="23" spans="1:76">
      <c r="A23" s="1" t="s">
        <v>138</v>
      </c>
      <c r="B23" s="2" t="s">
        <v>139</v>
      </c>
      <c r="C23" s="75" t="s">
        <v>140</v>
      </c>
      <c r="D23" s="70"/>
      <c r="E23" s="2" t="s">
        <v>141</v>
      </c>
      <c r="F23" s="51">
        <v>7.56</v>
      </c>
      <c r="G23" s="52">
        <v>0</v>
      </c>
      <c r="H23" s="51">
        <f>F23*G23</f>
        <v>0</v>
      </c>
      <c r="J23" s="41"/>
      <c r="Z23" s="51">
        <f>IF(AQ23="5",BJ23,0)</f>
        <v>0</v>
      </c>
      <c r="AB23" s="51">
        <f>IF(AQ23="1",BH23,0)</f>
        <v>0</v>
      </c>
      <c r="AC23" s="51">
        <f>IF(AQ23="1",BI23,0)</f>
        <v>0</v>
      </c>
      <c r="AD23" s="51">
        <f>IF(AQ23="7",BH23,0)</f>
        <v>0</v>
      </c>
      <c r="AE23" s="51">
        <f>IF(AQ23="7",BI23,0)</f>
        <v>0</v>
      </c>
      <c r="AF23" s="51">
        <f>IF(AQ23="2",BH23,0)</f>
        <v>0</v>
      </c>
      <c r="AG23" s="51">
        <f>IF(AQ23="2",BI23,0)</f>
        <v>0</v>
      </c>
      <c r="AH23" s="51">
        <f>IF(AQ23="0",BJ23,0)</f>
        <v>0</v>
      </c>
      <c r="AI23" s="35" t="s">
        <v>4</v>
      </c>
      <c r="AJ23" s="51">
        <f>IF(AN23=0,H23,0)</f>
        <v>0</v>
      </c>
      <c r="AK23" s="51">
        <f>IF(AN23=12,H23,0)</f>
        <v>0</v>
      </c>
      <c r="AL23" s="51">
        <f>IF(AN23=21,H23,0)</f>
        <v>0</v>
      </c>
      <c r="AN23" s="51">
        <v>12</v>
      </c>
      <c r="AO23" s="51">
        <f>G23*0.18277551</f>
        <v>0</v>
      </c>
      <c r="AP23" s="51">
        <f>G23*(1-0.18277551)</f>
        <v>0</v>
      </c>
      <c r="AQ23" s="53" t="s">
        <v>111</v>
      </c>
      <c r="AV23" s="51">
        <f>AW23+AX23</f>
        <v>0</v>
      </c>
      <c r="AW23" s="51">
        <f>F23*AO23</f>
        <v>0</v>
      </c>
      <c r="AX23" s="51">
        <f>F23*AP23</f>
        <v>0</v>
      </c>
      <c r="AY23" s="53" t="s">
        <v>115</v>
      </c>
      <c r="AZ23" s="53" t="s">
        <v>116</v>
      </c>
      <c r="BA23" s="35" t="s">
        <v>117</v>
      </c>
      <c r="BC23" s="51">
        <f>AW23+AX23</f>
        <v>0</v>
      </c>
      <c r="BD23" s="51">
        <f>G23/(100-BE23)*100</f>
        <v>0</v>
      </c>
      <c r="BE23" s="51">
        <v>0</v>
      </c>
      <c r="BF23" s="51">
        <f>23</f>
        <v>23</v>
      </c>
      <c r="BH23" s="51">
        <f>F23*AO23</f>
        <v>0</v>
      </c>
      <c r="BI23" s="51">
        <f>F23*AP23</f>
        <v>0</v>
      </c>
      <c r="BJ23" s="51">
        <f>F23*G23</f>
        <v>0</v>
      </c>
      <c r="BK23" s="51"/>
      <c r="BL23" s="51">
        <v>34</v>
      </c>
      <c r="BW23" s="51">
        <v>12</v>
      </c>
      <c r="BX23" s="3" t="s">
        <v>140</v>
      </c>
    </row>
    <row r="24" spans="1:76">
      <c r="A24" s="54"/>
      <c r="C24" s="55" t="s">
        <v>142</v>
      </c>
      <c r="D24" s="56" t="s">
        <v>4</v>
      </c>
      <c r="F24" s="57">
        <v>1.25</v>
      </c>
      <c r="J24" s="41"/>
    </row>
    <row r="25" spans="1:76">
      <c r="A25" s="54"/>
      <c r="C25" s="55" t="s">
        <v>143</v>
      </c>
      <c r="D25" s="56" t="s">
        <v>4</v>
      </c>
      <c r="F25" s="57">
        <v>6.31</v>
      </c>
      <c r="J25" s="41"/>
    </row>
    <row r="26" spans="1:76">
      <c r="A26" s="1" t="s">
        <v>144</v>
      </c>
      <c r="B26" s="2" t="s">
        <v>145</v>
      </c>
      <c r="C26" s="75" t="s">
        <v>146</v>
      </c>
      <c r="D26" s="70"/>
      <c r="E26" s="2" t="s">
        <v>141</v>
      </c>
      <c r="F26" s="51">
        <v>10.4</v>
      </c>
      <c r="G26" s="52">
        <v>0</v>
      </c>
      <c r="H26" s="51">
        <f>F26*G26</f>
        <v>0</v>
      </c>
      <c r="J26" s="41"/>
      <c r="Z26" s="51">
        <f>IF(AQ26="5",BJ26,0)</f>
        <v>0</v>
      </c>
      <c r="AB26" s="51">
        <f>IF(AQ26="1",BH26,0)</f>
        <v>0</v>
      </c>
      <c r="AC26" s="51">
        <f>IF(AQ26="1",BI26,0)</f>
        <v>0</v>
      </c>
      <c r="AD26" s="51">
        <f>IF(AQ26="7",BH26,0)</f>
        <v>0</v>
      </c>
      <c r="AE26" s="51">
        <f>IF(AQ26="7",BI26,0)</f>
        <v>0</v>
      </c>
      <c r="AF26" s="51">
        <f>IF(AQ26="2",BH26,0)</f>
        <v>0</v>
      </c>
      <c r="AG26" s="51">
        <f>IF(AQ26="2",BI26,0)</f>
        <v>0</v>
      </c>
      <c r="AH26" s="51">
        <f>IF(AQ26="0",BJ26,0)</f>
        <v>0</v>
      </c>
      <c r="AI26" s="35" t="s">
        <v>4</v>
      </c>
      <c r="AJ26" s="51">
        <f>IF(AN26=0,H26,0)</f>
        <v>0</v>
      </c>
      <c r="AK26" s="51">
        <f>IF(AN26=12,H26,0)</f>
        <v>0</v>
      </c>
      <c r="AL26" s="51">
        <f>IF(AN26=21,H26,0)</f>
        <v>0</v>
      </c>
      <c r="AN26" s="51">
        <v>12</v>
      </c>
      <c r="AO26" s="51">
        <f>G26*0.211238095</f>
        <v>0</v>
      </c>
      <c r="AP26" s="51">
        <f>G26*(1-0.211238095)</f>
        <v>0</v>
      </c>
      <c r="AQ26" s="53" t="s">
        <v>111</v>
      </c>
      <c r="AV26" s="51">
        <f>AW26+AX26</f>
        <v>0</v>
      </c>
      <c r="AW26" s="51">
        <f>F26*AO26</f>
        <v>0</v>
      </c>
      <c r="AX26" s="51">
        <f>F26*AP26</f>
        <v>0</v>
      </c>
      <c r="AY26" s="53" t="s">
        <v>115</v>
      </c>
      <c r="AZ26" s="53" t="s">
        <v>116</v>
      </c>
      <c r="BA26" s="35" t="s">
        <v>117</v>
      </c>
      <c r="BC26" s="51">
        <f>AW26+AX26</f>
        <v>0</v>
      </c>
      <c r="BD26" s="51">
        <f>G26/(100-BE26)*100</f>
        <v>0</v>
      </c>
      <c r="BE26" s="51">
        <v>0</v>
      </c>
      <c r="BF26" s="51">
        <f>26</f>
        <v>26</v>
      </c>
      <c r="BH26" s="51">
        <f>F26*AO26</f>
        <v>0</v>
      </c>
      <c r="BI26" s="51">
        <f>F26*AP26</f>
        <v>0</v>
      </c>
      <c r="BJ26" s="51">
        <f>F26*G26</f>
        <v>0</v>
      </c>
      <c r="BK26" s="51"/>
      <c r="BL26" s="51">
        <v>34</v>
      </c>
      <c r="BW26" s="51">
        <v>12</v>
      </c>
      <c r="BX26" s="3" t="s">
        <v>146</v>
      </c>
    </row>
    <row r="27" spans="1:76">
      <c r="A27" s="54"/>
      <c r="C27" s="55" t="s">
        <v>147</v>
      </c>
      <c r="D27" s="56" t="s">
        <v>4</v>
      </c>
      <c r="F27" s="57">
        <v>10.4</v>
      </c>
      <c r="J27" s="41"/>
    </row>
    <row r="28" spans="1:76">
      <c r="A28" s="47" t="s">
        <v>4</v>
      </c>
      <c r="B28" s="48" t="s">
        <v>148</v>
      </c>
      <c r="C28" s="150" t="s">
        <v>149</v>
      </c>
      <c r="D28" s="151"/>
      <c r="E28" s="49" t="s">
        <v>79</v>
      </c>
      <c r="F28" s="49" t="s">
        <v>79</v>
      </c>
      <c r="G28" s="50" t="s">
        <v>79</v>
      </c>
      <c r="H28" s="28">
        <f>SUM(H29:H65)</f>
        <v>0</v>
      </c>
      <c r="J28" s="41"/>
      <c r="AI28" s="35" t="s">
        <v>4</v>
      </c>
      <c r="AS28" s="28">
        <f>SUM(AJ29:AJ65)</f>
        <v>0</v>
      </c>
      <c r="AT28" s="28">
        <f>SUM(AK29:AK65)</f>
        <v>0</v>
      </c>
      <c r="AU28" s="28">
        <f>SUM(AL29:AL65)</f>
        <v>0</v>
      </c>
    </row>
    <row r="29" spans="1:76">
      <c r="A29" s="1" t="s">
        <v>150</v>
      </c>
      <c r="B29" s="2" t="s">
        <v>151</v>
      </c>
      <c r="C29" s="75" t="s">
        <v>152</v>
      </c>
      <c r="D29" s="70"/>
      <c r="E29" s="2" t="s">
        <v>114</v>
      </c>
      <c r="F29" s="51">
        <v>40.43</v>
      </c>
      <c r="G29" s="52">
        <v>0</v>
      </c>
      <c r="H29" s="51">
        <f>F29*G29</f>
        <v>0</v>
      </c>
      <c r="J29" s="41"/>
      <c r="Z29" s="51">
        <f>IF(AQ29="5",BJ29,0)</f>
        <v>0</v>
      </c>
      <c r="AB29" s="51">
        <f>IF(AQ29="1",BH29,0)</f>
        <v>0</v>
      </c>
      <c r="AC29" s="51">
        <f>IF(AQ29="1",BI29,0)</f>
        <v>0</v>
      </c>
      <c r="AD29" s="51">
        <f>IF(AQ29="7",BH29,0)</f>
        <v>0</v>
      </c>
      <c r="AE29" s="51">
        <f>IF(AQ29="7",BI29,0)</f>
        <v>0</v>
      </c>
      <c r="AF29" s="51">
        <f>IF(AQ29="2",BH29,0)</f>
        <v>0</v>
      </c>
      <c r="AG29" s="51">
        <f>IF(AQ29="2",BI29,0)</f>
        <v>0</v>
      </c>
      <c r="AH29" s="51">
        <f>IF(AQ29="0",BJ29,0)</f>
        <v>0</v>
      </c>
      <c r="AI29" s="35" t="s">
        <v>4</v>
      </c>
      <c r="AJ29" s="51">
        <f>IF(AN29=0,H29,0)</f>
        <v>0</v>
      </c>
      <c r="AK29" s="51">
        <f>IF(AN29=12,H29,0)</f>
        <v>0</v>
      </c>
      <c r="AL29" s="51">
        <f>IF(AN29=21,H29,0)</f>
        <v>0</v>
      </c>
      <c r="AN29" s="51">
        <v>12</v>
      </c>
      <c r="AO29" s="51">
        <f>G29*0.165092593</f>
        <v>0</v>
      </c>
      <c r="AP29" s="51">
        <f>G29*(1-0.165092593)</f>
        <v>0</v>
      </c>
      <c r="AQ29" s="53" t="s">
        <v>111</v>
      </c>
      <c r="AV29" s="51">
        <f>AW29+AX29</f>
        <v>0</v>
      </c>
      <c r="AW29" s="51">
        <f>F29*AO29</f>
        <v>0</v>
      </c>
      <c r="AX29" s="51">
        <f>F29*AP29</f>
        <v>0</v>
      </c>
      <c r="AY29" s="53" t="s">
        <v>153</v>
      </c>
      <c r="AZ29" s="53" t="s">
        <v>154</v>
      </c>
      <c r="BA29" s="35" t="s">
        <v>117</v>
      </c>
      <c r="BC29" s="51">
        <f>AW29+AX29</f>
        <v>0</v>
      </c>
      <c r="BD29" s="51">
        <f>G29/(100-BE29)*100</f>
        <v>0</v>
      </c>
      <c r="BE29" s="51">
        <v>0</v>
      </c>
      <c r="BF29" s="51">
        <f>29</f>
        <v>29</v>
      </c>
      <c r="BH29" s="51">
        <f>F29*AO29</f>
        <v>0</v>
      </c>
      <c r="BI29" s="51">
        <f>F29*AP29</f>
        <v>0</v>
      </c>
      <c r="BJ29" s="51">
        <f>F29*G29</f>
        <v>0</v>
      </c>
      <c r="BK29" s="51"/>
      <c r="BL29" s="51">
        <v>61</v>
      </c>
      <c r="BW29" s="51">
        <v>12</v>
      </c>
      <c r="BX29" s="3" t="s">
        <v>152</v>
      </c>
    </row>
    <row r="30" spans="1:76">
      <c r="A30" s="1" t="s">
        <v>155</v>
      </c>
      <c r="B30" s="2" t="s">
        <v>156</v>
      </c>
      <c r="C30" s="75" t="s">
        <v>157</v>
      </c>
      <c r="D30" s="70"/>
      <c r="E30" s="2" t="s">
        <v>141</v>
      </c>
      <c r="F30" s="51">
        <v>29.824999999999999</v>
      </c>
      <c r="G30" s="52">
        <v>0</v>
      </c>
      <c r="H30" s="51">
        <f>F30*G30</f>
        <v>0</v>
      </c>
      <c r="J30" s="41"/>
      <c r="Z30" s="51">
        <f>IF(AQ30="5",BJ30,0)</f>
        <v>0</v>
      </c>
      <c r="AB30" s="51">
        <f>IF(AQ30="1",BH30,0)</f>
        <v>0</v>
      </c>
      <c r="AC30" s="51">
        <f>IF(AQ30="1",BI30,0)</f>
        <v>0</v>
      </c>
      <c r="AD30" s="51">
        <f>IF(AQ30="7",BH30,0)</f>
        <v>0</v>
      </c>
      <c r="AE30" s="51">
        <f>IF(AQ30="7",BI30,0)</f>
        <v>0</v>
      </c>
      <c r="AF30" s="51">
        <f>IF(AQ30="2",BH30,0)</f>
        <v>0</v>
      </c>
      <c r="AG30" s="51">
        <f>IF(AQ30="2",BI30,0)</f>
        <v>0</v>
      </c>
      <c r="AH30" s="51">
        <f>IF(AQ30="0",BJ30,0)</f>
        <v>0</v>
      </c>
      <c r="AI30" s="35" t="s">
        <v>4</v>
      </c>
      <c r="AJ30" s="51">
        <f>IF(AN30=0,H30,0)</f>
        <v>0</v>
      </c>
      <c r="AK30" s="51">
        <f>IF(AN30=12,H30,0)</f>
        <v>0</v>
      </c>
      <c r="AL30" s="51">
        <f>IF(AN30=21,H30,0)</f>
        <v>0</v>
      </c>
      <c r="AN30" s="51">
        <v>12</v>
      </c>
      <c r="AO30" s="51">
        <f>G30*0.151228515</f>
        <v>0</v>
      </c>
      <c r="AP30" s="51">
        <f>G30*(1-0.151228515)</f>
        <v>0</v>
      </c>
      <c r="AQ30" s="53" t="s">
        <v>111</v>
      </c>
      <c r="AV30" s="51">
        <f>AW30+AX30</f>
        <v>0</v>
      </c>
      <c r="AW30" s="51">
        <f>F30*AO30</f>
        <v>0</v>
      </c>
      <c r="AX30" s="51">
        <f>F30*AP30</f>
        <v>0</v>
      </c>
      <c r="AY30" s="53" t="s">
        <v>153</v>
      </c>
      <c r="AZ30" s="53" t="s">
        <v>154</v>
      </c>
      <c r="BA30" s="35" t="s">
        <v>117</v>
      </c>
      <c r="BC30" s="51">
        <f>AW30+AX30</f>
        <v>0</v>
      </c>
      <c r="BD30" s="51">
        <f>G30/(100-BE30)*100</f>
        <v>0</v>
      </c>
      <c r="BE30" s="51">
        <v>0</v>
      </c>
      <c r="BF30" s="51">
        <f>30</f>
        <v>30</v>
      </c>
      <c r="BH30" s="51">
        <f>F30*AO30</f>
        <v>0</v>
      </c>
      <c r="BI30" s="51">
        <f>F30*AP30</f>
        <v>0</v>
      </c>
      <c r="BJ30" s="51">
        <f>F30*G30</f>
        <v>0</v>
      </c>
      <c r="BK30" s="51"/>
      <c r="BL30" s="51">
        <v>61</v>
      </c>
      <c r="BW30" s="51">
        <v>12</v>
      </c>
      <c r="BX30" s="3" t="s">
        <v>157</v>
      </c>
    </row>
    <row r="31" spans="1:76">
      <c r="A31" s="54"/>
      <c r="C31" s="55" t="s">
        <v>158</v>
      </c>
      <c r="D31" s="56" t="s">
        <v>4</v>
      </c>
      <c r="F31" s="57">
        <v>29.824999999999999</v>
      </c>
      <c r="J31" s="41"/>
    </row>
    <row r="32" spans="1:76">
      <c r="A32" s="1" t="s">
        <v>159</v>
      </c>
      <c r="B32" s="2" t="s">
        <v>160</v>
      </c>
      <c r="C32" s="75" t="s">
        <v>161</v>
      </c>
      <c r="D32" s="70"/>
      <c r="E32" s="2" t="s">
        <v>114</v>
      </c>
      <c r="F32" s="51">
        <v>40.43</v>
      </c>
      <c r="G32" s="52">
        <v>0</v>
      </c>
      <c r="H32" s="51">
        <f>F32*G32</f>
        <v>0</v>
      </c>
      <c r="J32" s="41"/>
      <c r="Z32" s="51">
        <f>IF(AQ32="5",BJ32,0)</f>
        <v>0</v>
      </c>
      <c r="AB32" s="51">
        <f>IF(AQ32="1",BH32,0)</f>
        <v>0</v>
      </c>
      <c r="AC32" s="51">
        <f>IF(AQ32="1",BI32,0)</f>
        <v>0</v>
      </c>
      <c r="AD32" s="51">
        <f>IF(AQ32="7",BH32,0)</f>
        <v>0</v>
      </c>
      <c r="AE32" s="51">
        <f>IF(AQ32="7",BI32,0)</f>
        <v>0</v>
      </c>
      <c r="AF32" s="51">
        <f>IF(AQ32="2",BH32,0)</f>
        <v>0</v>
      </c>
      <c r="AG32" s="51">
        <f>IF(AQ32="2",BI32,0)</f>
        <v>0</v>
      </c>
      <c r="AH32" s="51">
        <f>IF(AQ32="0",BJ32,0)</f>
        <v>0</v>
      </c>
      <c r="AI32" s="35" t="s">
        <v>4</v>
      </c>
      <c r="AJ32" s="51">
        <f>IF(AN32=0,H32,0)</f>
        <v>0</v>
      </c>
      <c r="AK32" s="51">
        <f>IF(AN32=12,H32,0)</f>
        <v>0</v>
      </c>
      <c r="AL32" s="51">
        <f>IF(AN32=21,H32,0)</f>
        <v>0</v>
      </c>
      <c r="AN32" s="51">
        <v>12</v>
      </c>
      <c r="AO32" s="51">
        <f>G32*0.351191827</f>
        <v>0</v>
      </c>
      <c r="AP32" s="51">
        <f>G32*(1-0.351191827)</f>
        <v>0</v>
      </c>
      <c r="AQ32" s="53" t="s">
        <v>111</v>
      </c>
      <c r="AV32" s="51">
        <f>AW32+AX32</f>
        <v>0</v>
      </c>
      <c r="AW32" s="51">
        <f>F32*AO32</f>
        <v>0</v>
      </c>
      <c r="AX32" s="51">
        <f>F32*AP32</f>
        <v>0</v>
      </c>
      <c r="AY32" s="53" t="s">
        <v>153</v>
      </c>
      <c r="AZ32" s="53" t="s">
        <v>154</v>
      </c>
      <c r="BA32" s="35" t="s">
        <v>117</v>
      </c>
      <c r="BC32" s="51">
        <f>AW32+AX32</f>
        <v>0</v>
      </c>
      <c r="BD32" s="51">
        <f>G32/(100-BE32)*100</f>
        <v>0</v>
      </c>
      <c r="BE32" s="51">
        <v>0</v>
      </c>
      <c r="BF32" s="51">
        <f>32</f>
        <v>32</v>
      </c>
      <c r="BH32" s="51">
        <f>F32*AO32</f>
        <v>0</v>
      </c>
      <c r="BI32" s="51">
        <f>F32*AP32</f>
        <v>0</v>
      </c>
      <c r="BJ32" s="51">
        <f>F32*G32</f>
        <v>0</v>
      </c>
      <c r="BK32" s="51"/>
      <c r="BL32" s="51">
        <v>61</v>
      </c>
      <c r="BW32" s="51">
        <v>12</v>
      </c>
      <c r="BX32" s="3" t="s">
        <v>161</v>
      </c>
    </row>
    <row r="33" spans="1:76">
      <c r="A33" s="54"/>
      <c r="C33" s="55" t="s">
        <v>162</v>
      </c>
      <c r="D33" s="56" t="s">
        <v>4</v>
      </c>
      <c r="F33" s="57">
        <v>40.43</v>
      </c>
      <c r="J33" s="41"/>
    </row>
    <row r="34" spans="1:76">
      <c r="A34" s="1" t="s">
        <v>163</v>
      </c>
      <c r="B34" s="2" t="s">
        <v>164</v>
      </c>
      <c r="C34" s="75" t="s">
        <v>165</v>
      </c>
      <c r="D34" s="70"/>
      <c r="E34" s="2" t="s">
        <v>114</v>
      </c>
      <c r="F34" s="51">
        <v>40.43</v>
      </c>
      <c r="G34" s="52">
        <v>0</v>
      </c>
      <c r="H34" s="51">
        <f>F34*G34</f>
        <v>0</v>
      </c>
      <c r="J34" s="41"/>
      <c r="Z34" s="51">
        <f>IF(AQ34="5",BJ34,0)</f>
        <v>0</v>
      </c>
      <c r="AB34" s="51">
        <f>IF(AQ34="1",BH34,0)</f>
        <v>0</v>
      </c>
      <c r="AC34" s="51">
        <f>IF(AQ34="1",BI34,0)</f>
        <v>0</v>
      </c>
      <c r="AD34" s="51">
        <f>IF(AQ34="7",BH34,0)</f>
        <v>0</v>
      </c>
      <c r="AE34" s="51">
        <f>IF(AQ34="7",BI34,0)</f>
        <v>0</v>
      </c>
      <c r="AF34" s="51">
        <f>IF(AQ34="2",BH34,0)</f>
        <v>0</v>
      </c>
      <c r="AG34" s="51">
        <f>IF(AQ34="2",BI34,0)</f>
        <v>0</v>
      </c>
      <c r="AH34" s="51">
        <f>IF(AQ34="0",BJ34,0)</f>
        <v>0</v>
      </c>
      <c r="AI34" s="35" t="s">
        <v>4</v>
      </c>
      <c r="AJ34" s="51">
        <f>IF(AN34=0,H34,0)</f>
        <v>0</v>
      </c>
      <c r="AK34" s="51">
        <f>IF(AN34=12,H34,0)</f>
        <v>0</v>
      </c>
      <c r="AL34" s="51">
        <f>IF(AN34=21,H34,0)</f>
        <v>0</v>
      </c>
      <c r="AN34" s="51">
        <v>12</v>
      </c>
      <c r="AO34" s="51">
        <f>G34*0.179173381</f>
        <v>0</v>
      </c>
      <c r="AP34" s="51">
        <f>G34*(1-0.179173381)</f>
        <v>0</v>
      </c>
      <c r="AQ34" s="53" t="s">
        <v>111</v>
      </c>
      <c r="AV34" s="51">
        <f>AW34+AX34</f>
        <v>0</v>
      </c>
      <c r="AW34" s="51">
        <f>F34*AO34</f>
        <v>0</v>
      </c>
      <c r="AX34" s="51">
        <f>F34*AP34</f>
        <v>0</v>
      </c>
      <c r="AY34" s="53" t="s">
        <v>153</v>
      </c>
      <c r="AZ34" s="53" t="s">
        <v>154</v>
      </c>
      <c r="BA34" s="35" t="s">
        <v>117</v>
      </c>
      <c r="BC34" s="51">
        <f>AW34+AX34</f>
        <v>0</v>
      </c>
      <c r="BD34" s="51">
        <f>G34/(100-BE34)*100</f>
        <v>0</v>
      </c>
      <c r="BE34" s="51">
        <v>0</v>
      </c>
      <c r="BF34" s="51">
        <f>34</f>
        <v>34</v>
      </c>
      <c r="BH34" s="51">
        <f>F34*AO34</f>
        <v>0</v>
      </c>
      <c r="BI34" s="51">
        <f>F34*AP34</f>
        <v>0</v>
      </c>
      <c r="BJ34" s="51">
        <f>F34*G34</f>
        <v>0</v>
      </c>
      <c r="BK34" s="51"/>
      <c r="BL34" s="51">
        <v>61</v>
      </c>
      <c r="BW34" s="51">
        <v>12</v>
      </c>
      <c r="BX34" s="3" t="s">
        <v>165</v>
      </c>
    </row>
    <row r="35" spans="1:76">
      <c r="A35" s="1" t="s">
        <v>166</v>
      </c>
      <c r="B35" s="2" t="s">
        <v>167</v>
      </c>
      <c r="C35" s="75" t="s">
        <v>168</v>
      </c>
      <c r="D35" s="70"/>
      <c r="E35" s="2" t="s">
        <v>114</v>
      </c>
      <c r="F35" s="51">
        <v>112.432</v>
      </c>
      <c r="G35" s="52">
        <v>0</v>
      </c>
      <c r="H35" s="51">
        <f>F35*G35</f>
        <v>0</v>
      </c>
      <c r="J35" s="41"/>
      <c r="Z35" s="51">
        <f>IF(AQ35="5",BJ35,0)</f>
        <v>0</v>
      </c>
      <c r="AB35" s="51">
        <f>IF(AQ35="1",BH35,0)</f>
        <v>0</v>
      </c>
      <c r="AC35" s="51">
        <f>IF(AQ35="1",BI35,0)</f>
        <v>0</v>
      </c>
      <c r="AD35" s="51">
        <f>IF(AQ35="7",BH35,0)</f>
        <v>0</v>
      </c>
      <c r="AE35" s="51">
        <f>IF(AQ35="7",BI35,0)</f>
        <v>0</v>
      </c>
      <c r="AF35" s="51">
        <f>IF(AQ35="2",BH35,0)</f>
        <v>0</v>
      </c>
      <c r="AG35" s="51">
        <f>IF(AQ35="2",BI35,0)</f>
        <v>0</v>
      </c>
      <c r="AH35" s="51">
        <f>IF(AQ35="0",BJ35,0)</f>
        <v>0</v>
      </c>
      <c r="AI35" s="35" t="s">
        <v>4</v>
      </c>
      <c r="AJ35" s="51">
        <f>IF(AN35=0,H35,0)</f>
        <v>0</v>
      </c>
      <c r="AK35" s="51">
        <f>IF(AN35=12,H35,0)</f>
        <v>0</v>
      </c>
      <c r="AL35" s="51">
        <f>IF(AN35=21,H35,0)</f>
        <v>0</v>
      </c>
      <c r="AN35" s="51">
        <v>12</v>
      </c>
      <c r="AO35" s="51">
        <f>G35*0.408906136</f>
        <v>0</v>
      </c>
      <c r="AP35" s="51">
        <f>G35*(1-0.408906136)</f>
        <v>0</v>
      </c>
      <c r="AQ35" s="53" t="s">
        <v>111</v>
      </c>
      <c r="AV35" s="51">
        <f>AW35+AX35</f>
        <v>0</v>
      </c>
      <c r="AW35" s="51">
        <f>F35*AO35</f>
        <v>0</v>
      </c>
      <c r="AX35" s="51">
        <f>F35*AP35</f>
        <v>0</v>
      </c>
      <c r="AY35" s="53" t="s">
        <v>153</v>
      </c>
      <c r="AZ35" s="53" t="s">
        <v>154</v>
      </c>
      <c r="BA35" s="35" t="s">
        <v>117</v>
      </c>
      <c r="BC35" s="51">
        <f>AW35+AX35</f>
        <v>0</v>
      </c>
      <c r="BD35" s="51">
        <f>G35/(100-BE35)*100</f>
        <v>0</v>
      </c>
      <c r="BE35" s="51">
        <v>0</v>
      </c>
      <c r="BF35" s="51">
        <f>35</f>
        <v>35</v>
      </c>
      <c r="BH35" s="51">
        <f>F35*AO35</f>
        <v>0</v>
      </c>
      <c r="BI35" s="51">
        <f>F35*AP35</f>
        <v>0</v>
      </c>
      <c r="BJ35" s="51">
        <f>F35*G35</f>
        <v>0</v>
      </c>
      <c r="BK35" s="51"/>
      <c r="BL35" s="51">
        <v>61</v>
      </c>
      <c r="BW35" s="51">
        <v>12</v>
      </c>
      <c r="BX35" s="3" t="s">
        <v>168</v>
      </c>
    </row>
    <row r="36" spans="1:76">
      <c r="A36" s="54"/>
      <c r="C36" s="55" t="s">
        <v>169</v>
      </c>
      <c r="D36" s="56" t="s">
        <v>170</v>
      </c>
      <c r="F36" s="57">
        <v>15.7</v>
      </c>
      <c r="J36" s="41"/>
    </row>
    <row r="37" spans="1:76">
      <c r="A37" s="54"/>
      <c r="C37" s="55" t="s">
        <v>171</v>
      </c>
      <c r="D37" s="56" t="s">
        <v>172</v>
      </c>
      <c r="F37" s="57">
        <v>23.021999999999998</v>
      </c>
      <c r="J37" s="41"/>
    </row>
    <row r="38" spans="1:76">
      <c r="A38" s="54"/>
      <c r="C38" s="55" t="s">
        <v>173</v>
      </c>
      <c r="D38" s="56" t="s">
        <v>174</v>
      </c>
      <c r="F38" s="57">
        <v>28.17</v>
      </c>
      <c r="J38" s="41"/>
    </row>
    <row r="39" spans="1:76">
      <c r="A39" s="54"/>
      <c r="C39" s="55" t="s">
        <v>175</v>
      </c>
      <c r="D39" s="56" t="s">
        <v>176</v>
      </c>
      <c r="F39" s="57">
        <v>0.84</v>
      </c>
      <c r="J39" s="41"/>
    </row>
    <row r="40" spans="1:76">
      <c r="A40" s="54"/>
      <c r="C40" s="55" t="s">
        <v>177</v>
      </c>
      <c r="D40" s="56" t="s">
        <v>178</v>
      </c>
      <c r="F40" s="57">
        <v>43.62</v>
      </c>
      <c r="J40" s="41"/>
    </row>
    <row r="41" spans="1:76">
      <c r="A41" s="54"/>
      <c r="C41" s="55" t="s">
        <v>179</v>
      </c>
      <c r="D41" s="56" t="s">
        <v>180</v>
      </c>
      <c r="F41" s="57">
        <v>1.08</v>
      </c>
      <c r="J41" s="41"/>
    </row>
    <row r="42" spans="1:76">
      <c r="A42" s="1" t="s">
        <v>181</v>
      </c>
      <c r="B42" s="2" t="s">
        <v>182</v>
      </c>
      <c r="C42" s="75" t="s">
        <v>183</v>
      </c>
      <c r="D42" s="70"/>
      <c r="E42" s="2" t="s">
        <v>114</v>
      </c>
      <c r="F42" s="51">
        <v>5</v>
      </c>
      <c r="G42" s="52">
        <v>0</v>
      </c>
      <c r="H42" s="51">
        <f>F42*G42</f>
        <v>0</v>
      </c>
      <c r="J42" s="41"/>
      <c r="Z42" s="51">
        <f>IF(AQ42="5",BJ42,0)</f>
        <v>0</v>
      </c>
      <c r="AB42" s="51">
        <f>IF(AQ42="1",BH42,0)</f>
        <v>0</v>
      </c>
      <c r="AC42" s="51">
        <f>IF(AQ42="1",BI42,0)</f>
        <v>0</v>
      </c>
      <c r="AD42" s="51">
        <f>IF(AQ42="7",BH42,0)</f>
        <v>0</v>
      </c>
      <c r="AE42" s="51">
        <f>IF(AQ42="7",BI42,0)</f>
        <v>0</v>
      </c>
      <c r="AF42" s="51">
        <f>IF(AQ42="2",BH42,0)</f>
        <v>0</v>
      </c>
      <c r="AG42" s="51">
        <f>IF(AQ42="2",BI42,0)</f>
        <v>0</v>
      </c>
      <c r="AH42" s="51">
        <f>IF(AQ42="0",BJ42,0)</f>
        <v>0</v>
      </c>
      <c r="AI42" s="35" t="s">
        <v>4</v>
      </c>
      <c r="AJ42" s="51">
        <f>IF(AN42=0,H42,0)</f>
        <v>0</v>
      </c>
      <c r="AK42" s="51">
        <f>IF(AN42=12,H42,0)</f>
        <v>0</v>
      </c>
      <c r="AL42" s="51">
        <f>IF(AN42=21,H42,0)</f>
        <v>0</v>
      </c>
      <c r="AN42" s="51">
        <v>12</v>
      </c>
      <c r="AO42" s="51">
        <f>G42*0.24248927</f>
        <v>0</v>
      </c>
      <c r="AP42" s="51">
        <f>G42*(1-0.24248927)</f>
        <v>0</v>
      </c>
      <c r="AQ42" s="53" t="s">
        <v>111</v>
      </c>
      <c r="AV42" s="51">
        <f>AW42+AX42</f>
        <v>0</v>
      </c>
      <c r="AW42" s="51">
        <f>F42*AO42</f>
        <v>0</v>
      </c>
      <c r="AX42" s="51">
        <f>F42*AP42</f>
        <v>0</v>
      </c>
      <c r="AY42" s="53" t="s">
        <v>153</v>
      </c>
      <c r="AZ42" s="53" t="s">
        <v>154</v>
      </c>
      <c r="BA42" s="35" t="s">
        <v>117</v>
      </c>
      <c r="BC42" s="51">
        <f>AW42+AX42</f>
        <v>0</v>
      </c>
      <c r="BD42" s="51">
        <f>G42/(100-BE42)*100</f>
        <v>0</v>
      </c>
      <c r="BE42" s="51">
        <v>0</v>
      </c>
      <c r="BF42" s="51">
        <f>42</f>
        <v>42</v>
      </c>
      <c r="BH42" s="51">
        <f>F42*AO42</f>
        <v>0</v>
      </c>
      <c r="BI42" s="51">
        <f>F42*AP42</f>
        <v>0</v>
      </c>
      <c r="BJ42" s="51">
        <f>F42*G42</f>
        <v>0</v>
      </c>
      <c r="BK42" s="51"/>
      <c r="BL42" s="51">
        <v>61</v>
      </c>
      <c r="BW42" s="51">
        <v>12</v>
      </c>
      <c r="BX42" s="3" t="s">
        <v>183</v>
      </c>
    </row>
    <row r="43" spans="1:76">
      <c r="A43" s="54"/>
      <c r="C43" s="55" t="s">
        <v>184</v>
      </c>
      <c r="D43" s="56" t="s">
        <v>185</v>
      </c>
      <c r="F43" s="57">
        <v>5</v>
      </c>
      <c r="J43" s="41"/>
    </row>
    <row r="44" spans="1:76">
      <c r="A44" s="1" t="s">
        <v>186</v>
      </c>
      <c r="B44" s="2" t="s">
        <v>187</v>
      </c>
      <c r="C44" s="75" t="s">
        <v>188</v>
      </c>
      <c r="D44" s="70"/>
      <c r="E44" s="2" t="s">
        <v>114</v>
      </c>
      <c r="F44" s="51">
        <v>74.661000000000001</v>
      </c>
      <c r="G44" s="52">
        <v>0</v>
      </c>
      <c r="H44" s="51">
        <f>F44*G44</f>
        <v>0</v>
      </c>
      <c r="J44" s="41"/>
      <c r="Z44" s="51">
        <f>IF(AQ44="5",BJ44,0)</f>
        <v>0</v>
      </c>
      <c r="AB44" s="51">
        <f>IF(AQ44="1",BH44,0)</f>
        <v>0</v>
      </c>
      <c r="AC44" s="51">
        <f>IF(AQ44="1",BI44,0)</f>
        <v>0</v>
      </c>
      <c r="AD44" s="51">
        <f>IF(AQ44="7",BH44,0)</f>
        <v>0</v>
      </c>
      <c r="AE44" s="51">
        <f>IF(AQ44="7",BI44,0)</f>
        <v>0</v>
      </c>
      <c r="AF44" s="51">
        <f>IF(AQ44="2",BH44,0)</f>
        <v>0</v>
      </c>
      <c r="AG44" s="51">
        <f>IF(AQ44="2",BI44,0)</f>
        <v>0</v>
      </c>
      <c r="AH44" s="51">
        <f>IF(AQ44="0",BJ44,0)</f>
        <v>0</v>
      </c>
      <c r="AI44" s="35" t="s">
        <v>4</v>
      </c>
      <c r="AJ44" s="51">
        <f>IF(AN44=0,H44,0)</f>
        <v>0</v>
      </c>
      <c r="AK44" s="51">
        <f>IF(AN44=12,H44,0)</f>
        <v>0</v>
      </c>
      <c r="AL44" s="51">
        <f>IF(AN44=21,H44,0)</f>
        <v>0</v>
      </c>
      <c r="AN44" s="51">
        <v>12</v>
      </c>
      <c r="AO44" s="51">
        <f>G44*0.201253691</f>
        <v>0</v>
      </c>
      <c r="AP44" s="51">
        <f>G44*(1-0.201253691)</f>
        <v>0</v>
      </c>
      <c r="AQ44" s="53" t="s">
        <v>111</v>
      </c>
      <c r="AV44" s="51">
        <f>AW44+AX44</f>
        <v>0</v>
      </c>
      <c r="AW44" s="51">
        <f>F44*AO44</f>
        <v>0</v>
      </c>
      <c r="AX44" s="51">
        <f>F44*AP44</f>
        <v>0</v>
      </c>
      <c r="AY44" s="53" t="s">
        <v>153</v>
      </c>
      <c r="AZ44" s="53" t="s">
        <v>154</v>
      </c>
      <c r="BA44" s="35" t="s">
        <v>117</v>
      </c>
      <c r="BC44" s="51">
        <f>AW44+AX44</f>
        <v>0</v>
      </c>
      <c r="BD44" s="51">
        <f>G44/(100-BE44)*100</f>
        <v>0</v>
      </c>
      <c r="BE44" s="51">
        <v>0</v>
      </c>
      <c r="BF44" s="51">
        <f>44</f>
        <v>44</v>
      </c>
      <c r="BH44" s="51">
        <f>F44*AO44</f>
        <v>0</v>
      </c>
      <c r="BI44" s="51">
        <f>F44*AP44</f>
        <v>0</v>
      </c>
      <c r="BJ44" s="51">
        <f>F44*G44</f>
        <v>0</v>
      </c>
      <c r="BK44" s="51"/>
      <c r="BL44" s="51">
        <v>61</v>
      </c>
      <c r="BW44" s="51">
        <v>12</v>
      </c>
      <c r="BX44" s="3" t="s">
        <v>188</v>
      </c>
    </row>
    <row r="45" spans="1:76">
      <c r="A45" s="54"/>
      <c r="C45" s="55" t="s">
        <v>189</v>
      </c>
      <c r="D45" s="56" t="s">
        <v>170</v>
      </c>
      <c r="F45" s="57">
        <v>7.85</v>
      </c>
      <c r="J45" s="41"/>
    </row>
    <row r="46" spans="1:76">
      <c r="A46" s="54"/>
      <c r="C46" s="55" t="s">
        <v>190</v>
      </c>
      <c r="D46" s="56" t="s">
        <v>191</v>
      </c>
      <c r="F46" s="57">
        <v>2.4169999999999998</v>
      </c>
      <c r="J46" s="41"/>
    </row>
    <row r="47" spans="1:76">
      <c r="A47" s="54"/>
      <c r="C47" s="55" t="s">
        <v>192</v>
      </c>
      <c r="D47" s="56" t="s">
        <v>174</v>
      </c>
      <c r="F47" s="57">
        <v>20.774000000000001</v>
      </c>
      <c r="J47" s="41"/>
    </row>
    <row r="48" spans="1:76">
      <c r="A48" s="54"/>
      <c r="C48" s="55" t="s">
        <v>177</v>
      </c>
      <c r="D48" s="56" t="s">
        <v>178</v>
      </c>
      <c r="F48" s="57">
        <v>43.62</v>
      </c>
      <c r="J48" s="41"/>
    </row>
    <row r="49" spans="1:76">
      <c r="A49" s="1" t="s">
        <v>193</v>
      </c>
      <c r="B49" s="2" t="s">
        <v>194</v>
      </c>
      <c r="C49" s="75" t="s">
        <v>195</v>
      </c>
      <c r="D49" s="70"/>
      <c r="E49" s="2" t="s">
        <v>114</v>
      </c>
      <c r="F49" s="51">
        <v>94.144999999999996</v>
      </c>
      <c r="G49" s="52">
        <v>0</v>
      </c>
      <c r="H49" s="51">
        <f>F49*G49</f>
        <v>0</v>
      </c>
      <c r="J49" s="41"/>
      <c r="Z49" s="51">
        <f>IF(AQ49="5",BJ49,0)</f>
        <v>0</v>
      </c>
      <c r="AB49" s="51">
        <f>IF(AQ49="1",BH49,0)</f>
        <v>0</v>
      </c>
      <c r="AC49" s="51">
        <f>IF(AQ49="1",BI49,0)</f>
        <v>0</v>
      </c>
      <c r="AD49" s="51">
        <f>IF(AQ49="7",BH49,0)</f>
        <v>0</v>
      </c>
      <c r="AE49" s="51">
        <f>IF(AQ49="7",BI49,0)</f>
        <v>0</v>
      </c>
      <c r="AF49" s="51">
        <f>IF(AQ49="2",BH49,0)</f>
        <v>0</v>
      </c>
      <c r="AG49" s="51">
        <f>IF(AQ49="2",BI49,0)</f>
        <v>0</v>
      </c>
      <c r="AH49" s="51">
        <f>IF(AQ49="0",BJ49,0)</f>
        <v>0</v>
      </c>
      <c r="AI49" s="35" t="s">
        <v>4</v>
      </c>
      <c r="AJ49" s="51">
        <f>IF(AN49=0,H49,0)</f>
        <v>0</v>
      </c>
      <c r="AK49" s="51">
        <f>IF(AN49=12,H49,0)</f>
        <v>0</v>
      </c>
      <c r="AL49" s="51">
        <f>IF(AN49=21,H49,0)</f>
        <v>0</v>
      </c>
      <c r="AN49" s="51">
        <v>12</v>
      </c>
      <c r="AO49" s="51">
        <f>G49*0.43548723</f>
        <v>0</v>
      </c>
      <c r="AP49" s="51">
        <f>G49*(1-0.43548723)</f>
        <v>0</v>
      </c>
      <c r="AQ49" s="53" t="s">
        <v>111</v>
      </c>
      <c r="AV49" s="51">
        <f>AW49+AX49</f>
        <v>0</v>
      </c>
      <c r="AW49" s="51">
        <f>F49*AO49</f>
        <v>0</v>
      </c>
      <c r="AX49" s="51">
        <f>F49*AP49</f>
        <v>0</v>
      </c>
      <c r="AY49" s="53" t="s">
        <v>153</v>
      </c>
      <c r="AZ49" s="53" t="s">
        <v>154</v>
      </c>
      <c r="BA49" s="35" t="s">
        <v>117</v>
      </c>
      <c r="BC49" s="51">
        <f>AW49+AX49</f>
        <v>0</v>
      </c>
      <c r="BD49" s="51">
        <f>G49/(100-BE49)*100</f>
        <v>0</v>
      </c>
      <c r="BE49" s="51">
        <v>0</v>
      </c>
      <c r="BF49" s="51">
        <f>49</f>
        <v>49</v>
      </c>
      <c r="BH49" s="51">
        <f>F49*AO49</f>
        <v>0</v>
      </c>
      <c r="BI49" s="51">
        <f>F49*AP49</f>
        <v>0</v>
      </c>
      <c r="BJ49" s="51">
        <f>F49*G49</f>
        <v>0</v>
      </c>
      <c r="BK49" s="51"/>
      <c r="BL49" s="51">
        <v>61</v>
      </c>
      <c r="BW49" s="51">
        <v>12</v>
      </c>
      <c r="BX49" s="3" t="s">
        <v>195</v>
      </c>
    </row>
    <row r="50" spans="1:76" ht="13.5" customHeight="1">
      <c r="A50" s="54"/>
      <c r="B50" s="58" t="s">
        <v>136</v>
      </c>
      <c r="C50" s="152" t="s">
        <v>196</v>
      </c>
      <c r="D50" s="153"/>
      <c r="E50" s="153"/>
      <c r="F50" s="153"/>
      <c r="G50" s="154"/>
      <c r="H50" s="153"/>
      <c r="I50" s="153"/>
      <c r="J50" s="155"/>
    </row>
    <row r="51" spans="1:76">
      <c r="A51" s="54"/>
      <c r="C51" s="55" t="s">
        <v>169</v>
      </c>
      <c r="D51" s="56" t="s">
        <v>170</v>
      </c>
      <c r="F51" s="57">
        <v>15.7</v>
      </c>
      <c r="J51" s="41"/>
    </row>
    <row r="52" spans="1:76">
      <c r="A52" s="54"/>
      <c r="C52" s="55" t="s">
        <v>197</v>
      </c>
      <c r="D52" s="56" t="s">
        <v>191</v>
      </c>
      <c r="F52" s="57">
        <v>4.7350000000000003</v>
      </c>
      <c r="J52" s="41"/>
    </row>
    <row r="53" spans="1:76">
      <c r="A53" s="54"/>
      <c r="C53" s="55" t="s">
        <v>173</v>
      </c>
      <c r="D53" s="56" t="s">
        <v>174</v>
      </c>
      <c r="F53" s="57">
        <v>28.17</v>
      </c>
      <c r="J53" s="41"/>
    </row>
    <row r="54" spans="1:76">
      <c r="A54" s="54"/>
      <c r="C54" s="55" t="s">
        <v>175</v>
      </c>
      <c r="D54" s="56" t="s">
        <v>4</v>
      </c>
      <c r="F54" s="57">
        <v>0.84</v>
      </c>
      <c r="J54" s="41"/>
    </row>
    <row r="55" spans="1:76">
      <c r="A55" s="54"/>
      <c r="C55" s="55" t="s">
        <v>177</v>
      </c>
      <c r="D55" s="56" t="s">
        <v>178</v>
      </c>
      <c r="F55" s="57">
        <v>43.62</v>
      </c>
      <c r="J55" s="41"/>
    </row>
    <row r="56" spans="1:76">
      <c r="A56" s="54"/>
      <c r="C56" s="55" t="s">
        <v>179</v>
      </c>
      <c r="D56" s="56" t="s">
        <v>4</v>
      </c>
      <c r="F56" s="57">
        <v>1.08</v>
      </c>
      <c r="J56" s="41"/>
    </row>
    <row r="57" spans="1:76">
      <c r="A57" s="1" t="s">
        <v>198</v>
      </c>
      <c r="B57" s="2" t="s">
        <v>199</v>
      </c>
      <c r="C57" s="75" t="s">
        <v>200</v>
      </c>
      <c r="D57" s="70"/>
      <c r="E57" s="2" t="s">
        <v>114</v>
      </c>
      <c r="F57" s="51">
        <v>7.69</v>
      </c>
      <c r="G57" s="52">
        <v>0</v>
      </c>
      <c r="H57" s="51">
        <f>F57*G57</f>
        <v>0</v>
      </c>
      <c r="J57" s="41"/>
      <c r="Z57" s="51">
        <f>IF(AQ57="5",BJ57,0)</f>
        <v>0</v>
      </c>
      <c r="AB57" s="51">
        <f>IF(AQ57="1",BH57,0)</f>
        <v>0</v>
      </c>
      <c r="AC57" s="51">
        <f>IF(AQ57="1",BI57,0)</f>
        <v>0</v>
      </c>
      <c r="AD57" s="51">
        <f>IF(AQ57="7",BH57,0)</f>
        <v>0</v>
      </c>
      <c r="AE57" s="51">
        <f>IF(AQ57="7",BI57,0)</f>
        <v>0</v>
      </c>
      <c r="AF57" s="51">
        <f>IF(AQ57="2",BH57,0)</f>
        <v>0</v>
      </c>
      <c r="AG57" s="51">
        <f>IF(AQ57="2",BI57,0)</f>
        <v>0</v>
      </c>
      <c r="AH57" s="51">
        <f>IF(AQ57="0",BJ57,0)</f>
        <v>0</v>
      </c>
      <c r="AI57" s="35" t="s">
        <v>4</v>
      </c>
      <c r="AJ57" s="51">
        <f>IF(AN57=0,H57,0)</f>
        <v>0</v>
      </c>
      <c r="AK57" s="51">
        <f>IF(AN57=12,H57,0)</f>
        <v>0</v>
      </c>
      <c r="AL57" s="51">
        <f>IF(AN57=21,H57,0)</f>
        <v>0</v>
      </c>
      <c r="AN57" s="51">
        <v>12</v>
      </c>
      <c r="AO57" s="51">
        <f>G57*0.333787668</f>
        <v>0</v>
      </c>
      <c r="AP57" s="51">
        <f>G57*(1-0.333787668)</f>
        <v>0</v>
      </c>
      <c r="AQ57" s="53" t="s">
        <v>111</v>
      </c>
      <c r="AV57" s="51">
        <f>AW57+AX57</f>
        <v>0</v>
      </c>
      <c r="AW57" s="51">
        <f>F57*AO57</f>
        <v>0</v>
      </c>
      <c r="AX57" s="51">
        <f>F57*AP57</f>
        <v>0</v>
      </c>
      <c r="AY57" s="53" t="s">
        <v>153</v>
      </c>
      <c r="AZ57" s="53" t="s">
        <v>154</v>
      </c>
      <c r="BA57" s="35" t="s">
        <v>117</v>
      </c>
      <c r="BC57" s="51">
        <f>AW57+AX57</f>
        <v>0</v>
      </c>
      <c r="BD57" s="51">
        <f>G57/(100-BE57)*100</f>
        <v>0</v>
      </c>
      <c r="BE57" s="51">
        <v>0</v>
      </c>
      <c r="BF57" s="51">
        <f>57</f>
        <v>57</v>
      </c>
      <c r="BH57" s="51">
        <f>F57*AO57</f>
        <v>0</v>
      </c>
      <c r="BI57" s="51">
        <f>F57*AP57</f>
        <v>0</v>
      </c>
      <c r="BJ57" s="51">
        <f>F57*G57</f>
        <v>0</v>
      </c>
      <c r="BK57" s="51"/>
      <c r="BL57" s="51">
        <v>61</v>
      </c>
      <c r="BW57" s="51">
        <v>12</v>
      </c>
      <c r="BX57" s="3" t="s">
        <v>200</v>
      </c>
    </row>
    <row r="58" spans="1:76">
      <c r="A58" s="54"/>
      <c r="C58" s="55" t="s">
        <v>201</v>
      </c>
      <c r="D58" s="56" t="s">
        <v>174</v>
      </c>
      <c r="F58" s="57">
        <v>3.9</v>
      </c>
      <c r="J58" s="41"/>
    </row>
    <row r="59" spans="1:76">
      <c r="A59" s="54"/>
      <c r="C59" s="55" t="s">
        <v>202</v>
      </c>
      <c r="D59" s="56" t="s">
        <v>178</v>
      </c>
      <c r="F59" s="57">
        <v>3.79</v>
      </c>
      <c r="J59" s="41"/>
    </row>
    <row r="60" spans="1:76">
      <c r="A60" s="1" t="s">
        <v>203</v>
      </c>
      <c r="B60" s="2" t="s">
        <v>204</v>
      </c>
      <c r="C60" s="75" t="s">
        <v>205</v>
      </c>
      <c r="D60" s="70"/>
      <c r="E60" s="2" t="s">
        <v>114</v>
      </c>
      <c r="F60" s="51">
        <v>19.981000000000002</v>
      </c>
      <c r="G60" s="52">
        <v>0</v>
      </c>
      <c r="H60" s="51">
        <f>F60*G60</f>
        <v>0</v>
      </c>
      <c r="J60" s="41"/>
      <c r="Z60" s="51">
        <f>IF(AQ60="5",BJ60,0)</f>
        <v>0</v>
      </c>
      <c r="AB60" s="51">
        <f>IF(AQ60="1",BH60,0)</f>
        <v>0</v>
      </c>
      <c r="AC60" s="51">
        <f>IF(AQ60="1",BI60,0)</f>
        <v>0</v>
      </c>
      <c r="AD60" s="51">
        <f>IF(AQ60="7",BH60,0)</f>
        <v>0</v>
      </c>
      <c r="AE60" s="51">
        <f>IF(AQ60="7",BI60,0)</f>
        <v>0</v>
      </c>
      <c r="AF60" s="51">
        <f>IF(AQ60="2",BH60,0)</f>
        <v>0</v>
      </c>
      <c r="AG60" s="51">
        <f>IF(AQ60="2",BI60,0)</f>
        <v>0</v>
      </c>
      <c r="AH60" s="51">
        <f>IF(AQ60="0",BJ60,0)</f>
        <v>0</v>
      </c>
      <c r="AI60" s="35" t="s">
        <v>4</v>
      </c>
      <c r="AJ60" s="51">
        <f>IF(AN60=0,H60,0)</f>
        <v>0</v>
      </c>
      <c r="AK60" s="51">
        <f>IF(AN60=12,H60,0)</f>
        <v>0</v>
      </c>
      <c r="AL60" s="51">
        <f>IF(AN60=21,H60,0)</f>
        <v>0</v>
      </c>
      <c r="AN60" s="51">
        <v>12</v>
      </c>
      <c r="AO60" s="51">
        <f>G60*0.292902229</f>
        <v>0</v>
      </c>
      <c r="AP60" s="51">
        <f>G60*(1-0.292902229)</f>
        <v>0</v>
      </c>
      <c r="AQ60" s="53" t="s">
        <v>111</v>
      </c>
      <c r="AV60" s="51">
        <f>AW60+AX60</f>
        <v>0</v>
      </c>
      <c r="AW60" s="51">
        <f>F60*AO60</f>
        <v>0</v>
      </c>
      <c r="AX60" s="51">
        <f>F60*AP60</f>
        <v>0</v>
      </c>
      <c r="AY60" s="53" t="s">
        <v>153</v>
      </c>
      <c r="AZ60" s="53" t="s">
        <v>154</v>
      </c>
      <c r="BA60" s="35" t="s">
        <v>117</v>
      </c>
      <c r="BC60" s="51">
        <f>AW60+AX60</f>
        <v>0</v>
      </c>
      <c r="BD60" s="51">
        <f>G60/(100-BE60)*100</f>
        <v>0</v>
      </c>
      <c r="BE60" s="51">
        <v>0</v>
      </c>
      <c r="BF60" s="51">
        <f>60</f>
        <v>60</v>
      </c>
      <c r="BH60" s="51">
        <f>F60*AO60</f>
        <v>0</v>
      </c>
      <c r="BI60" s="51">
        <f>F60*AP60</f>
        <v>0</v>
      </c>
      <c r="BJ60" s="51">
        <f>F60*G60</f>
        <v>0</v>
      </c>
      <c r="BK60" s="51"/>
      <c r="BL60" s="51">
        <v>61</v>
      </c>
      <c r="BW60" s="51">
        <v>12</v>
      </c>
      <c r="BX60" s="3" t="s">
        <v>205</v>
      </c>
    </row>
    <row r="61" spans="1:76" ht="13.5" customHeight="1">
      <c r="A61" s="54"/>
      <c r="B61" s="58" t="s">
        <v>136</v>
      </c>
      <c r="C61" s="152" t="s">
        <v>206</v>
      </c>
      <c r="D61" s="153"/>
      <c r="E61" s="153"/>
      <c r="F61" s="153"/>
      <c r="G61" s="154"/>
      <c r="H61" s="153"/>
      <c r="I61" s="153"/>
      <c r="J61" s="155"/>
    </row>
    <row r="62" spans="1:76">
      <c r="A62" s="54"/>
      <c r="C62" s="55" t="s">
        <v>189</v>
      </c>
      <c r="D62" s="56" t="s">
        <v>207</v>
      </c>
      <c r="F62" s="57">
        <v>7.85</v>
      </c>
      <c r="J62" s="41"/>
    </row>
    <row r="63" spans="1:76">
      <c r="A63" s="54"/>
      <c r="C63" s="55" t="s">
        <v>197</v>
      </c>
      <c r="D63" s="56" t="s">
        <v>208</v>
      </c>
      <c r="F63" s="57">
        <v>4.7350000000000003</v>
      </c>
      <c r="J63" s="41"/>
    </row>
    <row r="64" spans="1:76">
      <c r="A64" s="54"/>
      <c r="C64" s="55" t="s">
        <v>130</v>
      </c>
      <c r="D64" s="56" t="s">
        <v>174</v>
      </c>
      <c r="F64" s="57">
        <v>7.3959999999999999</v>
      </c>
      <c r="J64" s="41"/>
    </row>
    <row r="65" spans="1:76">
      <c r="A65" s="1" t="s">
        <v>209</v>
      </c>
      <c r="B65" s="2" t="s">
        <v>210</v>
      </c>
      <c r="C65" s="75" t="s">
        <v>211</v>
      </c>
      <c r="D65" s="70"/>
      <c r="E65" s="2" t="s">
        <v>135</v>
      </c>
      <c r="F65" s="51">
        <v>1</v>
      </c>
      <c r="G65" s="52">
        <v>0</v>
      </c>
      <c r="H65" s="51">
        <f>F65*G65</f>
        <v>0</v>
      </c>
      <c r="J65" s="41"/>
      <c r="Z65" s="51">
        <f>IF(AQ65="5",BJ65,0)</f>
        <v>0</v>
      </c>
      <c r="AB65" s="51">
        <f>IF(AQ65="1",BH65,0)</f>
        <v>0</v>
      </c>
      <c r="AC65" s="51">
        <f>IF(AQ65="1",BI65,0)</f>
        <v>0</v>
      </c>
      <c r="AD65" s="51">
        <f>IF(AQ65="7",BH65,0)</f>
        <v>0</v>
      </c>
      <c r="AE65" s="51">
        <f>IF(AQ65="7",BI65,0)</f>
        <v>0</v>
      </c>
      <c r="AF65" s="51">
        <f>IF(AQ65="2",BH65,0)</f>
        <v>0</v>
      </c>
      <c r="AG65" s="51">
        <f>IF(AQ65="2",BI65,0)</f>
        <v>0</v>
      </c>
      <c r="AH65" s="51">
        <f>IF(AQ65="0",BJ65,0)</f>
        <v>0</v>
      </c>
      <c r="AI65" s="35" t="s">
        <v>4</v>
      </c>
      <c r="AJ65" s="51">
        <f>IF(AN65=0,H65,0)</f>
        <v>0</v>
      </c>
      <c r="AK65" s="51">
        <f>IF(AN65=12,H65,0)</f>
        <v>0</v>
      </c>
      <c r="AL65" s="51">
        <f>IF(AN65=21,H65,0)</f>
        <v>0</v>
      </c>
      <c r="AN65" s="51">
        <v>12</v>
      </c>
      <c r="AO65" s="51">
        <f>G65*0.64451468</f>
        <v>0</v>
      </c>
      <c r="AP65" s="51">
        <f>G65*(1-0.64451468)</f>
        <v>0</v>
      </c>
      <c r="AQ65" s="53" t="s">
        <v>111</v>
      </c>
      <c r="AV65" s="51">
        <f>AW65+AX65</f>
        <v>0</v>
      </c>
      <c r="AW65" s="51">
        <f>F65*AO65</f>
        <v>0</v>
      </c>
      <c r="AX65" s="51">
        <f>F65*AP65</f>
        <v>0</v>
      </c>
      <c r="AY65" s="53" t="s">
        <v>153</v>
      </c>
      <c r="AZ65" s="53" t="s">
        <v>154</v>
      </c>
      <c r="BA65" s="35" t="s">
        <v>117</v>
      </c>
      <c r="BC65" s="51">
        <f>AW65+AX65</f>
        <v>0</v>
      </c>
      <c r="BD65" s="51">
        <f>G65/(100-BE65)*100</f>
        <v>0</v>
      </c>
      <c r="BE65" s="51">
        <v>0</v>
      </c>
      <c r="BF65" s="51">
        <f>65</f>
        <v>65</v>
      </c>
      <c r="BH65" s="51">
        <f>F65*AO65</f>
        <v>0</v>
      </c>
      <c r="BI65" s="51">
        <f>F65*AP65</f>
        <v>0</v>
      </c>
      <c r="BJ65" s="51">
        <f>F65*G65</f>
        <v>0</v>
      </c>
      <c r="BK65" s="51"/>
      <c r="BL65" s="51">
        <v>61</v>
      </c>
      <c r="BW65" s="51">
        <v>12</v>
      </c>
      <c r="BX65" s="3" t="s">
        <v>211</v>
      </c>
    </row>
    <row r="66" spans="1:76" ht="13.5" customHeight="1">
      <c r="A66" s="54"/>
      <c r="B66" s="58" t="s">
        <v>136</v>
      </c>
      <c r="C66" s="152" t="s">
        <v>212</v>
      </c>
      <c r="D66" s="153"/>
      <c r="E66" s="153"/>
      <c r="F66" s="153"/>
      <c r="G66" s="154"/>
      <c r="H66" s="153"/>
      <c r="I66" s="153"/>
      <c r="J66" s="155"/>
    </row>
    <row r="67" spans="1:76">
      <c r="A67" s="54"/>
      <c r="C67" s="55" t="s">
        <v>111</v>
      </c>
      <c r="D67" s="56" t="s">
        <v>131</v>
      </c>
      <c r="F67" s="57">
        <v>1</v>
      </c>
      <c r="J67" s="41"/>
    </row>
    <row r="68" spans="1:76">
      <c r="A68" s="47" t="s">
        <v>4</v>
      </c>
      <c r="B68" s="48" t="s">
        <v>213</v>
      </c>
      <c r="C68" s="150" t="s">
        <v>214</v>
      </c>
      <c r="D68" s="151"/>
      <c r="E68" s="49" t="s">
        <v>79</v>
      </c>
      <c r="F68" s="49" t="s">
        <v>79</v>
      </c>
      <c r="G68" s="50" t="s">
        <v>79</v>
      </c>
      <c r="H68" s="28">
        <f>SUM(H69:H74)</f>
        <v>0</v>
      </c>
      <c r="J68" s="41"/>
      <c r="AI68" s="35" t="s">
        <v>4</v>
      </c>
      <c r="AS68" s="28">
        <f>SUM(AJ69:AJ74)</f>
        <v>0</v>
      </c>
      <c r="AT68" s="28">
        <f>SUM(AK69:AK74)</f>
        <v>0</v>
      </c>
      <c r="AU68" s="28">
        <f>SUM(AL69:AL74)</f>
        <v>0</v>
      </c>
    </row>
    <row r="69" spans="1:76">
      <c r="A69" s="1" t="s">
        <v>215</v>
      </c>
      <c r="B69" s="2" t="s">
        <v>216</v>
      </c>
      <c r="C69" s="75" t="s">
        <v>217</v>
      </c>
      <c r="D69" s="70"/>
      <c r="E69" s="2" t="s">
        <v>114</v>
      </c>
      <c r="F69" s="51">
        <v>0.96</v>
      </c>
      <c r="G69" s="52">
        <v>0</v>
      </c>
      <c r="H69" s="51">
        <f>F69*G69</f>
        <v>0</v>
      </c>
      <c r="J69" s="41"/>
      <c r="Z69" s="51">
        <f>IF(AQ69="5",BJ69,0)</f>
        <v>0</v>
      </c>
      <c r="AB69" s="51">
        <f>IF(AQ69="1",BH69,0)</f>
        <v>0</v>
      </c>
      <c r="AC69" s="51">
        <f>IF(AQ69="1",BI69,0)</f>
        <v>0</v>
      </c>
      <c r="AD69" s="51">
        <f>IF(AQ69="7",BH69,0)</f>
        <v>0</v>
      </c>
      <c r="AE69" s="51">
        <f>IF(AQ69="7",BI69,0)</f>
        <v>0</v>
      </c>
      <c r="AF69" s="51">
        <f>IF(AQ69="2",BH69,0)</f>
        <v>0</v>
      </c>
      <c r="AG69" s="51">
        <f>IF(AQ69="2",BI69,0)</f>
        <v>0</v>
      </c>
      <c r="AH69" s="51">
        <f>IF(AQ69="0",BJ69,0)</f>
        <v>0</v>
      </c>
      <c r="AI69" s="35" t="s">
        <v>4</v>
      </c>
      <c r="AJ69" s="51">
        <f>IF(AN69=0,H69,0)</f>
        <v>0</v>
      </c>
      <c r="AK69" s="51">
        <f>IF(AN69=12,H69,0)</f>
        <v>0</v>
      </c>
      <c r="AL69" s="51">
        <f>IF(AN69=21,H69,0)</f>
        <v>0</v>
      </c>
      <c r="AN69" s="51">
        <v>12</v>
      </c>
      <c r="AO69" s="51">
        <f>G69*0.675979906</f>
        <v>0</v>
      </c>
      <c r="AP69" s="51">
        <f>G69*(1-0.675979906)</f>
        <v>0</v>
      </c>
      <c r="AQ69" s="53" t="s">
        <v>111</v>
      </c>
      <c r="AV69" s="51">
        <f>AW69+AX69</f>
        <v>0</v>
      </c>
      <c r="AW69" s="51">
        <f>F69*AO69</f>
        <v>0</v>
      </c>
      <c r="AX69" s="51">
        <f>F69*AP69</f>
        <v>0</v>
      </c>
      <c r="AY69" s="53" t="s">
        <v>218</v>
      </c>
      <c r="AZ69" s="53" t="s">
        <v>154</v>
      </c>
      <c r="BA69" s="35" t="s">
        <v>117</v>
      </c>
      <c r="BC69" s="51">
        <f>AW69+AX69</f>
        <v>0</v>
      </c>
      <c r="BD69" s="51">
        <f>G69/(100-BE69)*100</f>
        <v>0</v>
      </c>
      <c r="BE69" s="51">
        <v>0</v>
      </c>
      <c r="BF69" s="51">
        <f>69</f>
        <v>69</v>
      </c>
      <c r="BH69" s="51">
        <f>F69*AO69</f>
        <v>0</v>
      </c>
      <c r="BI69" s="51">
        <f>F69*AP69</f>
        <v>0</v>
      </c>
      <c r="BJ69" s="51">
        <f>F69*G69</f>
        <v>0</v>
      </c>
      <c r="BK69" s="51"/>
      <c r="BL69" s="51">
        <v>63</v>
      </c>
      <c r="BW69" s="51">
        <v>12</v>
      </c>
      <c r="BX69" s="3" t="s">
        <v>217</v>
      </c>
    </row>
    <row r="70" spans="1:76">
      <c r="A70" s="54"/>
      <c r="C70" s="55" t="s">
        <v>219</v>
      </c>
      <c r="D70" s="56" t="s">
        <v>220</v>
      </c>
      <c r="F70" s="57">
        <v>0.96</v>
      </c>
      <c r="J70" s="41"/>
    </row>
    <row r="71" spans="1:76">
      <c r="A71" s="1" t="s">
        <v>221</v>
      </c>
      <c r="B71" s="2" t="s">
        <v>222</v>
      </c>
      <c r="C71" s="75" t="s">
        <v>223</v>
      </c>
      <c r="D71" s="70"/>
      <c r="E71" s="2" t="s">
        <v>114</v>
      </c>
      <c r="F71" s="51">
        <v>40.43</v>
      </c>
      <c r="G71" s="52">
        <v>0</v>
      </c>
      <c r="H71" s="51">
        <f>F71*G71</f>
        <v>0</v>
      </c>
      <c r="J71" s="41"/>
      <c r="Z71" s="51">
        <f>IF(AQ71="5",BJ71,0)</f>
        <v>0</v>
      </c>
      <c r="AB71" s="51">
        <f>IF(AQ71="1",BH71,0)</f>
        <v>0</v>
      </c>
      <c r="AC71" s="51">
        <f>IF(AQ71="1",BI71,0)</f>
        <v>0</v>
      </c>
      <c r="AD71" s="51">
        <f>IF(AQ71="7",BH71,0)</f>
        <v>0</v>
      </c>
      <c r="AE71" s="51">
        <f>IF(AQ71="7",BI71,0)</f>
        <v>0</v>
      </c>
      <c r="AF71" s="51">
        <f>IF(AQ71="2",BH71,0)</f>
        <v>0</v>
      </c>
      <c r="AG71" s="51">
        <f>IF(AQ71="2",BI71,0)</f>
        <v>0</v>
      </c>
      <c r="AH71" s="51">
        <f>IF(AQ71="0",BJ71,0)</f>
        <v>0</v>
      </c>
      <c r="AI71" s="35" t="s">
        <v>4</v>
      </c>
      <c r="AJ71" s="51">
        <f>IF(AN71=0,H71,0)</f>
        <v>0</v>
      </c>
      <c r="AK71" s="51">
        <f>IF(AN71=12,H71,0)</f>
        <v>0</v>
      </c>
      <c r="AL71" s="51">
        <f>IF(AN71=21,H71,0)</f>
        <v>0</v>
      </c>
      <c r="AN71" s="51">
        <v>12</v>
      </c>
      <c r="AO71" s="51">
        <f>G71*0.785783634</f>
        <v>0</v>
      </c>
      <c r="AP71" s="51">
        <f>G71*(1-0.785783634)</f>
        <v>0</v>
      </c>
      <c r="AQ71" s="53" t="s">
        <v>111</v>
      </c>
      <c r="AV71" s="51">
        <f>AW71+AX71</f>
        <v>0</v>
      </c>
      <c r="AW71" s="51">
        <f>F71*AO71</f>
        <v>0</v>
      </c>
      <c r="AX71" s="51">
        <f>F71*AP71</f>
        <v>0</v>
      </c>
      <c r="AY71" s="53" t="s">
        <v>218</v>
      </c>
      <c r="AZ71" s="53" t="s">
        <v>154</v>
      </c>
      <c r="BA71" s="35" t="s">
        <v>117</v>
      </c>
      <c r="BC71" s="51">
        <f>AW71+AX71</f>
        <v>0</v>
      </c>
      <c r="BD71" s="51">
        <f>G71/(100-BE71)*100</f>
        <v>0</v>
      </c>
      <c r="BE71" s="51">
        <v>0</v>
      </c>
      <c r="BF71" s="51">
        <f>71</f>
        <v>71</v>
      </c>
      <c r="BH71" s="51">
        <f>F71*AO71</f>
        <v>0</v>
      </c>
      <c r="BI71" s="51">
        <f>F71*AP71</f>
        <v>0</v>
      </c>
      <c r="BJ71" s="51">
        <f>F71*G71</f>
        <v>0</v>
      </c>
      <c r="BK71" s="51"/>
      <c r="BL71" s="51">
        <v>63</v>
      </c>
      <c r="BW71" s="51">
        <v>12</v>
      </c>
      <c r="BX71" s="3" t="s">
        <v>223</v>
      </c>
    </row>
    <row r="72" spans="1:76" ht="13.5" customHeight="1">
      <c r="A72" s="54"/>
      <c r="B72" s="58" t="s">
        <v>136</v>
      </c>
      <c r="C72" s="152" t="s">
        <v>224</v>
      </c>
      <c r="D72" s="153"/>
      <c r="E72" s="153"/>
      <c r="F72" s="153"/>
      <c r="G72" s="154"/>
      <c r="H72" s="153"/>
      <c r="I72" s="153"/>
      <c r="J72" s="155"/>
    </row>
    <row r="73" spans="1:76">
      <c r="A73" s="54"/>
      <c r="C73" s="55" t="s">
        <v>162</v>
      </c>
      <c r="D73" s="56" t="s">
        <v>225</v>
      </c>
      <c r="F73" s="57">
        <v>40.43</v>
      </c>
      <c r="J73" s="41"/>
    </row>
    <row r="74" spans="1:76">
      <c r="A74" s="1" t="s">
        <v>226</v>
      </c>
      <c r="B74" s="2" t="s">
        <v>227</v>
      </c>
      <c r="C74" s="75" t="s">
        <v>228</v>
      </c>
      <c r="D74" s="70"/>
      <c r="E74" s="2" t="s">
        <v>114</v>
      </c>
      <c r="F74" s="51">
        <v>40.43</v>
      </c>
      <c r="G74" s="52">
        <v>0</v>
      </c>
      <c r="H74" s="51">
        <f>F74*G74</f>
        <v>0</v>
      </c>
      <c r="J74" s="41"/>
      <c r="Z74" s="51">
        <f>IF(AQ74="5",BJ74,0)</f>
        <v>0</v>
      </c>
      <c r="AB74" s="51">
        <f>IF(AQ74="1",BH74,0)</f>
        <v>0</v>
      </c>
      <c r="AC74" s="51">
        <f>IF(AQ74="1",BI74,0)</f>
        <v>0</v>
      </c>
      <c r="AD74" s="51">
        <f>IF(AQ74="7",BH74,0)</f>
        <v>0</v>
      </c>
      <c r="AE74" s="51">
        <f>IF(AQ74="7",BI74,0)</f>
        <v>0</v>
      </c>
      <c r="AF74" s="51">
        <f>IF(AQ74="2",BH74,0)</f>
        <v>0</v>
      </c>
      <c r="AG74" s="51">
        <f>IF(AQ74="2",BI74,0)</f>
        <v>0</v>
      </c>
      <c r="AH74" s="51">
        <f>IF(AQ74="0",BJ74,0)</f>
        <v>0</v>
      </c>
      <c r="AI74" s="35" t="s">
        <v>4</v>
      </c>
      <c r="AJ74" s="51">
        <f>IF(AN74=0,H74,0)</f>
        <v>0</v>
      </c>
      <c r="AK74" s="51">
        <f>IF(AN74=12,H74,0)</f>
        <v>0</v>
      </c>
      <c r="AL74" s="51">
        <f>IF(AN74=21,H74,0)</f>
        <v>0</v>
      </c>
      <c r="AN74" s="51">
        <v>12</v>
      </c>
      <c r="AO74" s="51">
        <f>G74*0.539126214</f>
        <v>0</v>
      </c>
      <c r="AP74" s="51">
        <f>G74*(1-0.539126214)</f>
        <v>0</v>
      </c>
      <c r="AQ74" s="53" t="s">
        <v>111</v>
      </c>
      <c r="AV74" s="51">
        <f>AW74+AX74</f>
        <v>0</v>
      </c>
      <c r="AW74" s="51">
        <f>F74*AO74</f>
        <v>0</v>
      </c>
      <c r="AX74" s="51">
        <f>F74*AP74</f>
        <v>0</v>
      </c>
      <c r="AY74" s="53" t="s">
        <v>218</v>
      </c>
      <c r="AZ74" s="53" t="s">
        <v>154</v>
      </c>
      <c r="BA74" s="35" t="s">
        <v>117</v>
      </c>
      <c r="BC74" s="51">
        <f>AW74+AX74</f>
        <v>0</v>
      </c>
      <c r="BD74" s="51">
        <f>G74/(100-BE74)*100</f>
        <v>0</v>
      </c>
      <c r="BE74" s="51">
        <v>0</v>
      </c>
      <c r="BF74" s="51">
        <f>74</f>
        <v>74</v>
      </c>
      <c r="BH74" s="51">
        <f>F74*AO74</f>
        <v>0</v>
      </c>
      <c r="BI74" s="51">
        <f>F74*AP74</f>
        <v>0</v>
      </c>
      <c r="BJ74" s="51">
        <f>F74*G74</f>
        <v>0</v>
      </c>
      <c r="BK74" s="51"/>
      <c r="BL74" s="51">
        <v>63</v>
      </c>
      <c r="BW74" s="51">
        <v>12</v>
      </c>
      <c r="BX74" s="3" t="s">
        <v>228</v>
      </c>
    </row>
    <row r="75" spans="1:76">
      <c r="A75" s="47" t="s">
        <v>4</v>
      </c>
      <c r="B75" s="48" t="s">
        <v>229</v>
      </c>
      <c r="C75" s="150" t="s">
        <v>230</v>
      </c>
      <c r="D75" s="151"/>
      <c r="E75" s="49" t="s">
        <v>79</v>
      </c>
      <c r="F75" s="49" t="s">
        <v>79</v>
      </c>
      <c r="G75" s="50" t="s">
        <v>79</v>
      </c>
      <c r="H75" s="28">
        <f>SUM(H76:H82)</f>
        <v>0</v>
      </c>
      <c r="J75" s="41"/>
      <c r="AI75" s="35" t="s">
        <v>4</v>
      </c>
      <c r="AS75" s="28">
        <f>SUM(AJ76:AJ82)</f>
        <v>0</v>
      </c>
      <c r="AT75" s="28">
        <f>SUM(AK76:AK82)</f>
        <v>0</v>
      </c>
      <c r="AU75" s="28">
        <f>SUM(AL76:AL82)</f>
        <v>0</v>
      </c>
    </row>
    <row r="76" spans="1:76">
      <c r="A76" s="1" t="s">
        <v>231</v>
      </c>
      <c r="B76" s="2" t="s">
        <v>232</v>
      </c>
      <c r="C76" s="75" t="s">
        <v>233</v>
      </c>
      <c r="D76" s="70"/>
      <c r="E76" s="2" t="s">
        <v>234</v>
      </c>
      <c r="F76" s="51">
        <v>10</v>
      </c>
      <c r="G76" s="52">
        <v>0</v>
      </c>
      <c r="H76" s="51">
        <f>F76*G76</f>
        <v>0</v>
      </c>
      <c r="J76" s="41"/>
      <c r="Z76" s="51">
        <f>IF(AQ76="5",BJ76,0)</f>
        <v>0</v>
      </c>
      <c r="AB76" s="51">
        <f>IF(AQ76="1",BH76,0)</f>
        <v>0</v>
      </c>
      <c r="AC76" s="51">
        <f>IF(AQ76="1",BI76,0)</f>
        <v>0</v>
      </c>
      <c r="AD76" s="51">
        <f>IF(AQ76="7",BH76,0)</f>
        <v>0</v>
      </c>
      <c r="AE76" s="51">
        <f>IF(AQ76="7",BI76,0)</f>
        <v>0</v>
      </c>
      <c r="AF76" s="51">
        <f>IF(AQ76="2",BH76,0)</f>
        <v>0</v>
      </c>
      <c r="AG76" s="51">
        <f>IF(AQ76="2",BI76,0)</f>
        <v>0</v>
      </c>
      <c r="AH76" s="51">
        <f>IF(AQ76="0",BJ76,0)</f>
        <v>0</v>
      </c>
      <c r="AI76" s="35" t="s">
        <v>4</v>
      </c>
      <c r="AJ76" s="51">
        <f>IF(AN76=0,H76,0)</f>
        <v>0</v>
      </c>
      <c r="AK76" s="51">
        <f>IF(AN76=12,H76,0)</f>
        <v>0</v>
      </c>
      <c r="AL76" s="51">
        <f>IF(AN76=21,H76,0)</f>
        <v>0</v>
      </c>
      <c r="AN76" s="51">
        <v>12</v>
      </c>
      <c r="AO76" s="51">
        <f>G76*0</f>
        <v>0</v>
      </c>
      <c r="AP76" s="51">
        <f>G76*(1-0)</f>
        <v>0</v>
      </c>
      <c r="AQ76" s="53" t="s">
        <v>111</v>
      </c>
      <c r="AV76" s="51">
        <f>AW76+AX76</f>
        <v>0</v>
      </c>
      <c r="AW76" s="51">
        <f>F76*AO76</f>
        <v>0</v>
      </c>
      <c r="AX76" s="51">
        <f>F76*AP76</f>
        <v>0</v>
      </c>
      <c r="AY76" s="53" t="s">
        <v>235</v>
      </c>
      <c r="AZ76" s="53" t="s">
        <v>236</v>
      </c>
      <c r="BA76" s="35" t="s">
        <v>117</v>
      </c>
      <c r="BC76" s="51">
        <f>AW76+AX76</f>
        <v>0</v>
      </c>
      <c r="BD76" s="51">
        <f>G76/(100-BE76)*100</f>
        <v>0</v>
      </c>
      <c r="BE76" s="51">
        <v>0</v>
      </c>
      <c r="BF76" s="51">
        <f>76</f>
        <v>76</v>
      </c>
      <c r="BH76" s="51">
        <f>F76*AO76</f>
        <v>0</v>
      </c>
      <c r="BI76" s="51">
        <f>F76*AP76</f>
        <v>0</v>
      </c>
      <c r="BJ76" s="51">
        <f>F76*G76</f>
        <v>0</v>
      </c>
      <c r="BK76" s="51"/>
      <c r="BL76" s="51">
        <v>95</v>
      </c>
      <c r="BW76" s="51">
        <v>12</v>
      </c>
      <c r="BX76" s="3" t="s">
        <v>233</v>
      </c>
    </row>
    <row r="77" spans="1:76" ht="13.5" customHeight="1">
      <c r="A77" s="54"/>
      <c r="B77" s="58" t="s">
        <v>136</v>
      </c>
      <c r="C77" s="152" t="s">
        <v>237</v>
      </c>
      <c r="D77" s="153"/>
      <c r="E77" s="153"/>
      <c r="F77" s="153"/>
      <c r="G77" s="154"/>
      <c r="H77" s="153"/>
      <c r="I77" s="153"/>
      <c r="J77" s="155"/>
    </row>
    <row r="78" spans="1:76">
      <c r="A78" s="1" t="s">
        <v>238</v>
      </c>
      <c r="B78" s="2" t="s">
        <v>239</v>
      </c>
      <c r="C78" s="75" t="s">
        <v>240</v>
      </c>
      <c r="D78" s="70"/>
      <c r="E78" s="2" t="s">
        <v>114</v>
      </c>
      <c r="F78" s="51">
        <v>41</v>
      </c>
      <c r="G78" s="52">
        <v>0</v>
      </c>
      <c r="H78" s="51">
        <f>F78*G78</f>
        <v>0</v>
      </c>
      <c r="J78" s="41"/>
      <c r="Z78" s="51">
        <f>IF(AQ78="5",BJ78,0)</f>
        <v>0</v>
      </c>
      <c r="AB78" s="51">
        <f>IF(AQ78="1",BH78,0)</f>
        <v>0</v>
      </c>
      <c r="AC78" s="51">
        <f>IF(AQ78="1",BI78,0)</f>
        <v>0</v>
      </c>
      <c r="AD78" s="51">
        <f>IF(AQ78="7",BH78,0)</f>
        <v>0</v>
      </c>
      <c r="AE78" s="51">
        <f>IF(AQ78="7",BI78,0)</f>
        <v>0</v>
      </c>
      <c r="AF78" s="51">
        <f>IF(AQ78="2",BH78,0)</f>
        <v>0</v>
      </c>
      <c r="AG78" s="51">
        <f>IF(AQ78="2",BI78,0)</f>
        <v>0</v>
      </c>
      <c r="AH78" s="51">
        <f>IF(AQ78="0",BJ78,0)</f>
        <v>0</v>
      </c>
      <c r="AI78" s="35" t="s">
        <v>4</v>
      </c>
      <c r="AJ78" s="51">
        <f>IF(AN78=0,H78,0)</f>
        <v>0</v>
      </c>
      <c r="AK78" s="51">
        <f>IF(AN78=12,H78,0)</f>
        <v>0</v>
      </c>
      <c r="AL78" s="51">
        <f>IF(AN78=21,H78,0)</f>
        <v>0</v>
      </c>
      <c r="AN78" s="51">
        <v>12</v>
      </c>
      <c r="AO78" s="51">
        <f>G78*0.016056338</f>
        <v>0</v>
      </c>
      <c r="AP78" s="51">
        <f>G78*(1-0.016056338)</f>
        <v>0</v>
      </c>
      <c r="AQ78" s="53" t="s">
        <v>111</v>
      </c>
      <c r="AV78" s="51">
        <f>AW78+AX78</f>
        <v>0</v>
      </c>
      <c r="AW78" s="51">
        <f>F78*AO78</f>
        <v>0</v>
      </c>
      <c r="AX78" s="51">
        <f>F78*AP78</f>
        <v>0</v>
      </c>
      <c r="AY78" s="53" t="s">
        <v>235</v>
      </c>
      <c r="AZ78" s="53" t="s">
        <v>236</v>
      </c>
      <c r="BA78" s="35" t="s">
        <v>117</v>
      </c>
      <c r="BC78" s="51">
        <f>AW78+AX78</f>
        <v>0</v>
      </c>
      <c r="BD78" s="51">
        <f>G78/(100-BE78)*100</f>
        <v>0</v>
      </c>
      <c r="BE78" s="51">
        <v>0</v>
      </c>
      <c r="BF78" s="51">
        <f>78</f>
        <v>78</v>
      </c>
      <c r="BH78" s="51">
        <f>F78*AO78</f>
        <v>0</v>
      </c>
      <c r="BI78" s="51">
        <f>F78*AP78</f>
        <v>0</v>
      </c>
      <c r="BJ78" s="51">
        <f>F78*G78</f>
        <v>0</v>
      </c>
      <c r="BK78" s="51"/>
      <c r="BL78" s="51">
        <v>95</v>
      </c>
      <c r="BW78" s="51">
        <v>12</v>
      </c>
      <c r="BX78" s="3" t="s">
        <v>240</v>
      </c>
    </row>
    <row r="79" spans="1:76">
      <c r="A79" s="1" t="s">
        <v>241</v>
      </c>
      <c r="B79" s="2" t="s">
        <v>242</v>
      </c>
      <c r="C79" s="75" t="s">
        <v>243</v>
      </c>
      <c r="D79" s="70"/>
      <c r="E79" s="2" t="s">
        <v>135</v>
      </c>
      <c r="F79" s="51">
        <v>1</v>
      </c>
      <c r="G79" s="52">
        <v>0</v>
      </c>
      <c r="H79" s="51">
        <f>F79*G79</f>
        <v>0</v>
      </c>
      <c r="J79" s="41"/>
      <c r="Z79" s="51">
        <f>IF(AQ79="5",BJ79,0)</f>
        <v>0</v>
      </c>
      <c r="AB79" s="51">
        <f>IF(AQ79="1",BH79,0)</f>
        <v>0</v>
      </c>
      <c r="AC79" s="51">
        <f>IF(AQ79="1",BI79,0)</f>
        <v>0</v>
      </c>
      <c r="AD79" s="51">
        <f>IF(AQ79="7",BH79,0)</f>
        <v>0</v>
      </c>
      <c r="AE79" s="51">
        <f>IF(AQ79="7",BI79,0)</f>
        <v>0</v>
      </c>
      <c r="AF79" s="51">
        <f>IF(AQ79="2",BH79,0)</f>
        <v>0</v>
      </c>
      <c r="AG79" s="51">
        <f>IF(AQ79="2",BI79,0)</f>
        <v>0</v>
      </c>
      <c r="AH79" s="51">
        <f>IF(AQ79="0",BJ79,0)</f>
        <v>0</v>
      </c>
      <c r="AI79" s="35" t="s">
        <v>4</v>
      </c>
      <c r="AJ79" s="51">
        <f>IF(AN79=0,H79,0)</f>
        <v>0</v>
      </c>
      <c r="AK79" s="51">
        <f>IF(AN79=12,H79,0)</f>
        <v>0</v>
      </c>
      <c r="AL79" s="51">
        <f>IF(AN79=21,H79,0)</f>
        <v>0</v>
      </c>
      <c r="AN79" s="51">
        <v>12</v>
      </c>
      <c r="AO79" s="51">
        <f>G79*0.089096573</f>
        <v>0</v>
      </c>
      <c r="AP79" s="51">
        <f>G79*(1-0.089096573)</f>
        <v>0</v>
      </c>
      <c r="AQ79" s="53" t="s">
        <v>111</v>
      </c>
      <c r="AV79" s="51">
        <f>AW79+AX79</f>
        <v>0</v>
      </c>
      <c r="AW79" s="51">
        <f>F79*AO79</f>
        <v>0</v>
      </c>
      <c r="AX79" s="51">
        <f>F79*AP79</f>
        <v>0</v>
      </c>
      <c r="AY79" s="53" t="s">
        <v>235</v>
      </c>
      <c r="AZ79" s="53" t="s">
        <v>236</v>
      </c>
      <c r="BA79" s="35" t="s">
        <v>117</v>
      </c>
      <c r="BC79" s="51">
        <f>AW79+AX79</f>
        <v>0</v>
      </c>
      <c r="BD79" s="51">
        <f>G79/(100-BE79)*100</f>
        <v>0</v>
      </c>
      <c r="BE79" s="51">
        <v>0</v>
      </c>
      <c r="BF79" s="51">
        <f>79</f>
        <v>79</v>
      </c>
      <c r="BH79" s="51">
        <f>F79*AO79</f>
        <v>0</v>
      </c>
      <c r="BI79" s="51">
        <f>F79*AP79</f>
        <v>0</v>
      </c>
      <c r="BJ79" s="51">
        <f>F79*G79</f>
        <v>0</v>
      </c>
      <c r="BK79" s="51"/>
      <c r="BL79" s="51">
        <v>95</v>
      </c>
      <c r="BW79" s="51">
        <v>12</v>
      </c>
      <c r="BX79" s="3" t="s">
        <v>243</v>
      </c>
    </row>
    <row r="80" spans="1:76">
      <c r="A80" s="54"/>
      <c r="C80" s="55" t="s">
        <v>111</v>
      </c>
      <c r="D80" s="56" t="s">
        <v>244</v>
      </c>
      <c r="F80" s="57">
        <v>1</v>
      </c>
      <c r="J80" s="41"/>
    </row>
    <row r="81" spans="1:76" ht="25.5">
      <c r="A81" s="1" t="s">
        <v>245</v>
      </c>
      <c r="B81" s="2" t="s">
        <v>246</v>
      </c>
      <c r="C81" s="75" t="s">
        <v>247</v>
      </c>
      <c r="D81" s="70"/>
      <c r="E81" s="2" t="s">
        <v>135</v>
      </c>
      <c r="F81" s="51">
        <v>1</v>
      </c>
      <c r="G81" s="52">
        <v>0</v>
      </c>
      <c r="H81" s="51">
        <f>F81*G81</f>
        <v>0</v>
      </c>
      <c r="J81" s="41"/>
      <c r="Z81" s="51">
        <f>IF(AQ81="5",BJ81,0)</f>
        <v>0</v>
      </c>
      <c r="AB81" s="51">
        <f>IF(AQ81="1",BH81,0)</f>
        <v>0</v>
      </c>
      <c r="AC81" s="51">
        <f>IF(AQ81="1",BI81,0)</f>
        <v>0</v>
      </c>
      <c r="AD81" s="51">
        <f>IF(AQ81="7",BH81,0)</f>
        <v>0</v>
      </c>
      <c r="AE81" s="51">
        <f>IF(AQ81="7",BI81,0)</f>
        <v>0</v>
      </c>
      <c r="AF81" s="51">
        <f>IF(AQ81="2",BH81,0)</f>
        <v>0</v>
      </c>
      <c r="AG81" s="51">
        <f>IF(AQ81="2",BI81,0)</f>
        <v>0</v>
      </c>
      <c r="AH81" s="51">
        <f>IF(AQ81="0",BJ81,0)</f>
        <v>0</v>
      </c>
      <c r="AI81" s="35" t="s">
        <v>4</v>
      </c>
      <c r="AJ81" s="51">
        <f>IF(AN81=0,H81,0)</f>
        <v>0</v>
      </c>
      <c r="AK81" s="51">
        <f>IF(AN81=12,H81,0)</f>
        <v>0</v>
      </c>
      <c r="AL81" s="51">
        <f>IF(AN81=21,H81,0)</f>
        <v>0</v>
      </c>
      <c r="AN81" s="51">
        <v>12</v>
      </c>
      <c r="AO81" s="51">
        <f>G81*1</f>
        <v>0</v>
      </c>
      <c r="AP81" s="51">
        <f>G81*(1-1)</f>
        <v>0</v>
      </c>
      <c r="AQ81" s="53" t="s">
        <v>111</v>
      </c>
      <c r="AV81" s="51">
        <f>AW81+AX81</f>
        <v>0</v>
      </c>
      <c r="AW81" s="51">
        <f>F81*AO81</f>
        <v>0</v>
      </c>
      <c r="AX81" s="51">
        <f>F81*AP81</f>
        <v>0</v>
      </c>
      <c r="AY81" s="53" t="s">
        <v>235</v>
      </c>
      <c r="AZ81" s="53" t="s">
        <v>236</v>
      </c>
      <c r="BA81" s="35" t="s">
        <v>117</v>
      </c>
      <c r="BC81" s="51">
        <f>AW81+AX81</f>
        <v>0</v>
      </c>
      <c r="BD81" s="51">
        <f>G81/(100-BE81)*100</f>
        <v>0</v>
      </c>
      <c r="BE81" s="51">
        <v>0</v>
      </c>
      <c r="BF81" s="51">
        <f>81</f>
        <v>81</v>
      </c>
      <c r="BH81" s="51">
        <f>F81*AO81</f>
        <v>0</v>
      </c>
      <c r="BI81" s="51">
        <f>F81*AP81</f>
        <v>0</v>
      </c>
      <c r="BJ81" s="51">
        <f>F81*G81</f>
        <v>0</v>
      </c>
      <c r="BK81" s="51"/>
      <c r="BL81" s="51">
        <v>95</v>
      </c>
      <c r="BW81" s="51">
        <v>12</v>
      </c>
      <c r="BX81" s="3" t="s">
        <v>247</v>
      </c>
    </row>
    <row r="82" spans="1:76">
      <c r="A82" s="1" t="s">
        <v>248</v>
      </c>
      <c r="B82" s="2" t="s">
        <v>249</v>
      </c>
      <c r="C82" s="75" t="s">
        <v>250</v>
      </c>
      <c r="D82" s="70"/>
      <c r="E82" s="2" t="s">
        <v>251</v>
      </c>
      <c r="F82" s="51">
        <v>5</v>
      </c>
      <c r="G82" s="52">
        <v>0</v>
      </c>
      <c r="H82" s="51">
        <f>F82*G82</f>
        <v>0</v>
      </c>
      <c r="J82" s="41"/>
      <c r="Z82" s="51">
        <f>IF(AQ82="5",BJ82,0)</f>
        <v>0</v>
      </c>
      <c r="AB82" s="51">
        <f>IF(AQ82="1",BH82,0)</f>
        <v>0</v>
      </c>
      <c r="AC82" s="51">
        <f>IF(AQ82="1",BI82,0)</f>
        <v>0</v>
      </c>
      <c r="AD82" s="51">
        <f>IF(AQ82="7",BH82,0)</f>
        <v>0</v>
      </c>
      <c r="AE82" s="51">
        <f>IF(AQ82="7",BI82,0)</f>
        <v>0</v>
      </c>
      <c r="AF82" s="51">
        <f>IF(AQ82="2",BH82,0)</f>
        <v>0</v>
      </c>
      <c r="AG82" s="51">
        <f>IF(AQ82="2",BI82,0)</f>
        <v>0</v>
      </c>
      <c r="AH82" s="51">
        <f>IF(AQ82="0",BJ82,0)</f>
        <v>0</v>
      </c>
      <c r="AI82" s="35" t="s">
        <v>4</v>
      </c>
      <c r="AJ82" s="51">
        <f>IF(AN82=0,H82,0)</f>
        <v>0</v>
      </c>
      <c r="AK82" s="51">
        <f>IF(AN82=12,H82,0)</f>
        <v>0</v>
      </c>
      <c r="AL82" s="51">
        <f>IF(AN82=21,H82,0)</f>
        <v>0</v>
      </c>
      <c r="AN82" s="51">
        <v>12</v>
      </c>
      <c r="AO82" s="51">
        <f>G82*0</f>
        <v>0</v>
      </c>
      <c r="AP82" s="51">
        <f>G82*(1-0)</f>
        <v>0</v>
      </c>
      <c r="AQ82" s="53" t="s">
        <v>111</v>
      </c>
      <c r="AV82" s="51">
        <f>AW82+AX82</f>
        <v>0</v>
      </c>
      <c r="AW82" s="51">
        <f>F82*AO82</f>
        <v>0</v>
      </c>
      <c r="AX82" s="51">
        <f>F82*AP82</f>
        <v>0</v>
      </c>
      <c r="AY82" s="53" t="s">
        <v>235</v>
      </c>
      <c r="AZ82" s="53" t="s">
        <v>236</v>
      </c>
      <c r="BA82" s="35" t="s">
        <v>117</v>
      </c>
      <c r="BC82" s="51">
        <f>AW82+AX82</f>
        <v>0</v>
      </c>
      <c r="BD82" s="51">
        <f>G82/(100-BE82)*100</f>
        <v>0</v>
      </c>
      <c r="BE82" s="51">
        <v>0</v>
      </c>
      <c r="BF82" s="51">
        <f>82</f>
        <v>82</v>
      </c>
      <c r="BH82" s="51">
        <f>F82*AO82</f>
        <v>0</v>
      </c>
      <c r="BI82" s="51">
        <f>F82*AP82</f>
        <v>0</v>
      </c>
      <c r="BJ82" s="51">
        <f>F82*G82</f>
        <v>0</v>
      </c>
      <c r="BK82" s="51"/>
      <c r="BL82" s="51">
        <v>95</v>
      </c>
      <c r="BW82" s="51">
        <v>12</v>
      </c>
      <c r="BX82" s="3" t="s">
        <v>250</v>
      </c>
    </row>
    <row r="83" spans="1:76">
      <c r="A83" s="54"/>
      <c r="C83" s="55" t="s">
        <v>138</v>
      </c>
      <c r="D83" s="56" t="s">
        <v>252</v>
      </c>
      <c r="F83" s="57">
        <v>5</v>
      </c>
      <c r="J83" s="41"/>
    </row>
    <row r="84" spans="1:76">
      <c r="A84" s="47" t="s">
        <v>4</v>
      </c>
      <c r="B84" s="48" t="s">
        <v>253</v>
      </c>
      <c r="C84" s="150" t="s">
        <v>254</v>
      </c>
      <c r="D84" s="151"/>
      <c r="E84" s="49" t="s">
        <v>79</v>
      </c>
      <c r="F84" s="49" t="s">
        <v>79</v>
      </c>
      <c r="G84" s="50" t="s">
        <v>79</v>
      </c>
      <c r="H84" s="28">
        <f>SUM(H85:H101)</f>
        <v>0</v>
      </c>
      <c r="J84" s="41"/>
      <c r="AI84" s="35" t="s">
        <v>4</v>
      </c>
      <c r="AS84" s="28">
        <f>SUM(AJ85:AJ101)</f>
        <v>0</v>
      </c>
      <c r="AT84" s="28">
        <f>SUM(AK85:AK101)</f>
        <v>0</v>
      </c>
      <c r="AU84" s="28">
        <f>SUM(AL85:AL101)</f>
        <v>0</v>
      </c>
    </row>
    <row r="85" spans="1:76">
      <c r="A85" s="1" t="s">
        <v>255</v>
      </c>
      <c r="B85" s="2" t="s">
        <v>256</v>
      </c>
      <c r="C85" s="75" t="s">
        <v>257</v>
      </c>
      <c r="D85" s="70"/>
      <c r="E85" s="2" t="s">
        <v>135</v>
      </c>
      <c r="F85" s="51">
        <v>3</v>
      </c>
      <c r="G85" s="52">
        <v>0</v>
      </c>
      <c r="H85" s="51">
        <f>F85*G85</f>
        <v>0</v>
      </c>
      <c r="J85" s="41"/>
      <c r="Z85" s="51">
        <f>IF(AQ85="5",BJ85,0)</f>
        <v>0</v>
      </c>
      <c r="AB85" s="51">
        <f>IF(AQ85="1",BH85,0)</f>
        <v>0</v>
      </c>
      <c r="AC85" s="51">
        <f>IF(AQ85="1",BI85,0)</f>
        <v>0</v>
      </c>
      <c r="AD85" s="51">
        <f>IF(AQ85="7",BH85,0)</f>
        <v>0</v>
      </c>
      <c r="AE85" s="51">
        <f>IF(AQ85="7",BI85,0)</f>
        <v>0</v>
      </c>
      <c r="AF85" s="51">
        <f>IF(AQ85="2",BH85,0)</f>
        <v>0</v>
      </c>
      <c r="AG85" s="51">
        <f>IF(AQ85="2",BI85,0)</f>
        <v>0</v>
      </c>
      <c r="AH85" s="51">
        <f>IF(AQ85="0",BJ85,0)</f>
        <v>0</v>
      </c>
      <c r="AI85" s="35" t="s">
        <v>4</v>
      </c>
      <c r="AJ85" s="51">
        <f>IF(AN85=0,H85,0)</f>
        <v>0</v>
      </c>
      <c r="AK85" s="51">
        <f>IF(AN85=12,H85,0)</f>
        <v>0</v>
      </c>
      <c r="AL85" s="51">
        <f>IF(AN85=21,H85,0)</f>
        <v>0</v>
      </c>
      <c r="AN85" s="51">
        <v>12</v>
      </c>
      <c r="AO85" s="51">
        <f>G85*0</f>
        <v>0</v>
      </c>
      <c r="AP85" s="51">
        <f>G85*(1-0)</f>
        <v>0</v>
      </c>
      <c r="AQ85" s="53" t="s">
        <v>111</v>
      </c>
      <c r="AV85" s="51">
        <f>AW85+AX85</f>
        <v>0</v>
      </c>
      <c r="AW85" s="51">
        <f>F85*AO85</f>
        <v>0</v>
      </c>
      <c r="AX85" s="51">
        <f>F85*AP85</f>
        <v>0</v>
      </c>
      <c r="AY85" s="53" t="s">
        <v>258</v>
      </c>
      <c r="AZ85" s="53" t="s">
        <v>236</v>
      </c>
      <c r="BA85" s="35" t="s">
        <v>117</v>
      </c>
      <c r="BC85" s="51">
        <f>AW85+AX85</f>
        <v>0</v>
      </c>
      <c r="BD85" s="51">
        <f>G85/(100-BE85)*100</f>
        <v>0</v>
      </c>
      <c r="BE85" s="51">
        <v>0</v>
      </c>
      <c r="BF85" s="51">
        <f>85</f>
        <v>85</v>
      </c>
      <c r="BH85" s="51">
        <f>F85*AO85</f>
        <v>0</v>
      </c>
      <c r="BI85" s="51">
        <f>F85*AP85</f>
        <v>0</v>
      </c>
      <c r="BJ85" s="51">
        <f>F85*G85</f>
        <v>0</v>
      </c>
      <c r="BK85" s="51"/>
      <c r="BL85" s="51">
        <v>96</v>
      </c>
      <c r="BW85" s="51">
        <v>12</v>
      </c>
      <c r="BX85" s="3" t="s">
        <v>257</v>
      </c>
    </row>
    <row r="86" spans="1:76">
      <c r="A86" s="1" t="s">
        <v>259</v>
      </c>
      <c r="B86" s="2" t="s">
        <v>260</v>
      </c>
      <c r="C86" s="75" t="s">
        <v>261</v>
      </c>
      <c r="D86" s="70"/>
      <c r="E86" s="2" t="s">
        <v>114</v>
      </c>
      <c r="F86" s="51">
        <v>4.4400000000000004</v>
      </c>
      <c r="G86" s="52">
        <v>0</v>
      </c>
      <c r="H86" s="51">
        <f>F86*G86</f>
        <v>0</v>
      </c>
      <c r="J86" s="41"/>
      <c r="Z86" s="51">
        <f>IF(AQ86="5",BJ86,0)</f>
        <v>0</v>
      </c>
      <c r="AB86" s="51">
        <f>IF(AQ86="1",BH86,0)</f>
        <v>0</v>
      </c>
      <c r="AC86" s="51">
        <f>IF(AQ86="1",BI86,0)</f>
        <v>0</v>
      </c>
      <c r="AD86" s="51">
        <f>IF(AQ86="7",BH86,0)</f>
        <v>0</v>
      </c>
      <c r="AE86" s="51">
        <f>IF(AQ86="7",BI86,0)</f>
        <v>0</v>
      </c>
      <c r="AF86" s="51">
        <f>IF(AQ86="2",BH86,0)</f>
        <v>0</v>
      </c>
      <c r="AG86" s="51">
        <f>IF(AQ86="2",BI86,0)</f>
        <v>0</v>
      </c>
      <c r="AH86" s="51">
        <f>IF(AQ86="0",BJ86,0)</f>
        <v>0</v>
      </c>
      <c r="AI86" s="35" t="s">
        <v>4</v>
      </c>
      <c r="AJ86" s="51">
        <f>IF(AN86=0,H86,0)</f>
        <v>0</v>
      </c>
      <c r="AK86" s="51">
        <f>IF(AN86=12,H86,0)</f>
        <v>0</v>
      </c>
      <c r="AL86" s="51">
        <f>IF(AN86=21,H86,0)</f>
        <v>0</v>
      </c>
      <c r="AN86" s="51">
        <v>12</v>
      </c>
      <c r="AO86" s="51">
        <f>G86*0</f>
        <v>0</v>
      </c>
      <c r="AP86" s="51">
        <f>G86*(1-0)</f>
        <v>0</v>
      </c>
      <c r="AQ86" s="53" t="s">
        <v>111</v>
      </c>
      <c r="AV86" s="51">
        <f>AW86+AX86</f>
        <v>0</v>
      </c>
      <c r="AW86" s="51">
        <f>F86*AO86</f>
        <v>0</v>
      </c>
      <c r="AX86" s="51">
        <f>F86*AP86</f>
        <v>0</v>
      </c>
      <c r="AY86" s="53" t="s">
        <v>258</v>
      </c>
      <c r="AZ86" s="53" t="s">
        <v>236</v>
      </c>
      <c r="BA86" s="35" t="s">
        <v>117</v>
      </c>
      <c r="BC86" s="51">
        <f>AW86+AX86</f>
        <v>0</v>
      </c>
      <c r="BD86" s="51">
        <f>G86/(100-BE86)*100</f>
        <v>0</v>
      </c>
      <c r="BE86" s="51">
        <v>0</v>
      </c>
      <c r="BF86" s="51">
        <f>86</f>
        <v>86</v>
      </c>
      <c r="BH86" s="51">
        <f>F86*AO86</f>
        <v>0</v>
      </c>
      <c r="BI86" s="51">
        <f>F86*AP86</f>
        <v>0</v>
      </c>
      <c r="BJ86" s="51">
        <f>F86*G86</f>
        <v>0</v>
      </c>
      <c r="BK86" s="51"/>
      <c r="BL86" s="51">
        <v>96</v>
      </c>
      <c r="BW86" s="51">
        <v>12</v>
      </c>
      <c r="BX86" s="3" t="s">
        <v>261</v>
      </c>
    </row>
    <row r="87" spans="1:76">
      <c r="A87" s="1" t="s">
        <v>262</v>
      </c>
      <c r="B87" s="2" t="s">
        <v>263</v>
      </c>
      <c r="C87" s="75" t="s">
        <v>264</v>
      </c>
      <c r="D87" s="70"/>
      <c r="E87" s="2" t="s">
        <v>251</v>
      </c>
      <c r="F87" s="51">
        <v>1</v>
      </c>
      <c r="G87" s="52">
        <v>0</v>
      </c>
      <c r="H87" s="51">
        <f>F87*G87</f>
        <v>0</v>
      </c>
      <c r="J87" s="41"/>
      <c r="Z87" s="51">
        <f>IF(AQ87="5",BJ87,0)</f>
        <v>0</v>
      </c>
      <c r="AB87" s="51">
        <f>IF(AQ87="1",BH87,0)</f>
        <v>0</v>
      </c>
      <c r="AC87" s="51">
        <f>IF(AQ87="1",BI87,0)</f>
        <v>0</v>
      </c>
      <c r="AD87" s="51">
        <f>IF(AQ87="7",BH87,0)</f>
        <v>0</v>
      </c>
      <c r="AE87" s="51">
        <f>IF(AQ87="7",BI87,0)</f>
        <v>0</v>
      </c>
      <c r="AF87" s="51">
        <f>IF(AQ87="2",BH87,0)</f>
        <v>0</v>
      </c>
      <c r="AG87" s="51">
        <f>IF(AQ87="2",BI87,0)</f>
        <v>0</v>
      </c>
      <c r="AH87" s="51">
        <f>IF(AQ87="0",BJ87,0)</f>
        <v>0</v>
      </c>
      <c r="AI87" s="35" t="s">
        <v>4</v>
      </c>
      <c r="AJ87" s="51">
        <f>IF(AN87=0,H87,0)</f>
        <v>0</v>
      </c>
      <c r="AK87" s="51">
        <f>IF(AN87=12,H87,0)</f>
        <v>0</v>
      </c>
      <c r="AL87" s="51">
        <f>IF(AN87=21,H87,0)</f>
        <v>0</v>
      </c>
      <c r="AN87" s="51">
        <v>12</v>
      </c>
      <c r="AO87" s="51">
        <f>G87*0.147197391</f>
        <v>0</v>
      </c>
      <c r="AP87" s="51">
        <f>G87*(1-0.147197391)</f>
        <v>0</v>
      </c>
      <c r="AQ87" s="53" t="s">
        <v>111</v>
      </c>
      <c r="AV87" s="51">
        <f>AW87+AX87</f>
        <v>0</v>
      </c>
      <c r="AW87" s="51">
        <f>F87*AO87</f>
        <v>0</v>
      </c>
      <c r="AX87" s="51">
        <f>F87*AP87</f>
        <v>0</v>
      </c>
      <c r="AY87" s="53" t="s">
        <v>258</v>
      </c>
      <c r="AZ87" s="53" t="s">
        <v>236</v>
      </c>
      <c r="BA87" s="35" t="s">
        <v>117</v>
      </c>
      <c r="BC87" s="51">
        <f>AW87+AX87</f>
        <v>0</v>
      </c>
      <c r="BD87" s="51">
        <f>G87/(100-BE87)*100</f>
        <v>0</v>
      </c>
      <c r="BE87" s="51">
        <v>0</v>
      </c>
      <c r="BF87" s="51">
        <f>87</f>
        <v>87</v>
      </c>
      <c r="BH87" s="51">
        <f>F87*AO87</f>
        <v>0</v>
      </c>
      <c r="BI87" s="51">
        <f>F87*AP87</f>
        <v>0</v>
      </c>
      <c r="BJ87" s="51">
        <f>F87*G87</f>
        <v>0</v>
      </c>
      <c r="BK87" s="51"/>
      <c r="BL87" s="51">
        <v>96</v>
      </c>
      <c r="BW87" s="51">
        <v>12</v>
      </c>
      <c r="BX87" s="3" t="s">
        <v>264</v>
      </c>
    </row>
    <row r="88" spans="1:76">
      <c r="A88" s="1" t="s">
        <v>265</v>
      </c>
      <c r="B88" s="2" t="s">
        <v>266</v>
      </c>
      <c r="C88" s="75" t="s">
        <v>267</v>
      </c>
      <c r="D88" s="70"/>
      <c r="E88" s="2" t="s">
        <v>114</v>
      </c>
      <c r="F88" s="51">
        <v>37.64</v>
      </c>
      <c r="G88" s="52">
        <v>0</v>
      </c>
      <c r="H88" s="51">
        <f>F88*G88</f>
        <v>0</v>
      </c>
      <c r="J88" s="41"/>
      <c r="Z88" s="51">
        <f>IF(AQ88="5",BJ88,0)</f>
        <v>0</v>
      </c>
      <c r="AB88" s="51">
        <f>IF(AQ88="1",BH88,0)</f>
        <v>0</v>
      </c>
      <c r="AC88" s="51">
        <f>IF(AQ88="1",BI88,0)</f>
        <v>0</v>
      </c>
      <c r="AD88" s="51">
        <f>IF(AQ88="7",BH88,0)</f>
        <v>0</v>
      </c>
      <c r="AE88" s="51">
        <f>IF(AQ88="7",BI88,0)</f>
        <v>0</v>
      </c>
      <c r="AF88" s="51">
        <f>IF(AQ88="2",BH88,0)</f>
        <v>0</v>
      </c>
      <c r="AG88" s="51">
        <f>IF(AQ88="2",BI88,0)</f>
        <v>0</v>
      </c>
      <c r="AH88" s="51">
        <f>IF(AQ88="0",BJ88,0)</f>
        <v>0</v>
      </c>
      <c r="AI88" s="35" t="s">
        <v>4</v>
      </c>
      <c r="AJ88" s="51">
        <f>IF(AN88=0,H88,0)</f>
        <v>0</v>
      </c>
      <c r="AK88" s="51">
        <f>IF(AN88=12,H88,0)</f>
        <v>0</v>
      </c>
      <c r="AL88" s="51">
        <f>IF(AN88=21,H88,0)</f>
        <v>0</v>
      </c>
      <c r="AN88" s="51">
        <v>12</v>
      </c>
      <c r="AO88" s="51">
        <f>G88*0</f>
        <v>0</v>
      </c>
      <c r="AP88" s="51">
        <f>G88*(1-0)</f>
        <v>0</v>
      </c>
      <c r="AQ88" s="53" t="s">
        <v>111</v>
      </c>
      <c r="AV88" s="51">
        <f>AW88+AX88</f>
        <v>0</v>
      </c>
      <c r="AW88" s="51">
        <f>F88*AO88</f>
        <v>0</v>
      </c>
      <c r="AX88" s="51">
        <f>F88*AP88</f>
        <v>0</v>
      </c>
      <c r="AY88" s="53" t="s">
        <v>258</v>
      </c>
      <c r="AZ88" s="53" t="s">
        <v>236</v>
      </c>
      <c r="BA88" s="35" t="s">
        <v>117</v>
      </c>
      <c r="BC88" s="51">
        <f>AW88+AX88</f>
        <v>0</v>
      </c>
      <c r="BD88" s="51">
        <f>G88/(100-BE88)*100</f>
        <v>0</v>
      </c>
      <c r="BE88" s="51">
        <v>0</v>
      </c>
      <c r="BF88" s="51">
        <f>88</f>
        <v>88</v>
      </c>
      <c r="BH88" s="51">
        <f>F88*AO88</f>
        <v>0</v>
      </c>
      <c r="BI88" s="51">
        <f>F88*AP88</f>
        <v>0</v>
      </c>
      <c r="BJ88" s="51">
        <f>F88*G88</f>
        <v>0</v>
      </c>
      <c r="BK88" s="51"/>
      <c r="BL88" s="51">
        <v>96</v>
      </c>
      <c r="BW88" s="51">
        <v>12</v>
      </c>
      <c r="BX88" s="3" t="s">
        <v>267</v>
      </c>
    </row>
    <row r="89" spans="1:76">
      <c r="A89" s="54"/>
      <c r="C89" s="55" t="s">
        <v>268</v>
      </c>
      <c r="D89" s="56" t="s">
        <v>269</v>
      </c>
      <c r="F89" s="57">
        <v>37.64</v>
      </c>
      <c r="J89" s="41"/>
    </row>
    <row r="90" spans="1:76">
      <c r="A90" s="1" t="s">
        <v>270</v>
      </c>
      <c r="B90" s="2" t="s">
        <v>271</v>
      </c>
      <c r="C90" s="75" t="s">
        <v>272</v>
      </c>
      <c r="D90" s="70"/>
      <c r="E90" s="2" t="s">
        <v>273</v>
      </c>
      <c r="F90" s="51">
        <v>1.3120000000000001</v>
      </c>
      <c r="G90" s="52">
        <v>0</v>
      </c>
      <c r="H90" s="51">
        <f>F90*G90</f>
        <v>0</v>
      </c>
      <c r="J90" s="41"/>
      <c r="Z90" s="51">
        <f>IF(AQ90="5",BJ90,0)</f>
        <v>0</v>
      </c>
      <c r="AB90" s="51">
        <f>IF(AQ90="1",BH90,0)</f>
        <v>0</v>
      </c>
      <c r="AC90" s="51">
        <f>IF(AQ90="1",BI90,0)</f>
        <v>0</v>
      </c>
      <c r="AD90" s="51">
        <f>IF(AQ90="7",BH90,0)</f>
        <v>0</v>
      </c>
      <c r="AE90" s="51">
        <f>IF(AQ90="7",BI90,0)</f>
        <v>0</v>
      </c>
      <c r="AF90" s="51">
        <f>IF(AQ90="2",BH90,0)</f>
        <v>0</v>
      </c>
      <c r="AG90" s="51">
        <f>IF(AQ90="2",BI90,0)</f>
        <v>0</v>
      </c>
      <c r="AH90" s="51">
        <f>IF(AQ90="0",BJ90,0)</f>
        <v>0</v>
      </c>
      <c r="AI90" s="35" t="s">
        <v>4</v>
      </c>
      <c r="AJ90" s="51">
        <f>IF(AN90=0,H90,0)</f>
        <v>0</v>
      </c>
      <c r="AK90" s="51">
        <f>IF(AN90=12,H90,0)</f>
        <v>0</v>
      </c>
      <c r="AL90" s="51">
        <f>IF(AN90=21,H90,0)</f>
        <v>0</v>
      </c>
      <c r="AN90" s="51">
        <v>12</v>
      </c>
      <c r="AO90" s="51">
        <f>G90*0</f>
        <v>0</v>
      </c>
      <c r="AP90" s="51">
        <f>G90*(1-0)</f>
        <v>0</v>
      </c>
      <c r="AQ90" s="53" t="s">
        <v>138</v>
      </c>
      <c r="AV90" s="51">
        <f>AW90+AX90</f>
        <v>0</v>
      </c>
      <c r="AW90" s="51">
        <f>F90*AO90</f>
        <v>0</v>
      </c>
      <c r="AX90" s="51">
        <f>F90*AP90</f>
        <v>0</v>
      </c>
      <c r="AY90" s="53" t="s">
        <v>258</v>
      </c>
      <c r="AZ90" s="53" t="s">
        <v>236</v>
      </c>
      <c r="BA90" s="35" t="s">
        <v>117</v>
      </c>
      <c r="BC90" s="51">
        <f>AW90+AX90</f>
        <v>0</v>
      </c>
      <c r="BD90" s="51">
        <f>G90/(100-BE90)*100</f>
        <v>0</v>
      </c>
      <c r="BE90" s="51">
        <v>0</v>
      </c>
      <c r="BF90" s="51">
        <f>90</f>
        <v>90</v>
      </c>
      <c r="BH90" s="51">
        <f>F90*AO90</f>
        <v>0</v>
      </c>
      <c r="BI90" s="51">
        <f>F90*AP90</f>
        <v>0</v>
      </c>
      <c r="BJ90" s="51">
        <f>F90*G90</f>
        <v>0</v>
      </c>
      <c r="BK90" s="51"/>
      <c r="BL90" s="51">
        <v>96</v>
      </c>
      <c r="BW90" s="51">
        <v>12</v>
      </c>
      <c r="BX90" s="3" t="s">
        <v>272</v>
      </c>
    </row>
    <row r="91" spans="1:76">
      <c r="A91" s="1" t="s">
        <v>274</v>
      </c>
      <c r="B91" s="2" t="s">
        <v>275</v>
      </c>
      <c r="C91" s="75" t="s">
        <v>276</v>
      </c>
      <c r="D91" s="70"/>
      <c r="E91" s="2" t="s">
        <v>273</v>
      </c>
      <c r="F91" s="51">
        <v>2.6240000000000001</v>
      </c>
      <c r="G91" s="52">
        <v>0</v>
      </c>
      <c r="H91" s="51">
        <f>F91*G91</f>
        <v>0</v>
      </c>
      <c r="J91" s="41"/>
      <c r="Z91" s="51">
        <f>IF(AQ91="5",BJ91,0)</f>
        <v>0</v>
      </c>
      <c r="AB91" s="51">
        <f>IF(AQ91="1",BH91,0)</f>
        <v>0</v>
      </c>
      <c r="AC91" s="51">
        <f>IF(AQ91="1",BI91,0)</f>
        <v>0</v>
      </c>
      <c r="AD91" s="51">
        <f>IF(AQ91="7",BH91,0)</f>
        <v>0</v>
      </c>
      <c r="AE91" s="51">
        <f>IF(AQ91="7",BI91,0)</f>
        <v>0</v>
      </c>
      <c r="AF91" s="51">
        <f>IF(AQ91="2",BH91,0)</f>
        <v>0</v>
      </c>
      <c r="AG91" s="51">
        <f>IF(AQ91="2",BI91,0)</f>
        <v>0</v>
      </c>
      <c r="AH91" s="51">
        <f>IF(AQ91="0",BJ91,0)</f>
        <v>0</v>
      </c>
      <c r="AI91" s="35" t="s">
        <v>4</v>
      </c>
      <c r="AJ91" s="51">
        <f>IF(AN91=0,H91,0)</f>
        <v>0</v>
      </c>
      <c r="AK91" s="51">
        <f>IF(AN91=12,H91,0)</f>
        <v>0</v>
      </c>
      <c r="AL91" s="51">
        <f>IF(AN91=21,H91,0)</f>
        <v>0</v>
      </c>
      <c r="AN91" s="51">
        <v>12</v>
      </c>
      <c r="AO91" s="51">
        <f>G91*0</f>
        <v>0</v>
      </c>
      <c r="AP91" s="51">
        <f>G91*(1-0)</f>
        <v>0</v>
      </c>
      <c r="AQ91" s="53" t="s">
        <v>138</v>
      </c>
      <c r="AV91" s="51">
        <f>AW91+AX91</f>
        <v>0</v>
      </c>
      <c r="AW91" s="51">
        <f>F91*AO91</f>
        <v>0</v>
      </c>
      <c r="AX91" s="51">
        <f>F91*AP91</f>
        <v>0</v>
      </c>
      <c r="AY91" s="53" t="s">
        <v>258</v>
      </c>
      <c r="AZ91" s="53" t="s">
        <v>236</v>
      </c>
      <c r="BA91" s="35" t="s">
        <v>117</v>
      </c>
      <c r="BC91" s="51">
        <f>AW91+AX91</f>
        <v>0</v>
      </c>
      <c r="BD91" s="51">
        <f>G91/(100-BE91)*100</f>
        <v>0</v>
      </c>
      <c r="BE91" s="51">
        <v>0</v>
      </c>
      <c r="BF91" s="51">
        <f>91</f>
        <v>91</v>
      </c>
      <c r="BH91" s="51">
        <f>F91*AO91</f>
        <v>0</v>
      </c>
      <c r="BI91" s="51">
        <f>F91*AP91</f>
        <v>0</v>
      </c>
      <c r="BJ91" s="51">
        <f>F91*G91</f>
        <v>0</v>
      </c>
      <c r="BK91" s="51"/>
      <c r="BL91" s="51">
        <v>96</v>
      </c>
      <c r="BW91" s="51">
        <v>12</v>
      </c>
      <c r="BX91" s="3" t="s">
        <v>276</v>
      </c>
    </row>
    <row r="92" spans="1:76">
      <c r="A92" s="54"/>
      <c r="C92" s="55" t="s">
        <v>277</v>
      </c>
      <c r="D92" s="56" t="s">
        <v>4</v>
      </c>
      <c r="F92" s="57">
        <v>2.6240000000000001</v>
      </c>
      <c r="J92" s="41"/>
    </row>
    <row r="93" spans="1:76">
      <c r="A93" s="1" t="s">
        <v>278</v>
      </c>
      <c r="B93" s="2" t="s">
        <v>279</v>
      </c>
      <c r="C93" s="75" t="s">
        <v>280</v>
      </c>
      <c r="D93" s="70"/>
      <c r="E93" s="2" t="s">
        <v>273</v>
      </c>
      <c r="F93" s="51">
        <v>1.3120000000000001</v>
      </c>
      <c r="G93" s="52">
        <v>0</v>
      </c>
      <c r="H93" s="51">
        <f>F93*G93</f>
        <v>0</v>
      </c>
      <c r="J93" s="41"/>
      <c r="Z93" s="51">
        <f>IF(AQ93="5",BJ93,0)</f>
        <v>0</v>
      </c>
      <c r="AB93" s="51">
        <f>IF(AQ93="1",BH93,0)</f>
        <v>0</v>
      </c>
      <c r="AC93" s="51">
        <f>IF(AQ93="1",BI93,0)</f>
        <v>0</v>
      </c>
      <c r="AD93" s="51">
        <f>IF(AQ93="7",BH93,0)</f>
        <v>0</v>
      </c>
      <c r="AE93" s="51">
        <f>IF(AQ93="7",BI93,0)</f>
        <v>0</v>
      </c>
      <c r="AF93" s="51">
        <f>IF(AQ93="2",BH93,0)</f>
        <v>0</v>
      </c>
      <c r="AG93" s="51">
        <f>IF(AQ93="2",BI93,0)</f>
        <v>0</v>
      </c>
      <c r="AH93" s="51">
        <f>IF(AQ93="0",BJ93,0)</f>
        <v>0</v>
      </c>
      <c r="AI93" s="35" t="s">
        <v>4</v>
      </c>
      <c r="AJ93" s="51">
        <f>IF(AN93=0,H93,0)</f>
        <v>0</v>
      </c>
      <c r="AK93" s="51">
        <f>IF(AN93=12,H93,0)</f>
        <v>0</v>
      </c>
      <c r="AL93" s="51">
        <f>IF(AN93=21,H93,0)</f>
        <v>0</v>
      </c>
      <c r="AN93" s="51">
        <v>12</v>
      </c>
      <c r="AO93" s="51">
        <f>G93*0</f>
        <v>0</v>
      </c>
      <c r="AP93" s="51">
        <f>G93*(1-0)</f>
        <v>0</v>
      </c>
      <c r="AQ93" s="53" t="s">
        <v>138</v>
      </c>
      <c r="AV93" s="51">
        <f>AW93+AX93</f>
        <v>0</v>
      </c>
      <c r="AW93" s="51">
        <f>F93*AO93</f>
        <v>0</v>
      </c>
      <c r="AX93" s="51">
        <f>F93*AP93</f>
        <v>0</v>
      </c>
      <c r="AY93" s="53" t="s">
        <v>258</v>
      </c>
      <c r="AZ93" s="53" t="s">
        <v>236</v>
      </c>
      <c r="BA93" s="35" t="s">
        <v>117</v>
      </c>
      <c r="BC93" s="51">
        <f>AW93+AX93</f>
        <v>0</v>
      </c>
      <c r="BD93" s="51">
        <f>G93/(100-BE93)*100</f>
        <v>0</v>
      </c>
      <c r="BE93" s="51">
        <v>0</v>
      </c>
      <c r="BF93" s="51">
        <f>93</f>
        <v>93</v>
      </c>
      <c r="BH93" s="51">
        <f>F93*AO93</f>
        <v>0</v>
      </c>
      <c r="BI93" s="51">
        <f>F93*AP93</f>
        <v>0</v>
      </c>
      <c r="BJ93" s="51">
        <f>F93*G93</f>
        <v>0</v>
      </c>
      <c r="BK93" s="51"/>
      <c r="BL93" s="51">
        <v>96</v>
      </c>
      <c r="BW93" s="51">
        <v>12</v>
      </c>
      <c r="BX93" s="3" t="s">
        <v>280</v>
      </c>
    </row>
    <row r="94" spans="1:76">
      <c r="A94" s="1" t="s">
        <v>281</v>
      </c>
      <c r="B94" s="2" t="s">
        <v>282</v>
      </c>
      <c r="C94" s="75" t="s">
        <v>283</v>
      </c>
      <c r="D94" s="70"/>
      <c r="E94" s="2" t="s">
        <v>273</v>
      </c>
      <c r="F94" s="51">
        <v>6.56</v>
      </c>
      <c r="G94" s="52">
        <v>0</v>
      </c>
      <c r="H94" s="51">
        <f>F94*G94</f>
        <v>0</v>
      </c>
      <c r="J94" s="41"/>
      <c r="Z94" s="51">
        <f>IF(AQ94="5",BJ94,0)</f>
        <v>0</v>
      </c>
      <c r="AB94" s="51">
        <f>IF(AQ94="1",BH94,0)</f>
        <v>0</v>
      </c>
      <c r="AC94" s="51">
        <f>IF(AQ94="1",BI94,0)</f>
        <v>0</v>
      </c>
      <c r="AD94" s="51">
        <f>IF(AQ94="7",BH94,0)</f>
        <v>0</v>
      </c>
      <c r="AE94" s="51">
        <f>IF(AQ94="7",BI94,0)</f>
        <v>0</v>
      </c>
      <c r="AF94" s="51">
        <f>IF(AQ94="2",BH94,0)</f>
        <v>0</v>
      </c>
      <c r="AG94" s="51">
        <f>IF(AQ94="2",BI94,0)</f>
        <v>0</v>
      </c>
      <c r="AH94" s="51">
        <f>IF(AQ94="0",BJ94,0)</f>
        <v>0</v>
      </c>
      <c r="AI94" s="35" t="s">
        <v>4</v>
      </c>
      <c r="AJ94" s="51">
        <f>IF(AN94=0,H94,0)</f>
        <v>0</v>
      </c>
      <c r="AK94" s="51">
        <f>IF(AN94=12,H94,0)</f>
        <v>0</v>
      </c>
      <c r="AL94" s="51">
        <f>IF(AN94=21,H94,0)</f>
        <v>0</v>
      </c>
      <c r="AN94" s="51">
        <v>12</v>
      </c>
      <c r="AO94" s="51">
        <f>G94*0</f>
        <v>0</v>
      </c>
      <c r="AP94" s="51">
        <f>G94*(1-0)</f>
        <v>0</v>
      </c>
      <c r="AQ94" s="53" t="s">
        <v>138</v>
      </c>
      <c r="AV94" s="51">
        <f>AW94+AX94</f>
        <v>0</v>
      </c>
      <c r="AW94" s="51">
        <f>F94*AO94</f>
        <v>0</v>
      </c>
      <c r="AX94" s="51">
        <f>F94*AP94</f>
        <v>0</v>
      </c>
      <c r="AY94" s="53" t="s">
        <v>258</v>
      </c>
      <c r="AZ94" s="53" t="s">
        <v>236</v>
      </c>
      <c r="BA94" s="35" t="s">
        <v>117</v>
      </c>
      <c r="BC94" s="51">
        <f>AW94+AX94</f>
        <v>0</v>
      </c>
      <c r="BD94" s="51">
        <f>G94/(100-BE94)*100</f>
        <v>0</v>
      </c>
      <c r="BE94" s="51">
        <v>0</v>
      </c>
      <c r="BF94" s="51">
        <f>94</f>
        <v>94</v>
      </c>
      <c r="BH94" s="51">
        <f>F94*AO94</f>
        <v>0</v>
      </c>
      <c r="BI94" s="51">
        <f>F94*AP94</f>
        <v>0</v>
      </c>
      <c r="BJ94" s="51">
        <f>F94*G94</f>
        <v>0</v>
      </c>
      <c r="BK94" s="51"/>
      <c r="BL94" s="51">
        <v>96</v>
      </c>
      <c r="BW94" s="51">
        <v>12</v>
      </c>
      <c r="BX94" s="3" t="s">
        <v>283</v>
      </c>
    </row>
    <row r="95" spans="1:76">
      <c r="A95" s="54"/>
      <c r="C95" s="55" t="s">
        <v>284</v>
      </c>
      <c r="D95" s="56" t="s">
        <v>4</v>
      </c>
      <c r="F95" s="57">
        <v>6.56</v>
      </c>
      <c r="J95" s="41"/>
    </row>
    <row r="96" spans="1:76">
      <c r="A96" s="1" t="s">
        <v>109</v>
      </c>
      <c r="B96" s="2" t="s">
        <v>285</v>
      </c>
      <c r="C96" s="75" t="s">
        <v>286</v>
      </c>
      <c r="D96" s="70"/>
      <c r="E96" s="2" t="s">
        <v>273</v>
      </c>
      <c r="F96" s="51">
        <v>1.3120000000000001</v>
      </c>
      <c r="G96" s="52">
        <v>0</v>
      </c>
      <c r="H96" s="51">
        <f>F96*G96</f>
        <v>0</v>
      </c>
      <c r="J96" s="41"/>
      <c r="Z96" s="51">
        <f>IF(AQ96="5",BJ96,0)</f>
        <v>0</v>
      </c>
      <c r="AB96" s="51">
        <f>IF(AQ96="1",BH96,0)</f>
        <v>0</v>
      </c>
      <c r="AC96" s="51">
        <f>IF(AQ96="1",BI96,0)</f>
        <v>0</v>
      </c>
      <c r="AD96" s="51">
        <f>IF(AQ96="7",BH96,0)</f>
        <v>0</v>
      </c>
      <c r="AE96" s="51">
        <f>IF(AQ96="7",BI96,0)</f>
        <v>0</v>
      </c>
      <c r="AF96" s="51">
        <f>IF(AQ96="2",BH96,0)</f>
        <v>0</v>
      </c>
      <c r="AG96" s="51">
        <f>IF(AQ96="2",BI96,0)</f>
        <v>0</v>
      </c>
      <c r="AH96" s="51">
        <f>IF(AQ96="0",BJ96,0)</f>
        <v>0</v>
      </c>
      <c r="AI96" s="35" t="s">
        <v>4</v>
      </c>
      <c r="AJ96" s="51">
        <f>IF(AN96=0,H96,0)</f>
        <v>0</v>
      </c>
      <c r="AK96" s="51">
        <f>IF(AN96=12,H96,0)</f>
        <v>0</v>
      </c>
      <c r="AL96" s="51">
        <f>IF(AN96=21,H96,0)</f>
        <v>0</v>
      </c>
      <c r="AN96" s="51">
        <v>12</v>
      </c>
      <c r="AO96" s="51">
        <f>G96*0</f>
        <v>0</v>
      </c>
      <c r="AP96" s="51">
        <f>G96*(1-0)</f>
        <v>0</v>
      </c>
      <c r="AQ96" s="53" t="s">
        <v>138</v>
      </c>
      <c r="AV96" s="51">
        <f>AW96+AX96</f>
        <v>0</v>
      </c>
      <c r="AW96" s="51">
        <f>F96*AO96</f>
        <v>0</v>
      </c>
      <c r="AX96" s="51">
        <f>F96*AP96</f>
        <v>0</v>
      </c>
      <c r="AY96" s="53" t="s">
        <v>258</v>
      </c>
      <c r="AZ96" s="53" t="s">
        <v>236</v>
      </c>
      <c r="BA96" s="35" t="s">
        <v>117</v>
      </c>
      <c r="BC96" s="51">
        <f>AW96+AX96</f>
        <v>0</v>
      </c>
      <c r="BD96" s="51">
        <f>G96/(100-BE96)*100</f>
        <v>0</v>
      </c>
      <c r="BE96" s="51">
        <v>0</v>
      </c>
      <c r="BF96" s="51">
        <f>96</f>
        <v>96</v>
      </c>
      <c r="BH96" s="51">
        <f>F96*AO96</f>
        <v>0</v>
      </c>
      <c r="BI96" s="51">
        <f>F96*AP96</f>
        <v>0</v>
      </c>
      <c r="BJ96" s="51">
        <f>F96*G96</f>
        <v>0</v>
      </c>
      <c r="BK96" s="51"/>
      <c r="BL96" s="51">
        <v>96</v>
      </c>
      <c r="BW96" s="51">
        <v>12</v>
      </c>
      <c r="BX96" s="3" t="s">
        <v>286</v>
      </c>
    </row>
    <row r="97" spans="1:76">
      <c r="A97" s="1" t="s">
        <v>287</v>
      </c>
      <c r="B97" s="2" t="s">
        <v>288</v>
      </c>
      <c r="C97" s="75" t="s">
        <v>289</v>
      </c>
      <c r="D97" s="70"/>
      <c r="E97" s="2" t="s">
        <v>273</v>
      </c>
      <c r="F97" s="51">
        <v>5.2480000000000002</v>
      </c>
      <c r="G97" s="52">
        <v>0</v>
      </c>
      <c r="H97" s="51">
        <f>F97*G97</f>
        <v>0</v>
      </c>
      <c r="J97" s="41"/>
      <c r="Z97" s="51">
        <f>IF(AQ97="5",BJ97,0)</f>
        <v>0</v>
      </c>
      <c r="AB97" s="51">
        <f>IF(AQ97="1",BH97,0)</f>
        <v>0</v>
      </c>
      <c r="AC97" s="51">
        <f>IF(AQ97="1",BI97,0)</f>
        <v>0</v>
      </c>
      <c r="AD97" s="51">
        <f>IF(AQ97="7",BH97,0)</f>
        <v>0</v>
      </c>
      <c r="AE97" s="51">
        <f>IF(AQ97="7",BI97,0)</f>
        <v>0</v>
      </c>
      <c r="AF97" s="51">
        <f>IF(AQ97="2",BH97,0)</f>
        <v>0</v>
      </c>
      <c r="AG97" s="51">
        <f>IF(AQ97="2",BI97,0)</f>
        <v>0</v>
      </c>
      <c r="AH97" s="51">
        <f>IF(AQ97="0",BJ97,0)</f>
        <v>0</v>
      </c>
      <c r="AI97" s="35" t="s">
        <v>4</v>
      </c>
      <c r="AJ97" s="51">
        <f>IF(AN97=0,H97,0)</f>
        <v>0</v>
      </c>
      <c r="AK97" s="51">
        <f>IF(AN97=12,H97,0)</f>
        <v>0</v>
      </c>
      <c r="AL97" s="51">
        <f>IF(AN97=21,H97,0)</f>
        <v>0</v>
      </c>
      <c r="AN97" s="51">
        <v>12</v>
      </c>
      <c r="AO97" s="51">
        <f>G97*0</f>
        <v>0</v>
      </c>
      <c r="AP97" s="51">
        <f>G97*(1-0)</f>
        <v>0</v>
      </c>
      <c r="AQ97" s="53" t="s">
        <v>138</v>
      </c>
      <c r="AV97" s="51">
        <f>AW97+AX97</f>
        <v>0</v>
      </c>
      <c r="AW97" s="51">
        <f>F97*AO97</f>
        <v>0</v>
      </c>
      <c r="AX97" s="51">
        <f>F97*AP97</f>
        <v>0</v>
      </c>
      <c r="AY97" s="53" t="s">
        <v>258</v>
      </c>
      <c r="AZ97" s="53" t="s">
        <v>236</v>
      </c>
      <c r="BA97" s="35" t="s">
        <v>117</v>
      </c>
      <c r="BC97" s="51">
        <f>AW97+AX97</f>
        <v>0</v>
      </c>
      <c r="BD97" s="51">
        <f>G97/(100-BE97)*100</f>
        <v>0</v>
      </c>
      <c r="BE97" s="51">
        <v>0</v>
      </c>
      <c r="BF97" s="51">
        <f>97</f>
        <v>97</v>
      </c>
      <c r="BH97" s="51">
        <f>F97*AO97</f>
        <v>0</v>
      </c>
      <c r="BI97" s="51">
        <f>F97*AP97</f>
        <v>0</v>
      </c>
      <c r="BJ97" s="51">
        <f>F97*G97</f>
        <v>0</v>
      </c>
      <c r="BK97" s="51"/>
      <c r="BL97" s="51">
        <v>96</v>
      </c>
      <c r="BW97" s="51">
        <v>12</v>
      </c>
      <c r="BX97" s="3" t="s">
        <v>289</v>
      </c>
    </row>
    <row r="98" spans="1:76">
      <c r="A98" s="54"/>
      <c r="C98" s="55" t="s">
        <v>290</v>
      </c>
      <c r="D98" s="56" t="s">
        <v>4</v>
      </c>
      <c r="F98" s="57">
        <v>5.2480000000000002</v>
      </c>
      <c r="J98" s="41"/>
    </row>
    <row r="99" spans="1:76">
      <c r="A99" s="1" t="s">
        <v>291</v>
      </c>
      <c r="B99" s="2" t="s">
        <v>292</v>
      </c>
      <c r="C99" s="75" t="s">
        <v>293</v>
      </c>
      <c r="D99" s="70"/>
      <c r="E99" s="2" t="s">
        <v>273</v>
      </c>
      <c r="F99" s="51">
        <v>1.147</v>
      </c>
      <c r="G99" s="52">
        <v>0</v>
      </c>
      <c r="H99" s="51">
        <f>F99*G99</f>
        <v>0</v>
      </c>
      <c r="J99" s="41"/>
      <c r="Z99" s="51">
        <f>IF(AQ99="5",BJ99,0)</f>
        <v>0</v>
      </c>
      <c r="AB99" s="51">
        <f>IF(AQ99="1",BH99,0)</f>
        <v>0</v>
      </c>
      <c r="AC99" s="51">
        <f>IF(AQ99="1",BI99,0)</f>
        <v>0</v>
      </c>
      <c r="AD99" s="51">
        <f>IF(AQ99="7",BH99,0)</f>
        <v>0</v>
      </c>
      <c r="AE99" s="51">
        <f>IF(AQ99="7",BI99,0)</f>
        <v>0</v>
      </c>
      <c r="AF99" s="51">
        <f>IF(AQ99="2",BH99,0)</f>
        <v>0</v>
      </c>
      <c r="AG99" s="51">
        <f>IF(AQ99="2",BI99,0)</f>
        <v>0</v>
      </c>
      <c r="AH99" s="51">
        <f>IF(AQ99="0",BJ99,0)</f>
        <v>0</v>
      </c>
      <c r="AI99" s="35" t="s">
        <v>4</v>
      </c>
      <c r="AJ99" s="51">
        <f>IF(AN99=0,H99,0)</f>
        <v>0</v>
      </c>
      <c r="AK99" s="51">
        <f>IF(AN99=12,H99,0)</f>
        <v>0</v>
      </c>
      <c r="AL99" s="51">
        <f>IF(AN99=21,H99,0)</f>
        <v>0</v>
      </c>
      <c r="AN99" s="51">
        <v>12</v>
      </c>
      <c r="AO99" s="51">
        <f>G99*0</f>
        <v>0</v>
      </c>
      <c r="AP99" s="51">
        <f>G99*(1-0)</f>
        <v>0</v>
      </c>
      <c r="AQ99" s="53" t="s">
        <v>138</v>
      </c>
      <c r="AV99" s="51">
        <f>AW99+AX99</f>
        <v>0</v>
      </c>
      <c r="AW99" s="51">
        <f>F99*AO99</f>
        <v>0</v>
      </c>
      <c r="AX99" s="51">
        <f>F99*AP99</f>
        <v>0</v>
      </c>
      <c r="AY99" s="53" t="s">
        <v>258</v>
      </c>
      <c r="AZ99" s="53" t="s">
        <v>236</v>
      </c>
      <c r="BA99" s="35" t="s">
        <v>117</v>
      </c>
      <c r="BC99" s="51">
        <f>AW99+AX99</f>
        <v>0</v>
      </c>
      <c r="BD99" s="51">
        <f>G99/(100-BE99)*100</f>
        <v>0</v>
      </c>
      <c r="BE99" s="51">
        <v>0</v>
      </c>
      <c r="BF99" s="51">
        <f>99</f>
        <v>99</v>
      </c>
      <c r="BH99" s="51">
        <f>F99*AO99</f>
        <v>0</v>
      </c>
      <c r="BI99" s="51">
        <f>F99*AP99</f>
        <v>0</v>
      </c>
      <c r="BJ99" s="51">
        <f>F99*G99</f>
        <v>0</v>
      </c>
      <c r="BK99" s="51"/>
      <c r="BL99" s="51">
        <v>96</v>
      </c>
      <c r="BW99" s="51">
        <v>12</v>
      </c>
      <c r="BX99" s="3" t="s">
        <v>293</v>
      </c>
    </row>
    <row r="100" spans="1:76">
      <c r="A100" s="54"/>
      <c r="C100" s="55" t="s">
        <v>294</v>
      </c>
      <c r="D100" s="56" t="s">
        <v>4</v>
      </c>
      <c r="F100" s="57">
        <v>1.147</v>
      </c>
      <c r="J100" s="41"/>
    </row>
    <row r="101" spans="1:76">
      <c r="A101" s="1" t="s">
        <v>295</v>
      </c>
      <c r="B101" s="2" t="s">
        <v>296</v>
      </c>
      <c r="C101" s="75" t="s">
        <v>297</v>
      </c>
      <c r="D101" s="70"/>
      <c r="E101" s="2" t="s">
        <v>273</v>
      </c>
      <c r="F101" s="51">
        <v>0.16500000000000001</v>
      </c>
      <c r="G101" s="52">
        <v>0</v>
      </c>
      <c r="H101" s="51">
        <f>F101*G101</f>
        <v>0</v>
      </c>
      <c r="J101" s="41"/>
      <c r="Z101" s="51">
        <f>IF(AQ101="5",BJ101,0)</f>
        <v>0</v>
      </c>
      <c r="AB101" s="51">
        <f>IF(AQ101="1",BH101,0)</f>
        <v>0</v>
      </c>
      <c r="AC101" s="51">
        <f>IF(AQ101="1",BI101,0)</f>
        <v>0</v>
      </c>
      <c r="AD101" s="51">
        <f>IF(AQ101="7",BH101,0)</f>
        <v>0</v>
      </c>
      <c r="AE101" s="51">
        <f>IF(AQ101="7",BI101,0)</f>
        <v>0</v>
      </c>
      <c r="AF101" s="51">
        <f>IF(AQ101="2",BH101,0)</f>
        <v>0</v>
      </c>
      <c r="AG101" s="51">
        <f>IF(AQ101="2",BI101,0)</f>
        <v>0</v>
      </c>
      <c r="AH101" s="51">
        <f>IF(AQ101="0",BJ101,0)</f>
        <v>0</v>
      </c>
      <c r="AI101" s="35" t="s">
        <v>4</v>
      </c>
      <c r="AJ101" s="51">
        <f>IF(AN101=0,H101,0)</f>
        <v>0</v>
      </c>
      <c r="AK101" s="51">
        <f>IF(AN101=12,H101,0)</f>
        <v>0</v>
      </c>
      <c r="AL101" s="51">
        <f>IF(AN101=21,H101,0)</f>
        <v>0</v>
      </c>
      <c r="AN101" s="51">
        <v>12</v>
      </c>
      <c r="AO101" s="51">
        <f>G101*0</f>
        <v>0</v>
      </c>
      <c r="AP101" s="51">
        <f>G101*(1-0)</f>
        <v>0</v>
      </c>
      <c r="AQ101" s="53" t="s">
        <v>138</v>
      </c>
      <c r="AV101" s="51">
        <f>AW101+AX101</f>
        <v>0</v>
      </c>
      <c r="AW101" s="51">
        <f>F101*AO101</f>
        <v>0</v>
      </c>
      <c r="AX101" s="51">
        <f>F101*AP101</f>
        <v>0</v>
      </c>
      <c r="AY101" s="53" t="s">
        <v>258</v>
      </c>
      <c r="AZ101" s="53" t="s">
        <v>236</v>
      </c>
      <c r="BA101" s="35" t="s">
        <v>117</v>
      </c>
      <c r="BC101" s="51">
        <f>AW101+AX101</f>
        <v>0</v>
      </c>
      <c r="BD101" s="51">
        <f>G101/(100-BE101)*100</f>
        <v>0</v>
      </c>
      <c r="BE101" s="51">
        <v>0</v>
      </c>
      <c r="BF101" s="51">
        <f>101</f>
        <v>101</v>
      </c>
      <c r="BH101" s="51">
        <f>F101*AO101</f>
        <v>0</v>
      </c>
      <c r="BI101" s="51">
        <f>F101*AP101</f>
        <v>0</v>
      </c>
      <c r="BJ101" s="51">
        <f>F101*G101</f>
        <v>0</v>
      </c>
      <c r="BK101" s="51"/>
      <c r="BL101" s="51">
        <v>96</v>
      </c>
      <c r="BW101" s="51">
        <v>12</v>
      </c>
      <c r="BX101" s="3" t="s">
        <v>297</v>
      </c>
    </row>
    <row r="102" spans="1:76">
      <c r="A102" s="54"/>
      <c r="C102" s="55" t="s">
        <v>298</v>
      </c>
      <c r="D102" s="56" t="s">
        <v>299</v>
      </c>
      <c r="F102" s="57">
        <v>0.13200000000000001</v>
      </c>
      <c r="J102" s="41"/>
    </row>
    <row r="103" spans="1:76">
      <c r="A103" s="54"/>
      <c r="C103" s="55" t="s">
        <v>300</v>
      </c>
      <c r="D103" s="56" t="s">
        <v>301</v>
      </c>
      <c r="F103" s="57">
        <v>3.3000000000000002E-2</v>
      </c>
      <c r="J103" s="41"/>
    </row>
    <row r="104" spans="1:76">
      <c r="A104" s="47" t="s">
        <v>4</v>
      </c>
      <c r="B104" s="48" t="s">
        <v>302</v>
      </c>
      <c r="C104" s="150" t="s">
        <v>303</v>
      </c>
      <c r="D104" s="151"/>
      <c r="E104" s="49" t="s">
        <v>79</v>
      </c>
      <c r="F104" s="49" t="s">
        <v>79</v>
      </c>
      <c r="G104" s="50" t="s">
        <v>79</v>
      </c>
      <c r="H104" s="28">
        <f>SUM(H105:H105)</f>
        <v>0</v>
      </c>
      <c r="J104" s="41"/>
      <c r="AI104" s="35" t="s">
        <v>4</v>
      </c>
      <c r="AS104" s="28">
        <f>SUM(AJ105:AJ105)</f>
        <v>0</v>
      </c>
      <c r="AT104" s="28">
        <f>SUM(AK105:AK105)</f>
        <v>0</v>
      </c>
      <c r="AU104" s="28">
        <f>SUM(AL105:AL105)</f>
        <v>0</v>
      </c>
    </row>
    <row r="105" spans="1:76">
      <c r="A105" s="1" t="s">
        <v>304</v>
      </c>
      <c r="B105" s="2" t="s">
        <v>305</v>
      </c>
      <c r="C105" s="75" t="s">
        <v>306</v>
      </c>
      <c r="D105" s="70"/>
      <c r="E105" s="2" t="s">
        <v>273</v>
      </c>
      <c r="F105" s="51">
        <v>5.5060000000000002</v>
      </c>
      <c r="G105" s="52">
        <v>0</v>
      </c>
      <c r="H105" s="51">
        <f>F105*G105</f>
        <v>0</v>
      </c>
      <c r="J105" s="41"/>
      <c r="Z105" s="51">
        <f>IF(AQ105="5",BJ105,0)</f>
        <v>0</v>
      </c>
      <c r="AB105" s="51">
        <f>IF(AQ105="1",BH105,0)</f>
        <v>0</v>
      </c>
      <c r="AC105" s="51">
        <f>IF(AQ105="1",BI105,0)</f>
        <v>0</v>
      </c>
      <c r="AD105" s="51">
        <f>IF(AQ105="7",BH105,0)</f>
        <v>0</v>
      </c>
      <c r="AE105" s="51">
        <f>IF(AQ105="7",BI105,0)</f>
        <v>0</v>
      </c>
      <c r="AF105" s="51">
        <f>IF(AQ105="2",BH105,0)</f>
        <v>0</v>
      </c>
      <c r="AG105" s="51">
        <f>IF(AQ105="2",BI105,0)</f>
        <v>0</v>
      </c>
      <c r="AH105" s="51">
        <f>IF(AQ105="0",BJ105,0)</f>
        <v>0</v>
      </c>
      <c r="AI105" s="35" t="s">
        <v>4</v>
      </c>
      <c r="AJ105" s="51">
        <f>IF(AN105=0,H105,0)</f>
        <v>0</v>
      </c>
      <c r="AK105" s="51">
        <f>IF(AN105=12,H105,0)</f>
        <v>0</v>
      </c>
      <c r="AL105" s="51">
        <f>IF(AN105=21,H105,0)</f>
        <v>0</v>
      </c>
      <c r="AN105" s="51">
        <v>12</v>
      </c>
      <c r="AO105" s="51">
        <f>G105*0</f>
        <v>0</v>
      </c>
      <c r="AP105" s="51">
        <f>G105*(1-0)</f>
        <v>0</v>
      </c>
      <c r="AQ105" s="53" t="s">
        <v>138</v>
      </c>
      <c r="AV105" s="51">
        <f>AW105+AX105</f>
        <v>0</v>
      </c>
      <c r="AW105" s="51">
        <f>F105*AO105</f>
        <v>0</v>
      </c>
      <c r="AX105" s="51">
        <f>F105*AP105</f>
        <v>0</v>
      </c>
      <c r="AY105" s="53" t="s">
        <v>307</v>
      </c>
      <c r="AZ105" s="53" t="s">
        <v>236</v>
      </c>
      <c r="BA105" s="35" t="s">
        <v>117</v>
      </c>
      <c r="BC105" s="51">
        <f>AW105+AX105</f>
        <v>0</v>
      </c>
      <c r="BD105" s="51">
        <f>G105/(100-BE105)*100</f>
        <v>0</v>
      </c>
      <c r="BE105" s="51">
        <v>0</v>
      </c>
      <c r="BF105" s="51">
        <f>105</f>
        <v>105</v>
      </c>
      <c r="BH105" s="51">
        <f>F105*AO105</f>
        <v>0</v>
      </c>
      <c r="BI105" s="51">
        <f>F105*AP105</f>
        <v>0</v>
      </c>
      <c r="BJ105" s="51">
        <f>F105*G105</f>
        <v>0</v>
      </c>
      <c r="BK105" s="51"/>
      <c r="BL105" s="51">
        <v>99</v>
      </c>
      <c r="BW105" s="51">
        <v>12</v>
      </c>
      <c r="BX105" s="3" t="s">
        <v>306</v>
      </c>
    </row>
    <row r="106" spans="1:76">
      <c r="A106" s="47" t="s">
        <v>4</v>
      </c>
      <c r="B106" s="48" t="s">
        <v>308</v>
      </c>
      <c r="C106" s="150" t="s">
        <v>309</v>
      </c>
      <c r="D106" s="151"/>
      <c r="E106" s="49" t="s">
        <v>79</v>
      </c>
      <c r="F106" s="49" t="s">
        <v>79</v>
      </c>
      <c r="G106" s="50" t="s">
        <v>79</v>
      </c>
      <c r="H106" s="28">
        <f>SUM(H107:H117)</f>
        <v>0</v>
      </c>
      <c r="J106" s="41"/>
      <c r="AI106" s="35" t="s">
        <v>4</v>
      </c>
      <c r="AS106" s="28">
        <f>SUM(AJ107:AJ117)</f>
        <v>0</v>
      </c>
      <c r="AT106" s="28">
        <f>SUM(AK107:AK117)</f>
        <v>0</v>
      </c>
      <c r="AU106" s="28">
        <f>SUM(AL107:AL117)</f>
        <v>0</v>
      </c>
    </row>
    <row r="107" spans="1:76">
      <c r="A107" s="1" t="s">
        <v>310</v>
      </c>
      <c r="B107" s="2" t="s">
        <v>311</v>
      </c>
      <c r="C107" s="75" t="s">
        <v>312</v>
      </c>
      <c r="D107" s="70"/>
      <c r="E107" s="2" t="s">
        <v>114</v>
      </c>
      <c r="F107" s="51">
        <v>12.593</v>
      </c>
      <c r="G107" s="52">
        <v>0</v>
      </c>
      <c r="H107" s="51">
        <f>F107*G107</f>
        <v>0</v>
      </c>
      <c r="J107" s="41"/>
      <c r="Z107" s="51">
        <f>IF(AQ107="5",BJ107,0)</f>
        <v>0</v>
      </c>
      <c r="AB107" s="51">
        <f>IF(AQ107="1",BH107,0)</f>
        <v>0</v>
      </c>
      <c r="AC107" s="51">
        <f>IF(AQ107="1",BI107,0)</f>
        <v>0</v>
      </c>
      <c r="AD107" s="51">
        <f>IF(AQ107="7",BH107,0)</f>
        <v>0</v>
      </c>
      <c r="AE107" s="51">
        <f>IF(AQ107="7",BI107,0)</f>
        <v>0</v>
      </c>
      <c r="AF107" s="51">
        <f>IF(AQ107="2",BH107,0)</f>
        <v>0</v>
      </c>
      <c r="AG107" s="51">
        <f>IF(AQ107="2",BI107,0)</f>
        <v>0</v>
      </c>
      <c r="AH107" s="51">
        <f>IF(AQ107="0",BJ107,0)</f>
        <v>0</v>
      </c>
      <c r="AI107" s="35" t="s">
        <v>4</v>
      </c>
      <c r="AJ107" s="51">
        <f>IF(AN107=0,H107,0)</f>
        <v>0</v>
      </c>
      <c r="AK107" s="51">
        <f>IF(AN107=12,H107,0)</f>
        <v>0</v>
      </c>
      <c r="AL107" s="51">
        <f>IF(AN107=21,H107,0)</f>
        <v>0</v>
      </c>
      <c r="AN107" s="51">
        <v>12</v>
      </c>
      <c r="AO107" s="51">
        <f>G107*0.338871842</f>
        <v>0</v>
      </c>
      <c r="AP107" s="51">
        <f>G107*(1-0.338871842)</f>
        <v>0</v>
      </c>
      <c r="AQ107" s="53" t="s">
        <v>150</v>
      </c>
      <c r="AV107" s="51">
        <f>AW107+AX107</f>
        <v>0</v>
      </c>
      <c r="AW107" s="51">
        <f>F107*AO107</f>
        <v>0</v>
      </c>
      <c r="AX107" s="51">
        <f>F107*AP107</f>
        <v>0</v>
      </c>
      <c r="AY107" s="53" t="s">
        <v>313</v>
      </c>
      <c r="AZ107" s="53" t="s">
        <v>314</v>
      </c>
      <c r="BA107" s="35" t="s">
        <v>117</v>
      </c>
      <c r="BC107" s="51">
        <f>AW107+AX107</f>
        <v>0</v>
      </c>
      <c r="BD107" s="51">
        <f>G107/(100-BE107)*100</f>
        <v>0</v>
      </c>
      <c r="BE107" s="51">
        <v>0</v>
      </c>
      <c r="BF107" s="51">
        <f>107</f>
        <v>107</v>
      </c>
      <c r="BH107" s="51">
        <f>F107*AO107</f>
        <v>0</v>
      </c>
      <c r="BI107" s="51">
        <f>F107*AP107</f>
        <v>0</v>
      </c>
      <c r="BJ107" s="51">
        <f>F107*G107</f>
        <v>0</v>
      </c>
      <c r="BK107" s="51"/>
      <c r="BL107" s="51">
        <v>711</v>
      </c>
      <c r="BW107" s="51">
        <v>12</v>
      </c>
      <c r="BX107" s="3" t="s">
        <v>312</v>
      </c>
    </row>
    <row r="108" spans="1:76">
      <c r="A108" s="1" t="s">
        <v>315</v>
      </c>
      <c r="B108" s="2" t="s">
        <v>316</v>
      </c>
      <c r="C108" s="75" t="s">
        <v>317</v>
      </c>
      <c r="D108" s="70"/>
      <c r="E108" s="2" t="s">
        <v>114</v>
      </c>
      <c r="F108" s="51">
        <v>12.593</v>
      </c>
      <c r="G108" s="52">
        <v>0</v>
      </c>
      <c r="H108" s="51">
        <f>F108*G108</f>
        <v>0</v>
      </c>
      <c r="J108" s="41"/>
      <c r="Z108" s="51">
        <f>IF(AQ108="5",BJ108,0)</f>
        <v>0</v>
      </c>
      <c r="AB108" s="51">
        <f>IF(AQ108="1",BH108,0)</f>
        <v>0</v>
      </c>
      <c r="AC108" s="51">
        <f>IF(AQ108="1",BI108,0)</f>
        <v>0</v>
      </c>
      <c r="AD108" s="51">
        <f>IF(AQ108="7",BH108,0)</f>
        <v>0</v>
      </c>
      <c r="AE108" s="51">
        <f>IF(AQ108="7",BI108,0)</f>
        <v>0</v>
      </c>
      <c r="AF108" s="51">
        <f>IF(AQ108="2",BH108,0)</f>
        <v>0</v>
      </c>
      <c r="AG108" s="51">
        <f>IF(AQ108="2",BI108,0)</f>
        <v>0</v>
      </c>
      <c r="AH108" s="51">
        <f>IF(AQ108="0",BJ108,0)</f>
        <v>0</v>
      </c>
      <c r="AI108" s="35" t="s">
        <v>4</v>
      </c>
      <c r="AJ108" s="51">
        <f>IF(AN108=0,H108,0)</f>
        <v>0</v>
      </c>
      <c r="AK108" s="51">
        <f>IF(AN108=12,H108,0)</f>
        <v>0</v>
      </c>
      <c r="AL108" s="51">
        <f>IF(AN108=21,H108,0)</f>
        <v>0</v>
      </c>
      <c r="AN108" s="51">
        <v>12</v>
      </c>
      <c r="AO108" s="51">
        <f>G108*0.661561941</f>
        <v>0</v>
      </c>
      <c r="AP108" s="51">
        <f>G108*(1-0.661561941)</f>
        <v>0</v>
      </c>
      <c r="AQ108" s="53" t="s">
        <v>150</v>
      </c>
      <c r="AV108" s="51">
        <f>AW108+AX108</f>
        <v>0</v>
      </c>
      <c r="AW108" s="51">
        <f>F108*AO108</f>
        <v>0</v>
      </c>
      <c r="AX108" s="51">
        <f>F108*AP108</f>
        <v>0</v>
      </c>
      <c r="AY108" s="53" t="s">
        <v>313</v>
      </c>
      <c r="AZ108" s="53" t="s">
        <v>314</v>
      </c>
      <c r="BA108" s="35" t="s">
        <v>117</v>
      </c>
      <c r="BC108" s="51">
        <f>AW108+AX108</f>
        <v>0</v>
      </c>
      <c r="BD108" s="51">
        <f>G108/(100-BE108)*100</f>
        <v>0</v>
      </c>
      <c r="BE108" s="51">
        <v>0</v>
      </c>
      <c r="BF108" s="51">
        <f>108</f>
        <v>108</v>
      </c>
      <c r="BH108" s="51">
        <f>F108*AO108</f>
        <v>0</v>
      </c>
      <c r="BI108" s="51">
        <f>F108*AP108</f>
        <v>0</v>
      </c>
      <c r="BJ108" s="51">
        <f>F108*G108</f>
        <v>0</v>
      </c>
      <c r="BK108" s="51"/>
      <c r="BL108" s="51">
        <v>711</v>
      </c>
      <c r="BW108" s="51">
        <v>12</v>
      </c>
      <c r="BX108" s="3" t="s">
        <v>317</v>
      </c>
    </row>
    <row r="109" spans="1:76" ht="13.5" customHeight="1">
      <c r="A109" s="54"/>
      <c r="B109" s="58" t="s">
        <v>136</v>
      </c>
      <c r="C109" s="152" t="s">
        <v>318</v>
      </c>
      <c r="D109" s="153"/>
      <c r="E109" s="153"/>
      <c r="F109" s="153"/>
      <c r="G109" s="154"/>
      <c r="H109" s="153"/>
      <c r="I109" s="153"/>
      <c r="J109" s="155"/>
    </row>
    <row r="110" spans="1:76">
      <c r="A110" s="54"/>
      <c r="C110" s="55" t="s">
        <v>319</v>
      </c>
      <c r="D110" s="56" t="s">
        <v>320</v>
      </c>
      <c r="F110" s="57">
        <v>5.3719999999999999</v>
      </c>
      <c r="J110" s="41"/>
    </row>
    <row r="111" spans="1:76">
      <c r="A111" s="54"/>
      <c r="C111" s="55" t="s">
        <v>321</v>
      </c>
      <c r="D111" s="56" t="s">
        <v>322</v>
      </c>
      <c r="F111" s="57">
        <v>2.601</v>
      </c>
      <c r="J111" s="41"/>
    </row>
    <row r="112" spans="1:76">
      <c r="A112" s="54"/>
      <c r="C112" s="55" t="s">
        <v>323</v>
      </c>
      <c r="D112" s="56" t="s">
        <v>324</v>
      </c>
      <c r="F112" s="57">
        <v>4.62</v>
      </c>
      <c r="J112" s="41"/>
    </row>
    <row r="113" spans="1:76">
      <c r="A113" s="1" t="s">
        <v>325</v>
      </c>
      <c r="B113" s="2" t="s">
        <v>326</v>
      </c>
      <c r="C113" s="75" t="s">
        <v>327</v>
      </c>
      <c r="D113" s="70"/>
      <c r="E113" s="2" t="s">
        <v>141</v>
      </c>
      <c r="F113" s="51">
        <v>10.77</v>
      </c>
      <c r="G113" s="52">
        <v>0</v>
      </c>
      <c r="H113" s="51">
        <f>F113*G113</f>
        <v>0</v>
      </c>
      <c r="J113" s="41"/>
      <c r="Z113" s="51">
        <f>IF(AQ113="5",BJ113,0)</f>
        <v>0</v>
      </c>
      <c r="AB113" s="51">
        <f>IF(AQ113="1",BH113,0)</f>
        <v>0</v>
      </c>
      <c r="AC113" s="51">
        <f>IF(AQ113="1",BI113,0)</f>
        <v>0</v>
      </c>
      <c r="AD113" s="51">
        <f>IF(AQ113="7",BH113,0)</f>
        <v>0</v>
      </c>
      <c r="AE113" s="51">
        <f>IF(AQ113="7",BI113,0)</f>
        <v>0</v>
      </c>
      <c r="AF113" s="51">
        <f>IF(AQ113="2",BH113,0)</f>
        <v>0</v>
      </c>
      <c r="AG113" s="51">
        <f>IF(AQ113="2",BI113,0)</f>
        <v>0</v>
      </c>
      <c r="AH113" s="51">
        <f>IF(AQ113="0",BJ113,0)</f>
        <v>0</v>
      </c>
      <c r="AI113" s="35" t="s">
        <v>4</v>
      </c>
      <c r="AJ113" s="51">
        <f>IF(AN113=0,H113,0)</f>
        <v>0</v>
      </c>
      <c r="AK113" s="51">
        <f>IF(AN113=12,H113,0)</f>
        <v>0</v>
      </c>
      <c r="AL113" s="51">
        <f>IF(AN113=21,H113,0)</f>
        <v>0</v>
      </c>
      <c r="AN113" s="51">
        <v>12</v>
      </c>
      <c r="AO113" s="51">
        <f>G113*0.688965517</f>
        <v>0</v>
      </c>
      <c r="AP113" s="51">
        <f>G113*(1-0.688965517)</f>
        <v>0</v>
      </c>
      <c r="AQ113" s="53" t="s">
        <v>150</v>
      </c>
      <c r="AV113" s="51">
        <f>AW113+AX113</f>
        <v>0</v>
      </c>
      <c r="AW113" s="51">
        <f>F113*AO113</f>
        <v>0</v>
      </c>
      <c r="AX113" s="51">
        <f>F113*AP113</f>
        <v>0</v>
      </c>
      <c r="AY113" s="53" t="s">
        <v>313</v>
      </c>
      <c r="AZ113" s="53" t="s">
        <v>314</v>
      </c>
      <c r="BA113" s="35" t="s">
        <v>117</v>
      </c>
      <c r="BC113" s="51">
        <f>AW113+AX113</f>
        <v>0</v>
      </c>
      <c r="BD113" s="51">
        <f>G113/(100-BE113)*100</f>
        <v>0</v>
      </c>
      <c r="BE113" s="51">
        <v>0</v>
      </c>
      <c r="BF113" s="51">
        <f>113</f>
        <v>113</v>
      </c>
      <c r="BH113" s="51">
        <f>F113*AO113</f>
        <v>0</v>
      </c>
      <c r="BI113" s="51">
        <f>F113*AP113</f>
        <v>0</v>
      </c>
      <c r="BJ113" s="51">
        <f>F113*G113</f>
        <v>0</v>
      </c>
      <c r="BK113" s="51"/>
      <c r="BL113" s="51">
        <v>711</v>
      </c>
      <c r="BW113" s="51">
        <v>12</v>
      </c>
      <c r="BX113" s="3" t="s">
        <v>327</v>
      </c>
    </row>
    <row r="114" spans="1:76" ht="13.5" customHeight="1">
      <c r="A114" s="54"/>
      <c r="B114" s="58" t="s">
        <v>136</v>
      </c>
      <c r="C114" s="152" t="s">
        <v>328</v>
      </c>
      <c r="D114" s="153"/>
      <c r="E114" s="153"/>
      <c r="F114" s="153"/>
      <c r="G114" s="154"/>
      <c r="H114" s="153"/>
      <c r="I114" s="153"/>
      <c r="J114" s="155"/>
    </row>
    <row r="115" spans="1:76">
      <c r="A115" s="54"/>
      <c r="C115" s="55" t="s">
        <v>329</v>
      </c>
      <c r="D115" s="56" t="s">
        <v>330</v>
      </c>
      <c r="F115" s="57">
        <v>8.67</v>
      </c>
      <c r="J115" s="41"/>
    </row>
    <row r="116" spans="1:76">
      <c r="A116" s="54"/>
      <c r="C116" s="55" t="s">
        <v>331</v>
      </c>
      <c r="D116" s="56" t="s">
        <v>332</v>
      </c>
      <c r="F116" s="57">
        <v>2.1</v>
      </c>
      <c r="J116" s="41"/>
    </row>
    <row r="117" spans="1:76">
      <c r="A117" s="1" t="s">
        <v>333</v>
      </c>
      <c r="B117" s="2" t="s">
        <v>334</v>
      </c>
      <c r="C117" s="75" t="s">
        <v>335</v>
      </c>
      <c r="D117" s="70"/>
      <c r="E117" s="2" t="s">
        <v>273</v>
      </c>
      <c r="F117" s="51">
        <v>4.9000000000000002E-2</v>
      </c>
      <c r="G117" s="52">
        <v>0</v>
      </c>
      <c r="H117" s="51">
        <f>F117*G117</f>
        <v>0</v>
      </c>
      <c r="J117" s="41"/>
      <c r="Z117" s="51">
        <f>IF(AQ117="5",BJ117,0)</f>
        <v>0</v>
      </c>
      <c r="AB117" s="51">
        <f>IF(AQ117="1",BH117,0)</f>
        <v>0</v>
      </c>
      <c r="AC117" s="51">
        <f>IF(AQ117="1",BI117,0)</f>
        <v>0</v>
      </c>
      <c r="AD117" s="51">
        <f>IF(AQ117="7",BH117,0)</f>
        <v>0</v>
      </c>
      <c r="AE117" s="51">
        <f>IF(AQ117="7",BI117,0)</f>
        <v>0</v>
      </c>
      <c r="AF117" s="51">
        <f>IF(AQ117="2",BH117,0)</f>
        <v>0</v>
      </c>
      <c r="AG117" s="51">
        <f>IF(AQ117="2",BI117,0)</f>
        <v>0</v>
      </c>
      <c r="AH117" s="51">
        <f>IF(AQ117="0",BJ117,0)</f>
        <v>0</v>
      </c>
      <c r="AI117" s="35" t="s">
        <v>4</v>
      </c>
      <c r="AJ117" s="51">
        <f>IF(AN117=0,H117,0)</f>
        <v>0</v>
      </c>
      <c r="AK117" s="51">
        <f>IF(AN117=12,H117,0)</f>
        <v>0</v>
      </c>
      <c r="AL117" s="51">
        <f>IF(AN117=21,H117,0)</f>
        <v>0</v>
      </c>
      <c r="AN117" s="51">
        <v>12</v>
      </c>
      <c r="AO117" s="51">
        <f>G117*0</f>
        <v>0</v>
      </c>
      <c r="AP117" s="51">
        <f>G117*(1-0)</f>
        <v>0</v>
      </c>
      <c r="AQ117" s="53" t="s">
        <v>138</v>
      </c>
      <c r="AV117" s="51">
        <f>AW117+AX117</f>
        <v>0</v>
      </c>
      <c r="AW117" s="51">
        <f>F117*AO117</f>
        <v>0</v>
      </c>
      <c r="AX117" s="51">
        <f>F117*AP117</f>
        <v>0</v>
      </c>
      <c r="AY117" s="53" t="s">
        <v>313</v>
      </c>
      <c r="AZ117" s="53" t="s">
        <v>314</v>
      </c>
      <c r="BA117" s="35" t="s">
        <v>117</v>
      </c>
      <c r="BC117" s="51">
        <f>AW117+AX117</f>
        <v>0</v>
      </c>
      <c r="BD117" s="51">
        <f>G117/(100-BE117)*100</f>
        <v>0</v>
      </c>
      <c r="BE117" s="51">
        <v>0</v>
      </c>
      <c r="BF117" s="51">
        <f>117</f>
        <v>117</v>
      </c>
      <c r="BH117" s="51">
        <f>F117*AO117</f>
        <v>0</v>
      </c>
      <c r="BI117" s="51">
        <f>F117*AP117</f>
        <v>0</v>
      </c>
      <c r="BJ117" s="51">
        <f>F117*G117</f>
        <v>0</v>
      </c>
      <c r="BK117" s="51"/>
      <c r="BL117" s="51">
        <v>711</v>
      </c>
      <c r="BW117" s="51">
        <v>12</v>
      </c>
      <c r="BX117" s="3" t="s">
        <v>335</v>
      </c>
    </row>
    <row r="118" spans="1:76">
      <c r="A118" s="47" t="s">
        <v>4</v>
      </c>
      <c r="B118" s="48" t="s">
        <v>336</v>
      </c>
      <c r="C118" s="150" t="s">
        <v>337</v>
      </c>
      <c r="D118" s="151"/>
      <c r="E118" s="49" t="s">
        <v>79</v>
      </c>
      <c r="F118" s="49" t="s">
        <v>79</v>
      </c>
      <c r="G118" s="50" t="s">
        <v>79</v>
      </c>
      <c r="H118" s="28">
        <f>SUM(H119:H128)</f>
        <v>0</v>
      </c>
      <c r="J118" s="41"/>
      <c r="AI118" s="35" t="s">
        <v>4</v>
      </c>
      <c r="AS118" s="28">
        <f>SUM(AJ119:AJ128)</f>
        <v>0</v>
      </c>
      <c r="AT118" s="28">
        <f>SUM(AK119:AK128)</f>
        <v>0</v>
      </c>
      <c r="AU118" s="28">
        <f>SUM(AL119:AL128)</f>
        <v>0</v>
      </c>
    </row>
    <row r="119" spans="1:76" ht="25.5">
      <c r="A119" s="1" t="s">
        <v>338</v>
      </c>
      <c r="B119" s="2" t="s">
        <v>339</v>
      </c>
      <c r="C119" s="75" t="s">
        <v>340</v>
      </c>
      <c r="D119" s="70"/>
      <c r="E119" s="2" t="s">
        <v>135</v>
      </c>
      <c r="F119" s="51">
        <v>1</v>
      </c>
      <c r="G119" s="52">
        <v>0</v>
      </c>
      <c r="H119" s="51">
        <f t="shared" ref="H119:H128" si="0">F119*G119</f>
        <v>0</v>
      </c>
      <c r="J119" s="41"/>
      <c r="Z119" s="51">
        <f t="shared" ref="Z119:Z128" si="1">IF(AQ119="5",BJ119,0)</f>
        <v>0</v>
      </c>
      <c r="AB119" s="51">
        <f t="shared" ref="AB119:AB128" si="2">IF(AQ119="1",BH119,0)</f>
        <v>0</v>
      </c>
      <c r="AC119" s="51">
        <f t="shared" ref="AC119:AC128" si="3">IF(AQ119="1",BI119,0)</f>
        <v>0</v>
      </c>
      <c r="AD119" s="51">
        <f t="shared" ref="AD119:AD128" si="4">IF(AQ119="7",BH119,0)</f>
        <v>0</v>
      </c>
      <c r="AE119" s="51">
        <f t="shared" ref="AE119:AE128" si="5">IF(AQ119="7",BI119,0)</f>
        <v>0</v>
      </c>
      <c r="AF119" s="51">
        <f t="shared" ref="AF119:AF128" si="6">IF(AQ119="2",BH119,0)</f>
        <v>0</v>
      </c>
      <c r="AG119" s="51">
        <f t="shared" ref="AG119:AG128" si="7">IF(AQ119="2",BI119,0)</f>
        <v>0</v>
      </c>
      <c r="AH119" s="51">
        <f t="shared" ref="AH119:AH128" si="8">IF(AQ119="0",BJ119,0)</f>
        <v>0</v>
      </c>
      <c r="AI119" s="35" t="s">
        <v>4</v>
      </c>
      <c r="AJ119" s="51">
        <f t="shared" ref="AJ119:AJ128" si="9">IF(AN119=0,H119,0)</f>
        <v>0</v>
      </c>
      <c r="AK119" s="51">
        <f t="shared" ref="AK119:AK128" si="10">IF(AN119=12,H119,0)</f>
        <v>0</v>
      </c>
      <c r="AL119" s="51">
        <f t="shared" ref="AL119:AL128" si="11">IF(AN119=21,H119,0)</f>
        <v>0</v>
      </c>
      <c r="AN119" s="51">
        <v>12</v>
      </c>
      <c r="AO119" s="51">
        <f>G119*0.809885787</f>
        <v>0</v>
      </c>
      <c r="AP119" s="51">
        <f>G119*(1-0.809885787)</f>
        <v>0</v>
      </c>
      <c r="AQ119" s="53" t="s">
        <v>150</v>
      </c>
      <c r="AV119" s="51">
        <f t="shared" ref="AV119:AV128" si="12">AW119+AX119</f>
        <v>0</v>
      </c>
      <c r="AW119" s="51">
        <f t="shared" ref="AW119:AW128" si="13">F119*AO119</f>
        <v>0</v>
      </c>
      <c r="AX119" s="51">
        <f t="shared" ref="AX119:AX128" si="14">F119*AP119</f>
        <v>0</v>
      </c>
      <c r="AY119" s="53" t="s">
        <v>341</v>
      </c>
      <c r="AZ119" s="53" t="s">
        <v>342</v>
      </c>
      <c r="BA119" s="35" t="s">
        <v>117</v>
      </c>
      <c r="BC119" s="51">
        <f t="shared" ref="BC119:BC128" si="15">AW119+AX119</f>
        <v>0</v>
      </c>
      <c r="BD119" s="51">
        <f t="shared" ref="BD119:BD128" si="16">G119/(100-BE119)*100</f>
        <v>0</v>
      </c>
      <c r="BE119" s="51">
        <v>0</v>
      </c>
      <c r="BF119" s="51">
        <f>119</f>
        <v>119</v>
      </c>
      <c r="BH119" s="51">
        <f t="shared" ref="BH119:BH128" si="17">F119*AO119</f>
        <v>0</v>
      </c>
      <c r="BI119" s="51">
        <f t="shared" ref="BI119:BI128" si="18">F119*AP119</f>
        <v>0</v>
      </c>
      <c r="BJ119" s="51">
        <f t="shared" ref="BJ119:BJ128" si="19">F119*G119</f>
        <v>0</v>
      </c>
      <c r="BK119" s="51"/>
      <c r="BL119" s="51">
        <v>721</v>
      </c>
      <c r="BW119" s="51">
        <v>12</v>
      </c>
      <c r="BX119" s="3" t="s">
        <v>340</v>
      </c>
    </row>
    <row r="120" spans="1:76">
      <c r="A120" s="1" t="s">
        <v>343</v>
      </c>
      <c r="B120" s="2" t="s">
        <v>344</v>
      </c>
      <c r="C120" s="75" t="s">
        <v>345</v>
      </c>
      <c r="D120" s="70"/>
      <c r="E120" s="2" t="s">
        <v>141</v>
      </c>
      <c r="F120" s="51">
        <v>7.8</v>
      </c>
      <c r="G120" s="52">
        <v>0</v>
      </c>
      <c r="H120" s="51">
        <f t="shared" si="0"/>
        <v>0</v>
      </c>
      <c r="J120" s="41"/>
      <c r="Z120" s="51">
        <f t="shared" si="1"/>
        <v>0</v>
      </c>
      <c r="AB120" s="51">
        <f t="shared" si="2"/>
        <v>0</v>
      </c>
      <c r="AC120" s="51">
        <f t="shared" si="3"/>
        <v>0</v>
      </c>
      <c r="AD120" s="51">
        <f t="shared" si="4"/>
        <v>0</v>
      </c>
      <c r="AE120" s="51">
        <f t="shared" si="5"/>
        <v>0</v>
      </c>
      <c r="AF120" s="51">
        <f t="shared" si="6"/>
        <v>0</v>
      </c>
      <c r="AG120" s="51">
        <f t="shared" si="7"/>
        <v>0</v>
      </c>
      <c r="AH120" s="51">
        <f t="shared" si="8"/>
        <v>0</v>
      </c>
      <c r="AI120" s="35" t="s">
        <v>4</v>
      </c>
      <c r="AJ120" s="51">
        <f t="shared" si="9"/>
        <v>0</v>
      </c>
      <c r="AK120" s="51">
        <f t="shared" si="10"/>
        <v>0</v>
      </c>
      <c r="AL120" s="51">
        <f t="shared" si="11"/>
        <v>0</v>
      </c>
      <c r="AN120" s="51">
        <v>12</v>
      </c>
      <c r="AO120" s="51">
        <f>G120*0.340587178</f>
        <v>0</v>
      </c>
      <c r="AP120" s="51">
        <f>G120*(1-0.340587178)</f>
        <v>0</v>
      </c>
      <c r="AQ120" s="53" t="s">
        <v>150</v>
      </c>
      <c r="AV120" s="51">
        <f t="shared" si="12"/>
        <v>0</v>
      </c>
      <c r="AW120" s="51">
        <f t="shared" si="13"/>
        <v>0</v>
      </c>
      <c r="AX120" s="51">
        <f t="shared" si="14"/>
        <v>0</v>
      </c>
      <c r="AY120" s="53" t="s">
        <v>341</v>
      </c>
      <c r="AZ120" s="53" t="s">
        <v>342</v>
      </c>
      <c r="BA120" s="35" t="s">
        <v>117</v>
      </c>
      <c r="BC120" s="51">
        <f t="shared" si="15"/>
        <v>0</v>
      </c>
      <c r="BD120" s="51">
        <f t="shared" si="16"/>
        <v>0</v>
      </c>
      <c r="BE120" s="51">
        <v>0</v>
      </c>
      <c r="BF120" s="51">
        <f>120</f>
        <v>120</v>
      </c>
      <c r="BH120" s="51">
        <f t="shared" si="17"/>
        <v>0</v>
      </c>
      <c r="BI120" s="51">
        <f t="shared" si="18"/>
        <v>0</v>
      </c>
      <c r="BJ120" s="51">
        <f t="shared" si="19"/>
        <v>0</v>
      </c>
      <c r="BK120" s="51"/>
      <c r="BL120" s="51">
        <v>721</v>
      </c>
      <c r="BW120" s="51">
        <v>12</v>
      </c>
      <c r="BX120" s="3" t="s">
        <v>345</v>
      </c>
    </row>
    <row r="121" spans="1:76">
      <c r="A121" s="1" t="s">
        <v>346</v>
      </c>
      <c r="B121" s="2" t="s">
        <v>347</v>
      </c>
      <c r="C121" s="75" t="s">
        <v>348</v>
      </c>
      <c r="D121" s="70"/>
      <c r="E121" s="2" t="s">
        <v>141</v>
      </c>
      <c r="F121" s="51">
        <v>1.8</v>
      </c>
      <c r="G121" s="52">
        <v>0</v>
      </c>
      <c r="H121" s="51">
        <f t="shared" si="0"/>
        <v>0</v>
      </c>
      <c r="J121" s="41"/>
      <c r="Z121" s="51">
        <f t="shared" si="1"/>
        <v>0</v>
      </c>
      <c r="AB121" s="51">
        <f t="shared" si="2"/>
        <v>0</v>
      </c>
      <c r="AC121" s="51">
        <f t="shared" si="3"/>
        <v>0</v>
      </c>
      <c r="AD121" s="51">
        <f t="shared" si="4"/>
        <v>0</v>
      </c>
      <c r="AE121" s="51">
        <f t="shared" si="5"/>
        <v>0</v>
      </c>
      <c r="AF121" s="51">
        <f t="shared" si="6"/>
        <v>0</v>
      </c>
      <c r="AG121" s="51">
        <f t="shared" si="7"/>
        <v>0</v>
      </c>
      <c r="AH121" s="51">
        <f t="shared" si="8"/>
        <v>0</v>
      </c>
      <c r="AI121" s="35" t="s">
        <v>4</v>
      </c>
      <c r="AJ121" s="51">
        <f t="shared" si="9"/>
        <v>0</v>
      </c>
      <c r="AK121" s="51">
        <f t="shared" si="10"/>
        <v>0</v>
      </c>
      <c r="AL121" s="51">
        <f t="shared" si="11"/>
        <v>0</v>
      </c>
      <c r="AN121" s="51">
        <v>12</v>
      </c>
      <c r="AO121" s="51">
        <f>G121*0.317436677</f>
        <v>0</v>
      </c>
      <c r="AP121" s="51">
        <f>G121*(1-0.317436677)</f>
        <v>0</v>
      </c>
      <c r="AQ121" s="53" t="s">
        <v>150</v>
      </c>
      <c r="AV121" s="51">
        <f t="shared" si="12"/>
        <v>0</v>
      </c>
      <c r="AW121" s="51">
        <f t="shared" si="13"/>
        <v>0</v>
      </c>
      <c r="AX121" s="51">
        <f t="shared" si="14"/>
        <v>0</v>
      </c>
      <c r="AY121" s="53" t="s">
        <v>341</v>
      </c>
      <c r="AZ121" s="53" t="s">
        <v>342</v>
      </c>
      <c r="BA121" s="35" t="s">
        <v>117</v>
      </c>
      <c r="BC121" s="51">
        <f t="shared" si="15"/>
        <v>0</v>
      </c>
      <c r="BD121" s="51">
        <f t="shared" si="16"/>
        <v>0</v>
      </c>
      <c r="BE121" s="51">
        <v>0</v>
      </c>
      <c r="BF121" s="51">
        <f>121</f>
        <v>121</v>
      </c>
      <c r="BH121" s="51">
        <f t="shared" si="17"/>
        <v>0</v>
      </c>
      <c r="BI121" s="51">
        <f t="shared" si="18"/>
        <v>0</v>
      </c>
      <c r="BJ121" s="51">
        <f t="shared" si="19"/>
        <v>0</v>
      </c>
      <c r="BK121" s="51"/>
      <c r="BL121" s="51">
        <v>721</v>
      </c>
      <c r="BW121" s="51">
        <v>12</v>
      </c>
      <c r="BX121" s="3" t="s">
        <v>348</v>
      </c>
    </row>
    <row r="122" spans="1:76">
      <c r="A122" s="1" t="s">
        <v>349</v>
      </c>
      <c r="B122" s="2" t="s">
        <v>350</v>
      </c>
      <c r="C122" s="75" t="s">
        <v>351</v>
      </c>
      <c r="D122" s="70"/>
      <c r="E122" s="2" t="s">
        <v>141</v>
      </c>
      <c r="F122" s="51">
        <v>0.5</v>
      </c>
      <c r="G122" s="52">
        <v>0</v>
      </c>
      <c r="H122" s="51">
        <f t="shared" si="0"/>
        <v>0</v>
      </c>
      <c r="J122" s="41"/>
      <c r="Z122" s="51">
        <f t="shared" si="1"/>
        <v>0</v>
      </c>
      <c r="AB122" s="51">
        <f t="shared" si="2"/>
        <v>0</v>
      </c>
      <c r="AC122" s="51">
        <f t="shared" si="3"/>
        <v>0</v>
      </c>
      <c r="AD122" s="51">
        <f t="shared" si="4"/>
        <v>0</v>
      </c>
      <c r="AE122" s="51">
        <f t="shared" si="5"/>
        <v>0</v>
      </c>
      <c r="AF122" s="51">
        <f t="shared" si="6"/>
        <v>0</v>
      </c>
      <c r="AG122" s="51">
        <f t="shared" si="7"/>
        <v>0</v>
      </c>
      <c r="AH122" s="51">
        <f t="shared" si="8"/>
        <v>0</v>
      </c>
      <c r="AI122" s="35" t="s">
        <v>4</v>
      </c>
      <c r="AJ122" s="51">
        <f t="shared" si="9"/>
        <v>0</v>
      </c>
      <c r="AK122" s="51">
        <f t="shared" si="10"/>
        <v>0</v>
      </c>
      <c r="AL122" s="51">
        <f t="shared" si="11"/>
        <v>0</v>
      </c>
      <c r="AN122" s="51">
        <v>12</v>
      </c>
      <c r="AO122" s="51">
        <f>G122*0.431778607</f>
        <v>0</v>
      </c>
      <c r="AP122" s="51">
        <f>G122*(1-0.431778607)</f>
        <v>0</v>
      </c>
      <c r="AQ122" s="53" t="s">
        <v>150</v>
      </c>
      <c r="AV122" s="51">
        <f t="shared" si="12"/>
        <v>0</v>
      </c>
      <c r="AW122" s="51">
        <f t="shared" si="13"/>
        <v>0</v>
      </c>
      <c r="AX122" s="51">
        <f t="shared" si="14"/>
        <v>0</v>
      </c>
      <c r="AY122" s="53" t="s">
        <v>341</v>
      </c>
      <c r="AZ122" s="53" t="s">
        <v>342</v>
      </c>
      <c r="BA122" s="35" t="s">
        <v>117</v>
      </c>
      <c r="BC122" s="51">
        <f t="shared" si="15"/>
        <v>0</v>
      </c>
      <c r="BD122" s="51">
        <f t="shared" si="16"/>
        <v>0</v>
      </c>
      <c r="BE122" s="51">
        <v>0</v>
      </c>
      <c r="BF122" s="51">
        <f>122</f>
        <v>122</v>
      </c>
      <c r="BH122" s="51">
        <f t="shared" si="17"/>
        <v>0</v>
      </c>
      <c r="BI122" s="51">
        <f t="shared" si="18"/>
        <v>0</v>
      </c>
      <c r="BJ122" s="51">
        <f t="shared" si="19"/>
        <v>0</v>
      </c>
      <c r="BK122" s="51"/>
      <c r="BL122" s="51">
        <v>721</v>
      </c>
      <c r="BW122" s="51">
        <v>12</v>
      </c>
      <c r="BX122" s="3" t="s">
        <v>351</v>
      </c>
    </row>
    <row r="123" spans="1:76">
      <c r="A123" s="1" t="s">
        <v>352</v>
      </c>
      <c r="B123" s="2" t="s">
        <v>353</v>
      </c>
      <c r="C123" s="75" t="s">
        <v>354</v>
      </c>
      <c r="D123" s="70"/>
      <c r="E123" s="2" t="s">
        <v>135</v>
      </c>
      <c r="F123" s="51">
        <v>4</v>
      </c>
      <c r="G123" s="52">
        <v>0</v>
      </c>
      <c r="H123" s="51">
        <f t="shared" si="0"/>
        <v>0</v>
      </c>
      <c r="J123" s="41"/>
      <c r="Z123" s="51">
        <f t="shared" si="1"/>
        <v>0</v>
      </c>
      <c r="AB123" s="51">
        <f t="shared" si="2"/>
        <v>0</v>
      </c>
      <c r="AC123" s="51">
        <f t="shared" si="3"/>
        <v>0</v>
      </c>
      <c r="AD123" s="51">
        <f t="shared" si="4"/>
        <v>0</v>
      </c>
      <c r="AE123" s="51">
        <f t="shared" si="5"/>
        <v>0</v>
      </c>
      <c r="AF123" s="51">
        <f t="shared" si="6"/>
        <v>0</v>
      </c>
      <c r="AG123" s="51">
        <f t="shared" si="7"/>
        <v>0</v>
      </c>
      <c r="AH123" s="51">
        <f t="shared" si="8"/>
        <v>0</v>
      </c>
      <c r="AI123" s="35" t="s">
        <v>4</v>
      </c>
      <c r="AJ123" s="51">
        <f t="shared" si="9"/>
        <v>0</v>
      </c>
      <c r="AK123" s="51">
        <f t="shared" si="10"/>
        <v>0</v>
      </c>
      <c r="AL123" s="51">
        <f t="shared" si="11"/>
        <v>0</v>
      </c>
      <c r="AN123" s="51">
        <v>12</v>
      </c>
      <c r="AO123" s="51">
        <f>G123*0</f>
        <v>0</v>
      </c>
      <c r="AP123" s="51">
        <f>G123*(1-0)</f>
        <v>0</v>
      </c>
      <c r="AQ123" s="53" t="s">
        <v>150</v>
      </c>
      <c r="AV123" s="51">
        <f t="shared" si="12"/>
        <v>0</v>
      </c>
      <c r="AW123" s="51">
        <f t="shared" si="13"/>
        <v>0</v>
      </c>
      <c r="AX123" s="51">
        <f t="shared" si="14"/>
        <v>0</v>
      </c>
      <c r="AY123" s="53" t="s">
        <v>341</v>
      </c>
      <c r="AZ123" s="53" t="s">
        <v>342</v>
      </c>
      <c r="BA123" s="35" t="s">
        <v>117</v>
      </c>
      <c r="BC123" s="51">
        <f t="shared" si="15"/>
        <v>0</v>
      </c>
      <c r="BD123" s="51">
        <f t="shared" si="16"/>
        <v>0</v>
      </c>
      <c r="BE123" s="51">
        <v>0</v>
      </c>
      <c r="BF123" s="51">
        <f>123</f>
        <v>123</v>
      </c>
      <c r="BH123" s="51">
        <f t="shared" si="17"/>
        <v>0</v>
      </c>
      <c r="BI123" s="51">
        <f t="shared" si="18"/>
        <v>0</v>
      </c>
      <c r="BJ123" s="51">
        <f t="shared" si="19"/>
        <v>0</v>
      </c>
      <c r="BK123" s="51"/>
      <c r="BL123" s="51">
        <v>721</v>
      </c>
      <c r="BW123" s="51">
        <v>12</v>
      </c>
      <c r="BX123" s="3" t="s">
        <v>354</v>
      </c>
    </row>
    <row r="124" spans="1:76">
      <c r="A124" s="1" t="s">
        <v>355</v>
      </c>
      <c r="B124" s="2" t="s">
        <v>356</v>
      </c>
      <c r="C124" s="75" t="s">
        <v>357</v>
      </c>
      <c r="D124" s="70"/>
      <c r="E124" s="2" t="s">
        <v>135</v>
      </c>
      <c r="F124" s="51">
        <v>1</v>
      </c>
      <c r="G124" s="52">
        <v>0</v>
      </c>
      <c r="H124" s="51">
        <f t="shared" si="0"/>
        <v>0</v>
      </c>
      <c r="J124" s="41"/>
      <c r="Z124" s="51">
        <f t="shared" si="1"/>
        <v>0</v>
      </c>
      <c r="AB124" s="51">
        <f t="shared" si="2"/>
        <v>0</v>
      </c>
      <c r="AC124" s="51">
        <f t="shared" si="3"/>
        <v>0</v>
      </c>
      <c r="AD124" s="51">
        <f t="shared" si="4"/>
        <v>0</v>
      </c>
      <c r="AE124" s="51">
        <f t="shared" si="5"/>
        <v>0</v>
      </c>
      <c r="AF124" s="51">
        <f t="shared" si="6"/>
        <v>0</v>
      </c>
      <c r="AG124" s="51">
        <f t="shared" si="7"/>
        <v>0</v>
      </c>
      <c r="AH124" s="51">
        <f t="shared" si="8"/>
        <v>0</v>
      </c>
      <c r="AI124" s="35" t="s">
        <v>4</v>
      </c>
      <c r="AJ124" s="51">
        <f t="shared" si="9"/>
        <v>0</v>
      </c>
      <c r="AK124" s="51">
        <f t="shared" si="10"/>
        <v>0</v>
      </c>
      <c r="AL124" s="51">
        <f t="shared" si="11"/>
        <v>0</v>
      </c>
      <c r="AN124" s="51">
        <v>12</v>
      </c>
      <c r="AO124" s="51">
        <f>G124*0</f>
        <v>0</v>
      </c>
      <c r="AP124" s="51">
        <f>G124*(1-0)</f>
        <v>0</v>
      </c>
      <c r="AQ124" s="53" t="s">
        <v>150</v>
      </c>
      <c r="AV124" s="51">
        <f t="shared" si="12"/>
        <v>0</v>
      </c>
      <c r="AW124" s="51">
        <f t="shared" si="13"/>
        <v>0</v>
      </c>
      <c r="AX124" s="51">
        <f t="shared" si="14"/>
        <v>0</v>
      </c>
      <c r="AY124" s="53" t="s">
        <v>341</v>
      </c>
      <c r="AZ124" s="53" t="s">
        <v>342</v>
      </c>
      <c r="BA124" s="35" t="s">
        <v>117</v>
      </c>
      <c r="BC124" s="51">
        <f t="shared" si="15"/>
        <v>0</v>
      </c>
      <c r="BD124" s="51">
        <f t="shared" si="16"/>
        <v>0</v>
      </c>
      <c r="BE124" s="51">
        <v>0</v>
      </c>
      <c r="BF124" s="51">
        <f>124</f>
        <v>124</v>
      </c>
      <c r="BH124" s="51">
        <f t="shared" si="17"/>
        <v>0</v>
      </c>
      <c r="BI124" s="51">
        <f t="shared" si="18"/>
        <v>0</v>
      </c>
      <c r="BJ124" s="51">
        <f t="shared" si="19"/>
        <v>0</v>
      </c>
      <c r="BK124" s="51"/>
      <c r="BL124" s="51">
        <v>721</v>
      </c>
      <c r="BW124" s="51">
        <v>12</v>
      </c>
      <c r="BX124" s="3" t="s">
        <v>357</v>
      </c>
    </row>
    <row r="125" spans="1:76">
      <c r="A125" s="1" t="s">
        <v>358</v>
      </c>
      <c r="B125" s="2" t="s">
        <v>359</v>
      </c>
      <c r="C125" s="75" t="s">
        <v>360</v>
      </c>
      <c r="D125" s="70"/>
      <c r="E125" s="2" t="s">
        <v>141</v>
      </c>
      <c r="F125" s="51">
        <v>9.6</v>
      </c>
      <c r="G125" s="52">
        <v>0</v>
      </c>
      <c r="H125" s="51">
        <f t="shared" si="0"/>
        <v>0</v>
      </c>
      <c r="J125" s="41"/>
      <c r="Z125" s="51">
        <f t="shared" si="1"/>
        <v>0</v>
      </c>
      <c r="AB125" s="51">
        <f t="shared" si="2"/>
        <v>0</v>
      </c>
      <c r="AC125" s="51">
        <f t="shared" si="3"/>
        <v>0</v>
      </c>
      <c r="AD125" s="51">
        <f t="shared" si="4"/>
        <v>0</v>
      </c>
      <c r="AE125" s="51">
        <f t="shared" si="5"/>
        <v>0</v>
      </c>
      <c r="AF125" s="51">
        <f t="shared" si="6"/>
        <v>0</v>
      </c>
      <c r="AG125" s="51">
        <f t="shared" si="7"/>
        <v>0</v>
      </c>
      <c r="AH125" s="51">
        <f t="shared" si="8"/>
        <v>0</v>
      </c>
      <c r="AI125" s="35" t="s">
        <v>4</v>
      </c>
      <c r="AJ125" s="51">
        <f t="shared" si="9"/>
        <v>0</v>
      </c>
      <c r="AK125" s="51">
        <f t="shared" si="10"/>
        <v>0</v>
      </c>
      <c r="AL125" s="51">
        <f t="shared" si="11"/>
        <v>0</v>
      </c>
      <c r="AN125" s="51">
        <v>12</v>
      </c>
      <c r="AO125" s="51">
        <f>G125*0</f>
        <v>0</v>
      </c>
      <c r="AP125" s="51">
        <f>G125*(1-0)</f>
        <v>0</v>
      </c>
      <c r="AQ125" s="53" t="s">
        <v>120</v>
      </c>
      <c r="AV125" s="51">
        <f t="shared" si="12"/>
        <v>0</v>
      </c>
      <c r="AW125" s="51">
        <f t="shared" si="13"/>
        <v>0</v>
      </c>
      <c r="AX125" s="51">
        <f t="shared" si="14"/>
        <v>0</v>
      </c>
      <c r="AY125" s="53" t="s">
        <v>341</v>
      </c>
      <c r="AZ125" s="53" t="s">
        <v>342</v>
      </c>
      <c r="BA125" s="35" t="s">
        <v>117</v>
      </c>
      <c r="BC125" s="51">
        <f t="shared" si="15"/>
        <v>0</v>
      </c>
      <c r="BD125" s="51">
        <f t="shared" si="16"/>
        <v>0</v>
      </c>
      <c r="BE125" s="51">
        <v>0</v>
      </c>
      <c r="BF125" s="51">
        <f>125</f>
        <v>125</v>
      </c>
      <c r="BH125" s="51">
        <f t="shared" si="17"/>
        <v>0</v>
      </c>
      <c r="BI125" s="51">
        <f t="shared" si="18"/>
        <v>0</v>
      </c>
      <c r="BJ125" s="51">
        <f t="shared" si="19"/>
        <v>0</v>
      </c>
      <c r="BK125" s="51"/>
      <c r="BL125" s="51">
        <v>721</v>
      </c>
      <c r="BW125" s="51">
        <v>12</v>
      </c>
      <c r="BX125" s="3" t="s">
        <v>360</v>
      </c>
    </row>
    <row r="126" spans="1:76">
      <c r="A126" s="1" t="s">
        <v>361</v>
      </c>
      <c r="B126" s="2" t="s">
        <v>362</v>
      </c>
      <c r="C126" s="75" t="s">
        <v>363</v>
      </c>
      <c r="D126" s="70"/>
      <c r="E126" s="2" t="s">
        <v>141</v>
      </c>
      <c r="F126" s="51">
        <v>9.6</v>
      </c>
      <c r="G126" s="52">
        <v>0</v>
      </c>
      <c r="H126" s="51">
        <f t="shared" si="0"/>
        <v>0</v>
      </c>
      <c r="J126" s="41"/>
      <c r="Z126" s="51">
        <f t="shared" si="1"/>
        <v>0</v>
      </c>
      <c r="AB126" s="51">
        <f t="shared" si="2"/>
        <v>0</v>
      </c>
      <c r="AC126" s="51">
        <f t="shared" si="3"/>
        <v>0</v>
      </c>
      <c r="AD126" s="51">
        <f t="shared" si="4"/>
        <v>0</v>
      </c>
      <c r="AE126" s="51">
        <f t="shared" si="5"/>
        <v>0</v>
      </c>
      <c r="AF126" s="51">
        <f t="shared" si="6"/>
        <v>0</v>
      </c>
      <c r="AG126" s="51">
        <f t="shared" si="7"/>
        <v>0</v>
      </c>
      <c r="AH126" s="51">
        <f t="shared" si="8"/>
        <v>0</v>
      </c>
      <c r="AI126" s="35" t="s">
        <v>4</v>
      </c>
      <c r="AJ126" s="51">
        <f t="shared" si="9"/>
        <v>0</v>
      </c>
      <c r="AK126" s="51">
        <f t="shared" si="10"/>
        <v>0</v>
      </c>
      <c r="AL126" s="51">
        <f t="shared" si="11"/>
        <v>0</v>
      </c>
      <c r="AN126" s="51">
        <v>12</v>
      </c>
      <c r="AO126" s="51">
        <f>G126*0.029225352</f>
        <v>0</v>
      </c>
      <c r="AP126" s="51">
        <f>G126*(1-0.029225352)</f>
        <v>0</v>
      </c>
      <c r="AQ126" s="53" t="s">
        <v>150</v>
      </c>
      <c r="AV126" s="51">
        <f t="shared" si="12"/>
        <v>0</v>
      </c>
      <c r="AW126" s="51">
        <f t="shared" si="13"/>
        <v>0</v>
      </c>
      <c r="AX126" s="51">
        <f t="shared" si="14"/>
        <v>0</v>
      </c>
      <c r="AY126" s="53" t="s">
        <v>341</v>
      </c>
      <c r="AZ126" s="53" t="s">
        <v>342</v>
      </c>
      <c r="BA126" s="35" t="s">
        <v>117</v>
      </c>
      <c r="BC126" s="51">
        <f t="shared" si="15"/>
        <v>0</v>
      </c>
      <c r="BD126" s="51">
        <f t="shared" si="16"/>
        <v>0</v>
      </c>
      <c r="BE126" s="51">
        <v>0</v>
      </c>
      <c r="BF126" s="51">
        <f>126</f>
        <v>126</v>
      </c>
      <c r="BH126" s="51">
        <f t="shared" si="17"/>
        <v>0</v>
      </c>
      <c r="BI126" s="51">
        <f t="shared" si="18"/>
        <v>0</v>
      </c>
      <c r="BJ126" s="51">
        <f t="shared" si="19"/>
        <v>0</v>
      </c>
      <c r="BK126" s="51"/>
      <c r="BL126" s="51">
        <v>721</v>
      </c>
      <c r="BW126" s="51">
        <v>12</v>
      </c>
      <c r="BX126" s="3" t="s">
        <v>363</v>
      </c>
    </row>
    <row r="127" spans="1:76">
      <c r="A127" s="1" t="s">
        <v>364</v>
      </c>
      <c r="B127" s="2" t="s">
        <v>365</v>
      </c>
      <c r="C127" s="75" t="s">
        <v>366</v>
      </c>
      <c r="D127" s="70"/>
      <c r="E127" s="2" t="s">
        <v>141</v>
      </c>
      <c r="F127" s="51">
        <v>0.5</v>
      </c>
      <c r="G127" s="52">
        <v>0</v>
      </c>
      <c r="H127" s="51">
        <f t="shared" si="0"/>
        <v>0</v>
      </c>
      <c r="J127" s="41"/>
      <c r="Z127" s="51">
        <f t="shared" si="1"/>
        <v>0</v>
      </c>
      <c r="AB127" s="51">
        <f t="shared" si="2"/>
        <v>0</v>
      </c>
      <c r="AC127" s="51">
        <f t="shared" si="3"/>
        <v>0</v>
      </c>
      <c r="AD127" s="51">
        <f t="shared" si="4"/>
        <v>0</v>
      </c>
      <c r="AE127" s="51">
        <f t="shared" si="5"/>
        <v>0</v>
      </c>
      <c r="AF127" s="51">
        <f t="shared" si="6"/>
        <v>0</v>
      </c>
      <c r="AG127" s="51">
        <f t="shared" si="7"/>
        <v>0</v>
      </c>
      <c r="AH127" s="51">
        <f t="shared" si="8"/>
        <v>0</v>
      </c>
      <c r="AI127" s="35" t="s">
        <v>4</v>
      </c>
      <c r="AJ127" s="51">
        <f t="shared" si="9"/>
        <v>0</v>
      </c>
      <c r="AK127" s="51">
        <f t="shared" si="10"/>
        <v>0</v>
      </c>
      <c r="AL127" s="51">
        <f t="shared" si="11"/>
        <v>0</v>
      </c>
      <c r="AN127" s="51">
        <v>12</v>
      </c>
      <c r="AO127" s="51">
        <f>G127*0.414294872</f>
        <v>0</v>
      </c>
      <c r="AP127" s="51">
        <f>G127*(1-0.414294872)</f>
        <v>0</v>
      </c>
      <c r="AQ127" s="53" t="s">
        <v>150</v>
      </c>
      <c r="AV127" s="51">
        <f t="shared" si="12"/>
        <v>0</v>
      </c>
      <c r="AW127" s="51">
        <f t="shared" si="13"/>
        <v>0</v>
      </c>
      <c r="AX127" s="51">
        <f t="shared" si="14"/>
        <v>0</v>
      </c>
      <c r="AY127" s="53" t="s">
        <v>341</v>
      </c>
      <c r="AZ127" s="53" t="s">
        <v>342</v>
      </c>
      <c r="BA127" s="35" t="s">
        <v>117</v>
      </c>
      <c r="BC127" s="51">
        <f t="shared" si="15"/>
        <v>0</v>
      </c>
      <c r="BD127" s="51">
        <f t="shared" si="16"/>
        <v>0</v>
      </c>
      <c r="BE127" s="51">
        <v>0</v>
      </c>
      <c r="BF127" s="51">
        <f>127</f>
        <v>127</v>
      </c>
      <c r="BH127" s="51">
        <f t="shared" si="17"/>
        <v>0</v>
      </c>
      <c r="BI127" s="51">
        <f t="shared" si="18"/>
        <v>0</v>
      </c>
      <c r="BJ127" s="51">
        <f t="shared" si="19"/>
        <v>0</v>
      </c>
      <c r="BK127" s="51"/>
      <c r="BL127" s="51">
        <v>721</v>
      </c>
      <c r="BW127" s="51">
        <v>12</v>
      </c>
      <c r="BX127" s="3" t="s">
        <v>366</v>
      </c>
    </row>
    <row r="128" spans="1:76">
      <c r="A128" s="1" t="s">
        <v>367</v>
      </c>
      <c r="B128" s="2" t="s">
        <v>368</v>
      </c>
      <c r="C128" s="75" t="s">
        <v>369</v>
      </c>
      <c r="D128" s="70"/>
      <c r="E128" s="2" t="s">
        <v>273</v>
      </c>
      <c r="F128" s="51">
        <v>0.05</v>
      </c>
      <c r="G128" s="52">
        <v>0</v>
      </c>
      <c r="H128" s="51">
        <f t="shared" si="0"/>
        <v>0</v>
      </c>
      <c r="J128" s="41"/>
      <c r="Z128" s="51">
        <f t="shared" si="1"/>
        <v>0</v>
      </c>
      <c r="AB128" s="51">
        <f t="shared" si="2"/>
        <v>0</v>
      </c>
      <c r="AC128" s="51">
        <f t="shared" si="3"/>
        <v>0</v>
      </c>
      <c r="AD128" s="51">
        <f t="shared" si="4"/>
        <v>0</v>
      </c>
      <c r="AE128" s="51">
        <f t="shared" si="5"/>
        <v>0</v>
      </c>
      <c r="AF128" s="51">
        <f t="shared" si="6"/>
        <v>0</v>
      </c>
      <c r="AG128" s="51">
        <f t="shared" si="7"/>
        <v>0</v>
      </c>
      <c r="AH128" s="51">
        <f t="shared" si="8"/>
        <v>0</v>
      </c>
      <c r="AI128" s="35" t="s">
        <v>4</v>
      </c>
      <c r="AJ128" s="51">
        <f t="shared" si="9"/>
        <v>0</v>
      </c>
      <c r="AK128" s="51">
        <f t="shared" si="10"/>
        <v>0</v>
      </c>
      <c r="AL128" s="51">
        <f t="shared" si="11"/>
        <v>0</v>
      </c>
      <c r="AN128" s="51">
        <v>12</v>
      </c>
      <c r="AO128" s="51">
        <f>G128*0</f>
        <v>0</v>
      </c>
      <c r="AP128" s="51">
        <f>G128*(1-0)</f>
        <v>0</v>
      </c>
      <c r="AQ128" s="53" t="s">
        <v>138</v>
      </c>
      <c r="AV128" s="51">
        <f t="shared" si="12"/>
        <v>0</v>
      </c>
      <c r="AW128" s="51">
        <f t="shared" si="13"/>
        <v>0</v>
      </c>
      <c r="AX128" s="51">
        <f t="shared" si="14"/>
        <v>0</v>
      </c>
      <c r="AY128" s="53" t="s">
        <v>341</v>
      </c>
      <c r="AZ128" s="53" t="s">
        <v>342</v>
      </c>
      <c r="BA128" s="35" t="s">
        <v>117</v>
      </c>
      <c r="BC128" s="51">
        <f t="shared" si="15"/>
        <v>0</v>
      </c>
      <c r="BD128" s="51">
        <f t="shared" si="16"/>
        <v>0</v>
      </c>
      <c r="BE128" s="51">
        <v>0</v>
      </c>
      <c r="BF128" s="51">
        <f>128</f>
        <v>128</v>
      </c>
      <c r="BH128" s="51">
        <f t="shared" si="17"/>
        <v>0</v>
      </c>
      <c r="BI128" s="51">
        <f t="shared" si="18"/>
        <v>0</v>
      </c>
      <c r="BJ128" s="51">
        <f t="shared" si="19"/>
        <v>0</v>
      </c>
      <c r="BK128" s="51"/>
      <c r="BL128" s="51">
        <v>721</v>
      </c>
      <c r="BW128" s="51">
        <v>12</v>
      </c>
      <c r="BX128" s="3" t="s">
        <v>369</v>
      </c>
    </row>
    <row r="129" spans="1:76">
      <c r="A129" s="47" t="s">
        <v>4</v>
      </c>
      <c r="B129" s="48" t="s">
        <v>370</v>
      </c>
      <c r="C129" s="150" t="s">
        <v>371</v>
      </c>
      <c r="D129" s="151"/>
      <c r="E129" s="49" t="s">
        <v>79</v>
      </c>
      <c r="F129" s="49" t="s">
        <v>79</v>
      </c>
      <c r="G129" s="50" t="s">
        <v>79</v>
      </c>
      <c r="H129" s="28">
        <f>SUM(H130:H140)</f>
        <v>0</v>
      </c>
      <c r="J129" s="41"/>
      <c r="AI129" s="35" t="s">
        <v>4</v>
      </c>
      <c r="AS129" s="28">
        <f>SUM(AJ130:AJ140)</f>
        <v>0</v>
      </c>
      <c r="AT129" s="28">
        <f>SUM(AK130:AK140)</f>
        <v>0</v>
      </c>
      <c r="AU129" s="28">
        <f>SUM(AL130:AL140)</f>
        <v>0</v>
      </c>
    </row>
    <row r="130" spans="1:76">
      <c r="A130" s="1" t="s">
        <v>372</v>
      </c>
      <c r="B130" s="2" t="s">
        <v>373</v>
      </c>
      <c r="C130" s="75" t="s">
        <v>374</v>
      </c>
      <c r="D130" s="70"/>
      <c r="E130" s="2" t="s">
        <v>135</v>
      </c>
      <c r="F130" s="51">
        <v>2</v>
      </c>
      <c r="G130" s="52">
        <v>0</v>
      </c>
      <c r="H130" s="51">
        <f t="shared" ref="H130:H135" si="20">F130*G130</f>
        <v>0</v>
      </c>
      <c r="J130" s="41"/>
      <c r="Z130" s="51">
        <f t="shared" ref="Z130:Z135" si="21">IF(AQ130="5",BJ130,0)</f>
        <v>0</v>
      </c>
      <c r="AB130" s="51">
        <f t="shared" ref="AB130:AB135" si="22">IF(AQ130="1",BH130,0)</f>
        <v>0</v>
      </c>
      <c r="AC130" s="51">
        <f t="shared" ref="AC130:AC135" si="23">IF(AQ130="1",BI130,0)</f>
        <v>0</v>
      </c>
      <c r="AD130" s="51">
        <f t="shared" ref="AD130:AD135" si="24">IF(AQ130="7",BH130,0)</f>
        <v>0</v>
      </c>
      <c r="AE130" s="51">
        <f t="shared" ref="AE130:AE135" si="25">IF(AQ130="7",BI130,0)</f>
        <v>0</v>
      </c>
      <c r="AF130" s="51">
        <f t="shared" ref="AF130:AF135" si="26">IF(AQ130="2",BH130,0)</f>
        <v>0</v>
      </c>
      <c r="AG130" s="51">
        <f t="shared" ref="AG130:AG135" si="27">IF(AQ130="2",BI130,0)</f>
        <v>0</v>
      </c>
      <c r="AH130" s="51">
        <f t="shared" ref="AH130:AH135" si="28">IF(AQ130="0",BJ130,0)</f>
        <v>0</v>
      </c>
      <c r="AI130" s="35" t="s">
        <v>4</v>
      </c>
      <c r="AJ130" s="51">
        <f t="shared" ref="AJ130:AJ135" si="29">IF(AN130=0,H130,0)</f>
        <v>0</v>
      </c>
      <c r="AK130" s="51">
        <f t="shared" ref="AK130:AK135" si="30">IF(AN130=12,H130,0)</f>
        <v>0</v>
      </c>
      <c r="AL130" s="51">
        <f t="shared" ref="AL130:AL135" si="31">IF(AN130=21,H130,0)</f>
        <v>0</v>
      </c>
      <c r="AN130" s="51">
        <v>12</v>
      </c>
      <c r="AO130" s="51">
        <f>G130*0</f>
        <v>0</v>
      </c>
      <c r="AP130" s="51">
        <f>G130*(1-0)</f>
        <v>0</v>
      </c>
      <c r="AQ130" s="53" t="s">
        <v>150</v>
      </c>
      <c r="AV130" s="51">
        <f t="shared" ref="AV130:AV135" si="32">AW130+AX130</f>
        <v>0</v>
      </c>
      <c r="AW130" s="51">
        <f t="shared" ref="AW130:AW135" si="33">F130*AO130</f>
        <v>0</v>
      </c>
      <c r="AX130" s="51">
        <f t="shared" ref="AX130:AX135" si="34">F130*AP130</f>
        <v>0</v>
      </c>
      <c r="AY130" s="53" t="s">
        <v>375</v>
      </c>
      <c r="AZ130" s="53" t="s">
        <v>342</v>
      </c>
      <c r="BA130" s="35" t="s">
        <v>117</v>
      </c>
      <c r="BC130" s="51">
        <f t="shared" ref="BC130:BC135" si="35">AW130+AX130</f>
        <v>0</v>
      </c>
      <c r="BD130" s="51">
        <f t="shared" ref="BD130:BD135" si="36">G130/(100-BE130)*100</f>
        <v>0</v>
      </c>
      <c r="BE130" s="51">
        <v>0</v>
      </c>
      <c r="BF130" s="51">
        <f>130</f>
        <v>130</v>
      </c>
      <c r="BH130" s="51">
        <f t="shared" ref="BH130:BH135" si="37">F130*AO130</f>
        <v>0</v>
      </c>
      <c r="BI130" s="51">
        <f t="shared" ref="BI130:BI135" si="38">F130*AP130</f>
        <v>0</v>
      </c>
      <c r="BJ130" s="51">
        <f t="shared" ref="BJ130:BJ135" si="39">F130*G130</f>
        <v>0</v>
      </c>
      <c r="BK130" s="51"/>
      <c r="BL130" s="51">
        <v>722</v>
      </c>
      <c r="BW130" s="51">
        <v>12</v>
      </c>
      <c r="BX130" s="3" t="s">
        <v>374</v>
      </c>
    </row>
    <row r="131" spans="1:76">
      <c r="A131" s="1" t="s">
        <v>376</v>
      </c>
      <c r="B131" s="2" t="s">
        <v>377</v>
      </c>
      <c r="C131" s="75" t="s">
        <v>378</v>
      </c>
      <c r="D131" s="70"/>
      <c r="E131" s="2" t="s">
        <v>135</v>
      </c>
      <c r="F131" s="51">
        <v>2</v>
      </c>
      <c r="G131" s="52">
        <v>0</v>
      </c>
      <c r="H131" s="51">
        <f t="shared" si="20"/>
        <v>0</v>
      </c>
      <c r="J131" s="41"/>
      <c r="Z131" s="51">
        <f t="shared" si="21"/>
        <v>0</v>
      </c>
      <c r="AB131" s="51">
        <f t="shared" si="22"/>
        <v>0</v>
      </c>
      <c r="AC131" s="51">
        <f t="shared" si="23"/>
        <v>0</v>
      </c>
      <c r="AD131" s="51">
        <f t="shared" si="24"/>
        <v>0</v>
      </c>
      <c r="AE131" s="51">
        <f t="shared" si="25"/>
        <v>0</v>
      </c>
      <c r="AF131" s="51">
        <f t="shared" si="26"/>
        <v>0</v>
      </c>
      <c r="AG131" s="51">
        <f t="shared" si="27"/>
        <v>0</v>
      </c>
      <c r="AH131" s="51">
        <f t="shared" si="28"/>
        <v>0</v>
      </c>
      <c r="AI131" s="35" t="s">
        <v>4</v>
      </c>
      <c r="AJ131" s="51">
        <f t="shared" si="29"/>
        <v>0</v>
      </c>
      <c r="AK131" s="51">
        <f t="shared" si="30"/>
        <v>0</v>
      </c>
      <c r="AL131" s="51">
        <f t="shared" si="31"/>
        <v>0</v>
      </c>
      <c r="AN131" s="51">
        <v>12</v>
      </c>
      <c r="AO131" s="51">
        <f>G131*0.035569217</f>
        <v>0</v>
      </c>
      <c r="AP131" s="51">
        <f>G131*(1-0.035569217)</f>
        <v>0</v>
      </c>
      <c r="AQ131" s="53" t="s">
        <v>150</v>
      </c>
      <c r="AV131" s="51">
        <f t="shared" si="32"/>
        <v>0</v>
      </c>
      <c r="AW131" s="51">
        <f t="shared" si="33"/>
        <v>0</v>
      </c>
      <c r="AX131" s="51">
        <f t="shared" si="34"/>
        <v>0</v>
      </c>
      <c r="AY131" s="53" t="s">
        <v>375</v>
      </c>
      <c r="AZ131" s="53" t="s">
        <v>342</v>
      </c>
      <c r="BA131" s="35" t="s">
        <v>117</v>
      </c>
      <c r="BC131" s="51">
        <f t="shared" si="35"/>
        <v>0</v>
      </c>
      <c r="BD131" s="51">
        <f t="shared" si="36"/>
        <v>0</v>
      </c>
      <c r="BE131" s="51">
        <v>0</v>
      </c>
      <c r="BF131" s="51">
        <f>131</f>
        <v>131</v>
      </c>
      <c r="BH131" s="51">
        <f t="shared" si="37"/>
        <v>0</v>
      </c>
      <c r="BI131" s="51">
        <f t="shared" si="38"/>
        <v>0</v>
      </c>
      <c r="BJ131" s="51">
        <f t="shared" si="39"/>
        <v>0</v>
      </c>
      <c r="BK131" s="51"/>
      <c r="BL131" s="51">
        <v>722</v>
      </c>
      <c r="BW131" s="51">
        <v>12</v>
      </c>
      <c r="BX131" s="3" t="s">
        <v>378</v>
      </c>
    </row>
    <row r="132" spans="1:76">
      <c r="A132" s="1" t="s">
        <v>379</v>
      </c>
      <c r="B132" s="2" t="s">
        <v>380</v>
      </c>
      <c r="C132" s="75" t="s">
        <v>381</v>
      </c>
      <c r="D132" s="70"/>
      <c r="E132" s="2" t="s">
        <v>141</v>
      </c>
      <c r="F132" s="51">
        <v>12.5</v>
      </c>
      <c r="G132" s="52">
        <v>0</v>
      </c>
      <c r="H132" s="51">
        <f t="shared" si="20"/>
        <v>0</v>
      </c>
      <c r="J132" s="41"/>
      <c r="Z132" s="51">
        <f t="shared" si="21"/>
        <v>0</v>
      </c>
      <c r="AB132" s="51">
        <f t="shared" si="22"/>
        <v>0</v>
      </c>
      <c r="AC132" s="51">
        <f t="shared" si="23"/>
        <v>0</v>
      </c>
      <c r="AD132" s="51">
        <f t="shared" si="24"/>
        <v>0</v>
      </c>
      <c r="AE132" s="51">
        <f t="shared" si="25"/>
        <v>0</v>
      </c>
      <c r="AF132" s="51">
        <f t="shared" si="26"/>
        <v>0</v>
      </c>
      <c r="AG132" s="51">
        <f t="shared" si="27"/>
        <v>0</v>
      </c>
      <c r="AH132" s="51">
        <f t="shared" si="28"/>
        <v>0</v>
      </c>
      <c r="AI132" s="35" t="s">
        <v>4</v>
      </c>
      <c r="AJ132" s="51">
        <f t="shared" si="29"/>
        <v>0</v>
      </c>
      <c r="AK132" s="51">
        <f t="shared" si="30"/>
        <v>0</v>
      </c>
      <c r="AL132" s="51">
        <f t="shared" si="31"/>
        <v>0</v>
      </c>
      <c r="AN132" s="51">
        <v>12</v>
      </c>
      <c r="AO132" s="51">
        <f>G132*0.343352381</f>
        <v>0</v>
      </c>
      <c r="AP132" s="51">
        <f>G132*(1-0.343352381)</f>
        <v>0</v>
      </c>
      <c r="AQ132" s="53" t="s">
        <v>150</v>
      </c>
      <c r="AV132" s="51">
        <f t="shared" si="32"/>
        <v>0</v>
      </c>
      <c r="AW132" s="51">
        <f t="shared" si="33"/>
        <v>0</v>
      </c>
      <c r="AX132" s="51">
        <f t="shared" si="34"/>
        <v>0</v>
      </c>
      <c r="AY132" s="53" t="s">
        <v>375</v>
      </c>
      <c r="AZ132" s="53" t="s">
        <v>342</v>
      </c>
      <c r="BA132" s="35" t="s">
        <v>117</v>
      </c>
      <c r="BC132" s="51">
        <f t="shared" si="35"/>
        <v>0</v>
      </c>
      <c r="BD132" s="51">
        <f t="shared" si="36"/>
        <v>0</v>
      </c>
      <c r="BE132" s="51">
        <v>0</v>
      </c>
      <c r="BF132" s="51">
        <f>132</f>
        <v>132</v>
      </c>
      <c r="BH132" s="51">
        <f t="shared" si="37"/>
        <v>0</v>
      </c>
      <c r="BI132" s="51">
        <f t="shared" si="38"/>
        <v>0</v>
      </c>
      <c r="BJ132" s="51">
        <f t="shared" si="39"/>
        <v>0</v>
      </c>
      <c r="BK132" s="51"/>
      <c r="BL132" s="51">
        <v>722</v>
      </c>
      <c r="BW132" s="51">
        <v>12</v>
      </c>
      <c r="BX132" s="3" t="s">
        <v>381</v>
      </c>
    </row>
    <row r="133" spans="1:76">
      <c r="A133" s="1" t="s">
        <v>382</v>
      </c>
      <c r="B133" s="2" t="s">
        <v>383</v>
      </c>
      <c r="C133" s="75" t="s">
        <v>384</v>
      </c>
      <c r="D133" s="70"/>
      <c r="E133" s="2" t="s">
        <v>135</v>
      </c>
      <c r="F133" s="51">
        <v>2</v>
      </c>
      <c r="G133" s="52">
        <v>0</v>
      </c>
      <c r="H133" s="51">
        <f t="shared" si="20"/>
        <v>0</v>
      </c>
      <c r="J133" s="41"/>
      <c r="Z133" s="51">
        <f t="shared" si="21"/>
        <v>0</v>
      </c>
      <c r="AB133" s="51">
        <f t="shared" si="22"/>
        <v>0</v>
      </c>
      <c r="AC133" s="51">
        <f t="shared" si="23"/>
        <v>0</v>
      </c>
      <c r="AD133" s="51">
        <f t="shared" si="24"/>
        <v>0</v>
      </c>
      <c r="AE133" s="51">
        <f t="shared" si="25"/>
        <v>0</v>
      </c>
      <c r="AF133" s="51">
        <f t="shared" si="26"/>
        <v>0</v>
      </c>
      <c r="AG133" s="51">
        <f t="shared" si="27"/>
        <v>0</v>
      </c>
      <c r="AH133" s="51">
        <f t="shared" si="28"/>
        <v>0</v>
      </c>
      <c r="AI133" s="35" t="s">
        <v>4</v>
      </c>
      <c r="AJ133" s="51">
        <f t="shared" si="29"/>
        <v>0</v>
      </c>
      <c r="AK133" s="51">
        <f t="shared" si="30"/>
        <v>0</v>
      </c>
      <c r="AL133" s="51">
        <f t="shared" si="31"/>
        <v>0</v>
      </c>
      <c r="AN133" s="51">
        <v>12</v>
      </c>
      <c r="AO133" s="51">
        <f>G133*0.52306338</f>
        <v>0</v>
      </c>
      <c r="AP133" s="51">
        <f>G133*(1-0.52306338)</f>
        <v>0</v>
      </c>
      <c r="AQ133" s="53" t="s">
        <v>150</v>
      </c>
      <c r="AV133" s="51">
        <f t="shared" si="32"/>
        <v>0</v>
      </c>
      <c r="AW133" s="51">
        <f t="shared" si="33"/>
        <v>0</v>
      </c>
      <c r="AX133" s="51">
        <f t="shared" si="34"/>
        <v>0</v>
      </c>
      <c r="AY133" s="53" t="s">
        <v>375</v>
      </c>
      <c r="AZ133" s="53" t="s">
        <v>342</v>
      </c>
      <c r="BA133" s="35" t="s">
        <v>117</v>
      </c>
      <c r="BC133" s="51">
        <f t="shared" si="35"/>
        <v>0</v>
      </c>
      <c r="BD133" s="51">
        <f t="shared" si="36"/>
        <v>0</v>
      </c>
      <c r="BE133" s="51">
        <v>0</v>
      </c>
      <c r="BF133" s="51">
        <f>133</f>
        <v>133</v>
      </c>
      <c r="BH133" s="51">
        <f t="shared" si="37"/>
        <v>0</v>
      </c>
      <c r="BI133" s="51">
        <f t="shared" si="38"/>
        <v>0</v>
      </c>
      <c r="BJ133" s="51">
        <f t="shared" si="39"/>
        <v>0</v>
      </c>
      <c r="BK133" s="51"/>
      <c r="BL133" s="51">
        <v>722</v>
      </c>
      <c r="BW133" s="51">
        <v>12</v>
      </c>
      <c r="BX133" s="3" t="s">
        <v>384</v>
      </c>
    </row>
    <row r="134" spans="1:76">
      <c r="A134" s="1" t="s">
        <v>385</v>
      </c>
      <c r="B134" s="2" t="s">
        <v>386</v>
      </c>
      <c r="C134" s="75" t="s">
        <v>387</v>
      </c>
      <c r="D134" s="70"/>
      <c r="E134" s="2" t="s">
        <v>388</v>
      </c>
      <c r="F134" s="51">
        <v>3</v>
      </c>
      <c r="G134" s="52">
        <v>0</v>
      </c>
      <c r="H134" s="51">
        <f t="shared" si="20"/>
        <v>0</v>
      </c>
      <c r="J134" s="41"/>
      <c r="Z134" s="51">
        <f t="shared" si="21"/>
        <v>0</v>
      </c>
      <c r="AB134" s="51">
        <f t="shared" si="22"/>
        <v>0</v>
      </c>
      <c r="AC134" s="51">
        <f t="shared" si="23"/>
        <v>0</v>
      </c>
      <c r="AD134" s="51">
        <f t="shared" si="24"/>
        <v>0</v>
      </c>
      <c r="AE134" s="51">
        <f t="shared" si="25"/>
        <v>0</v>
      </c>
      <c r="AF134" s="51">
        <f t="shared" si="26"/>
        <v>0</v>
      </c>
      <c r="AG134" s="51">
        <f t="shared" si="27"/>
        <v>0</v>
      </c>
      <c r="AH134" s="51">
        <f t="shared" si="28"/>
        <v>0</v>
      </c>
      <c r="AI134" s="35" t="s">
        <v>4</v>
      </c>
      <c r="AJ134" s="51">
        <f t="shared" si="29"/>
        <v>0</v>
      </c>
      <c r="AK134" s="51">
        <f t="shared" si="30"/>
        <v>0</v>
      </c>
      <c r="AL134" s="51">
        <f t="shared" si="31"/>
        <v>0</v>
      </c>
      <c r="AN134" s="51">
        <v>12</v>
      </c>
      <c r="AO134" s="51">
        <f>G134*0.529089317</f>
        <v>0</v>
      </c>
      <c r="AP134" s="51">
        <f>G134*(1-0.529089317)</f>
        <v>0</v>
      </c>
      <c r="AQ134" s="53" t="s">
        <v>150</v>
      </c>
      <c r="AV134" s="51">
        <f t="shared" si="32"/>
        <v>0</v>
      </c>
      <c r="AW134" s="51">
        <f t="shared" si="33"/>
        <v>0</v>
      </c>
      <c r="AX134" s="51">
        <f t="shared" si="34"/>
        <v>0</v>
      </c>
      <c r="AY134" s="53" t="s">
        <v>375</v>
      </c>
      <c r="AZ134" s="53" t="s">
        <v>342</v>
      </c>
      <c r="BA134" s="35" t="s">
        <v>117</v>
      </c>
      <c r="BC134" s="51">
        <f t="shared" si="35"/>
        <v>0</v>
      </c>
      <c r="BD134" s="51">
        <f t="shared" si="36"/>
        <v>0</v>
      </c>
      <c r="BE134" s="51">
        <v>0</v>
      </c>
      <c r="BF134" s="51">
        <f>134</f>
        <v>134</v>
      </c>
      <c r="BH134" s="51">
        <f t="shared" si="37"/>
        <v>0</v>
      </c>
      <c r="BI134" s="51">
        <f t="shared" si="38"/>
        <v>0</v>
      </c>
      <c r="BJ134" s="51">
        <f t="shared" si="39"/>
        <v>0</v>
      </c>
      <c r="BK134" s="51"/>
      <c r="BL134" s="51">
        <v>722</v>
      </c>
      <c r="BW134" s="51">
        <v>12</v>
      </c>
      <c r="BX134" s="3" t="s">
        <v>387</v>
      </c>
    </row>
    <row r="135" spans="1:76">
      <c r="A135" s="1" t="s">
        <v>389</v>
      </c>
      <c r="B135" s="2" t="s">
        <v>390</v>
      </c>
      <c r="C135" s="75" t="s">
        <v>391</v>
      </c>
      <c r="D135" s="70"/>
      <c r="E135" s="2" t="s">
        <v>141</v>
      </c>
      <c r="F135" s="51">
        <v>12.5</v>
      </c>
      <c r="G135" s="52">
        <v>0</v>
      </c>
      <c r="H135" s="51">
        <f t="shared" si="20"/>
        <v>0</v>
      </c>
      <c r="J135" s="41"/>
      <c r="Z135" s="51">
        <f t="shared" si="21"/>
        <v>0</v>
      </c>
      <c r="AB135" s="51">
        <f t="shared" si="22"/>
        <v>0</v>
      </c>
      <c r="AC135" s="51">
        <f t="shared" si="23"/>
        <v>0</v>
      </c>
      <c r="AD135" s="51">
        <f t="shared" si="24"/>
        <v>0</v>
      </c>
      <c r="AE135" s="51">
        <f t="shared" si="25"/>
        <v>0</v>
      </c>
      <c r="AF135" s="51">
        <f t="shared" si="26"/>
        <v>0</v>
      </c>
      <c r="AG135" s="51">
        <f t="shared" si="27"/>
        <v>0</v>
      </c>
      <c r="AH135" s="51">
        <f t="shared" si="28"/>
        <v>0</v>
      </c>
      <c r="AI135" s="35" t="s">
        <v>4</v>
      </c>
      <c r="AJ135" s="51">
        <f t="shared" si="29"/>
        <v>0</v>
      </c>
      <c r="AK135" s="51">
        <f t="shared" si="30"/>
        <v>0</v>
      </c>
      <c r="AL135" s="51">
        <f t="shared" si="31"/>
        <v>0</v>
      </c>
      <c r="AN135" s="51">
        <v>12</v>
      </c>
      <c r="AO135" s="51">
        <f>G135*0.451171837</f>
        <v>0</v>
      </c>
      <c r="AP135" s="51">
        <f>G135*(1-0.451171837)</f>
        <v>0</v>
      </c>
      <c r="AQ135" s="53" t="s">
        <v>150</v>
      </c>
      <c r="AV135" s="51">
        <f t="shared" si="32"/>
        <v>0</v>
      </c>
      <c r="AW135" s="51">
        <f t="shared" si="33"/>
        <v>0</v>
      </c>
      <c r="AX135" s="51">
        <f t="shared" si="34"/>
        <v>0</v>
      </c>
      <c r="AY135" s="53" t="s">
        <v>375</v>
      </c>
      <c r="AZ135" s="53" t="s">
        <v>342</v>
      </c>
      <c r="BA135" s="35" t="s">
        <v>117</v>
      </c>
      <c r="BC135" s="51">
        <f t="shared" si="35"/>
        <v>0</v>
      </c>
      <c r="BD135" s="51">
        <f t="shared" si="36"/>
        <v>0</v>
      </c>
      <c r="BE135" s="51">
        <v>0</v>
      </c>
      <c r="BF135" s="51">
        <f>135</f>
        <v>135</v>
      </c>
      <c r="BH135" s="51">
        <f t="shared" si="37"/>
        <v>0</v>
      </c>
      <c r="BI135" s="51">
        <f t="shared" si="38"/>
        <v>0</v>
      </c>
      <c r="BJ135" s="51">
        <f t="shared" si="39"/>
        <v>0</v>
      </c>
      <c r="BK135" s="51"/>
      <c r="BL135" s="51">
        <v>722</v>
      </c>
      <c r="BW135" s="51">
        <v>12</v>
      </c>
      <c r="BX135" s="3" t="s">
        <v>391</v>
      </c>
    </row>
    <row r="136" spans="1:76" ht="13.5" customHeight="1">
      <c r="A136" s="54"/>
      <c r="B136" s="58" t="s">
        <v>136</v>
      </c>
      <c r="C136" s="152" t="s">
        <v>392</v>
      </c>
      <c r="D136" s="153"/>
      <c r="E136" s="153"/>
      <c r="F136" s="153"/>
      <c r="G136" s="154"/>
      <c r="H136" s="153"/>
      <c r="I136" s="153"/>
      <c r="J136" s="155"/>
    </row>
    <row r="137" spans="1:76">
      <c r="A137" s="1" t="s">
        <v>393</v>
      </c>
      <c r="B137" s="2" t="s">
        <v>394</v>
      </c>
      <c r="C137" s="75" t="s">
        <v>395</v>
      </c>
      <c r="D137" s="70"/>
      <c r="E137" s="2" t="s">
        <v>135</v>
      </c>
      <c r="F137" s="51">
        <v>5</v>
      </c>
      <c r="G137" s="52">
        <v>0</v>
      </c>
      <c r="H137" s="51">
        <f>F137*G137</f>
        <v>0</v>
      </c>
      <c r="J137" s="41"/>
      <c r="Z137" s="51">
        <f>IF(AQ137="5",BJ137,0)</f>
        <v>0</v>
      </c>
      <c r="AB137" s="51">
        <f>IF(AQ137="1",BH137,0)</f>
        <v>0</v>
      </c>
      <c r="AC137" s="51">
        <f>IF(AQ137="1",BI137,0)</f>
        <v>0</v>
      </c>
      <c r="AD137" s="51">
        <f>IF(AQ137="7",BH137,0)</f>
        <v>0</v>
      </c>
      <c r="AE137" s="51">
        <f>IF(AQ137="7",BI137,0)</f>
        <v>0</v>
      </c>
      <c r="AF137" s="51">
        <f>IF(AQ137="2",BH137,0)</f>
        <v>0</v>
      </c>
      <c r="AG137" s="51">
        <f>IF(AQ137="2",BI137,0)</f>
        <v>0</v>
      </c>
      <c r="AH137" s="51">
        <f>IF(AQ137="0",BJ137,0)</f>
        <v>0</v>
      </c>
      <c r="AI137" s="35" t="s">
        <v>4</v>
      </c>
      <c r="AJ137" s="51">
        <f>IF(AN137=0,H137,0)</f>
        <v>0</v>
      </c>
      <c r="AK137" s="51">
        <f>IF(AN137=12,H137,0)</f>
        <v>0</v>
      </c>
      <c r="AL137" s="51">
        <f>IF(AN137=21,H137,0)</f>
        <v>0</v>
      </c>
      <c r="AN137" s="51">
        <v>12</v>
      </c>
      <c r="AO137" s="51">
        <f>G137*0</f>
        <v>0</v>
      </c>
      <c r="AP137" s="51">
        <f>G137*(1-0)</f>
        <v>0</v>
      </c>
      <c r="AQ137" s="53" t="s">
        <v>150</v>
      </c>
      <c r="AV137" s="51">
        <f>AW137+AX137</f>
        <v>0</v>
      </c>
      <c r="AW137" s="51">
        <f>F137*AO137</f>
        <v>0</v>
      </c>
      <c r="AX137" s="51">
        <f>F137*AP137</f>
        <v>0</v>
      </c>
      <c r="AY137" s="53" t="s">
        <v>375</v>
      </c>
      <c r="AZ137" s="53" t="s">
        <v>342</v>
      </c>
      <c r="BA137" s="35" t="s">
        <v>117</v>
      </c>
      <c r="BC137" s="51">
        <f>AW137+AX137</f>
        <v>0</v>
      </c>
      <c r="BD137" s="51">
        <f>G137/(100-BE137)*100</f>
        <v>0</v>
      </c>
      <c r="BE137" s="51">
        <v>0</v>
      </c>
      <c r="BF137" s="51">
        <f>137</f>
        <v>137</v>
      </c>
      <c r="BH137" s="51">
        <f>F137*AO137</f>
        <v>0</v>
      </c>
      <c r="BI137" s="51">
        <f>F137*AP137</f>
        <v>0</v>
      </c>
      <c r="BJ137" s="51">
        <f>F137*G137</f>
        <v>0</v>
      </c>
      <c r="BK137" s="51"/>
      <c r="BL137" s="51">
        <v>722</v>
      </c>
      <c r="BW137" s="51">
        <v>12</v>
      </c>
      <c r="BX137" s="3" t="s">
        <v>395</v>
      </c>
    </row>
    <row r="138" spans="1:76">
      <c r="A138" s="1" t="s">
        <v>396</v>
      </c>
      <c r="B138" s="2" t="s">
        <v>397</v>
      </c>
      <c r="C138" s="75" t="s">
        <v>398</v>
      </c>
      <c r="D138" s="70"/>
      <c r="E138" s="2" t="s">
        <v>141</v>
      </c>
      <c r="F138" s="51">
        <v>12.5</v>
      </c>
      <c r="G138" s="52">
        <v>0</v>
      </c>
      <c r="H138" s="51">
        <f>F138*G138</f>
        <v>0</v>
      </c>
      <c r="J138" s="41"/>
      <c r="Z138" s="51">
        <f>IF(AQ138="5",BJ138,0)</f>
        <v>0</v>
      </c>
      <c r="AB138" s="51">
        <f>IF(AQ138="1",BH138,0)</f>
        <v>0</v>
      </c>
      <c r="AC138" s="51">
        <f>IF(AQ138="1",BI138,0)</f>
        <v>0</v>
      </c>
      <c r="AD138" s="51">
        <f>IF(AQ138="7",BH138,0)</f>
        <v>0</v>
      </c>
      <c r="AE138" s="51">
        <f>IF(AQ138="7",BI138,0)</f>
        <v>0</v>
      </c>
      <c r="AF138" s="51">
        <f>IF(AQ138="2",BH138,0)</f>
        <v>0</v>
      </c>
      <c r="AG138" s="51">
        <f>IF(AQ138="2",BI138,0)</f>
        <v>0</v>
      </c>
      <c r="AH138" s="51">
        <f>IF(AQ138="0",BJ138,0)</f>
        <v>0</v>
      </c>
      <c r="AI138" s="35" t="s">
        <v>4</v>
      </c>
      <c r="AJ138" s="51">
        <f>IF(AN138=0,H138,0)</f>
        <v>0</v>
      </c>
      <c r="AK138" s="51">
        <f>IF(AN138=12,H138,0)</f>
        <v>0</v>
      </c>
      <c r="AL138" s="51">
        <f>IF(AN138=21,H138,0)</f>
        <v>0</v>
      </c>
      <c r="AN138" s="51">
        <v>12</v>
      </c>
      <c r="AO138" s="51">
        <f>G138*0.05464191</f>
        <v>0</v>
      </c>
      <c r="AP138" s="51">
        <f>G138*(1-0.05464191)</f>
        <v>0</v>
      </c>
      <c r="AQ138" s="53" t="s">
        <v>150</v>
      </c>
      <c r="AV138" s="51">
        <f>AW138+AX138</f>
        <v>0</v>
      </c>
      <c r="AW138" s="51">
        <f>F138*AO138</f>
        <v>0</v>
      </c>
      <c r="AX138" s="51">
        <f>F138*AP138</f>
        <v>0</v>
      </c>
      <c r="AY138" s="53" t="s">
        <v>375</v>
      </c>
      <c r="AZ138" s="53" t="s">
        <v>342</v>
      </c>
      <c r="BA138" s="35" t="s">
        <v>117</v>
      </c>
      <c r="BC138" s="51">
        <f>AW138+AX138</f>
        <v>0</v>
      </c>
      <c r="BD138" s="51">
        <f>G138/(100-BE138)*100</f>
        <v>0</v>
      </c>
      <c r="BE138" s="51">
        <v>0</v>
      </c>
      <c r="BF138" s="51">
        <f>138</f>
        <v>138</v>
      </c>
      <c r="BH138" s="51">
        <f>F138*AO138</f>
        <v>0</v>
      </c>
      <c r="BI138" s="51">
        <f>F138*AP138</f>
        <v>0</v>
      </c>
      <c r="BJ138" s="51">
        <f>F138*G138</f>
        <v>0</v>
      </c>
      <c r="BK138" s="51"/>
      <c r="BL138" s="51">
        <v>722</v>
      </c>
      <c r="BW138" s="51">
        <v>12</v>
      </c>
      <c r="BX138" s="3" t="s">
        <v>398</v>
      </c>
    </row>
    <row r="139" spans="1:76">
      <c r="A139" s="1" t="s">
        <v>148</v>
      </c>
      <c r="B139" s="2" t="s">
        <v>399</v>
      </c>
      <c r="C139" s="75" t="s">
        <v>400</v>
      </c>
      <c r="D139" s="70"/>
      <c r="E139" s="2" t="s">
        <v>141</v>
      </c>
      <c r="F139" s="51">
        <v>12.5</v>
      </c>
      <c r="G139" s="52">
        <v>0</v>
      </c>
      <c r="H139" s="51">
        <f>F139*G139</f>
        <v>0</v>
      </c>
      <c r="J139" s="41"/>
      <c r="Z139" s="51">
        <f>IF(AQ139="5",BJ139,0)</f>
        <v>0</v>
      </c>
      <c r="AB139" s="51">
        <f>IF(AQ139="1",BH139,0)</f>
        <v>0</v>
      </c>
      <c r="AC139" s="51">
        <f>IF(AQ139="1",BI139,0)</f>
        <v>0</v>
      </c>
      <c r="AD139" s="51">
        <f>IF(AQ139="7",BH139,0)</f>
        <v>0</v>
      </c>
      <c r="AE139" s="51">
        <f>IF(AQ139="7",BI139,0)</f>
        <v>0</v>
      </c>
      <c r="AF139" s="51">
        <f>IF(AQ139="2",BH139,0)</f>
        <v>0</v>
      </c>
      <c r="AG139" s="51">
        <f>IF(AQ139="2",BI139,0)</f>
        <v>0</v>
      </c>
      <c r="AH139" s="51">
        <f>IF(AQ139="0",BJ139,0)</f>
        <v>0</v>
      </c>
      <c r="AI139" s="35" t="s">
        <v>4</v>
      </c>
      <c r="AJ139" s="51">
        <f>IF(AN139=0,H139,0)</f>
        <v>0</v>
      </c>
      <c r="AK139" s="51">
        <f>IF(AN139=12,H139,0)</f>
        <v>0</v>
      </c>
      <c r="AL139" s="51">
        <f>IF(AN139=21,H139,0)</f>
        <v>0</v>
      </c>
      <c r="AN139" s="51">
        <v>12</v>
      </c>
      <c r="AO139" s="51">
        <f>G139*0.015294118</f>
        <v>0</v>
      </c>
      <c r="AP139" s="51">
        <f>G139*(1-0.015294118)</f>
        <v>0</v>
      </c>
      <c r="AQ139" s="53" t="s">
        <v>150</v>
      </c>
      <c r="AV139" s="51">
        <f>AW139+AX139</f>
        <v>0</v>
      </c>
      <c r="AW139" s="51">
        <f>F139*AO139</f>
        <v>0</v>
      </c>
      <c r="AX139" s="51">
        <f>F139*AP139</f>
        <v>0</v>
      </c>
      <c r="AY139" s="53" t="s">
        <v>375</v>
      </c>
      <c r="AZ139" s="53" t="s">
        <v>342</v>
      </c>
      <c r="BA139" s="35" t="s">
        <v>117</v>
      </c>
      <c r="BC139" s="51">
        <f>AW139+AX139</f>
        <v>0</v>
      </c>
      <c r="BD139" s="51">
        <f>G139/(100-BE139)*100</f>
        <v>0</v>
      </c>
      <c r="BE139" s="51">
        <v>0</v>
      </c>
      <c r="BF139" s="51">
        <f>139</f>
        <v>139</v>
      </c>
      <c r="BH139" s="51">
        <f>F139*AO139</f>
        <v>0</v>
      </c>
      <c r="BI139" s="51">
        <f>F139*AP139</f>
        <v>0</v>
      </c>
      <c r="BJ139" s="51">
        <f>F139*G139</f>
        <v>0</v>
      </c>
      <c r="BK139" s="51"/>
      <c r="BL139" s="51">
        <v>722</v>
      </c>
      <c r="BW139" s="51">
        <v>12</v>
      </c>
      <c r="BX139" s="3" t="s">
        <v>400</v>
      </c>
    </row>
    <row r="140" spans="1:76">
      <c r="A140" s="1" t="s">
        <v>401</v>
      </c>
      <c r="B140" s="2" t="s">
        <v>402</v>
      </c>
      <c r="C140" s="75" t="s">
        <v>403</v>
      </c>
      <c r="D140" s="70"/>
      <c r="E140" s="2" t="s">
        <v>273</v>
      </c>
      <c r="F140" s="51">
        <v>3.6999999999999998E-2</v>
      </c>
      <c r="G140" s="52">
        <v>0</v>
      </c>
      <c r="H140" s="51">
        <f>F140*G140</f>
        <v>0</v>
      </c>
      <c r="J140" s="41"/>
      <c r="Z140" s="51">
        <f>IF(AQ140="5",BJ140,0)</f>
        <v>0</v>
      </c>
      <c r="AB140" s="51">
        <f>IF(AQ140="1",BH140,0)</f>
        <v>0</v>
      </c>
      <c r="AC140" s="51">
        <f>IF(AQ140="1",BI140,0)</f>
        <v>0</v>
      </c>
      <c r="AD140" s="51">
        <f>IF(AQ140="7",BH140,0)</f>
        <v>0</v>
      </c>
      <c r="AE140" s="51">
        <f>IF(AQ140="7",BI140,0)</f>
        <v>0</v>
      </c>
      <c r="AF140" s="51">
        <f>IF(AQ140="2",BH140,0)</f>
        <v>0</v>
      </c>
      <c r="AG140" s="51">
        <f>IF(AQ140="2",BI140,0)</f>
        <v>0</v>
      </c>
      <c r="AH140" s="51">
        <f>IF(AQ140="0",BJ140,0)</f>
        <v>0</v>
      </c>
      <c r="AI140" s="35" t="s">
        <v>4</v>
      </c>
      <c r="AJ140" s="51">
        <f>IF(AN140=0,H140,0)</f>
        <v>0</v>
      </c>
      <c r="AK140" s="51">
        <f>IF(AN140=12,H140,0)</f>
        <v>0</v>
      </c>
      <c r="AL140" s="51">
        <f>IF(AN140=21,H140,0)</f>
        <v>0</v>
      </c>
      <c r="AN140" s="51">
        <v>12</v>
      </c>
      <c r="AO140" s="51">
        <f>G140*0</f>
        <v>0</v>
      </c>
      <c r="AP140" s="51">
        <f>G140*(1-0)</f>
        <v>0</v>
      </c>
      <c r="AQ140" s="53" t="s">
        <v>138</v>
      </c>
      <c r="AV140" s="51">
        <f>AW140+AX140</f>
        <v>0</v>
      </c>
      <c r="AW140" s="51">
        <f>F140*AO140</f>
        <v>0</v>
      </c>
      <c r="AX140" s="51">
        <f>F140*AP140</f>
        <v>0</v>
      </c>
      <c r="AY140" s="53" t="s">
        <v>375</v>
      </c>
      <c r="AZ140" s="53" t="s">
        <v>342</v>
      </c>
      <c r="BA140" s="35" t="s">
        <v>117</v>
      </c>
      <c r="BC140" s="51">
        <f>AW140+AX140</f>
        <v>0</v>
      </c>
      <c r="BD140" s="51">
        <f>G140/(100-BE140)*100</f>
        <v>0</v>
      </c>
      <c r="BE140" s="51">
        <v>0</v>
      </c>
      <c r="BF140" s="51">
        <f>140</f>
        <v>140</v>
      </c>
      <c r="BH140" s="51">
        <f>F140*AO140</f>
        <v>0</v>
      </c>
      <c r="BI140" s="51">
        <f>F140*AP140</f>
        <v>0</v>
      </c>
      <c r="BJ140" s="51">
        <f>F140*G140</f>
        <v>0</v>
      </c>
      <c r="BK140" s="51"/>
      <c r="BL140" s="51">
        <v>722</v>
      </c>
      <c r="BW140" s="51">
        <v>12</v>
      </c>
      <c r="BX140" s="3" t="s">
        <v>403</v>
      </c>
    </row>
    <row r="141" spans="1:76">
      <c r="A141" s="47" t="s">
        <v>4</v>
      </c>
      <c r="B141" s="48" t="s">
        <v>404</v>
      </c>
      <c r="C141" s="150" t="s">
        <v>405</v>
      </c>
      <c r="D141" s="151"/>
      <c r="E141" s="49" t="s">
        <v>79</v>
      </c>
      <c r="F141" s="49" t="s">
        <v>79</v>
      </c>
      <c r="G141" s="50" t="s">
        <v>79</v>
      </c>
      <c r="H141" s="28">
        <f>SUM(H142:H163)</f>
        <v>0</v>
      </c>
      <c r="J141" s="41"/>
      <c r="AI141" s="35" t="s">
        <v>4</v>
      </c>
      <c r="AS141" s="28">
        <f>SUM(AJ142:AJ163)</f>
        <v>0</v>
      </c>
      <c r="AT141" s="28">
        <f>SUM(AK142:AK163)</f>
        <v>0</v>
      </c>
      <c r="AU141" s="28">
        <f>SUM(AL142:AL163)</f>
        <v>0</v>
      </c>
    </row>
    <row r="142" spans="1:76">
      <c r="A142" s="1" t="s">
        <v>213</v>
      </c>
      <c r="B142" s="2" t="s">
        <v>406</v>
      </c>
      <c r="C142" s="75" t="s">
        <v>407</v>
      </c>
      <c r="D142" s="70"/>
      <c r="E142" s="2" t="s">
        <v>408</v>
      </c>
      <c r="F142" s="51">
        <v>1</v>
      </c>
      <c r="G142" s="52">
        <v>0</v>
      </c>
      <c r="H142" s="51">
        <f t="shared" ref="H142:H148" si="40">F142*G142</f>
        <v>0</v>
      </c>
      <c r="J142" s="41"/>
      <c r="Z142" s="51">
        <f t="shared" ref="Z142:Z148" si="41">IF(AQ142="5",BJ142,0)</f>
        <v>0</v>
      </c>
      <c r="AB142" s="51">
        <f t="shared" ref="AB142:AB148" si="42">IF(AQ142="1",BH142,0)</f>
        <v>0</v>
      </c>
      <c r="AC142" s="51">
        <f t="shared" ref="AC142:AC148" si="43">IF(AQ142="1",BI142,0)</f>
        <v>0</v>
      </c>
      <c r="AD142" s="51">
        <f t="shared" ref="AD142:AD148" si="44">IF(AQ142="7",BH142,0)</f>
        <v>0</v>
      </c>
      <c r="AE142" s="51">
        <f t="shared" ref="AE142:AE148" si="45">IF(AQ142="7",BI142,0)</f>
        <v>0</v>
      </c>
      <c r="AF142" s="51">
        <f t="shared" ref="AF142:AF148" si="46">IF(AQ142="2",BH142,0)</f>
        <v>0</v>
      </c>
      <c r="AG142" s="51">
        <f t="shared" ref="AG142:AG148" si="47">IF(AQ142="2",BI142,0)</f>
        <v>0</v>
      </c>
      <c r="AH142" s="51">
        <f t="shared" ref="AH142:AH148" si="48">IF(AQ142="0",BJ142,0)</f>
        <v>0</v>
      </c>
      <c r="AI142" s="35" t="s">
        <v>4</v>
      </c>
      <c r="AJ142" s="51">
        <f t="shared" ref="AJ142:AJ148" si="49">IF(AN142=0,H142,0)</f>
        <v>0</v>
      </c>
      <c r="AK142" s="51">
        <f t="shared" ref="AK142:AK148" si="50">IF(AN142=12,H142,0)</f>
        <v>0</v>
      </c>
      <c r="AL142" s="51">
        <f t="shared" ref="AL142:AL148" si="51">IF(AN142=21,H142,0)</f>
        <v>0</v>
      </c>
      <c r="AN142" s="51">
        <v>12</v>
      </c>
      <c r="AO142" s="51">
        <f>G142*0.154873047</f>
        <v>0</v>
      </c>
      <c r="AP142" s="51">
        <f>G142*(1-0.154873047)</f>
        <v>0</v>
      </c>
      <c r="AQ142" s="53" t="s">
        <v>150</v>
      </c>
      <c r="AV142" s="51">
        <f t="shared" ref="AV142:AV148" si="52">AW142+AX142</f>
        <v>0</v>
      </c>
      <c r="AW142" s="51">
        <f t="shared" ref="AW142:AW148" si="53">F142*AO142</f>
        <v>0</v>
      </c>
      <c r="AX142" s="51">
        <f t="shared" ref="AX142:AX148" si="54">F142*AP142</f>
        <v>0</v>
      </c>
      <c r="AY142" s="53" t="s">
        <v>409</v>
      </c>
      <c r="AZ142" s="53" t="s">
        <v>342</v>
      </c>
      <c r="BA142" s="35" t="s">
        <v>117</v>
      </c>
      <c r="BC142" s="51">
        <f t="shared" ref="BC142:BC148" si="55">AW142+AX142</f>
        <v>0</v>
      </c>
      <c r="BD142" s="51">
        <f t="shared" ref="BD142:BD148" si="56">G142/(100-BE142)*100</f>
        <v>0</v>
      </c>
      <c r="BE142" s="51">
        <v>0</v>
      </c>
      <c r="BF142" s="51">
        <f>142</f>
        <v>142</v>
      </c>
      <c r="BH142" s="51">
        <f t="shared" ref="BH142:BH148" si="57">F142*AO142</f>
        <v>0</v>
      </c>
      <c r="BI142" s="51">
        <f t="shared" ref="BI142:BI148" si="58">F142*AP142</f>
        <v>0</v>
      </c>
      <c r="BJ142" s="51">
        <f t="shared" ref="BJ142:BJ148" si="59">F142*G142</f>
        <v>0</v>
      </c>
      <c r="BK142" s="51"/>
      <c r="BL142" s="51">
        <v>725</v>
      </c>
      <c r="BW142" s="51">
        <v>12</v>
      </c>
      <c r="BX142" s="3" t="s">
        <v>407</v>
      </c>
    </row>
    <row r="143" spans="1:76">
      <c r="A143" s="1" t="s">
        <v>410</v>
      </c>
      <c r="B143" s="2" t="s">
        <v>411</v>
      </c>
      <c r="C143" s="75" t="s">
        <v>412</v>
      </c>
      <c r="D143" s="70"/>
      <c r="E143" s="2" t="s">
        <v>408</v>
      </c>
      <c r="F143" s="51">
        <v>1</v>
      </c>
      <c r="G143" s="52">
        <v>0</v>
      </c>
      <c r="H143" s="51">
        <f t="shared" si="40"/>
        <v>0</v>
      </c>
      <c r="J143" s="41"/>
      <c r="Z143" s="51">
        <f t="shared" si="41"/>
        <v>0</v>
      </c>
      <c r="AB143" s="51">
        <f t="shared" si="42"/>
        <v>0</v>
      </c>
      <c r="AC143" s="51">
        <f t="shared" si="43"/>
        <v>0</v>
      </c>
      <c r="AD143" s="51">
        <f t="shared" si="44"/>
        <v>0</v>
      </c>
      <c r="AE143" s="51">
        <f t="shared" si="45"/>
        <v>0</v>
      </c>
      <c r="AF143" s="51">
        <f t="shared" si="46"/>
        <v>0</v>
      </c>
      <c r="AG143" s="51">
        <f t="shared" si="47"/>
        <v>0</v>
      </c>
      <c r="AH143" s="51">
        <f t="shared" si="48"/>
        <v>0</v>
      </c>
      <c r="AI143" s="35" t="s">
        <v>4</v>
      </c>
      <c r="AJ143" s="51">
        <f t="shared" si="49"/>
        <v>0</v>
      </c>
      <c r="AK143" s="51">
        <f t="shared" si="50"/>
        <v>0</v>
      </c>
      <c r="AL143" s="51">
        <f t="shared" si="51"/>
        <v>0</v>
      </c>
      <c r="AN143" s="51">
        <v>12</v>
      </c>
      <c r="AO143" s="51">
        <f>G143*0.784758621</f>
        <v>0</v>
      </c>
      <c r="AP143" s="51">
        <f>G143*(1-0.784758621)</f>
        <v>0</v>
      </c>
      <c r="AQ143" s="53" t="s">
        <v>150</v>
      </c>
      <c r="AV143" s="51">
        <f t="shared" si="52"/>
        <v>0</v>
      </c>
      <c r="AW143" s="51">
        <f t="shared" si="53"/>
        <v>0</v>
      </c>
      <c r="AX143" s="51">
        <f t="shared" si="54"/>
        <v>0</v>
      </c>
      <c r="AY143" s="53" t="s">
        <v>409</v>
      </c>
      <c r="AZ143" s="53" t="s">
        <v>342</v>
      </c>
      <c r="BA143" s="35" t="s">
        <v>117</v>
      </c>
      <c r="BC143" s="51">
        <f t="shared" si="55"/>
        <v>0</v>
      </c>
      <c r="BD143" s="51">
        <f t="shared" si="56"/>
        <v>0</v>
      </c>
      <c r="BE143" s="51">
        <v>0</v>
      </c>
      <c r="BF143" s="51">
        <f>143</f>
        <v>143</v>
      </c>
      <c r="BH143" s="51">
        <f t="shared" si="57"/>
        <v>0</v>
      </c>
      <c r="BI143" s="51">
        <f t="shared" si="58"/>
        <v>0</v>
      </c>
      <c r="BJ143" s="51">
        <f t="shared" si="59"/>
        <v>0</v>
      </c>
      <c r="BK143" s="51"/>
      <c r="BL143" s="51">
        <v>725</v>
      </c>
      <c r="BW143" s="51">
        <v>12</v>
      </c>
      <c r="BX143" s="3" t="s">
        <v>412</v>
      </c>
    </row>
    <row r="144" spans="1:76">
      <c r="A144" s="1" t="s">
        <v>413</v>
      </c>
      <c r="B144" s="2" t="s">
        <v>414</v>
      </c>
      <c r="C144" s="75" t="s">
        <v>415</v>
      </c>
      <c r="D144" s="70"/>
      <c r="E144" s="2" t="s">
        <v>135</v>
      </c>
      <c r="F144" s="51">
        <v>1</v>
      </c>
      <c r="G144" s="52">
        <v>0</v>
      </c>
      <c r="H144" s="51">
        <f t="shared" si="40"/>
        <v>0</v>
      </c>
      <c r="J144" s="41"/>
      <c r="Z144" s="51">
        <f t="shared" si="41"/>
        <v>0</v>
      </c>
      <c r="AB144" s="51">
        <f t="shared" si="42"/>
        <v>0</v>
      </c>
      <c r="AC144" s="51">
        <f t="shared" si="43"/>
        <v>0</v>
      </c>
      <c r="AD144" s="51">
        <f t="shared" si="44"/>
        <v>0</v>
      </c>
      <c r="AE144" s="51">
        <f t="shared" si="45"/>
        <v>0</v>
      </c>
      <c r="AF144" s="51">
        <f t="shared" si="46"/>
        <v>0</v>
      </c>
      <c r="AG144" s="51">
        <f t="shared" si="47"/>
        <v>0</v>
      </c>
      <c r="AH144" s="51">
        <f t="shared" si="48"/>
        <v>0</v>
      </c>
      <c r="AI144" s="35" t="s">
        <v>4</v>
      </c>
      <c r="AJ144" s="51">
        <f t="shared" si="49"/>
        <v>0</v>
      </c>
      <c r="AK144" s="51">
        <f t="shared" si="50"/>
        <v>0</v>
      </c>
      <c r="AL144" s="51">
        <f t="shared" si="51"/>
        <v>0</v>
      </c>
      <c r="AN144" s="51">
        <v>12</v>
      </c>
      <c r="AO144" s="51">
        <f>G144*0.672366589</f>
        <v>0</v>
      </c>
      <c r="AP144" s="51">
        <f>G144*(1-0.672366589)</f>
        <v>0</v>
      </c>
      <c r="AQ144" s="53" t="s">
        <v>150</v>
      </c>
      <c r="AV144" s="51">
        <f t="shared" si="52"/>
        <v>0</v>
      </c>
      <c r="AW144" s="51">
        <f t="shared" si="53"/>
        <v>0</v>
      </c>
      <c r="AX144" s="51">
        <f t="shared" si="54"/>
        <v>0</v>
      </c>
      <c r="AY144" s="53" t="s">
        <v>409</v>
      </c>
      <c r="AZ144" s="53" t="s">
        <v>342</v>
      </c>
      <c r="BA144" s="35" t="s">
        <v>117</v>
      </c>
      <c r="BC144" s="51">
        <f t="shared" si="55"/>
        <v>0</v>
      </c>
      <c r="BD144" s="51">
        <f t="shared" si="56"/>
        <v>0</v>
      </c>
      <c r="BE144" s="51">
        <v>0</v>
      </c>
      <c r="BF144" s="51">
        <f>144</f>
        <v>144</v>
      </c>
      <c r="BH144" s="51">
        <f t="shared" si="57"/>
        <v>0</v>
      </c>
      <c r="BI144" s="51">
        <f t="shared" si="58"/>
        <v>0</v>
      </c>
      <c r="BJ144" s="51">
        <f t="shared" si="59"/>
        <v>0</v>
      </c>
      <c r="BK144" s="51"/>
      <c r="BL144" s="51">
        <v>725</v>
      </c>
      <c r="BW144" s="51">
        <v>12</v>
      </c>
      <c r="BX144" s="3" t="s">
        <v>415</v>
      </c>
    </row>
    <row r="145" spans="1:76">
      <c r="A145" s="1" t="s">
        <v>416</v>
      </c>
      <c r="B145" s="2" t="s">
        <v>417</v>
      </c>
      <c r="C145" s="75" t="s">
        <v>418</v>
      </c>
      <c r="D145" s="70"/>
      <c r="E145" s="2" t="s">
        <v>135</v>
      </c>
      <c r="F145" s="51">
        <v>1</v>
      </c>
      <c r="G145" s="52">
        <v>0</v>
      </c>
      <c r="H145" s="51">
        <f t="shared" si="40"/>
        <v>0</v>
      </c>
      <c r="J145" s="41"/>
      <c r="Z145" s="51">
        <f t="shared" si="41"/>
        <v>0</v>
      </c>
      <c r="AB145" s="51">
        <f t="shared" si="42"/>
        <v>0</v>
      </c>
      <c r="AC145" s="51">
        <f t="shared" si="43"/>
        <v>0</v>
      </c>
      <c r="AD145" s="51">
        <f t="shared" si="44"/>
        <v>0</v>
      </c>
      <c r="AE145" s="51">
        <f t="shared" si="45"/>
        <v>0</v>
      </c>
      <c r="AF145" s="51">
        <f t="shared" si="46"/>
        <v>0</v>
      </c>
      <c r="AG145" s="51">
        <f t="shared" si="47"/>
        <v>0</v>
      </c>
      <c r="AH145" s="51">
        <f t="shared" si="48"/>
        <v>0</v>
      </c>
      <c r="AI145" s="35" t="s">
        <v>4</v>
      </c>
      <c r="AJ145" s="51">
        <f t="shared" si="49"/>
        <v>0</v>
      </c>
      <c r="AK145" s="51">
        <f t="shared" si="50"/>
        <v>0</v>
      </c>
      <c r="AL145" s="51">
        <f t="shared" si="51"/>
        <v>0</v>
      </c>
      <c r="AN145" s="51">
        <v>12</v>
      </c>
      <c r="AO145" s="51">
        <f>G145*0.530083195</f>
        <v>0</v>
      </c>
      <c r="AP145" s="51">
        <f>G145*(1-0.530083195)</f>
        <v>0</v>
      </c>
      <c r="AQ145" s="53" t="s">
        <v>150</v>
      </c>
      <c r="AV145" s="51">
        <f t="shared" si="52"/>
        <v>0</v>
      </c>
      <c r="AW145" s="51">
        <f t="shared" si="53"/>
        <v>0</v>
      </c>
      <c r="AX145" s="51">
        <f t="shared" si="54"/>
        <v>0</v>
      </c>
      <c r="AY145" s="53" t="s">
        <v>409</v>
      </c>
      <c r="AZ145" s="53" t="s">
        <v>342</v>
      </c>
      <c r="BA145" s="35" t="s">
        <v>117</v>
      </c>
      <c r="BC145" s="51">
        <f t="shared" si="55"/>
        <v>0</v>
      </c>
      <c r="BD145" s="51">
        <f t="shared" si="56"/>
        <v>0</v>
      </c>
      <c r="BE145" s="51">
        <v>0</v>
      </c>
      <c r="BF145" s="51">
        <f>145</f>
        <v>145</v>
      </c>
      <c r="BH145" s="51">
        <f t="shared" si="57"/>
        <v>0</v>
      </c>
      <c r="BI145" s="51">
        <f t="shared" si="58"/>
        <v>0</v>
      </c>
      <c r="BJ145" s="51">
        <f t="shared" si="59"/>
        <v>0</v>
      </c>
      <c r="BK145" s="51"/>
      <c r="BL145" s="51">
        <v>725</v>
      </c>
      <c r="BW145" s="51">
        <v>12</v>
      </c>
      <c r="BX145" s="3" t="s">
        <v>418</v>
      </c>
    </row>
    <row r="146" spans="1:76">
      <c r="A146" s="1" t="s">
        <v>419</v>
      </c>
      <c r="B146" s="2" t="s">
        <v>420</v>
      </c>
      <c r="C146" s="75" t="s">
        <v>421</v>
      </c>
      <c r="D146" s="70"/>
      <c r="E146" s="2" t="s">
        <v>135</v>
      </c>
      <c r="F146" s="51">
        <v>2</v>
      </c>
      <c r="G146" s="52">
        <v>0</v>
      </c>
      <c r="H146" s="51">
        <f t="shared" si="40"/>
        <v>0</v>
      </c>
      <c r="J146" s="41"/>
      <c r="Z146" s="51">
        <f t="shared" si="41"/>
        <v>0</v>
      </c>
      <c r="AB146" s="51">
        <f t="shared" si="42"/>
        <v>0</v>
      </c>
      <c r="AC146" s="51">
        <f t="shared" si="43"/>
        <v>0</v>
      </c>
      <c r="AD146" s="51">
        <f t="shared" si="44"/>
        <v>0</v>
      </c>
      <c r="AE146" s="51">
        <f t="shared" si="45"/>
        <v>0</v>
      </c>
      <c r="AF146" s="51">
        <f t="shared" si="46"/>
        <v>0</v>
      </c>
      <c r="AG146" s="51">
        <f t="shared" si="47"/>
        <v>0</v>
      </c>
      <c r="AH146" s="51">
        <f t="shared" si="48"/>
        <v>0</v>
      </c>
      <c r="AI146" s="35" t="s">
        <v>4</v>
      </c>
      <c r="AJ146" s="51">
        <f t="shared" si="49"/>
        <v>0</v>
      </c>
      <c r="AK146" s="51">
        <f t="shared" si="50"/>
        <v>0</v>
      </c>
      <c r="AL146" s="51">
        <f t="shared" si="51"/>
        <v>0</v>
      </c>
      <c r="AN146" s="51">
        <v>12</v>
      </c>
      <c r="AO146" s="51">
        <f>G146*0.033347196</f>
        <v>0</v>
      </c>
      <c r="AP146" s="51">
        <f>G146*(1-0.033347196)</f>
        <v>0</v>
      </c>
      <c r="AQ146" s="53" t="s">
        <v>150</v>
      </c>
      <c r="AV146" s="51">
        <f t="shared" si="52"/>
        <v>0</v>
      </c>
      <c r="AW146" s="51">
        <f t="shared" si="53"/>
        <v>0</v>
      </c>
      <c r="AX146" s="51">
        <f t="shared" si="54"/>
        <v>0</v>
      </c>
      <c r="AY146" s="53" t="s">
        <v>409</v>
      </c>
      <c r="AZ146" s="53" t="s">
        <v>342</v>
      </c>
      <c r="BA146" s="35" t="s">
        <v>117</v>
      </c>
      <c r="BC146" s="51">
        <f t="shared" si="55"/>
        <v>0</v>
      </c>
      <c r="BD146" s="51">
        <f t="shared" si="56"/>
        <v>0</v>
      </c>
      <c r="BE146" s="51">
        <v>0</v>
      </c>
      <c r="BF146" s="51">
        <f>146</f>
        <v>146</v>
      </c>
      <c r="BH146" s="51">
        <f t="shared" si="57"/>
        <v>0</v>
      </c>
      <c r="BI146" s="51">
        <f t="shared" si="58"/>
        <v>0</v>
      </c>
      <c r="BJ146" s="51">
        <f t="shared" si="59"/>
        <v>0</v>
      </c>
      <c r="BK146" s="51"/>
      <c r="BL146" s="51">
        <v>725</v>
      </c>
      <c r="BW146" s="51">
        <v>12</v>
      </c>
      <c r="BX146" s="3" t="s">
        <v>421</v>
      </c>
    </row>
    <row r="147" spans="1:76">
      <c r="A147" s="1" t="s">
        <v>422</v>
      </c>
      <c r="B147" s="2" t="s">
        <v>423</v>
      </c>
      <c r="C147" s="75" t="s">
        <v>424</v>
      </c>
      <c r="D147" s="70"/>
      <c r="E147" s="2" t="s">
        <v>135</v>
      </c>
      <c r="F147" s="51">
        <v>1</v>
      </c>
      <c r="G147" s="52">
        <v>0</v>
      </c>
      <c r="H147" s="51">
        <f t="shared" si="40"/>
        <v>0</v>
      </c>
      <c r="J147" s="41"/>
      <c r="Z147" s="51">
        <f t="shared" si="41"/>
        <v>0</v>
      </c>
      <c r="AB147" s="51">
        <f t="shared" si="42"/>
        <v>0</v>
      </c>
      <c r="AC147" s="51">
        <f t="shared" si="43"/>
        <v>0</v>
      </c>
      <c r="AD147" s="51">
        <f t="shared" si="44"/>
        <v>0</v>
      </c>
      <c r="AE147" s="51">
        <f t="shared" si="45"/>
        <v>0</v>
      </c>
      <c r="AF147" s="51">
        <f t="shared" si="46"/>
        <v>0</v>
      </c>
      <c r="AG147" s="51">
        <f t="shared" si="47"/>
        <v>0</v>
      </c>
      <c r="AH147" s="51">
        <f t="shared" si="48"/>
        <v>0</v>
      </c>
      <c r="AI147" s="35" t="s">
        <v>4</v>
      </c>
      <c r="AJ147" s="51">
        <f t="shared" si="49"/>
        <v>0</v>
      </c>
      <c r="AK147" s="51">
        <f t="shared" si="50"/>
        <v>0</v>
      </c>
      <c r="AL147" s="51">
        <f t="shared" si="51"/>
        <v>0</v>
      </c>
      <c r="AN147" s="51">
        <v>12</v>
      </c>
      <c r="AO147" s="51">
        <f>G147*0.216601901</f>
        <v>0</v>
      </c>
      <c r="AP147" s="51">
        <f>G147*(1-0.216601901)</f>
        <v>0</v>
      </c>
      <c r="AQ147" s="53" t="s">
        <v>150</v>
      </c>
      <c r="AV147" s="51">
        <f t="shared" si="52"/>
        <v>0</v>
      </c>
      <c r="AW147" s="51">
        <f t="shared" si="53"/>
        <v>0</v>
      </c>
      <c r="AX147" s="51">
        <f t="shared" si="54"/>
        <v>0</v>
      </c>
      <c r="AY147" s="53" t="s">
        <v>409</v>
      </c>
      <c r="AZ147" s="53" t="s">
        <v>342</v>
      </c>
      <c r="BA147" s="35" t="s">
        <v>117</v>
      </c>
      <c r="BC147" s="51">
        <f t="shared" si="55"/>
        <v>0</v>
      </c>
      <c r="BD147" s="51">
        <f t="shared" si="56"/>
        <v>0</v>
      </c>
      <c r="BE147" s="51">
        <v>0</v>
      </c>
      <c r="BF147" s="51">
        <f>147</f>
        <v>147</v>
      </c>
      <c r="BH147" s="51">
        <f t="shared" si="57"/>
        <v>0</v>
      </c>
      <c r="BI147" s="51">
        <f t="shared" si="58"/>
        <v>0</v>
      </c>
      <c r="BJ147" s="51">
        <f t="shared" si="59"/>
        <v>0</v>
      </c>
      <c r="BK147" s="51"/>
      <c r="BL147" s="51">
        <v>725</v>
      </c>
      <c r="BW147" s="51">
        <v>12</v>
      </c>
      <c r="BX147" s="3" t="s">
        <v>424</v>
      </c>
    </row>
    <row r="148" spans="1:76">
      <c r="A148" s="1" t="s">
        <v>425</v>
      </c>
      <c r="B148" s="2" t="s">
        <v>426</v>
      </c>
      <c r="C148" s="75" t="s">
        <v>427</v>
      </c>
      <c r="D148" s="70"/>
      <c r="E148" s="2" t="s">
        <v>135</v>
      </c>
      <c r="F148" s="51">
        <v>1</v>
      </c>
      <c r="G148" s="52">
        <v>0</v>
      </c>
      <c r="H148" s="51">
        <f t="shared" si="40"/>
        <v>0</v>
      </c>
      <c r="J148" s="41"/>
      <c r="Z148" s="51">
        <f t="shared" si="41"/>
        <v>0</v>
      </c>
      <c r="AB148" s="51">
        <f t="shared" si="42"/>
        <v>0</v>
      </c>
      <c r="AC148" s="51">
        <f t="shared" si="43"/>
        <v>0</v>
      </c>
      <c r="AD148" s="51">
        <f t="shared" si="44"/>
        <v>0</v>
      </c>
      <c r="AE148" s="51">
        <f t="shared" si="45"/>
        <v>0</v>
      </c>
      <c r="AF148" s="51">
        <f t="shared" si="46"/>
        <v>0</v>
      </c>
      <c r="AG148" s="51">
        <f t="shared" si="47"/>
        <v>0</v>
      </c>
      <c r="AH148" s="51">
        <f t="shared" si="48"/>
        <v>0</v>
      </c>
      <c r="AI148" s="35" t="s">
        <v>4</v>
      </c>
      <c r="AJ148" s="51">
        <f t="shared" si="49"/>
        <v>0</v>
      </c>
      <c r="AK148" s="51">
        <f t="shared" si="50"/>
        <v>0</v>
      </c>
      <c r="AL148" s="51">
        <f t="shared" si="51"/>
        <v>0</v>
      </c>
      <c r="AN148" s="51">
        <v>12</v>
      </c>
      <c r="AO148" s="51">
        <f>G148*0.915036101</f>
        <v>0</v>
      </c>
      <c r="AP148" s="51">
        <f>G148*(1-0.915036101)</f>
        <v>0</v>
      </c>
      <c r="AQ148" s="53" t="s">
        <v>150</v>
      </c>
      <c r="AV148" s="51">
        <f t="shared" si="52"/>
        <v>0</v>
      </c>
      <c r="AW148" s="51">
        <f t="shared" si="53"/>
        <v>0</v>
      </c>
      <c r="AX148" s="51">
        <f t="shared" si="54"/>
        <v>0</v>
      </c>
      <c r="AY148" s="53" t="s">
        <v>409</v>
      </c>
      <c r="AZ148" s="53" t="s">
        <v>342</v>
      </c>
      <c r="BA148" s="35" t="s">
        <v>117</v>
      </c>
      <c r="BC148" s="51">
        <f t="shared" si="55"/>
        <v>0</v>
      </c>
      <c r="BD148" s="51">
        <f t="shared" si="56"/>
        <v>0</v>
      </c>
      <c r="BE148" s="51">
        <v>0</v>
      </c>
      <c r="BF148" s="51">
        <f>148</f>
        <v>148</v>
      </c>
      <c r="BH148" s="51">
        <f t="shared" si="57"/>
        <v>0</v>
      </c>
      <c r="BI148" s="51">
        <f t="shared" si="58"/>
        <v>0</v>
      </c>
      <c r="BJ148" s="51">
        <f t="shared" si="59"/>
        <v>0</v>
      </c>
      <c r="BK148" s="51"/>
      <c r="BL148" s="51">
        <v>725</v>
      </c>
      <c r="BW148" s="51">
        <v>12</v>
      </c>
      <c r="BX148" s="3" t="s">
        <v>427</v>
      </c>
    </row>
    <row r="149" spans="1:76" ht="13.5" customHeight="1">
      <c r="A149" s="54"/>
      <c r="B149" s="58" t="s">
        <v>136</v>
      </c>
      <c r="C149" s="152" t="s">
        <v>428</v>
      </c>
      <c r="D149" s="153"/>
      <c r="E149" s="153"/>
      <c r="F149" s="153"/>
      <c r="G149" s="154"/>
      <c r="H149" s="153"/>
      <c r="I149" s="153"/>
      <c r="J149" s="155"/>
    </row>
    <row r="150" spans="1:76">
      <c r="A150" s="1" t="s">
        <v>429</v>
      </c>
      <c r="B150" s="2" t="s">
        <v>430</v>
      </c>
      <c r="C150" s="75" t="s">
        <v>431</v>
      </c>
      <c r="D150" s="70"/>
      <c r="E150" s="2" t="s">
        <v>135</v>
      </c>
      <c r="F150" s="51">
        <v>1</v>
      </c>
      <c r="G150" s="52">
        <v>0</v>
      </c>
      <c r="H150" s="51">
        <f t="shared" ref="H150:H163" si="60">F150*G150</f>
        <v>0</v>
      </c>
      <c r="J150" s="41"/>
      <c r="Z150" s="51">
        <f t="shared" ref="Z150:Z163" si="61">IF(AQ150="5",BJ150,0)</f>
        <v>0</v>
      </c>
      <c r="AB150" s="51">
        <f t="shared" ref="AB150:AB163" si="62">IF(AQ150="1",BH150,0)</f>
        <v>0</v>
      </c>
      <c r="AC150" s="51">
        <f t="shared" ref="AC150:AC163" si="63">IF(AQ150="1",BI150,0)</f>
        <v>0</v>
      </c>
      <c r="AD150" s="51">
        <f t="shared" ref="AD150:AD163" si="64">IF(AQ150="7",BH150,0)</f>
        <v>0</v>
      </c>
      <c r="AE150" s="51">
        <f t="shared" ref="AE150:AE163" si="65">IF(AQ150="7",BI150,0)</f>
        <v>0</v>
      </c>
      <c r="AF150" s="51">
        <f t="shared" ref="AF150:AF163" si="66">IF(AQ150="2",BH150,0)</f>
        <v>0</v>
      </c>
      <c r="AG150" s="51">
        <f t="shared" ref="AG150:AG163" si="67">IF(AQ150="2",BI150,0)</f>
        <v>0</v>
      </c>
      <c r="AH150" s="51">
        <f t="shared" ref="AH150:AH163" si="68">IF(AQ150="0",BJ150,0)</f>
        <v>0</v>
      </c>
      <c r="AI150" s="35" t="s">
        <v>4</v>
      </c>
      <c r="AJ150" s="51">
        <f t="shared" ref="AJ150:AJ163" si="69">IF(AN150=0,H150,0)</f>
        <v>0</v>
      </c>
      <c r="AK150" s="51">
        <f t="shared" ref="AK150:AK163" si="70">IF(AN150=12,H150,0)</f>
        <v>0</v>
      </c>
      <c r="AL150" s="51">
        <f t="shared" ref="AL150:AL163" si="71">IF(AN150=21,H150,0)</f>
        <v>0</v>
      </c>
      <c r="AN150" s="51">
        <v>12</v>
      </c>
      <c r="AO150" s="51">
        <f>G150*0.828628641</f>
        <v>0</v>
      </c>
      <c r="AP150" s="51">
        <f>G150*(1-0.828628641)</f>
        <v>0</v>
      </c>
      <c r="AQ150" s="53" t="s">
        <v>150</v>
      </c>
      <c r="AV150" s="51">
        <f t="shared" ref="AV150:AV163" si="72">AW150+AX150</f>
        <v>0</v>
      </c>
      <c r="AW150" s="51">
        <f t="shared" ref="AW150:AW163" si="73">F150*AO150</f>
        <v>0</v>
      </c>
      <c r="AX150" s="51">
        <f t="shared" ref="AX150:AX163" si="74">F150*AP150</f>
        <v>0</v>
      </c>
      <c r="AY150" s="53" t="s">
        <v>409</v>
      </c>
      <c r="AZ150" s="53" t="s">
        <v>342</v>
      </c>
      <c r="BA150" s="35" t="s">
        <v>117</v>
      </c>
      <c r="BC150" s="51">
        <f t="shared" ref="BC150:BC163" si="75">AW150+AX150</f>
        <v>0</v>
      </c>
      <c r="BD150" s="51">
        <f t="shared" ref="BD150:BD163" si="76">G150/(100-BE150)*100</f>
        <v>0</v>
      </c>
      <c r="BE150" s="51">
        <v>0</v>
      </c>
      <c r="BF150" s="51">
        <f>150</f>
        <v>150</v>
      </c>
      <c r="BH150" s="51">
        <f t="shared" ref="BH150:BH163" si="77">F150*AO150</f>
        <v>0</v>
      </c>
      <c r="BI150" s="51">
        <f t="shared" ref="BI150:BI163" si="78">F150*AP150</f>
        <v>0</v>
      </c>
      <c r="BJ150" s="51">
        <f t="shared" ref="BJ150:BJ163" si="79">F150*G150</f>
        <v>0</v>
      </c>
      <c r="BK150" s="51"/>
      <c r="BL150" s="51">
        <v>725</v>
      </c>
      <c r="BW150" s="51">
        <v>12</v>
      </c>
      <c r="BX150" s="3" t="s">
        <v>431</v>
      </c>
    </row>
    <row r="151" spans="1:76">
      <c r="A151" s="1" t="s">
        <v>432</v>
      </c>
      <c r="B151" s="2" t="s">
        <v>433</v>
      </c>
      <c r="C151" s="75" t="s">
        <v>434</v>
      </c>
      <c r="D151" s="70"/>
      <c r="E151" s="2" t="s">
        <v>408</v>
      </c>
      <c r="F151" s="51">
        <v>7</v>
      </c>
      <c r="G151" s="52">
        <v>0</v>
      </c>
      <c r="H151" s="51">
        <f t="shared" si="60"/>
        <v>0</v>
      </c>
      <c r="J151" s="41"/>
      <c r="Z151" s="51">
        <f t="shared" si="61"/>
        <v>0</v>
      </c>
      <c r="AB151" s="51">
        <f t="shared" si="62"/>
        <v>0</v>
      </c>
      <c r="AC151" s="51">
        <f t="shared" si="63"/>
        <v>0</v>
      </c>
      <c r="AD151" s="51">
        <f t="shared" si="64"/>
        <v>0</v>
      </c>
      <c r="AE151" s="51">
        <f t="shared" si="65"/>
        <v>0</v>
      </c>
      <c r="AF151" s="51">
        <f t="shared" si="66"/>
        <v>0</v>
      </c>
      <c r="AG151" s="51">
        <f t="shared" si="67"/>
        <v>0</v>
      </c>
      <c r="AH151" s="51">
        <f t="shared" si="68"/>
        <v>0</v>
      </c>
      <c r="AI151" s="35" t="s">
        <v>4</v>
      </c>
      <c r="AJ151" s="51">
        <f t="shared" si="69"/>
        <v>0</v>
      </c>
      <c r="AK151" s="51">
        <f t="shared" si="70"/>
        <v>0</v>
      </c>
      <c r="AL151" s="51">
        <f t="shared" si="71"/>
        <v>0</v>
      </c>
      <c r="AN151" s="51">
        <v>12</v>
      </c>
      <c r="AO151" s="51">
        <f>G151*0.522710623</f>
        <v>0</v>
      </c>
      <c r="AP151" s="51">
        <f>G151*(1-0.522710623)</f>
        <v>0</v>
      </c>
      <c r="AQ151" s="53" t="s">
        <v>150</v>
      </c>
      <c r="AV151" s="51">
        <f t="shared" si="72"/>
        <v>0</v>
      </c>
      <c r="AW151" s="51">
        <f t="shared" si="73"/>
        <v>0</v>
      </c>
      <c r="AX151" s="51">
        <f t="shared" si="74"/>
        <v>0</v>
      </c>
      <c r="AY151" s="53" t="s">
        <v>409</v>
      </c>
      <c r="AZ151" s="53" t="s">
        <v>342</v>
      </c>
      <c r="BA151" s="35" t="s">
        <v>117</v>
      </c>
      <c r="BC151" s="51">
        <f t="shared" si="75"/>
        <v>0</v>
      </c>
      <c r="BD151" s="51">
        <f t="shared" si="76"/>
        <v>0</v>
      </c>
      <c r="BE151" s="51">
        <v>0</v>
      </c>
      <c r="BF151" s="51">
        <f>151</f>
        <v>151</v>
      </c>
      <c r="BH151" s="51">
        <f t="shared" si="77"/>
        <v>0</v>
      </c>
      <c r="BI151" s="51">
        <f t="shared" si="78"/>
        <v>0</v>
      </c>
      <c r="BJ151" s="51">
        <f t="shared" si="79"/>
        <v>0</v>
      </c>
      <c r="BK151" s="51"/>
      <c r="BL151" s="51">
        <v>725</v>
      </c>
      <c r="BW151" s="51">
        <v>12</v>
      </c>
      <c r="BX151" s="3" t="s">
        <v>434</v>
      </c>
    </row>
    <row r="152" spans="1:76">
      <c r="A152" s="1" t="s">
        <v>435</v>
      </c>
      <c r="B152" s="2" t="s">
        <v>436</v>
      </c>
      <c r="C152" s="75" t="s">
        <v>437</v>
      </c>
      <c r="D152" s="70"/>
      <c r="E152" s="2" t="s">
        <v>135</v>
      </c>
      <c r="F152" s="51">
        <v>2</v>
      </c>
      <c r="G152" s="52">
        <v>0</v>
      </c>
      <c r="H152" s="51">
        <f t="shared" si="60"/>
        <v>0</v>
      </c>
      <c r="J152" s="41"/>
      <c r="Z152" s="51">
        <f t="shared" si="61"/>
        <v>0</v>
      </c>
      <c r="AB152" s="51">
        <f t="shared" si="62"/>
        <v>0</v>
      </c>
      <c r="AC152" s="51">
        <f t="shared" si="63"/>
        <v>0</v>
      </c>
      <c r="AD152" s="51">
        <f t="shared" si="64"/>
        <v>0</v>
      </c>
      <c r="AE152" s="51">
        <f t="shared" si="65"/>
        <v>0</v>
      </c>
      <c r="AF152" s="51">
        <f t="shared" si="66"/>
        <v>0</v>
      </c>
      <c r="AG152" s="51">
        <f t="shared" si="67"/>
        <v>0</v>
      </c>
      <c r="AH152" s="51">
        <f t="shared" si="68"/>
        <v>0</v>
      </c>
      <c r="AI152" s="35" t="s">
        <v>4</v>
      </c>
      <c r="AJ152" s="51">
        <f t="shared" si="69"/>
        <v>0</v>
      </c>
      <c r="AK152" s="51">
        <f t="shared" si="70"/>
        <v>0</v>
      </c>
      <c r="AL152" s="51">
        <f t="shared" si="71"/>
        <v>0</v>
      </c>
      <c r="AN152" s="51">
        <v>12</v>
      </c>
      <c r="AO152" s="51">
        <f>G152*0.88622221</f>
        <v>0</v>
      </c>
      <c r="AP152" s="51">
        <f>G152*(1-0.88622221)</f>
        <v>0</v>
      </c>
      <c r="AQ152" s="53" t="s">
        <v>150</v>
      </c>
      <c r="AV152" s="51">
        <f t="shared" si="72"/>
        <v>0</v>
      </c>
      <c r="AW152" s="51">
        <f t="shared" si="73"/>
        <v>0</v>
      </c>
      <c r="AX152" s="51">
        <f t="shared" si="74"/>
        <v>0</v>
      </c>
      <c r="AY152" s="53" t="s">
        <v>409</v>
      </c>
      <c r="AZ152" s="53" t="s">
        <v>342</v>
      </c>
      <c r="BA152" s="35" t="s">
        <v>117</v>
      </c>
      <c r="BC152" s="51">
        <f t="shared" si="75"/>
        <v>0</v>
      </c>
      <c r="BD152" s="51">
        <f t="shared" si="76"/>
        <v>0</v>
      </c>
      <c r="BE152" s="51">
        <v>0</v>
      </c>
      <c r="BF152" s="51">
        <f>152</f>
        <v>152</v>
      </c>
      <c r="BH152" s="51">
        <f t="shared" si="77"/>
        <v>0</v>
      </c>
      <c r="BI152" s="51">
        <f t="shared" si="78"/>
        <v>0</v>
      </c>
      <c r="BJ152" s="51">
        <f t="shared" si="79"/>
        <v>0</v>
      </c>
      <c r="BK152" s="51"/>
      <c r="BL152" s="51">
        <v>725</v>
      </c>
      <c r="BW152" s="51">
        <v>12</v>
      </c>
      <c r="BX152" s="3" t="s">
        <v>437</v>
      </c>
    </row>
    <row r="153" spans="1:76">
      <c r="A153" s="1" t="s">
        <v>438</v>
      </c>
      <c r="B153" s="2" t="s">
        <v>439</v>
      </c>
      <c r="C153" s="75" t="s">
        <v>440</v>
      </c>
      <c r="D153" s="70"/>
      <c r="E153" s="2" t="s">
        <v>135</v>
      </c>
      <c r="F153" s="51">
        <v>1</v>
      </c>
      <c r="G153" s="52">
        <v>0</v>
      </c>
      <c r="H153" s="51">
        <f t="shared" si="60"/>
        <v>0</v>
      </c>
      <c r="J153" s="41"/>
      <c r="Z153" s="51">
        <f t="shared" si="61"/>
        <v>0</v>
      </c>
      <c r="AB153" s="51">
        <f t="shared" si="62"/>
        <v>0</v>
      </c>
      <c r="AC153" s="51">
        <f t="shared" si="63"/>
        <v>0</v>
      </c>
      <c r="AD153" s="51">
        <f t="shared" si="64"/>
        <v>0</v>
      </c>
      <c r="AE153" s="51">
        <f t="shared" si="65"/>
        <v>0</v>
      </c>
      <c r="AF153" s="51">
        <f t="shared" si="66"/>
        <v>0</v>
      </c>
      <c r="AG153" s="51">
        <f t="shared" si="67"/>
        <v>0</v>
      </c>
      <c r="AH153" s="51">
        <f t="shared" si="68"/>
        <v>0</v>
      </c>
      <c r="AI153" s="35" t="s">
        <v>4</v>
      </c>
      <c r="AJ153" s="51">
        <f t="shared" si="69"/>
        <v>0</v>
      </c>
      <c r="AK153" s="51">
        <f t="shared" si="70"/>
        <v>0</v>
      </c>
      <c r="AL153" s="51">
        <f t="shared" si="71"/>
        <v>0</v>
      </c>
      <c r="AN153" s="51">
        <v>12</v>
      </c>
      <c r="AO153" s="51">
        <f>G153*0.852864629</f>
        <v>0</v>
      </c>
      <c r="AP153" s="51">
        <f>G153*(1-0.852864629)</f>
        <v>0</v>
      </c>
      <c r="AQ153" s="53" t="s">
        <v>150</v>
      </c>
      <c r="AV153" s="51">
        <f t="shared" si="72"/>
        <v>0</v>
      </c>
      <c r="AW153" s="51">
        <f t="shared" si="73"/>
        <v>0</v>
      </c>
      <c r="AX153" s="51">
        <f t="shared" si="74"/>
        <v>0</v>
      </c>
      <c r="AY153" s="53" t="s">
        <v>409</v>
      </c>
      <c r="AZ153" s="53" t="s">
        <v>342</v>
      </c>
      <c r="BA153" s="35" t="s">
        <v>117</v>
      </c>
      <c r="BC153" s="51">
        <f t="shared" si="75"/>
        <v>0</v>
      </c>
      <c r="BD153" s="51">
        <f t="shared" si="76"/>
        <v>0</v>
      </c>
      <c r="BE153" s="51">
        <v>0</v>
      </c>
      <c r="BF153" s="51">
        <f>153</f>
        <v>153</v>
      </c>
      <c r="BH153" s="51">
        <f t="shared" si="77"/>
        <v>0</v>
      </c>
      <c r="BI153" s="51">
        <f t="shared" si="78"/>
        <v>0</v>
      </c>
      <c r="BJ153" s="51">
        <f t="shared" si="79"/>
        <v>0</v>
      </c>
      <c r="BK153" s="51"/>
      <c r="BL153" s="51">
        <v>725</v>
      </c>
      <c r="BW153" s="51">
        <v>12</v>
      </c>
      <c r="BX153" s="3" t="s">
        <v>440</v>
      </c>
    </row>
    <row r="154" spans="1:76">
      <c r="A154" s="1" t="s">
        <v>441</v>
      </c>
      <c r="B154" s="2" t="s">
        <v>442</v>
      </c>
      <c r="C154" s="75" t="s">
        <v>443</v>
      </c>
      <c r="D154" s="70"/>
      <c r="E154" s="2" t="s">
        <v>408</v>
      </c>
      <c r="F154" s="51">
        <v>1</v>
      </c>
      <c r="G154" s="52">
        <v>0</v>
      </c>
      <c r="H154" s="51">
        <f t="shared" si="60"/>
        <v>0</v>
      </c>
      <c r="J154" s="41"/>
      <c r="Z154" s="51">
        <f t="shared" si="61"/>
        <v>0</v>
      </c>
      <c r="AB154" s="51">
        <f t="shared" si="62"/>
        <v>0</v>
      </c>
      <c r="AC154" s="51">
        <f t="shared" si="63"/>
        <v>0</v>
      </c>
      <c r="AD154" s="51">
        <f t="shared" si="64"/>
        <v>0</v>
      </c>
      <c r="AE154" s="51">
        <f t="shared" si="65"/>
        <v>0</v>
      </c>
      <c r="AF154" s="51">
        <f t="shared" si="66"/>
        <v>0</v>
      </c>
      <c r="AG154" s="51">
        <f t="shared" si="67"/>
        <v>0</v>
      </c>
      <c r="AH154" s="51">
        <f t="shared" si="68"/>
        <v>0</v>
      </c>
      <c r="AI154" s="35" t="s">
        <v>4</v>
      </c>
      <c r="AJ154" s="51">
        <f t="shared" si="69"/>
        <v>0</v>
      </c>
      <c r="AK154" s="51">
        <f t="shared" si="70"/>
        <v>0</v>
      </c>
      <c r="AL154" s="51">
        <f t="shared" si="71"/>
        <v>0</v>
      </c>
      <c r="AN154" s="51">
        <v>12</v>
      </c>
      <c r="AO154" s="51">
        <f>G154*0.908404118</f>
        <v>0</v>
      </c>
      <c r="AP154" s="51">
        <f>G154*(1-0.908404118)</f>
        <v>0</v>
      </c>
      <c r="AQ154" s="53" t="s">
        <v>150</v>
      </c>
      <c r="AV154" s="51">
        <f t="shared" si="72"/>
        <v>0</v>
      </c>
      <c r="AW154" s="51">
        <f t="shared" si="73"/>
        <v>0</v>
      </c>
      <c r="AX154" s="51">
        <f t="shared" si="74"/>
        <v>0</v>
      </c>
      <c r="AY154" s="53" t="s">
        <v>409</v>
      </c>
      <c r="AZ154" s="53" t="s">
        <v>342</v>
      </c>
      <c r="BA154" s="35" t="s">
        <v>117</v>
      </c>
      <c r="BC154" s="51">
        <f t="shared" si="75"/>
        <v>0</v>
      </c>
      <c r="BD154" s="51">
        <f t="shared" si="76"/>
        <v>0</v>
      </c>
      <c r="BE154" s="51">
        <v>0</v>
      </c>
      <c r="BF154" s="51">
        <f>154</f>
        <v>154</v>
      </c>
      <c r="BH154" s="51">
        <f t="shared" si="77"/>
        <v>0</v>
      </c>
      <c r="BI154" s="51">
        <f t="shared" si="78"/>
        <v>0</v>
      </c>
      <c r="BJ154" s="51">
        <f t="shared" si="79"/>
        <v>0</v>
      </c>
      <c r="BK154" s="51"/>
      <c r="BL154" s="51">
        <v>725</v>
      </c>
      <c r="BW154" s="51">
        <v>12</v>
      </c>
      <c r="BX154" s="3" t="s">
        <v>443</v>
      </c>
    </row>
    <row r="155" spans="1:76">
      <c r="A155" s="1" t="s">
        <v>444</v>
      </c>
      <c r="B155" s="2" t="s">
        <v>445</v>
      </c>
      <c r="C155" s="75" t="s">
        <v>446</v>
      </c>
      <c r="D155" s="70"/>
      <c r="E155" s="2" t="s">
        <v>408</v>
      </c>
      <c r="F155" s="51">
        <v>1</v>
      </c>
      <c r="G155" s="52">
        <v>0</v>
      </c>
      <c r="H155" s="51">
        <f t="shared" si="60"/>
        <v>0</v>
      </c>
      <c r="J155" s="41"/>
      <c r="Z155" s="51">
        <f t="shared" si="61"/>
        <v>0</v>
      </c>
      <c r="AB155" s="51">
        <f t="shared" si="62"/>
        <v>0</v>
      </c>
      <c r="AC155" s="51">
        <f t="shared" si="63"/>
        <v>0</v>
      </c>
      <c r="AD155" s="51">
        <f t="shared" si="64"/>
        <v>0</v>
      </c>
      <c r="AE155" s="51">
        <f t="shared" si="65"/>
        <v>0</v>
      </c>
      <c r="AF155" s="51">
        <f t="shared" si="66"/>
        <v>0</v>
      </c>
      <c r="AG155" s="51">
        <f t="shared" si="67"/>
        <v>0</v>
      </c>
      <c r="AH155" s="51">
        <f t="shared" si="68"/>
        <v>0</v>
      </c>
      <c r="AI155" s="35" t="s">
        <v>4</v>
      </c>
      <c r="AJ155" s="51">
        <f t="shared" si="69"/>
        <v>0</v>
      </c>
      <c r="AK155" s="51">
        <f t="shared" si="70"/>
        <v>0</v>
      </c>
      <c r="AL155" s="51">
        <f t="shared" si="71"/>
        <v>0</v>
      </c>
      <c r="AN155" s="51">
        <v>12</v>
      </c>
      <c r="AO155" s="51">
        <f>G155*0.460774648</f>
        <v>0</v>
      </c>
      <c r="AP155" s="51">
        <f>G155*(1-0.460774648)</f>
        <v>0</v>
      </c>
      <c r="AQ155" s="53" t="s">
        <v>150</v>
      </c>
      <c r="AV155" s="51">
        <f t="shared" si="72"/>
        <v>0</v>
      </c>
      <c r="AW155" s="51">
        <f t="shared" si="73"/>
        <v>0</v>
      </c>
      <c r="AX155" s="51">
        <f t="shared" si="74"/>
        <v>0</v>
      </c>
      <c r="AY155" s="53" t="s">
        <v>409</v>
      </c>
      <c r="AZ155" s="53" t="s">
        <v>342</v>
      </c>
      <c r="BA155" s="35" t="s">
        <v>117</v>
      </c>
      <c r="BC155" s="51">
        <f t="shared" si="75"/>
        <v>0</v>
      </c>
      <c r="BD155" s="51">
        <f t="shared" si="76"/>
        <v>0</v>
      </c>
      <c r="BE155" s="51">
        <v>0</v>
      </c>
      <c r="BF155" s="51">
        <f>155</f>
        <v>155</v>
      </c>
      <c r="BH155" s="51">
        <f t="shared" si="77"/>
        <v>0</v>
      </c>
      <c r="BI155" s="51">
        <f t="shared" si="78"/>
        <v>0</v>
      </c>
      <c r="BJ155" s="51">
        <f t="shared" si="79"/>
        <v>0</v>
      </c>
      <c r="BK155" s="51"/>
      <c r="BL155" s="51">
        <v>725</v>
      </c>
      <c r="BW155" s="51">
        <v>12</v>
      </c>
      <c r="BX155" s="3" t="s">
        <v>446</v>
      </c>
    </row>
    <row r="156" spans="1:76">
      <c r="A156" s="1" t="s">
        <v>447</v>
      </c>
      <c r="B156" s="2" t="s">
        <v>448</v>
      </c>
      <c r="C156" s="75" t="s">
        <v>449</v>
      </c>
      <c r="D156" s="70"/>
      <c r="E156" s="2" t="s">
        <v>408</v>
      </c>
      <c r="F156" s="51">
        <v>1</v>
      </c>
      <c r="G156" s="52">
        <v>0</v>
      </c>
      <c r="H156" s="51">
        <f t="shared" si="60"/>
        <v>0</v>
      </c>
      <c r="J156" s="41"/>
      <c r="Z156" s="51">
        <f t="shared" si="61"/>
        <v>0</v>
      </c>
      <c r="AB156" s="51">
        <f t="shared" si="62"/>
        <v>0</v>
      </c>
      <c r="AC156" s="51">
        <f t="shared" si="63"/>
        <v>0</v>
      </c>
      <c r="AD156" s="51">
        <f t="shared" si="64"/>
        <v>0</v>
      </c>
      <c r="AE156" s="51">
        <f t="shared" si="65"/>
        <v>0</v>
      </c>
      <c r="AF156" s="51">
        <f t="shared" si="66"/>
        <v>0</v>
      </c>
      <c r="AG156" s="51">
        <f t="shared" si="67"/>
        <v>0</v>
      </c>
      <c r="AH156" s="51">
        <f t="shared" si="68"/>
        <v>0</v>
      </c>
      <c r="AI156" s="35" t="s">
        <v>4</v>
      </c>
      <c r="AJ156" s="51">
        <f t="shared" si="69"/>
        <v>0</v>
      </c>
      <c r="AK156" s="51">
        <f t="shared" si="70"/>
        <v>0</v>
      </c>
      <c r="AL156" s="51">
        <f t="shared" si="71"/>
        <v>0</v>
      </c>
      <c r="AN156" s="51">
        <v>12</v>
      </c>
      <c r="AO156" s="51">
        <f>G156*0.911880189</f>
        <v>0</v>
      </c>
      <c r="AP156" s="51">
        <f>G156*(1-0.911880189)</f>
        <v>0</v>
      </c>
      <c r="AQ156" s="53" t="s">
        <v>150</v>
      </c>
      <c r="AV156" s="51">
        <f t="shared" si="72"/>
        <v>0</v>
      </c>
      <c r="AW156" s="51">
        <f t="shared" si="73"/>
        <v>0</v>
      </c>
      <c r="AX156" s="51">
        <f t="shared" si="74"/>
        <v>0</v>
      </c>
      <c r="AY156" s="53" t="s">
        <v>409</v>
      </c>
      <c r="AZ156" s="53" t="s">
        <v>342</v>
      </c>
      <c r="BA156" s="35" t="s">
        <v>117</v>
      </c>
      <c r="BC156" s="51">
        <f t="shared" si="75"/>
        <v>0</v>
      </c>
      <c r="BD156" s="51">
        <f t="shared" si="76"/>
        <v>0</v>
      </c>
      <c r="BE156" s="51">
        <v>0</v>
      </c>
      <c r="BF156" s="51">
        <f>156</f>
        <v>156</v>
      </c>
      <c r="BH156" s="51">
        <f t="shared" si="77"/>
        <v>0</v>
      </c>
      <c r="BI156" s="51">
        <f t="shared" si="78"/>
        <v>0</v>
      </c>
      <c r="BJ156" s="51">
        <f t="shared" si="79"/>
        <v>0</v>
      </c>
      <c r="BK156" s="51"/>
      <c r="BL156" s="51">
        <v>725</v>
      </c>
      <c r="BW156" s="51">
        <v>12</v>
      </c>
      <c r="BX156" s="3" t="s">
        <v>449</v>
      </c>
    </row>
    <row r="157" spans="1:76">
      <c r="A157" s="1" t="s">
        <v>450</v>
      </c>
      <c r="B157" s="2" t="s">
        <v>451</v>
      </c>
      <c r="C157" s="75" t="s">
        <v>452</v>
      </c>
      <c r="D157" s="70"/>
      <c r="E157" s="2" t="s">
        <v>408</v>
      </c>
      <c r="F157" s="51">
        <v>1</v>
      </c>
      <c r="G157" s="52">
        <v>0</v>
      </c>
      <c r="H157" s="51">
        <f t="shared" si="60"/>
        <v>0</v>
      </c>
      <c r="J157" s="41"/>
      <c r="Z157" s="51">
        <f t="shared" si="61"/>
        <v>0</v>
      </c>
      <c r="AB157" s="51">
        <f t="shared" si="62"/>
        <v>0</v>
      </c>
      <c r="AC157" s="51">
        <f t="shared" si="63"/>
        <v>0</v>
      </c>
      <c r="AD157" s="51">
        <f t="shared" si="64"/>
        <v>0</v>
      </c>
      <c r="AE157" s="51">
        <f t="shared" si="65"/>
        <v>0</v>
      </c>
      <c r="AF157" s="51">
        <f t="shared" si="66"/>
        <v>0</v>
      </c>
      <c r="AG157" s="51">
        <f t="shared" si="67"/>
        <v>0</v>
      </c>
      <c r="AH157" s="51">
        <f t="shared" si="68"/>
        <v>0</v>
      </c>
      <c r="AI157" s="35" t="s">
        <v>4</v>
      </c>
      <c r="AJ157" s="51">
        <f t="shared" si="69"/>
        <v>0</v>
      </c>
      <c r="AK157" s="51">
        <f t="shared" si="70"/>
        <v>0</v>
      </c>
      <c r="AL157" s="51">
        <f t="shared" si="71"/>
        <v>0</v>
      </c>
      <c r="AN157" s="51">
        <v>12</v>
      </c>
      <c r="AO157" s="51">
        <f>G157*0.898312354</f>
        <v>0</v>
      </c>
      <c r="AP157" s="51">
        <f>G157*(1-0.898312354)</f>
        <v>0</v>
      </c>
      <c r="AQ157" s="53" t="s">
        <v>150</v>
      </c>
      <c r="AV157" s="51">
        <f t="shared" si="72"/>
        <v>0</v>
      </c>
      <c r="AW157" s="51">
        <f t="shared" si="73"/>
        <v>0</v>
      </c>
      <c r="AX157" s="51">
        <f t="shared" si="74"/>
        <v>0</v>
      </c>
      <c r="AY157" s="53" t="s">
        <v>409</v>
      </c>
      <c r="AZ157" s="53" t="s">
        <v>342</v>
      </c>
      <c r="BA157" s="35" t="s">
        <v>117</v>
      </c>
      <c r="BC157" s="51">
        <f t="shared" si="75"/>
        <v>0</v>
      </c>
      <c r="BD157" s="51">
        <f t="shared" si="76"/>
        <v>0</v>
      </c>
      <c r="BE157" s="51">
        <v>0</v>
      </c>
      <c r="BF157" s="51">
        <f>157</f>
        <v>157</v>
      </c>
      <c r="BH157" s="51">
        <f t="shared" si="77"/>
        <v>0</v>
      </c>
      <c r="BI157" s="51">
        <f t="shared" si="78"/>
        <v>0</v>
      </c>
      <c r="BJ157" s="51">
        <f t="shared" si="79"/>
        <v>0</v>
      </c>
      <c r="BK157" s="51"/>
      <c r="BL157" s="51">
        <v>725</v>
      </c>
      <c r="BW157" s="51">
        <v>12</v>
      </c>
      <c r="BX157" s="3" t="s">
        <v>452</v>
      </c>
    </row>
    <row r="158" spans="1:76">
      <c r="A158" s="1" t="s">
        <v>453</v>
      </c>
      <c r="B158" s="2" t="s">
        <v>454</v>
      </c>
      <c r="C158" s="75" t="s">
        <v>455</v>
      </c>
      <c r="D158" s="70"/>
      <c r="E158" s="2" t="s">
        <v>408</v>
      </c>
      <c r="F158" s="51">
        <v>1</v>
      </c>
      <c r="G158" s="52">
        <v>0</v>
      </c>
      <c r="H158" s="51">
        <f t="shared" si="60"/>
        <v>0</v>
      </c>
      <c r="J158" s="41"/>
      <c r="Z158" s="51">
        <f t="shared" si="61"/>
        <v>0</v>
      </c>
      <c r="AB158" s="51">
        <f t="shared" si="62"/>
        <v>0</v>
      </c>
      <c r="AC158" s="51">
        <f t="shared" si="63"/>
        <v>0</v>
      </c>
      <c r="AD158" s="51">
        <f t="shared" si="64"/>
        <v>0</v>
      </c>
      <c r="AE158" s="51">
        <f t="shared" si="65"/>
        <v>0</v>
      </c>
      <c r="AF158" s="51">
        <f t="shared" si="66"/>
        <v>0</v>
      </c>
      <c r="AG158" s="51">
        <f t="shared" si="67"/>
        <v>0</v>
      </c>
      <c r="AH158" s="51">
        <f t="shared" si="68"/>
        <v>0</v>
      </c>
      <c r="AI158" s="35" t="s">
        <v>4</v>
      </c>
      <c r="AJ158" s="51">
        <f t="shared" si="69"/>
        <v>0</v>
      </c>
      <c r="AK158" s="51">
        <f t="shared" si="70"/>
        <v>0</v>
      </c>
      <c r="AL158" s="51">
        <f t="shared" si="71"/>
        <v>0</v>
      </c>
      <c r="AN158" s="51">
        <v>12</v>
      </c>
      <c r="AO158" s="51">
        <f>G158*0.775035629</f>
        <v>0</v>
      </c>
      <c r="AP158" s="51">
        <f>G158*(1-0.775035629)</f>
        <v>0</v>
      </c>
      <c r="AQ158" s="53" t="s">
        <v>150</v>
      </c>
      <c r="AV158" s="51">
        <f t="shared" si="72"/>
        <v>0</v>
      </c>
      <c r="AW158" s="51">
        <f t="shared" si="73"/>
        <v>0</v>
      </c>
      <c r="AX158" s="51">
        <f t="shared" si="74"/>
        <v>0</v>
      </c>
      <c r="AY158" s="53" t="s">
        <v>409</v>
      </c>
      <c r="AZ158" s="53" t="s">
        <v>342</v>
      </c>
      <c r="BA158" s="35" t="s">
        <v>117</v>
      </c>
      <c r="BC158" s="51">
        <f t="shared" si="75"/>
        <v>0</v>
      </c>
      <c r="BD158" s="51">
        <f t="shared" si="76"/>
        <v>0</v>
      </c>
      <c r="BE158" s="51">
        <v>0</v>
      </c>
      <c r="BF158" s="51">
        <f>158</f>
        <v>158</v>
      </c>
      <c r="BH158" s="51">
        <f t="shared" si="77"/>
        <v>0</v>
      </c>
      <c r="BI158" s="51">
        <f t="shared" si="78"/>
        <v>0</v>
      </c>
      <c r="BJ158" s="51">
        <f t="shared" si="79"/>
        <v>0</v>
      </c>
      <c r="BK158" s="51"/>
      <c r="BL158" s="51">
        <v>725</v>
      </c>
      <c r="BW158" s="51">
        <v>12</v>
      </c>
      <c r="BX158" s="3" t="s">
        <v>455</v>
      </c>
    </row>
    <row r="159" spans="1:76">
      <c r="A159" s="1" t="s">
        <v>456</v>
      </c>
      <c r="B159" s="2" t="s">
        <v>457</v>
      </c>
      <c r="C159" s="75" t="s">
        <v>458</v>
      </c>
      <c r="D159" s="70"/>
      <c r="E159" s="2" t="s">
        <v>408</v>
      </c>
      <c r="F159" s="51">
        <v>3</v>
      </c>
      <c r="G159" s="52">
        <v>0</v>
      </c>
      <c r="H159" s="51">
        <f t="shared" si="60"/>
        <v>0</v>
      </c>
      <c r="J159" s="41"/>
      <c r="Z159" s="51">
        <f t="shared" si="61"/>
        <v>0</v>
      </c>
      <c r="AB159" s="51">
        <f t="shared" si="62"/>
        <v>0</v>
      </c>
      <c r="AC159" s="51">
        <f t="shared" si="63"/>
        <v>0</v>
      </c>
      <c r="AD159" s="51">
        <f t="shared" si="64"/>
        <v>0</v>
      </c>
      <c r="AE159" s="51">
        <f t="shared" si="65"/>
        <v>0</v>
      </c>
      <c r="AF159" s="51">
        <f t="shared" si="66"/>
        <v>0</v>
      </c>
      <c r="AG159" s="51">
        <f t="shared" si="67"/>
        <v>0</v>
      </c>
      <c r="AH159" s="51">
        <f t="shared" si="68"/>
        <v>0</v>
      </c>
      <c r="AI159" s="35" t="s">
        <v>4</v>
      </c>
      <c r="AJ159" s="51">
        <f t="shared" si="69"/>
        <v>0</v>
      </c>
      <c r="AK159" s="51">
        <f t="shared" si="70"/>
        <v>0</v>
      </c>
      <c r="AL159" s="51">
        <f t="shared" si="71"/>
        <v>0</v>
      </c>
      <c r="AN159" s="51">
        <v>12</v>
      </c>
      <c r="AO159" s="51">
        <f>G159*0.785723982</f>
        <v>0</v>
      </c>
      <c r="AP159" s="51">
        <f>G159*(1-0.785723982)</f>
        <v>0</v>
      </c>
      <c r="AQ159" s="53" t="s">
        <v>150</v>
      </c>
      <c r="AV159" s="51">
        <f t="shared" si="72"/>
        <v>0</v>
      </c>
      <c r="AW159" s="51">
        <f t="shared" si="73"/>
        <v>0</v>
      </c>
      <c r="AX159" s="51">
        <f t="shared" si="74"/>
        <v>0</v>
      </c>
      <c r="AY159" s="53" t="s">
        <v>409</v>
      </c>
      <c r="AZ159" s="53" t="s">
        <v>342</v>
      </c>
      <c r="BA159" s="35" t="s">
        <v>117</v>
      </c>
      <c r="BC159" s="51">
        <f t="shared" si="75"/>
        <v>0</v>
      </c>
      <c r="BD159" s="51">
        <f t="shared" si="76"/>
        <v>0</v>
      </c>
      <c r="BE159" s="51">
        <v>0</v>
      </c>
      <c r="BF159" s="51">
        <f>159</f>
        <v>159</v>
      </c>
      <c r="BH159" s="51">
        <f t="shared" si="77"/>
        <v>0</v>
      </c>
      <c r="BI159" s="51">
        <f t="shared" si="78"/>
        <v>0</v>
      </c>
      <c r="BJ159" s="51">
        <f t="shared" si="79"/>
        <v>0</v>
      </c>
      <c r="BK159" s="51"/>
      <c r="BL159" s="51">
        <v>725</v>
      </c>
      <c r="BW159" s="51">
        <v>12</v>
      </c>
      <c r="BX159" s="3" t="s">
        <v>458</v>
      </c>
    </row>
    <row r="160" spans="1:76">
      <c r="A160" s="1" t="s">
        <v>459</v>
      </c>
      <c r="B160" s="2" t="s">
        <v>460</v>
      </c>
      <c r="C160" s="75" t="s">
        <v>461</v>
      </c>
      <c r="D160" s="70"/>
      <c r="E160" s="2" t="s">
        <v>135</v>
      </c>
      <c r="F160" s="51">
        <v>1</v>
      </c>
      <c r="G160" s="52">
        <v>0</v>
      </c>
      <c r="H160" s="51">
        <f t="shared" si="60"/>
        <v>0</v>
      </c>
      <c r="J160" s="41"/>
      <c r="Z160" s="51">
        <f t="shared" si="61"/>
        <v>0</v>
      </c>
      <c r="AB160" s="51">
        <f t="shared" si="62"/>
        <v>0</v>
      </c>
      <c r="AC160" s="51">
        <f t="shared" si="63"/>
        <v>0</v>
      </c>
      <c r="AD160" s="51">
        <f t="shared" si="64"/>
        <v>0</v>
      </c>
      <c r="AE160" s="51">
        <f t="shared" si="65"/>
        <v>0</v>
      </c>
      <c r="AF160" s="51">
        <f t="shared" si="66"/>
        <v>0</v>
      </c>
      <c r="AG160" s="51">
        <f t="shared" si="67"/>
        <v>0</v>
      </c>
      <c r="AH160" s="51">
        <f t="shared" si="68"/>
        <v>0</v>
      </c>
      <c r="AI160" s="35" t="s">
        <v>4</v>
      </c>
      <c r="AJ160" s="51">
        <f t="shared" si="69"/>
        <v>0</v>
      </c>
      <c r="AK160" s="51">
        <f t="shared" si="70"/>
        <v>0</v>
      </c>
      <c r="AL160" s="51">
        <f t="shared" si="71"/>
        <v>0</v>
      </c>
      <c r="AN160" s="51">
        <v>12</v>
      </c>
      <c r="AO160" s="51">
        <f>G160*1</f>
        <v>0</v>
      </c>
      <c r="AP160" s="51">
        <f>G160*(1-1)</f>
        <v>0</v>
      </c>
      <c r="AQ160" s="53" t="s">
        <v>150</v>
      </c>
      <c r="AV160" s="51">
        <f t="shared" si="72"/>
        <v>0</v>
      </c>
      <c r="AW160" s="51">
        <f t="shared" si="73"/>
        <v>0</v>
      </c>
      <c r="AX160" s="51">
        <f t="shared" si="74"/>
        <v>0</v>
      </c>
      <c r="AY160" s="53" t="s">
        <v>409</v>
      </c>
      <c r="AZ160" s="53" t="s">
        <v>342</v>
      </c>
      <c r="BA160" s="35" t="s">
        <v>117</v>
      </c>
      <c r="BC160" s="51">
        <f t="shared" si="75"/>
        <v>0</v>
      </c>
      <c r="BD160" s="51">
        <f t="shared" si="76"/>
        <v>0</v>
      </c>
      <c r="BE160" s="51">
        <v>0</v>
      </c>
      <c r="BF160" s="51">
        <f>160</f>
        <v>160</v>
      </c>
      <c r="BH160" s="51">
        <f t="shared" si="77"/>
        <v>0</v>
      </c>
      <c r="BI160" s="51">
        <f t="shared" si="78"/>
        <v>0</v>
      </c>
      <c r="BJ160" s="51">
        <f t="shared" si="79"/>
        <v>0</v>
      </c>
      <c r="BK160" s="51"/>
      <c r="BL160" s="51">
        <v>725</v>
      </c>
      <c r="BW160" s="51">
        <v>12</v>
      </c>
      <c r="BX160" s="3" t="s">
        <v>461</v>
      </c>
    </row>
    <row r="161" spans="1:76">
      <c r="A161" s="1" t="s">
        <v>462</v>
      </c>
      <c r="B161" s="2" t="s">
        <v>463</v>
      </c>
      <c r="C161" s="75" t="s">
        <v>464</v>
      </c>
      <c r="D161" s="70"/>
      <c r="E161" s="2" t="s">
        <v>135</v>
      </c>
      <c r="F161" s="51">
        <v>1</v>
      </c>
      <c r="G161" s="52">
        <v>0</v>
      </c>
      <c r="H161" s="51">
        <f t="shared" si="60"/>
        <v>0</v>
      </c>
      <c r="J161" s="41"/>
      <c r="Z161" s="51">
        <f t="shared" si="61"/>
        <v>0</v>
      </c>
      <c r="AB161" s="51">
        <f t="shared" si="62"/>
        <v>0</v>
      </c>
      <c r="AC161" s="51">
        <f t="shared" si="63"/>
        <v>0</v>
      </c>
      <c r="AD161" s="51">
        <f t="shared" si="64"/>
        <v>0</v>
      </c>
      <c r="AE161" s="51">
        <f t="shared" si="65"/>
        <v>0</v>
      </c>
      <c r="AF161" s="51">
        <f t="shared" si="66"/>
        <v>0</v>
      </c>
      <c r="AG161" s="51">
        <f t="shared" si="67"/>
        <v>0</v>
      </c>
      <c r="AH161" s="51">
        <f t="shared" si="68"/>
        <v>0</v>
      </c>
      <c r="AI161" s="35" t="s">
        <v>4</v>
      </c>
      <c r="AJ161" s="51">
        <f t="shared" si="69"/>
        <v>0</v>
      </c>
      <c r="AK161" s="51">
        <f t="shared" si="70"/>
        <v>0</v>
      </c>
      <c r="AL161" s="51">
        <f t="shared" si="71"/>
        <v>0</v>
      </c>
      <c r="AN161" s="51">
        <v>12</v>
      </c>
      <c r="AO161" s="51">
        <f>G161*1</f>
        <v>0</v>
      </c>
      <c r="AP161" s="51">
        <f>G161*(1-1)</f>
        <v>0</v>
      </c>
      <c r="AQ161" s="53" t="s">
        <v>150</v>
      </c>
      <c r="AV161" s="51">
        <f t="shared" si="72"/>
        <v>0</v>
      </c>
      <c r="AW161" s="51">
        <f t="shared" si="73"/>
        <v>0</v>
      </c>
      <c r="AX161" s="51">
        <f t="shared" si="74"/>
        <v>0</v>
      </c>
      <c r="AY161" s="53" t="s">
        <v>409</v>
      </c>
      <c r="AZ161" s="53" t="s">
        <v>342</v>
      </c>
      <c r="BA161" s="35" t="s">
        <v>117</v>
      </c>
      <c r="BC161" s="51">
        <f t="shared" si="75"/>
        <v>0</v>
      </c>
      <c r="BD161" s="51">
        <f t="shared" si="76"/>
        <v>0</v>
      </c>
      <c r="BE161" s="51">
        <v>0</v>
      </c>
      <c r="BF161" s="51">
        <f>161</f>
        <v>161</v>
      </c>
      <c r="BH161" s="51">
        <f t="shared" si="77"/>
        <v>0</v>
      </c>
      <c r="BI161" s="51">
        <f t="shared" si="78"/>
        <v>0</v>
      </c>
      <c r="BJ161" s="51">
        <f t="shared" si="79"/>
        <v>0</v>
      </c>
      <c r="BK161" s="51"/>
      <c r="BL161" s="51">
        <v>725</v>
      </c>
      <c r="BW161" s="51">
        <v>12</v>
      </c>
      <c r="BX161" s="3" t="s">
        <v>464</v>
      </c>
    </row>
    <row r="162" spans="1:76">
      <c r="A162" s="1" t="s">
        <v>465</v>
      </c>
      <c r="B162" s="2" t="s">
        <v>466</v>
      </c>
      <c r="C162" s="75" t="s">
        <v>467</v>
      </c>
      <c r="D162" s="70"/>
      <c r="E162" s="2" t="s">
        <v>135</v>
      </c>
      <c r="F162" s="51">
        <v>1</v>
      </c>
      <c r="G162" s="52">
        <v>0</v>
      </c>
      <c r="H162" s="51">
        <f t="shared" si="60"/>
        <v>0</v>
      </c>
      <c r="J162" s="41"/>
      <c r="Z162" s="51">
        <f t="shared" si="61"/>
        <v>0</v>
      </c>
      <c r="AB162" s="51">
        <f t="shared" si="62"/>
        <v>0</v>
      </c>
      <c r="AC162" s="51">
        <f t="shared" si="63"/>
        <v>0</v>
      </c>
      <c r="AD162" s="51">
        <f t="shared" si="64"/>
        <v>0</v>
      </c>
      <c r="AE162" s="51">
        <f t="shared" si="65"/>
        <v>0</v>
      </c>
      <c r="AF162" s="51">
        <f t="shared" si="66"/>
        <v>0</v>
      </c>
      <c r="AG162" s="51">
        <f t="shared" si="67"/>
        <v>0</v>
      </c>
      <c r="AH162" s="51">
        <f t="shared" si="68"/>
        <v>0</v>
      </c>
      <c r="AI162" s="35" t="s">
        <v>4</v>
      </c>
      <c r="AJ162" s="51">
        <f t="shared" si="69"/>
        <v>0</v>
      </c>
      <c r="AK162" s="51">
        <f t="shared" si="70"/>
        <v>0</v>
      </c>
      <c r="AL162" s="51">
        <f t="shared" si="71"/>
        <v>0</v>
      </c>
      <c r="AN162" s="51">
        <v>12</v>
      </c>
      <c r="AO162" s="51">
        <f>G162*1</f>
        <v>0</v>
      </c>
      <c r="AP162" s="51">
        <f>G162*(1-1)</f>
        <v>0</v>
      </c>
      <c r="AQ162" s="53" t="s">
        <v>150</v>
      </c>
      <c r="AV162" s="51">
        <f t="shared" si="72"/>
        <v>0</v>
      </c>
      <c r="AW162" s="51">
        <f t="shared" si="73"/>
        <v>0</v>
      </c>
      <c r="AX162" s="51">
        <f t="shared" si="74"/>
        <v>0</v>
      </c>
      <c r="AY162" s="53" t="s">
        <v>409</v>
      </c>
      <c r="AZ162" s="53" t="s">
        <v>342</v>
      </c>
      <c r="BA162" s="35" t="s">
        <v>117</v>
      </c>
      <c r="BC162" s="51">
        <f t="shared" si="75"/>
        <v>0</v>
      </c>
      <c r="BD162" s="51">
        <f t="shared" si="76"/>
        <v>0</v>
      </c>
      <c r="BE162" s="51">
        <v>0</v>
      </c>
      <c r="BF162" s="51">
        <f>162</f>
        <v>162</v>
      </c>
      <c r="BH162" s="51">
        <f t="shared" si="77"/>
        <v>0</v>
      </c>
      <c r="BI162" s="51">
        <f t="shared" si="78"/>
        <v>0</v>
      </c>
      <c r="BJ162" s="51">
        <f t="shared" si="79"/>
        <v>0</v>
      </c>
      <c r="BK162" s="51"/>
      <c r="BL162" s="51">
        <v>725</v>
      </c>
      <c r="BW162" s="51">
        <v>12</v>
      </c>
      <c r="BX162" s="3" t="s">
        <v>467</v>
      </c>
    </row>
    <row r="163" spans="1:76">
      <c r="A163" s="1" t="s">
        <v>468</v>
      </c>
      <c r="B163" s="2" t="s">
        <v>469</v>
      </c>
      <c r="C163" s="75" t="s">
        <v>470</v>
      </c>
      <c r="D163" s="70"/>
      <c r="E163" s="2" t="s">
        <v>273</v>
      </c>
      <c r="F163" s="51">
        <v>0.3</v>
      </c>
      <c r="G163" s="52">
        <v>0</v>
      </c>
      <c r="H163" s="51">
        <f t="shared" si="60"/>
        <v>0</v>
      </c>
      <c r="J163" s="41"/>
      <c r="Z163" s="51">
        <f t="shared" si="61"/>
        <v>0</v>
      </c>
      <c r="AB163" s="51">
        <f t="shared" si="62"/>
        <v>0</v>
      </c>
      <c r="AC163" s="51">
        <f t="shared" si="63"/>
        <v>0</v>
      </c>
      <c r="AD163" s="51">
        <f t="shared" si="64"/>
        <v>0</v>
      </c>
      <c r="AE163" s="51">
        <f t="shared" si="65"/>
        <v>0</v>
      </c>
      <c r="AF163" s="51">
        <f t="shared" si="66"/>
        <v>0</v>
      </c>
      <c r="AG163" s="51">
        <f t="shared" si="67"/>
        <v>0</v>
      </c>
      <c r="AH163" s="51">
        <f t="shared" si="68"/>
        <v>0</v>
      </c>
      <c r="AI163" s="35" t="s">
        <v>4</v>
      </c>
      <c r="AJ163" s="51">
        <f t="shared" si="69"/>
        <v>0</v>
      </c>
      <c r="AK163" s="51">
        <f t="shared" si="70"/>
        <v>0</v>
      </c>
      <c r="AL163" s="51">
        <f t="shared" si="71"/>
        <v>0</v>
      </c>
      <c r="AN163" s="51">
        <v>12</v>
      </c>
      <c r="AO163" s="51">
        <f>G163*0</f>
        <v>0</v>
      </c>
      <c r="AP163" s="51">
        <f>G163*(1-0)</f>
        <v>0</v>
      </c>
      <c r="AQ163" s="53" t="s">
        <v>138</v>
      </c>
      <c r="AV163" s="51">
        <f t="shared" si="72"/>
        <v>0</v>
      </c>
      <c r="AW163" s="51">
        <f t="shared" si="73"/>
        <v>0</v>
      </c>
      <c r="AX163" s="51">
        <f t="shared" si="74"/>
        <v>0</v>
      </c>
      <c r="AY163" s="53" t="s">
        <v>409</v>
      </c>
      <c r="AZ163" s="53" t="s">
        <v>342</v>
      </c>
      <c r="BA163" s="35" t="s">
        <v>117</v>
      </c>
      <c r="BC163" s="51">
        <f t="shared" si="75"/>
        <v>0</v>
      </c>
      <c r="BD163" s="51">
        <f t="shared" si="76"/>
        <v>0</v>
      </c>
      <c r="BE163" s="51">
        <v>0</v>
      </c>
      <c r="BF163" s="51">
        <f>163</f>
        <v>163</v>
      </c>
      <c r="BH163" s="51">
        <f t="shared" si="77"/>
        <v>0</v>
      </c>
      <c r="BI163" s="51">
        <f t="shared" si="78"/>
        <v>0</v>
      </c>
      <c r="BJ163" s="51">
        <f t="shared" si="79"/>
        <v>0</v>
      </c>
      <c r="BK163" s="51"/>
      <c r="BL163" s="51">
        <v>725</v>
      </c>
      <c r="BW163" s="51">
        <v>12</v>
      </c>
      <c r="BX163" s="3" t="s">
        <v>470</v>
      </c>
    </row>
    <row r="164" spans="1:76">
      <c r="A164" s="47" t="s">
        <v>4</v>
      </c>
      <c r="B164" s="48" t="s">
        <v>471</v>
      </c>
      <c r="C164" s="150" t="s">
        <v>472</v>
      </c>
      <c r="D164" s="151"/>
      <c r="E164" s="49" t="s">
        <v>79</v>
      </c>
      <c r="F164" s="49" t="s">
        <v>79</v>
      </c>
      <c r="G164" s="50" t="s">
        <v>79</v>
      </c>
      <c r="H164" s="28">
        <f>SUM(H165:H167)</f>
        <v>0</v>
      </c>
      <c r="J164" s="41"/>
      <c r="AI164" s="35" t="s">
        <v>4</v>
      </c>
      <c r="AS164" s="28">
        <f>SUM(AJ165:AJ167)</f>
        <v>0</v>
      </c>
      <c r="AT164" s="28">
        <f>SUM(AK165:AK167)</f>
        <v>0</v>
      </c>
      <c r="AU164" s="28">
        <f>SUM(AL165:AL167)</f>
        <v>0</v>
      </c>
    </row>
    <row r="165" spans="1:76">
      <c r="A165" s="1" t="s">
        <v>473</v>
      </c>
      <c r="B165" s="2" t="s">
        <v>474</v>
      </c>
      <c r="C165" s="75" t="s">
        <v>475</v>
      </c>
      <c r="D165" s="70"/>
      <c r="E165" s="2" t="s">
        <v>408</v>
      </c>
      <c r="F165" s="51">
        <v>1</v>
      </c>
      <c r="G165" s="52">
        <v>0</v>
      </c>
      <c r="H165" s="51">
        <f>F165*G165</f>
        <v>0</v>
      </c>
      <c r="J165" s="41"/>
      <c r="Z165" s="51">
        <f>IF(AQ165="5",BJ165,0)</f>
        <v>0</v>
      </c>
      <c r="AB165" s="51">
        <f>IF(AQ165="1",BH165,0)</f>
        <v>0</v>
      </c>
      <c r="AC165" s="51">
        <f>IF(AQ165="1",BI165,0)</f>
        <v>0</v>
      </c>
      <c r="AD165" s="51">
        <f>IF(AQ165="7",BH165,0)</f>
        <v>0</v>
      </c>
      <c r="AE165" s="51">
        <f>IF(AQ165="7",BI165,0)</f>
        <v>0</v>
      </c>
      <c r="AF165" s="51">
        <f>IF(AQ165="2",BH165,0)</f>
        <v>0</v>
      </c>
      <c r="AG165" s="51">
        <f>IF(AQ165="2",BI165,0)</f>
        <v>0</v>
      </c>
      <c r="AH165" s="51">
        <f>IF(AQ165="0",BJ165,0)</f>
        <v>0</v>
      </c>
      <c r="AI165" s="35" t="s">
        <v>4</v>
      </c>
      <c r="AJ165" s="51">
        <f>IF(AN165=0,H165,0)</f>
        <v>0</v>
      </c>
      <c r="AK165" s="51">
        <f>IF(AN165=12,H165,0)</f>
        <v>0</v>
      </c>
      <c r="AL165" s="51">
        <f>IF(AN165=21,H165,0)</f>
        <v>0</v>
      </c>
      <c r="AN165" s="51">
        <v>12</v>
      </c>
      <c r="AO165" s="51">
        <f>G165*0</f>
        <v>0</v>
      </c>
      <c r="AP165" s="51">
        <f>G165*(1-0)</f>
        <v>0</v>
      </c>
      <c r="AQ165" s="53" t="s">
        <v>150</v>
      </c>
      <c r="AV165" s="51">
        <f>AW165+AX165</f>
        <v>0</v>
      </c>
      <c r="AW165" s="51">
        <f>F165*AO165</f>
        <v>0</v>
      </c>
      <c r="AX165" s="51">
        <f>F165*AP165</f>
        <v>0</v>
      </c>
      <c r="AY165" s="53" t="s">
        <v>476</v>
      </c>
      <c r="AZ165" s="53" t="s">
        <v>342</v>
      </c>
      <c r="BA165" s="35" t="s">
        <v>117</v>
      </c>
      <c r="BC165" s="51">
        <f>AW165+AX165</f>
        <v>0</v>
      </c>
      <c r="BD165" s="51">
        <f>G165/(100-BE165)*100</f>
        <v>0</v>
      </c>
      <c r="BE165" s="51">
        <v>0</v>
      </c>
      <c r="BF165" s="51">
        <f>165</f>
        <v>165</v>
      </c>
      <c r="BH165" s="51">
        <f>F165*AO165</f>
        <v>0</v>
      </c>
      <c r="BI165" s="51">
        <f>F165*AP165</f>
        <v>0</v>
      </c>
      <c r="BJ165" s="51">
        <f>F165*G165</f>
        <v>0</v>
      </c>
      <c r="BK165" s="51"/>
      <c r="BL165" s="51">
        <v>728</v>
      </c>
      <c r="BW165" s="51">
        <v>12</v>
      </c>
      <c r="BX165" s="3" t="s">
        <v>475</v>
      </c>
    </row>
    <row r="166" spans="1:76">
      <c r="A166" s="1" t="s">
        <v>477</v>
      </c>
      <c r="B166" s="2" t="s">
        <v>478</v>
      </c>
      <c r="C166" s="75" t="s">
        <v>479</v>
      </c>
      <c r="D166" s="70"/>
      <c r="E166" s="2" t="s">
        <v>135</v>
      </c>
      <c r="F166" s="51">
        <v>1</v>
      </c>
      <c r="G166" s="52">
        <v>0</v>
      </c>
      <c r="H166" s="51">
        <f>F166*G166</f>
        <v>0</v>
      </c>
      <c r="J166" s="41"/>
      <c r="Z166" s="51">
        <f>IF(AQ166="5",BJ166,0)</f>
        <v>0</v>
      </c>
      <c r="AB166" s="51">
        <f>IF(AQ166="1",BH166,0)</f>
        <v>0</v>
      </c>
      <c r="AC166" s="51">
        <f>IF(AQ166="1",BI166,0)</f>
        <v>0</v>
      </c>
      <c r="AD166" s="51">
        <f>IF(AQ166="7",BH166,0)</f>
        <v>0</v>
      </c>
      <c r="AE166" s="51">
        <f>IF(AQ166="7",BI166,0)</f>
        <v>0</v>
      </c>
      <c r="AF166" s="51">
        <f>IF(AQ166="2",BH166,0)</f>
        <v>0</v>
      </c>
      <c r="AG166" s="51">
        <f>IF(AQ166="2",BI166,0)</f>
        <v>0</v>
      </c>
      <c r="AH166" s="51">
        <f>IF(AQ166="0",BJ166,0)</f>
        <v>0</v>
      </c>
      <c r="AI166" s="35" t="s">
        <v>4</v>
      </c>
      <c r="AJ166" s="51">
        <f>IF(AN166=0,H166,0)</f>
        <v>0</v>
      </c>
      <c r="AK166" s="51">
        <f>IF(AN166=12,H166,0)</f>
        <v>0</v>
      </c>
      <c r="AL166" s="51">
        <f>IF(AN166=21,H166,0)</f>
        <v>0</v>
      </c>
      <c r="AN166" s="51">
        <v>12</v>
      </c>
      <c r="AO166" s="51">
        <f>G166*0</f>
        <v>0</v>
      </c>
      <c r="AP166" s="51">
        <f>G166*(1-0)</f>
        <v>0</v>
      </c>
      <c r="AQ166" s="53" t="s">
        <v>150</v>
      </c>
      <c r="AV166" s="51">
        <f>AW166+AX166</f>
        <v>0</v>
      </c>
      <c r="AW166" s="51">
        <f>F166*AO166</f>
        <v>0</v>
      </c>
      <c r="AX166" s="51">
        <f>F166*AP166</f>
        <v>0</v>
      </c>
      <c r="AY166" s="53" t="s">
        <v>476</v>
      </c>
      <c r="AZ166" s="53" t="s">
        <v>342</v>
      </c>
      <c r="BA166" s="35" t="s">
        <v>117</v>
      </c>
      <c r="BC166" s="51">
        <f>AW166+AX166</f>
        <v>0</v>
      </c>
      <c r="BD166" s="51">
        <f>G166/(100-BE166)*100</f>
        <v>0</v>
      </c>
      <c r="BE166" s="51">
        <v>0</v>
      </c>
      <c r="BF166" s="51">
        <f>166</f>
        <v>166</v>
      </c>
      <c r="BH166" s="51">
        <f>F166*AO166</f>
        <v>0</v>
      </c>
      <c r="BI166" s="51">
        <f>F166*AP166</f>
        <v>0</v>
      </c>
      <c r="BJ166" s="51">
        <f>F166*G166</f>
        <v>0</v>
      </c>
      <c r="BK166" s="51"/>
      <c r="BL166" s="51">
        <v>728</v>
      </c>
      <c r="BW166" s="51">
        <v>12</v>
      </c>
      <c r="BX166" s="3" t="s">
        <v>479</v>
      </c>
    </row>
    <row r="167" spans="1:76">
      <c r="A167" s="1" t="s">
        <v>480</v>
      </c>
      <c r="B167" s="2" t="s">
        <v>481</v>
      </c>
      <c r="C167" s="75" t="s">
        <v>482</v>
      </c>
      <c r="D167" s="70"/>
      <c r="E167" s="2" t="s">
        <v>135</v>
      </c>
      <c r="F167" s="51">
        <v>1</v>
      </c>
      <c r="G167" s="52">
        <v>0</v>
      </c>
      <c r="H167" s="51">
        <f>F167*G167</f>
        <v>0</v>
      </c>
      <c r="J167" s="41"/>
      <c r="Z167" s="51">
        <f>IF(AQ167="5",BJ167,0)</f>
        <v>0</v>
      </c>
      <c r="AB167" s="51">
        <f>IF(AQ167="1",BH167,0)</f>
        <v>0</v>
      </c>
      <c r="AC167" s="51">
        <f>IF(AQ167="1",BI167,0)</f>
        <v>0</v>
      </c>
      <c r="AD167" s="51">
        <f>IF(AQ167="7",BH167,0)</f>
        <v>0</v>
      </c>
      <c r="AE167" s="51">
        <f>IF(AQ167="7",BI167,0)</f>
        <v>0</v>
      </c>
      <c r="AF167" s="51">
        <f>IF(AQ167="2",BH167,0)</f>
        <v>0</v>
      </c>
      <c r="AG167" s="51">
        <f>IF(AQ167="2",BI167,0)</f>
        <v>0</v>
      </c>
      <c r="AH167" s="51">
        <f>IF(AQ167="0",BJ167,0)</f>
        <v>0</v>
      </c>
      <c r="AI167" s="35" t="s">
        <v>4</v>
      </c>
      <c r="AJ167" s="51">
        <f>IF(AN167=0,H167,0)</f>
        <v>0</v>
      </c>
      <c r="AK167" s="51">
        <f>IF(AN167=12,H167,0)</f>
        <v>0</v>
      </c>
      <c r="AL167" s="51">
        <f>IF(AN167=21,H167,0)</f>
        <v>0</v>
      </c>
      <c r="AN167" s="51">
        <v>12</v>
      </c>
      <c r="AO167" s="51">
        <f>G167*1</f>
        <v>0</v>
      </c>
      <c r="AP167" s="51">
        <f>G167*(1-1)</f>
        <v>0</v>
      </c>
      <c r="AQ167" s="53" t="s">
        <v>150</v>
      </c>
      <c r="AV167" s="51">
        <f>AW167+AX167</f>
        <v>0</v>
      </c>
      <c r="AW167" s="51">
        <f>F167*AO167</f>
        <v>0</v>
      </c>
      <c r="AX167" s="51">
        <f>F167*AP167</f>
        <v>0</v>
      </c>
      <c r="AY167" s="53" t="s">
        <v>476</v>
      </c>
      <c r="AZ167" s="53" t="s">
        <v>342</v>
      </c>
      <c r="BA167" s="35" t="s">
        <v>117</v>
      </c>
      <c r="BC167" s="51">
        <f>AW167+AX167</f>
        <v>0</v>
      </c>
      <c r="BD167" s="51">
        <f>G167/(100-BE167)*100</f>
        <v>0</v>
      </c>
      <c r="BE167" s="51">
        <v>0</v>
      </c>
      <c r="BF167" s="51">
        <f>167</f>
        <v>167</v>
      </c>
      <c r="BH167" s="51">
        <f>F167*AO167</f>
        <v>0</v>
      </c>
      <c r="BI167" s="51">
        <f>F167*AP167</f>
        <v>0</v>
      </c>
      <c r="BJ167" s="51">
        <f>F167*G167</f>
        <v>0</v>
      </c>
      <c r="BK167" s="51"/>
      <c r="BL167" s="51">
        <v>728</v>
      </c>
      <c r="BW167" s="51">
        <v>12</v>
      </c>
      <c r="BX167" s="3" t="s">
        <v>482</v>
      </c>
    </row>
    <row r="168" spans="1:76">
      <c r="A168" s="47" t="s">
        <v>4</v>
      </c>
      <c r="B168" s="48" t="s">
        <v>483</v>
      </c>
      <c r="C168" s="150" t="s">
        <v>484</v>
      </c>
      <c r="D168" s="151"/>
      <c r="E168" s="49" t="s">
        <v>79</v>
      </c>
      <c r="F168" s="49" t="s">
        <v>79</v>
      </c>
      <c r="G168" s="50" t="s">
        <v>79</v>
      </c>
      <c r="H168" s="28">
        <f>SUM(H169:H169)</f>
        <v>0</v>
      </c>
      <c r="J168" s="41"/>
      <c r="AI168" s="35" t="s">
        <v>4</v>
      </c>
      <c r="AS168" s="28">
        <f>SUM(AJ169:AJ169)</f>
        <v>0</v>
      </c>
      <c r="AT168" s="28">
        <f>SUM(AK169:AK169)</f>
        <v>0</v>
      </c>
      <c r="AU168" s="28">
        <f>SUM(AL169:AL169)</f>
        <v>0</v>
      </c>
    </row>
    <row r="169" spans="1:76">
      <c r="A169" s="1" t="s">
        <v>485</v>
      </c>
      <c r="B169" s="2" t="s">
        <v>486</v>
      </c>
      <c r="C169" s="75" t="s">
        <v>487</v>
      </c>
      <c r="D169" s="70"/>
      <c r="E169" s="2" t="s">
        <v>251</v>
      </c>
      <c r="F169" s="51">
        <v>1</v>
      </c>
      <c r="G169" s="52">
        <v>0</v>
      </c>
      <c r="H169" s="51">
        <f>F169*G169</f>
        <v>0</v>
      </c>
      <c r="J169" s="41"/>
      <c r="Z169" s="51">
        <f>IF(AQ169="5",BJ169,0)</f>
        <v>0</v>
      </c>
      <c r="AB169" s="51">
        <f>IF(AQ169="1",BH169,0)</f>
        <v>0</v>
      </c>
      <c r="AC169" s="51">
        <f>IF(AQ169="1",BI169,0)</f>
        <v>0</v>
      </c>
      <c r="AD169" s="51">
        <f>IF(AQ169="7",BH169,0)</f>
        <v>0</v>
      </c>
      <c r="AE169" s="51">
        <f>IF(AQ169="7",BI169,0)</f>
        <v>0</v>
      </c>
      <c r="AF169" s="51">
        <f>IF(AQ169="2",BH169,0)</f>
        <v>0</v>
      </c>
      <c r="AG169" s="51">
        <f>IF(AQ169="2",BI169,0)</f>
        <v>0</v>
      </c>
      <c r="AH169" s="51">
        <f>IF(AQ169="0",BJ169,0)</f>
        <v>0</v>
      </c>
      <c r="AI169" s="35" t="s">
        <v>4</v>
      </c>
      <c r="AJ169" s="51">
        <f>IF(AN169=0,H169,0)</f>
        <v>0</v>
      </c>
      <c r="AK169" s="51">
        <f>IF(AN169=12,H169,0)</f>
        <v>0</v>
      </c>
      <c r="AL169" s="51">
        <f>IF(AN169=21,H169,0)</f>
        <v>0</v>
      </c>
      <c r="AN169" s="51">
        <v>12</v>
      </c>
      <c r="AO169" s="51">
        <f>G169*0.3452</f>
        <v>0</v>
      </c>
      <c r="AP169" s="51">
        <f>G169*(1-0.3452)</f>
        <v>0</v>
      </c>
      <c r="AQ169" s="53" t="s">
        <v>150</v>
      </c>
      <c r="AV169" s="51">
        <f>AW169+AX169</f>
        <v>0</v>
      </c>
      <c r="AW169" s="51">
        <f>F169*AO169</f>
        <v>0</v>
      </c>
      <c r="AX169" s="51">
        <f>F169*AP169</f>
        <v>0</v>
      </c>
      <c r="AY169" s="53" t="s">
        <v>488</v>
      </c>
      <c r="AZ169" s="53" t="s">
        <v>489</v>
      </c>
      <c r="BA169" s="35" t="s">
        <v>117</v>
      </c>
      <c r="BC169" s="51">
        <f>AW169+AX169</f>
        <v>0</v>
      </c>
      <c r="BD169" s="51">
        <f>G169/(100-BE169)*100</f>
        <v>0</v>
      </c>
      <c r="BE169" s="51">
        <v>0</v>
      </c>
      <c r="BF169" s="51">
        <f>169</f>
        <v>169</v>
      </c>
      <c r="BH169" s="51">
        <f>F169*AO169</f>
        <v>0</v>
      </c>
      <c r="BI169" s="51">
        <f>F169*AP169</f>
        <v>0</v>
      </c>
      <c r="BJ169" s="51">
        <f>F169*G169</f>
        <v>0</v>
      </c>
      <c r="BK169" s="51"/>
      <c r="BL169" s="51">
        <v>735</v>
      </c>
      <c r="BW169" s="51">
        <v>12</v>
      </c>
      <c r="BX169" s="3" t="s">
        <v>487</v>
      </c>
    </row>
    <row r="170" spans="1:76">
      <c r="A170" s="47" t="s">
        <v>4</v>
      </c>
      <c r="B170" s="48" t="s">
        <v>490</v>
      </c>
      <c r="C170" s="150" t="s">
        <v>491</v>
      </c>
      <c r="D170" s="151"/>
      <c r="E170" s="49" t="s">
        <v>79</v>
      </c>
      <c r="F170" s="49" t="s">
        <v>79</v>
      </c>
      <c r="G170" s="50" t="s">
        <v>79</v>
      </c>
      <c r="H170" s="28">
        <f>SUM(H171:H184)</f>
        <v>0</v>
      </c>
      <c r="J170" s="41"/>
      <c r="AI170" s="35" t="s">
        <v>4</v>
      </c>
      <c r="AS170" s="28">
        <f>SUM(AJ171:AJ184)</f>
        <v>0</v>
      </c>
      <c r="AT170" s="28">
        <f>SUM(AK171:AK184)</f>
        <v>0</v>
      </c>
      <c r="AU170" s="28">
        <f>SUM(AL171:AL184)</f>
        <v>0</v>
      </c>
    </row>
    <row r="171" spans="1:76">
      <c r="A171" s="1" t="s">
        <v>492</v>
      </c>
      <c r="B171" s="2" t="s">
        <v>493</v>
      </c>
      <c r="C171" s="75" t="s">
        <v>494</v>
      </c>
      <c r="D171" s="70"/>
      <c r="E171" s="2" t="s">
        <v>135</v>
      </c>
      <c r="F171" s="51">
        <v>3</v>
      </c>
      <c r="G171" s="52">
        <v>0</v>
      </c>
      <c r="H171" s="51">
        <f t="shared" ref="H171:H179" si="80">F171*G171</f>
        <v>0</v>
      </c>
      <c r="J171" s="41"/>
      <c r="Z171" s="51">
        <f t="shared" ref="Z171:Z179" si="81">IF(AQ171="5",BJ171,0)</f>
        <v>0</v>
      </c>
      <c r="AB171" s="51">
        <f t="shared" ref="AB171:AB179" si="82">IF(AQ171="1",BH171,0)</f>
        <v>0</v>
      </c>
      <c r="AC171" s="51">
        <f t="shared" ref="AC171:AC179" si="83">IF(AQ171="1",BI171,0)</f>
        <v>0</v>
      </c>
      <c r="AD171" s="51">
        <f t="shared" ref="AD171:AD179" si="84">IF(AQ171="7",BH171,0)</f>
        <v>0</v>
      </c>
      <c r="AE171" s="51">
        <f t="shared" ref="AE171:AE179" si="85">IF(AQ171="7",BI171,0)</f>
        <v>0</v>
      </c>
      <c r="AF171" s="51">
        <f t="shared" ref="AF171:AF179" si="86">IF(AQ171="2",BH171,0)</f>
        <v>0</v>
      </c>
      <c r="AG171" s="51">
        <f t="shared" ref="AG171:AG179" si="87">IF(AQ171="2",BI171,0)</f>
        <v>0</v>
      </c>
      <c r="AH171" s="51">
        <f t="shared" ref="AH171:AH179" si="88">IF(AQ171="0",BJ171,0)</f>
        <v>0</v>
      </c>
      <c r="AI171" s="35" t="s">
        <v>4</v>
      </c>
      <c r="AJ171" s="51">
        <f t="shared" ref="AJ171:AJ179" si="89">IF(AN171=0,H171,0)</f>
        <v>0</v>
      </c>
      <c r="AK171" s="51">
        <f t="shared" ref="AK171:AK179" si="90">IF(AN171=12,H171,0)</f>
        <v>0</v>
      </c>
      <c r="AL171" s="51">
        <f t="shared" ref="AL171:AL179" si="91">IF(AN171=21,H171,0)</f>
        <v>0</v>
      </c>
      <c r="AN171" s="51">
        <v>12</v>
      </c>
      <c r="AO171" s="51">
        <f t="shared" ref="AO171:AO178" si="92">G171*0</f>
        <v>0</v>
      </c>
      <c r="AP171" s="51">
        <f t="shared" ref="AP171:AP178" si="93">G171*(1-0)</f>
        <v>0</v>
      </c>
      <c r="AQ171" s="53" t="s">
        <v>150</v>
      </c>
      <c r="AV171" s="51">
        <f t="shared" ref="AV171:AV179" si="94">AW171+AX171</f>
        <v>0</v>
      </c>
      <c r="AW171" s="51">
        <f t="shared" ref="AW171:AW179" si="95">F171*AO171</f>
        <v>0</v>
      </c>
      <c r="AX171" s="51">
        <f t="shared" ref="AX171:AX179" si="96">F171*AP171</f>
        <v>0</v>
      </c>
      <c r="AY171" s="53" t="s">
        <v>495</v>
      </c>
      <c r="AZ171" s="53" t="s">
        <v>496</v>
      </c>
      <c r="BA171" s="35" t="s">
        <v>117</v>
      </c>
      <c r="BC171" s="51">
        <f t="shared" ref="BC171:BC179" si="97">AW171+AX171</f>
        <v>0</v>
      </c>
      <c r="BD171" s="51">
        <f t="shared" ref="BD171:BD179" si="98">G171/(100-BE171)*100</f>
        <v>0</v>
      </c>
      <c r="BE171" s="51">
        <v>0</v>
      </c>
      <c r="BF171" s="51">
        <f>171</f>
        <v>171</v>
      </c>
      <c r="BH171" s="51">
        <f t="shared" ref="BH171:BH179" si="99">F171*AO171</f>
        <v>0</v>
      </c>
      <c r="BI171" s="51">
        <f t="shared" ref="BI171:BI179" si="100">F171*AP171</f>
        <v>0</v>
      </c>
      <c r="BJ171" s="51">
        <f t="shared" ref="BJ171:BJ179" si="101">F171*G171</f>
        <v>0</v>
      </c>
      <c r="BK171" s="51"/>
      <c r="BL171" s="51">
        <v>766</v>
      </c>
      <c r="BW171" s="51">
        <v>12</v>
      </c>
      <c r="BX171" s="3" t="s">
        <v>494</v>
      </c>
    </row>
    <row r="172" spans="1:76">
      <c r="A172" s="1" t="s">
        <v>497</v>
      </c>
      <c r="B172" s="2" t="s">
        <v>498</v>
      </c>
      <c r="C172" s="75" t="s">
        <v>499</v>
      </c>
      <c r="D172" s="70"/>
      <c r="E172" s="2" t="s">
        <v>135</v>
      </c>
      <c r="F172" s="51">
        <v>1</v>
      </c>
      <c r="G172" s="52">
        <v>0</v>
      </c>
      <c r="H172" s="51">
        <f t="shared" si="80"/>
        <v>0</v>
      </c>
      <c r="J172" s="41"/>
      <c r="Z172" s="51">
        <f t="shared" si="81"/>
        <v>0</v>
      </c>
      <c r="AB172" s="51">
        <f t="shared" si="82"/>
        <v>0</v>
      </c>
      <c r="AC172" s="51">
        <f t="shared" si="83"/>
        <v>0</v>
      </c>
      <c r="AD172" s="51">
        <f t="shared" si="84"/>
        <v>0</v>
      </c>
      <c r="AE172" s="51">
        <f t="shared" si="85"/>
        <v>0</v>
      </c>
      <c r="AF172" s="51">
        <f t="shared" si="86"/>
        <v>0</v>
      </c>
      <c r="AG172" s="51">
        <f t="shared" si="87"/>
        <v>0</v>
      </c>
      <c r="AH172" s="51">
        <f t="shared" si="88"/>
        <v>0</v>
      </c>
      <c r="AI172" s="35" t="s">
        <v>4</v>
      </c>
      <c r="AJ172" s="51">
        <f t="shared" si="89"/>
        <v>0</v>
      </c>
      <c r="AK172" s="51">
        <f t="shared" si="90"/>
        <v>0</v>
      </c>
      <c r="AL172" s="51">
        <f t="shared" si="91"/>
        <v>0</v>
      </c>
      <c r="AN172" s="51">
        <v>12</v>
      </c>
      <c r="AO172" s="51">
        <f t="shared" si="92"/>
        <v>0</v>
      </c>
      <c r="AP172" s="51">
        <f t="shared" si="93"/>
        <v>0</v>
      </c>
      <c r="AQ172" s="53" t="s">
        <v>150</v>
      </c>
      <c r="AV172" s="51">
        <f t="shared" si="94"/>
        <v>0</v>
      </c>
      <c r="AW172" s="51">
        <f t="shared" si="95"/>
        <v>0</v>
      </c>
      <c r="AX172" s="51">
        <f t="shared" si="96"/>
        <v>0</v>
      </c>
      <c r="AY172" s="53" t="s">
        <v>495</v>
      </c>
      <c r="AZ172" s="53" t="s">
        <v>496</v>
      </c>
      <c r="BA172" s="35" t="s">
        <v>117</v>
      </c>
      <c r="BC172" s="51">
        <f t="shared" si="97"/>
        <v>0</v>
      </c>
      <c r="BD172" s="51">
        <f t="shared" si="98"/>
        <v>0</v>
      </c>
      <c r="BE172" s="51">
        <v>0</v>
      </c>
      <c r="BF172" s="51">
        <f>172</f>
        <v>172</v>
      </c>
      <c r="BH172" s="51">
        <f t="shared" si="99"/>
        <v>0</v>
      </c>
      <c r="BI172" s="51">
        <f t="shared" si="100"/>
        <v>0</v>
      </c>
      <c r="BJ172" s="51">
        <f t="shared" si="101"/>
        <v>0</v>
      </c>
      <c r="BK172" s="51"/>
      <c r="BL172" s="51">
        <v>766</v>
      </c>
      <c r="BW172" s="51">
        <v>12</v>
      </c>
      <c r="BX172" s="3" t="s">
        <v>499</v>
      </c>
    </row>
    <row r="173" spans="1:76">
      <c r="A173" s="1" t="s">
        <v>500</v>
      </c>
      <c r="B173" s="2" t="s">
        <v>501</v>
      </c>
      <c r="C173" s="75" t="s">
        <v>502</v>
      </c>
      <c r="D173" s="70"/>
      <c r="E173" s="2" t="s">
        <v>135</v>
      </c>
      <c r="F173" s="51">
        <v>2</v>
      </c>
      <c r="G173" s="52">
        <v>0</v>
      </c>
      <c r="H173" s="51">
        <f t="shared" si="80"/>
        <v>0</v>
      </c>
      <c r="J173" s="41"/>
      <c r="Z173" s="51">
        <f t="shared" si="81"/>
        <v>0</v>
      </c>
      <c r="AB173" s="51">
        <f t="shared" si="82"/>
        <v>0</v>
      </c>
      <c r="AC173" s="51">
        <f t="shared" si="83"/>
        <v>0</v>
      </c>
      <c r="AD173" s="51">
        <f t="shared" si="84"/>
        <v>0</v>
      </c>
      <c r="AE173" s="51">
        <f t="shared" si="85"/>
        <v>0</v>
      </c>
      <c r="AF173" s="51">
        <f t="shared" si="86"/>
        <v>0</v>
      </c>
      <c r="AG173" s="51">
        <f t="shared" si="87"/>
        <v>0</v>
      </c>
      <c r="AH173" s="51">
        <f t="shared" si="88"/>
        <v>0</v>
      </c>
      <c r="AI173" s="35" t="s">
        <v>4</v>
      </c>
      <c r="AJ173" s="51">
        <f t="shared" si="89"/>
        <v>0</v>
      </c>
      <c r="AK173" s="51">
        <f t="shared" si="90"/>
        <v>0</v>
      </c>
      <c r="AL173" s="51">
        <f t="shared" si="91"/>
        <v>0</v>
      </c>
      <c r="AN173" s="51">
        <v>12</v>
      </c>
      <c r="AO173" s="51">
        <f t="shared" si="92"/>
        <v>0</v>
      </c>
      <c r="AP173" s="51">
        <f t="shared" si="93"/>
        <v>0</v>
      </c>
      <c r="AQ173" s="53" t="s">
        <v>150</v>
      </c>
      <c r="AV173" s="51">
        <f t="shared" si="94"/>
        <v>0</v>
      </c>
      <c r="AW173" s="51">
        <f t="shared" si="95"/>
        <v>0</v>
      </c>
      <c r="AX173" s="51">
        <f t="shared" si="96"/>
        <v>0</v>
      </c>
      <c r="AY173" s="53" t="s">
        <v>495</v>
      </c>
      <c r="AZ173" s="53" t="s">
        <v>496</v>
      </c>
      <c r="BA173" s="35" t="s">
        <v>117</v>
      </c>
      <c r="BC173" s="51">
        <f t="shared" si="97"/>
        <v>0</v>
      </c>
      <c r="BD173" s="51">
        <f t="shared" si="98"/>
        <v>0</v>
      </c>
      <c r="BE173" s="51">
        <v>0</v>
      </c>
      <c r="BF173" s="51">
        <f>173</f>
        <v>173</v>
      </c>
      <c r="BH173" s="51">
        <f t="shared" si="99"/>
        <v>0</v>
      </c>
      <c r="BI173" s="51">
        <f t="shared" si="100"/>
        <v>0</v>
      </c>
      <c r="BJ173" s="51">
        <f t="shared" si="101"/>
        <v>0</v>
      </c>
      <c r="BK173" s="51"/>
      <c r="BL173" s="51">
        <v>766</v>
      </c>
      <c r="BW173" s="51">
        <v>12</v>
      </c>
      <c r="BX173" s="3" t="s">
        <v>502</v>
      </c>
    </row>
    <row r="174" spans="1:76">
      <c r="A174" s="1" t="s">
        <v>503</v>
      </c>
      <c r="B174" s="2" t="s">
        <v>504</v>
      </c>
      <c r="C174" s="75" t="s">
        <v>505</v>
      </c>
      <c r="D174" s="70"/>
      <c r="E174" s="2" t="s">
        <v>135</v>
      </c>
      <c r="F174" s="51">
        <v>1</v>
      </c>
      <c r="G174" s="52">
        <v>0</v>
      </c>
      <c r="H174" s="51">
        <f t="shared" si="80"/>
        <v>0</v>
      </c>
      <c r="J174" s="41"/>
      <c r="Z174" s="51">
        <f t="shared" si="81"/>
        <v>0</v>
      </c>
      <c r="AB174" s="51">
        <f t="shared" si="82"/>
        <v>0</v>
      </c>
      <c r="AC174" s="51">
        <f t="shared" si="83"/>
        <v>0</v>
      </c>
      <c r="AD174" s="51">
        <f t="shared" si="84"/>
        <v>0</v>
      </c>
      <c r="AE174" s="51">
        <f t="shared" si="85"/>
        <v>0</v>
      </c>
      <c r="AF174" s="51">
        <f t="shared" si="86"/>
        <v>0</v>
      </c>
      <c r="AG174" s="51">
        <f t="shared" si="87"/>
        <v>0</v>
      </c>
      <c r="AH174" s="51">
        <f t="shared" si="88"/>
        <v>0</v>
      </c>
      <c r="AI174" s="35" t="s">
        <v>4</v>
      </c>
      <c r="AJ174" s="51">
        <f t="shared" si="89"/>
        <v>0</v>
      </c>
      <c r="AK174" s="51">
        <f t="shared" si="90"/>
        <v>0</v>
      </c>
      <c r="AL174" s="51">
        <f t="shared" si="91"/>
        <v>0</v>
      </c>
      <c r="AN174" s="51">
        <v>12</v>
      </c>
      <c r="AO174" s="51">
        <f t="shared" si="92"/>
        <v>0</v>
      </c>
      <c r="AP174" s="51">
        <f t="shared" si="93"/>
        <v>0</v>
      </c>
      <c r="AQ174" s="53" t="s">
        <v>150</v>
      </c>
      <c r="AV174" s="51">
        <f t="shared" si="94"/>
        <v>0</v>
      </c>
      <c r="AW174" s="51">
        <f t="shared" si="95"/>
        <v>0</v>
      </c>
      <c r="AX174" s="51">
        <f t="shared" si="96"/>
        <v>0</v>
      </c>
      <c r="AY174" s="53" t="s">
        <v>495</v>
      </c>
      <c r="AZ174" s="53" t="s">
        <v>496</v>
      </c>
      <c r="BA174" s="35" t="s">
        <v>117</v>
      </c>
      <c r="BC174" s="51">
        <f t="shared" si="97"/>
        <v>0</v>
      </c>
      <c r="BD174" s="51">
        <f t="shared" si="98"/>
        <v>0</v>
      </c>
      <c r="BE174" s="51">
        <v>0</v>
      </c>
      <c r="BF174" s="51">
        <f>174</f>
        <v>174</v>
      </c>
      <c r="BH174" s="51">
        <f t="shared" si="99"/>
        <v>0</v>
      </c>
      <c r="BI174" s="51">
        <f t="shared" si="100"/>
        <v>0</v>
      </c>
      <c r="BJ174" s="51">
        <f t="shared" si="101"/>
        <v>0</v>
      </c>
      <c r="BK174" s="51"/>
      <c r="BL174" s="51">
        <v>766</v>
      </c>
      <c r="BW174" s="51">
        <v>12</v>
      </c>
      <c r="BX174" s="3" t="s">
        <v>505</v>
      </c>
    </row>
    <row r="175" spans="1:76">
      <c r="A175" s="1" t="s">
        <v>506</v>
      </c>
      <c r="B175" s="2" t="s">
        <v>507</v>
      </c>
      <c r="C175" s="75" t="s">
        <v>508</v>
      </c>
      <c r="D175" s="70"/>
      <c r="E175" s="2" t="s">
        <v>135</v>
      </c>
      <c r="F175" s="51">
        <v>3</v>
      </c>
      <c r="G175" s="52">
        <v>0</v>
      </c>
      <c r="H175" s="51">
        <f t="shared" si="80"/>
        <v>0</v>
      </c>
      <c r="J175" s="41"/>
      <c r="Z175" s="51">
        <f t="shared" si="81"/>
        <v>0</v>
      </c>
      <c r="AB175" s="51">
        <f t="shared" si="82"/>
        <v>0</v>
      </c>
      <c r="AC175" s="51">
        <f t="shared" si="83"/>
        <v>0</v>
      </c>
      <c r="AD175" s="51">
        <f t="shared" si="84"/>
        <v>0</v>
      </c>
      <c r="AE175" s="51">
        <f t="shared" si="85"/>
        <v>0</v>
      </c>
      <c r="AF175" s="51">
        <f t="shared" si="86"/>
        <v>0</v>
      </c>
      <c r="AG175" s="51">
        <f t="shared" si="87"/>
        <v>0</v>
      </c>
      <c r="AH175" s="51">
        <f t="shared" si="88"/>
        <v>0</v>
      </c>
      <c r="AI175" s="35" t="s">
        <v>4</v>
      </c>
      <c r="AJ175" s="51">
        <f t="shared" si="89"/>
        <v>0</v>
      </c>
      <c r="AK175" s="51">
        <f t="shared" si="90"/>
        <v>0</v>
      </c>
      <c r="AL175" s="51">
        <f t="shared" si="91"/>
        <v>0</v>
      </c>
      <c r="AN175" s="51">
        <v>12</v>
      </c>
      <c r="AO175" s="51">
        <f t="shared" si="92"/>
        <v>0</v>
      </c>
      <c r="AP175" s="51">
        <f t="shared" si="93"/>
        <v>0</v>
      </c>
      <c r="AQ175" s="53" t="s">
        <v>150</v>
      </c>
      <c r="AV175" s="51">
        <f t="shared" si="94"/>
        <v>0</v>
      </c>
      <c r="AW175" s="51">
        <f t="shared" si="95"/>
        <v>0</v>
      </c>
      <c r="AX175" s="51">
        <f t="shared" si="96"/>
        <v>0</v>
      </c>
      <c r="AY175" s="53" t="s">
        <v>495</v>
      </c>
      <c r="AZ175" s="53" t="s">
        <v>496</v>
      </c>
      <c r="BA175" s="35" t="s">
        <v>117</v>
      </c>
      <c r="BC175" s="51">
        <f t="shared" si="97"/>
        <v>0</v>
      </c>
      <c r="BD175" s="51">
        <f t="shared" si="98"/>
        <v>0</v>
      </c>
      <c r="BE175" s="51">
        <v>0</v>
      </c>
      <c r="BF175" s="51">
        <f>175</f>
        <v>175</v>
      </c>
      <c r="BH175" s="51">
        <f t="shared" si="99"/>
        <v>0</v>
      </c>
      <c r="BI175" s="51">
        <f t="shared" si="100"/>
        <v>0</v>
      </c>
      <c r="BJ175" s="51">
        <f t="shared" si="101"/>
        <v>0</v>
      </c>
      <c r="BK175" s="51"/>
      <c r="BL175" s="51">
        <v>766</v>
      </c>
      <c r="BW175" s="51">
        <v>12</v>
      </c>
      <c r="BX175" s="3" t="s">
        <v>508</v>
      </c>
    </row>
    <row r="176" spans="1:76">
      <c r="A176" s="1" t="s">
        <v>509</v>
      </c>
      <c r="B176" s="2" t="s">
        <v>510</v>
      </c>
      <c r="C176" s="75" t="s">
        <v>511</v>
      </c>
      <c r="D176" s="70"/>
      <c r="E176" s="2" t="s">
        <v>135</v>
      </c>
      <c r="F176" s="51">
        <v>1</v>
      </c>
      <c r="G176" s="52">
        <v>0</v>
      </c>
      <c r="H176" s="51">
        <f t="shared" si="80"/>
        <v>0</v>
      </c>
      <c r="J176" s="41"/>
      <c r="Z176" s="51">
        <f t="shared" si="81"/>
        <v>0</v>
      </c>
      <c r="AB176" s="51">
        <f t="shared" si="82"/>
        <v>0</v>
      </c>
      <c r="AC176" s="51">
        <f t="shared" si="83"/>
        <v>0</v>
      </c>
      <c r="AD176" s="51">
        <f t="shared" si="84"/>
        <v>0</v>
      </c>
      <c r="AE176" s="51">
        <f t="shared" si="85"/>
        <v>0</v>
      </c>
      <c r="AF176" s="51">
        <f t="shared" si="86"/>
        <v>0</v>
      </c>
      <c r="AG176" s="51">
        <f t="shared" si="87"/>
        <v>0</v>
      </c>
      <c r="AH176" s="51">
        <f t="shared" si="88"/>
        <v>0</v>
      </c>
      <c r="AI176" s="35" t="s">
        <v>4</v>
      </c>
      <c r="AJ176" s="51">
        <f t="shared" si="89"/>
        <v>0</v>
      </c>
      <c r="AK176" s="51">
        <f t="shared" si="90"/>
        <v>0</v>
      </c>
      <c r="AL176" s="51">
        <f t="shared" si="91"/>
        <v>0</v>
      </c>
      <c r="AN176" s="51">
        <v>12</v>
      </c>
      <c r="AO176" s="51">
        <f t="shared" si="92"/>
        <v>0</v>
      </c>
      <c r="AP176" s="51">
        <f t="shared" si="93"/>
        <v>0</v>
      </c>
      <c r="AQ176" s="53" t="s">
        <v>150</v>
      </c>
      <c r="AV176" s="51">
        <f t="shared" si="94"/>
        <v>0</v>
      </c>
      <c r="AW176" s="51">
        <f t="shared" si="95"/>
        <v>0</v>
      </c>
      <c r="AX176" s="51">
        <f t="shared" si="96"/>
        <v>0</v>
      </c>
      <c r="AY176" s="53" t="s">
        <v>495</v>
      </c>
      <c r="AZ176" s="53" t="s">
        <v>496</v>
      </c>
      <c r="BA176" s="35" t="s">
        <v>117</v>
      </c>
      <c r="BC176" s="51">
        <f t="shared" si="97"/>
        <v>0</v>
      </c>
      <c r="BD176" s="51">
        <f t="shared" si="98"/>
        <v>0</v>
      </c>
      <c r="BE176" s="51">
        <v>0</v>
      </c>
      <c r="BF176" s="51">
        <f>176</f>
        <v>176</v>
      </c>
      <c r="BH176" s="51">
        <f t="shared" si="99"/>
        <v>0</v>
      </c>
      <c r="BI176" s="51">
        <f t="shared" si="100"/>
        <v>0</v>
      </c>
      <c r="BJ176" s="51">
        <f t="shared" si="101"/>
        <v>0</v>
      </c>
      <c r="BK176" s="51"/>
      <c r="BL176" s="51">
        <v>766</v>
      </c>
      <c r="BW176" s="51">
        <v>12</v>
      </c>
      <c r="BX176" s="3" t="s">
        <v>511</v>
      </c>
    </row>
    <row r="177" spans="1:76">
      <c r="A177" s="1" t="s">
        <v>512</v>
      </c>
      <c r="B177" s="2" t="s">
        <v>513</v>
      </c>
      <c r="C177" s="75" t="s">
        <v>514</v>
      </c>
      <c r="D177" s="70"/>
      <c r="E177" s="2" t="s">
        <v>515</v>
      </c>
      <c r="F177" s="51">
        <v>2</v>
      </c>
      <c r="G177" s="52">
        <v>0</v>
      </c>
      <c r="H177" s="51">
        <f t="shared" si="80"/>
        <v>0</v>
      </c>
      <c r="J177" s="41"/>
      <c r="Z177" s="51">
        <f t="shared" si="81"/>
        <v>0</v>
      </c>
      <c r="AB177" s="51">
        <f t="shared" si="82"/>
        <v>0</v>
      </c>
      <c r="AC177" s="51">
        <f t="shared" si="83"/>
        <v>0</v>
      </c>
      <c r="AD177" s="51">
        <f t="shared" si="84"/>
        <v>0</v>
      </c>
      <c r="AE177" s="51">
        <f t="shared" si="85"/>
        <v>0</v>
      </c>
      <c r="AF177" s="51">
        <f t="shared" si="86"/>
        <v>0</v>
      </c>
      <c r="AG177" s="51">
        <f t="shared" si="87"/>
        <v>0</v>
      </c>
      <c r="AH177" s="51">
        <f t="shared" si="88"/>
        <v>0</v>
      </c>
      <c r="AI177" s="35" t="s">
        <v>4</v>
      </c>
      <c r="AJ177" s="51">
        <f t="shared" si="89"/>
        <v>0</v>
      </c>
      <c r="AK177" s="51">
        <f t="shared" si="90"/>
        <v>0</v>
      </c>
      <c r="AL177" s="51">
        <f t="shared" si="91"/>
        <v>0</v>
      </c>
      <c r="AN177" s="51">
        <v>12</v>
      </c>
      <c r="AO177" s="51">
        <f t="shared" si="92"/>
        <v>0</v>
      </c>
      <c r="AP177" s="51">
        <f t="shared" si="93"/>
        <v>0</v>
      </c>
      <c r="AQ177" s="53" t="s">
        <v>150</v>
      </c>
      <c r="AV177" s="51">
        <f t="shared" si="94"/>
        <v>0</v>
      </c>
      <c r="AW177" s="51">
        <f t="shared" si="95"/>
        <v>0</v>
      </c>
      <c r="AX177" s="51">
        <f t="shared" si="96"/>
        <v>0</v>
      </c>
      <c r="AY177" s="53" t="s">
        <v>495</v>
      </c>
      <c r="AZ177" s="53" t="s">
        <v>496</v>
      </c>
      <c r="BA177" s="35" t="s">
        <v>117</v>
      </c>
      <c r="BC177" s="51">
        <f t="shared" si="97"/>
        <v>0</v>
      </c>
      <c r="BD177" s="51">
        <f t="shared" si="98"/>
        <v>0</v>
      </c>
      <c r="BE177" s="51">
        <v>0</v>
      </c>
      <c r="BF177" s="51">
        <f>177</f>
        <v>177</v>
      </c>
      <c r="BH177" s="51">
        <f t="shared" si="99"/>
        <v>0</v>
      </c>
      <c r="BI177" s="51">
        <f t="shared" si="100"/>
        <v>0</v>
      </c>
      <c r="BJ177" s="51">
        <f t="shared" si="101"/>
        <v>0</v>
      </c>
      <c r="BK177" s="51"/>
      <c r="BL177" s="51">
        <v>766</v>
      </c>
      <c r="BW177" s="51">
        <v>12</v>
      </c>
      <c r="BX177" s="3" t="s">
        <v>514</v>
      </c>
    </row>
    <row r="178" spans="1:76">
      <c r="A178" s="1" t="s">
        <v>229</v>
      </c>
      <c r="B178" s="2" t="s">
        <v>516</v>
      </c>
      <c r="C178" s="75" t="s">
        <v>517</v>
      </c>
      <c r="D178" s="70"/>
      <c r="E178" s="2" t="s">
        <v>135</v>
      </c>
      <c r="F178" s="51">
        <v>1</v>
      </c>
      <c r="G178" s="52">
        <v>0</v>
      </c>
      <c r="H178" s="51">
        <f t="shared" si="80"/>
        <v>0</v>
      </c>
      <c r="J178" s="41"/>
      <c r="Z178" s="51">
        <f t="shared" si="81"/>
        <v>0</v>
      </c>
      <c r="AB178" s="51">
        <f t="shared" si="82"/>
        <v>0</v>
      </c>
      <c r="AC178" s="51">
        <f t="shared" si="83"/>
        <v>0</v>
      </c>
      <c r="AD178" s="51">
        <f t="shared" si="84"/>
        <v>0</v>
      </c>
      <c r="AE178" s="51">
        <f t="shared" si="85"/>
        <v>0</v>
      </c>
      <c r="AF178" s="51">
        <f t="shared" si="86"/>
        <v>0</v>
      </c>
      <c r="AG178" s="51">
        <f t="shared" si="87"/>
        <v>0</v>
      </c>
      <c r="AH178" s="51">
        <f t="shared" si="88"/>
        <v>0</v>
      </c>
      <c r="AI178" s="35" t="s">
        <v>4</v>
      </c>
      <c r="AJ178" s="51">
        <f t="shared" si="89"/>
        <v>0</v>
      </c>
      <c r="AK178" s="51">
        <f t="shared" si="90"/>
        <v>0</v>
      </c>
      <c r="AL178" s="51">
        <f t="shared" si="91"/>
        <v>0</v>
      </c>
      <c r="AN178" s="51">
        <v>12</v>
      </c>
      <c r="AO178" s="51">
        <f t="shared" si="92"/>
        <v>0</v>
      </c>
      <c r="AP178" s="51">
        <f t="shared" si="93"/>
        <v>0</v>
      </c>
      <c r="AQ178" s="53" t="s">
        <v>150</v>
      </c>
      <c r="AV178" s="51">
        <f t="shared" si="94"/>
        <v>0</v>
      </c>
      <c r="AW178" s="51">
        <f t="shared" si="95"/>
        <v>0</v>
      </c>
      <c r="AX178" s="51">
        <f t="shared" si="96"/>
        <v>0</v>
      </c>
      <c r="AY178" s="53" t="s">
        <v>495</v>
      </c>
      <c r="AZ178" s="53" t="s">
        <v>496</v>
      </c>
      <c r="BA178" s="35" t="s">
        <v>117</v>
      </c>
      <c r="BC178" s="51">
        <f t="shared" si="97"/>
        <v>0</v>
      </c>
      <c r="BD178" s="51">
        <f t="shared" si="98"/>
        <v>0</v>
      </c>
      <c r="BE178" s="51">
        <v>0</v>
      </c>
      <c r="BF178" s="51">
        <f>178</f>
        <v>178</v>
      </c>
      <c r="BH178" s="51">
        <f t="shared" si="99"/>
        <v>0</v>
      </c>
      <c r="BI178" s="51">
        <f t="shared" si="100"/>
        <v>0</v>
      </c>
      <c r="BJ178" s="51">
        <f t="shared" si="101"/>
        <v>0</v>
      </c>
      <c r="BK178" s="51"/>
      <c r="BL178" s="51">
        <v>766</v>
      </c>
      <c r="BW178" s="51">
        <v>12</v>
      </c>
      <c r="BX178" s="3" t="s">
        <v>517</v>
      </c>
    </row>
    <row r="179" spans="1:76">
      <c r="A179" s="1" t="s">
        <v>253</v>
      </c>
      <c r="B179" s="2" t="s">
        <v>518</v>
      </c>
      <c r="C179" s="75" t="s">
        <v>519</v>
      </c>
      <c r="D179" s="70"/>
      <c r="E179" s="2" t="s">
        <v>135</v>
      </c>
      <c r="F179" s="51">
        <v>1</v>
      </c>
      <c r="G179" s="52">
        <v>0</v>
      </c>
      <c r="H179" s="51">
        <f t="shared" si="80"/>
        <v>0</v>
      </c>
      <c r="J179" s="41"/>
      <c r="Z179" s="51">
        <f t="shared" si="81"/>
        <v>0</v>
      </c>
      <c r="AB179" s="51">
        <f t="shared" si="82"/>
        <v>0</v>
      </c>
      <c r="AC179" s="51">
        <f t="shared" si="83"/>
        <v>0</v>
      </c>
      <c r="AD179" s="51">
        <f t="shared" si="84"/>
        <v>0</v>
      </c>
      <c r="AE179" s="51">
        <f t="shared" si="85"/>
        <v>0</v>
      </c>
      <c r="AF179" s="51">
        <f t="shared" si="86"/>
        <v>0</v>
      </c>
      <c r="AG179" s="51">
        <f t="shared" si="87"/>
        <v>0</v>
      </c>
      <c r="AH179" s="51">
        <f t="shared" si="88"/>
        <v>0</v>
      </c>
      <c r="AI179" s="35" t="s">
        <v>4</v>
      </c>
      <c r="AJ179" s="51">
        <f t="shared" si="89"/>
        <v>0</v>
      </c>
      <c r="AK179" s="51">
        <f t="shared" si="90"/>
        <v>0</v>
      </c>
      <c r="AL179" s="51">
        <f t="shared" si="91"/>
        <v>0</v>
      </c>
      <c r="AN179" s="51">
        <v>12</v>
      </c>
      <c r="AO179" s="51">
        <f>G179*0.036979861</f>
        <v>0</v>
      </c>
      <c r="AP179" s="51">
        <f>G179*(1-0.036979861)</f>
        <v>0</v>
      </c>
      <c r="AQ179" s="53" t="s">
        <v>150</v>
      </c>
      <c r="AV179" s="51">
        <f t="shared" si="94"/>
        <v>0</v>
      </c>
      <c r="AW179" s="51">
        <f t="shared" si="95"/>
        <v>0</v>
      </c>
      <c r="AX179" s="51">
        <f t="shared" si="96"/>
        <v>0</v>
      </c>
      <c r="AY179" s="53" t="s">
        <v>495</v>
      </c>
      <c r="AZ179" s="53" t="s">
        <v>496</v>
      </c>
      <c r="BA179" s="35" t="s">
        <v>117</v>
      </c>
      <c r="BC179" s="51">
        <f t="shared" si="97"/>
        <v>0</v>
      </c>
      <c r="BD179" s="51">
        <f t="shared" si="98"/>
        <v>0</v>
      </c>
      <c r="BE179" s="51">
        <v>0</v>
      </c>
      <c r="BF179" s="51">
        <f>179</f>
        <v>179</v>
      </c>
      <c r="BH179" s="51">
        <f t="shared" si="99"/>
        <v>0</v>
      </c>
      <c r="BI179" s="51">
        <f t="shared" si="100"/>
        <v>0</v>
      </c>
      <c r="BJ179" s="51">
        <f t="shared" si="101"/>
        <v>0</v>
      </c>
      <c r="BK179" s="51"/>
      <c r="BL179" s="51">
        <v>766</v>
      </c>
      <c r="BW179" s="51">
        <v>12</v>
      </c>
      <c r="BX179" s="3" t="s">
        <v>519</v>
      </c>
    </row>
    <row r="180" spans="1:76">
      <c r="A180" s="54"/>
      <c r="C180" s="55" t="s">
        <v>111</v>
      </c>
      <c r="D180" s="56" t="s">
        <v>520</v>
      </c>
      <c r="F180" s="57">
        <v>1</v>
      </c>
      <c r="J180" s="41"/>
    </row>
    <row r="181" spans="1:76" ht="25.5">
      <c r="A181" s="1" t="s">
        <v>521</v>
      </c>
      <c r="B181" s="2" t="s">
        <v>522</v>
      </c>
      <c r="C181" s="75" t="s">
        <v>523</v>
      </c>
      <c r="D181" s="70"/>
      <c r="E181" s="2" t="s">
        <v>135</v>
      </c>
      <c r="F181" s="51">
        <v>2</v>
      </c>
      <c r="G181" s="52">
        <v>0</v>
      </c>
      <c r="H181" s="51">
        <f>F181*G181</f>
        <v>0</v>
      </c>
      <c r="J181" s="41"/>
      <c r="Z181" s="51">
        <f>IF(AQ181="5",BJ181,0)</f>
        <v>0</v>
      </c>
      <c r="AB181" s="51">
        <f>IF(AQ181="1",BH181,0)</f>
        <v>0</v>
      </c>
      <c r="AC181" s="51">
        <f>IF(AQ181="1",BI181,0)</f>
        <v>0</v>
      </c>
      <c r="AD181" s="51">
        <f>IF(AQ181="7",BH181,0)</f>
        <v>0</v>
      </c>
      <c r="AE181" s="51">
        <f>IF(AQ181="7",BI181,0)</f>
        <v>0</v>
      </c>
      <c r="AF181" s="51">
        <f>IF(AQ181="2",BH181,0)</f>
        <v>0</v>
      </c>
      <c r="AG181" s="51">
        <f>IF(AQ181="2",BI181,0)</f>
        <v>0</v>
      </c>
      <c r="AH181" s="51">
        <f>IF(AQ181="0",BJ181,0)</f>
        <v>0</v>
      </c>
      <c r="AI181" s="35" t="s">
        <v>4</v>
      </c>
      <c r="AJ181" s="51">
        <f>IF(AN181=0,H181,0)</f>
        <v>0</v>
      </c>
      <c r="AK181" s="51">
        <f>IF(AN181=12,H181,0)</f>
        <v>0</v>
      </c>
      <c r="AL181" s="51">
        <f>IF(AN181=21,H181,0)</f>
        <v>0</v>
      </c>
      <c r="AN181" s="51">
        <v>12</v>
      </c>
      <c r="AO181" s="51">
        <f>G181*1</f>
        <v>0</v>
      </c>
      <c r="AP181" s="51">
        <f>G181*(1-1)</f>
        <v>0</v>
      </c>
      <c r="AQ181" s="53" t="s">
        <v>150</v>
      </c>
      <c r="AV181" s="51">
        <f>AW181+AX181</f>
        <v>0</v>
      </c>
      <c r="AW181" s="51">
        <f>F181*AO181</f>
        <v>0</v>
      </c>
      <c r="AX181" s="51">
        <f>F181*AP181</f>
        <v>0</v>
      </c>
      <c r="AY181" s="53" t="s">
        <v>495</v>
      </c>
      <c r="AZ181" s="53" t="s">
        <v>496</v>
      </c>
      <c r="BA181" s="35" t="s">
        <v>117</v>
      </c>
      <c r="BC181" s="51">
        <f>AW181+AX181</f>
        <v>0</v>
      </c>
      <c r="BD181" s="51">
        <f>G181/(100-BE181)*100</f>
        <v>0</v>
      </c>
      <c r="BE181" s="51">
        <v>0</v>
      </c>
      <c r="BF181" s="51">
        <f>181</f>
        <v>181</v>
      </c>
      <c r="BH181" s="51">
        <f>F181*AO181</f>
        <v>0</v>
      </c>
      <c r="BI181" s="51">
        <f>F181*AP181</f>
        <v>0</v>
      </c>
      <c r="BJ181" s="51">
        <f>F181*G181</f>
        <v>0</v>
      </c>
      <c r="BK181" s="51"/>
      <c r="BL181" s="51">
        <v>766</v>
      </c>
      <c r="BW181" s="51">
        <v>12</v>
      </c>
      <c r="BX181" s="3" t="s">
        <v>523</v>
      </c>
    </row>
    <row r="182" spans="1:76" ht="25.5">
      <c r="A182" s="1" t="s">
        <v>524</v>
      </c>
      <c r="B182" s="2" t="s">
        <v>525</v>
      </c>
      <c r="C182" s="75" t="s">
        <v>526</v>
      </c>
      <c r="D182" s="70"/>
      <c r="E182" s="2" t="s">
        <v>135</v>
      </c>
      <c r="F182" s="51">
        <v>1</v>
      </c>
      <c r="G182" s="52">
        <v>0</v>
      </c>
      <c r="H182" s="51">
        <f>F182*G182</f>
        <v>0</v>
      </c>
      <c r="J182" s="41"/>
      <c r="Z182" s="51">
        <f>IF(AQ182="5",BJ182,0)</f>
        <v>0</v>
      </c>
      <c r="AB182" s="51">
        <f>IF(AQ182="1",BH182,0)</f>
        <v>0</v>
      </c>
      <c r="AC182" s="51">
        <f>IF(AQ182="1",BI182,0)</f>
        <v>0</v>
      </c>
      <c r="AD182" s="51">
        <f>IF(AQ182="7",BH182,0)</f>
        <v>0</v>
      </c>
      <c r="AE182" s="51">
        <f>IF(AQ182="7",BI182,0)</f>
        <v>0</v>
      </c>
      <c r="AF182" s="51">
        <f>IF(AQ182="2",BH182,0)</f>
        <v>0</v>
      </c>
      <c r="AG182" s="51">
        <f>IF(AQ182="2",BI182,0)</f>
        <v>0</v>
      </c>
      <c r="AH182" s="51">
        <f>IF(AQ182="0",BJ182,0)</f>
        <v>0</v>
      </c>
      <c r="AI182" s="35" t="s">
        <v>4</v>
      </c>
      <c r="AJ182" s="51">
        <f>IF(AN182=0,H182,0)</f>
        <v>0</v>
      </c>
      <c r="AK182" s="51">
        <f>IF(AN182=12,H182,0)</f>
        <v>0</v>
      </c>
      <c r="AL182" s="51">
        <f>IF(AN182=21,H182,0)</f>
        <v>0</v>
      </c>
      <c r="AN182" s="51">
        <v>12</v>
      </c>
      <c r="AO182" s="51">
        <f>G182*1</f>
        <v>0</v>
      </c>
      <c r="AP182" s="51">
        <f>G182*(1-1)</f>
        <v>0</v>
      </c>
      <c r="AQ182" s="53" t="s">
        <v>150</v>
      </c>
      <c r="AV182" s="51">
        <f>AW182+AX182</f>
        <v>0</v>
      </c>
      <c r="AW182" s="51">
        <f>F182*AO182</f>
        <v>0</v>
      </c>
      <c r="AX182" s="51">
        <f>F182*AP182</f>
        <v>0</v>
      </c>
      <c r="AY182" s="53" t="s">
        <v>495</v>
      </c>
      <c r="AZ182" s="53" t="s">
        <v>496</v>
      </c>
      <c r="BA182" s="35" t="s">
        <v>117</v>
      </c>
      <c r="BC182" s="51">
        <f>AW182+AX182</f>
        <v>0</v>
      </c>
      <c r="BD182" s="51">
        <f>G182/(100-BE182)*100</f>
        <v>0</v>
      </c>
      <c r="BE182" s="51">
        <v>0</v>
      </c>
      <c r="BF182" s="51">
        <f>182</f>
        <v>182</v>
      </c>
      <c r="BH182" s="51">
        <f>F182*AO182</f>
        <v>0</v>
      </c>
      <c r="BI182" s="51">
        <f>F182*AP182</f>
        <v>0</v>
      </c>
      <c r="BJ182" s="51">
        <f>F182*G182</f>
        <v>0</v>
      </c>
      <c r="BK182" s="51"/>
      <c r="BL182" s="51">
        <v>766</v>
      </c>
      <c r="BW182" s="51">
        <v>12</v>
      </c>
      <c r="BX182" s="3" t="s">
        <v>526</v>
      </c>
    </row>
    <row r="183" spans="1:76">
      <c r="A183" s="1" t="s">
        <v>302</v>
      </c>
      <c r="B183" s="2" t="s">
        <v>527</v>
      </c>
      <c r="C183" s="75" t="s">
        <v>528</v>
      </c>
      <c r="D183" s="70"/>
      <c r="E183" s="2" t="s">
        <v>135</v>
      </c>
      <c r="F183" s="51">
        <v>1</v>
      </c>
      <c r="G183" s="52">
        <v>0</v>
      </c>
      <c r="H183" s="51">
        <f>F183*G183</f>
        <v>0</v>
      </c>
      <c r="J183" s="41"/>
      <c r="Z183" s="51">
        <f>IF(AQ183="5",BJ183,0)</f>
        <v>0</v>
      </c>
      <c r="AB183" s="51">
        <f>IF(AQ183="1",BH183,0)</f>
        <v>0</v>
      </c>
      <c r="AC183" s="51">
        <f>IF(AQ183="1",BI183,0)</f>
        <v>0</v>
      </c>
      <c r="AD183" s="51">
        <f>IF(AQ183="7",BH183,0)</f>
        <v>0</v>
      </c>
      <c r="AE183" s="51">
        <f>IF(AQ183="7",BI183,0)</f>
        <v>0</v>
      </c>
      <c r="AF183" s="51">
        <f>IF(AQ183="2",BH183,0)</f>
        <v>0</v>
      </c>
      <c r="AG183" s="51">
        <f>IF(AQ183="2",BI183,0)</f>
        <v>0</v>
      </c>
      <c r="AH183" s="51">
        <f>IF(AQ183="0",BJ183,0)</f>
        <v>0</v>
      </c>
      <c r="AI183" s="35" t="s">
        <v>4</v>
      </c>
      <c r="AJ183" s="51">
        <f>IF(AN183=0,H183,0)</f>
        <v>0</v>
      </c>
      <c r="AK183" s="51">
        <f>IF(AN183=12,H183,0)</f>
        <v>0</v>
      </c>
      <c r="AL183" s="51">
        <f>IF(AN183=21,H183,0)</f>
        <v>0</v>
      </c>
      <c r="AN183" s="51">
        <v>12</v>
      </c>
      <c r="AO183" s="51">
        <f>G183*1</f>
        <v>0</v>
      </c>
      <c r="AP183" s="51">
        <f>G183*(1-1)</f>
        <v>0</v>
      </c>
      <c r="AQ183" s="53" t="s">
        <v>150</v>
      </c>
      <c r="AV183" s="51">
        <f>AW183+AX183</f>
        <v>0</v>
      </c>
      <c r="AW183" s="51">
        <f>F183*AO183</f>
        <v>0</v>
      </c>
      <c r="AX183" s="51">
        <f>F183*AP183</f>
        <v>0</v>
      </c>
      <c r="AY183" s="53" t="s">
        <v>495</v>
      </c>
      <c r="AZ183" s="53" t="s">
        <v>496</v>
      </c>
      <c r="BA183" s="35" t="s">
        <v>117</v>
      </c>
      <c r="BC183" s="51">
        <f>AW183+AX183</f>
        <v>0</v>
      </c>
      <c r="BD183" s="51">
        <f>G183/(100-BE183)*100</f>
        <v>0</v>
      </c>
      <c r="BE183" s="51">
        <v>0</v>
      </c>
      <c r="BF183" s="51">
        <f>183</f>
        <v>183</v>
      </c>
      <c r="BH183" s="51">
        <f>F183*AO183</f>
        <v>0</v>
      </c>
      <c r="BI183" s="51">
        <f>F183*AP183</f>
        <v>0</v>
      </c>
      <c r="BJ183" s="51">
        <f>F183*G183</f>
        <v>0</v>
      </c>
      <c r="BK183" s="51"/>
      <c r="BL183" s="51">
        <v>766</v>
      </c>
      <c r="BW183" s="51">
        <v>12</v>
      </c>
      <c r="BX183" s="3" t="s">
        <v>528</v>
      </c>
    </row>
    <row r="184" spans="1:76">
      <c r="A184" s="1" t="s">
        <v>529</v>
      </c>
      <c r="B184" s="2" t="s">
        <v>530</v>
      </c>
      <c r="C184" s="75" t="s">
        <v>531</v>
      </c>
      <c r="D184" s="70"/>
      <c r="E184" s="2" t="s">
        <v>273</v>
      </c>
      <c r="F184" s="51">
        <v>0.629</v>
      </c>
      <c r="G184" s="52">
        <v>0</v>
      </c>
      <c r="H184" s="51">
        <f>F184*G184</f>
        <v>0</v>
      </c>
      <c r="J184" s="41"/>
      <c r="Z184" s="51">
        <f>IF(AQ184="5",BJ184,0)</f>
        <v>0</v>
      </c>
      <c r="AB184" s="51">
        <f>IF(AQ184="1",BH184,0)</f>
        <v>0</v>
      </c>
      <c r="AC184" s="51">
        <f>IF(AQ184="1",BI184,0)</f>
        <v>0</v>
      </c>
      <c r="AD184" s="51">
        <f>IF(AQ184="7",BH184,0)</f>
        <v>0</v>
      </c>
      <c r="AE184" s="51">
        <f>IF(AQ184="7",BI184,0)</f>
        <v>0</v>
      </c>
      <c r="AF184" s="51">
        <f>IF(AQ184="2",BH184,0)</f>
        <v>0</v>
      </c>
      <c r="AG184" s="51">
        <f>IF(AQ184="2",BI184,0)</f>
        <v>0</v>
      </c>
      <c r="AH184" s="51">
        <f>IF(AQ184="0",BJ184,0)</f>
        <v>0</v>
      </c>
      <c r="AI184" s="35" t="s">
        <v>4</v>
      </c>
      <c r="AJ184" s="51">
        <f>IF(AN184=0,H184,0)</f>
        <v>0</v>
      </c>
      <c r="AK184" s="51">
        <f>IF(AN184=12,H184,0)</f>
        <v>0</v>
      </c>
      <c r="AL184" s="51">
        <f>IF(AN184=21,H184,0)</f>
        <v>0</v>
      </c>
      <c r="AN184" s="51">
        <v>12</v>
      </c>
      <c r="AO184" s="51">
        <f>G184*0</f>
        <v>0</v>
      </c>
      <c r="AP184" s="51">
        <f>G184*(1-0)</f>
        <v>0</v>
      </c>
      <c r="AQ184" s="53" t="s">
        <v>138</v>
      </c>
      <c r="AV184" s="51">
        <f>AW184+AX184</f>
        <v>0</v>
      </c>
      <c r="AW184" s="51">
        <f>F184*AO184</f>
        <v>0</v>
      </c>
      <c r="AX184" s="51">
        <f>F184*AP184</f>
        <v>0</v>
      </c>
      <c r="AY184" s="53" t="s">
        <v>495</v>
      </c>
      <c r="AZ184" s="53" t="s">
        <v>496</v>
      </c>
      <c r="BA184" s="35" t="s">
        <v>117</v>
      </c>
      <c r="BC184" s="51">
        <f>AW184+AX184</f>
        <v>0</v>
      </c>
      <c r="BD184" s="51">
        <f>G184/(100-BE184)*100</f>
        <v>0</v>
      </c>
      <c r="BE184" s="51">
        <v>0</v>
      </c>
      <c r="BF184" s="51">
        <f>184</f>
        <v>184</v>
      </c>
      <c r="BH184" s="51">
        <f>F184*AO184</f>
        <v>0</v>
      </c>
      <c r="BI184" s="51">
        <f>F184*AP184</f>
        <v>0</v>
      </c>
      <c r="BJ184" s="51">
        <f>F184*G184</f>
        <v>0</v>
      </c>
      <c r="BK184" s="51"/>
      <c r="BL184" s="51">
        <v>766</v>
      </c>
      <c r="BW184" s="51">
        <v>12</v>
      </c>
      <c r="BX184" s="3" t="s">
        <v>531</v>
      </c>
    </row>
    <row r="185" spans="1:76">
      <c r="A185" s="47" t="s">
        <v>4</v>
      </c>
      <c r="B185" s="48" t="s">
        <v>532</v>
      </c>
      <c r="C185" s="150" t="s">
        <v>533</v>
      </c>
      <c r="D185" s="151"/>
      <c r="E185" s="49" t="s">
        <v>79</v>
      </c>
      <c r="F185" s="49" t="s">
        <v>79</v>
      </c>
      <c r="G185" s="50" t="s">
        <v>79</v>
      </c>
      <c r="H185" s="28">
        <f>SUM(H186:H200)</f>
        <v>0</v>
      </c>
      <c r="J185" s="41"/>
      <c r="AI185" s="35" t="s">
        <v>4</v>
      </c>
      <c r="AS185" s="28">
        <f>SUM(AJ186:AJ200)</f>
        <v>0</v>
      </c>
      <c r="AT185" s="28">
        <f>SUM(AK186:AK200)</f>
        <v>0</v>
      </c>
      <c r="AU185" s="28">
        <f>SUM(AL186:AL200)</f>
        <v>0</v>
      </c>
    </row>
    <row r="186" spans="1:76">
      <c r="A186" s="1" t="s">
        <v>534</v>
      </c>
      <c r="B186" s="2" t="s">
        <v>535</v>
      </c>
      <c r="C186" s="75" t="s">
        <v>536</v>
      </c>
      <c r="D186" s="70"/>
      <c r="E186" s="2" t="s">
        <v>114</v>
      </c>
      <c r="F186" s="51">
        <v>5.3719999999999999</v>
      </c>
      <c r="G186" s="52">
        <v>0</v>
      </c>
      <c r="H186" s="51">
        <f>F186*G186</f>
        <v>0</v>
      </c>
      <c r="J186" s="41"/>
      <c r="Z186" s="51">
        <f>IF(AQ186="5",BJ186,0)</f>
        <v>0</v>
      </c>
      <c r="AB186" s="51">
        <f>IF(AQ186="1",BH186,0)</f>
        <v>0</v>
      </c>
      <c r="AC186" s="51">
        <f>IF(AQ186="1",BI186,0)</f>
        <v>0</v>
      </c>
      <c r="AD186" s="51">
        <f>IF(AQ186="7",BH186,0)</f>
        <v>0</v>
      </c>
      <c r="AE186" s="51">
        <f>IF(AQ186="7",BI186,0)</f>
        <v>0</v>
      </c>
      <c r="AF186" s="51">
        <f>IF(AQ186="2",BH186,0)</f>
        <v>0</v>
      </c>
      <c r="AG186" s="51">
        <f>IF(AQ186="2",BI186,0)</f>
        <v>0</v>
      </c>
      <c r="AH186" s="51">
        <f>IF(AQ186="0",BJ186,0)</f>
        <v>0</v>
      </c>
      <c r="AI186" s="35" t="s">
        <v>4</v>
      </c>
      <c r="AJ186" s="51">
        <f>IF(AN186=0,H186,0)</f>
        <v>0</v>
      </c>
      <c r="AK186" s="51">
        <f>IF(AN186=12,H186,0)</f>
        <v>0</v>
      </c>
      <c r="AL186" s="51">
        <f>IF(AN186=21,H186,0)</f>
        <v>0</v>
      </c>
      <c r="AN186" s="51">
        <v>12</v>
      </c>
      <c r="AO186" s="51">
        <f>G186*0.472421298</f>
        <v>0</v>
      </c>
      <c r="AP186" s="51">
        <f>G186*(1-0.472421298)</f>
        <v>0</v>
      </c>
      <c r="AQ186" s="53" t="s">
        <v>150</v>
      </c>
      <c r="AV186" s="51">
        <f>AW186+AX186</f>
        <v>0</v>
      </c>
      <c r="AW186" s="51">
        <f>F186*AO186</f>
        <v>0</v>
      </c>
      <c r="AX186" s="51">
        <f>F186*AP186</f>
        <v>0</v>
      </c>
      <c r="AY186" s="53" t="s">
        <v>537</v>
      </c>
      <c r="AZ186" s="53" t="s">
        <v>538</v>
      </c>
      <c r="BA186" s="35" t="s">
        <v>117</v>
      </c>
      <c r="BC186" s="51">
        <f>AW186+AX186</f>
        <v>0</v>
      </c>
      <c r="BD186" s="51">
        <f>G186/(100-BE186)*100</f>
        <v>0</v>
      </c>
      <c r="BE186" s="51">
        <v>0</v>
      </c>
      <c r="BF186" s="51">
        <f>186</f>
        <v>186</v>
      </c>
      <c r="BH186" s="51">
        <f>F186*AO186</f>
        <v>0</v>
      </c>
      <c r="BI186" s="51">
        <f>F186*AP186</f>
        <v>0</v>
      </c>
      <c r="BJ186" s="51">
        <f>F186*G186</f>
        <v>0</v>
      </c>
      <c r="BK186" s="51"/>
      <c r="BL186" s="51">
        <v>771</v>
      </c>
      <c r="BW186" s="51">
        <v>12</v>
      </c>
      <c r="BX186" s="3" t="s">
        <v>536</v>
      </c>
    </row>
    <row r="187" spans="1:76">
      <c r="A187" s="1" t="s">
        <v>539</v>
      </c>
      <c r="B187" s="2" t="s">
        <v>540</v>
      </c>
      <c r="C187" s="75" t="s">
        <v>541</v>
      </c>
      <c r="D187" s="70"/>
      <c r="E187" s="2" t="s">
        <v>114</v>
      </c>
      <c r="F187" s="51">
        <v>5.3719999999999999</v>
      </c>
      <c r="G187" s="52">
        <v>0</v>
      </c>
      <c r="H187" s="51">
        <f>F187*G187</f>
        <v>0</v>
      </c>
      <c r="J187" s="41"/>
      <c r="Z187" s="51">
        <f>IF(AQ187="5",BJ187,0)</f>
        <v>0</v>
      </c>
      <c r="AB187" s="51">
        <f>IF(AQ187="1",BH187,0)</f>
        <v>0</v>
      </c>
      <c r="AC187" s="51">
        <f>IF(AQ187="1",BI187,0)</f>
        <v>0</v>
      </c>
      <c r="AD187" s="51">
        <f>IF(AQ187="7",BH187,0)</f>
        <v>0</v>
      </c>
      <c r="AE187" s="51">
        <f>IF(AQ187="7",BI187,0)</f>
        <v>0</v>
      </c>
      <c r="AF187" s="51">
        <f>IF(AQ187="2",BH187,0)</f>
        <v>0</v>
      </c>
      <c r="AG187" s="51">
        <f>IF(AQ187="2",BI187,0)</f>
        <v>0</v>
      </c>
      <c r="AH187" s="51">
        <f>IF(AQ187="0",BJ187,0)</f>
        <v>0</v>
      </c>
      <c r="AI187" s="35" t="s">
        <v>4</v>
      </c>
      <c r="AJ187" s="51">
        <f>IF(AN187=0,H187,0)</f>
        <v>0</v>
      </c>
      <c r="AK187" s="51">
        <f>IF(AN187=12,H187,0)</f>
        <v>0</v>
      </c>
      <c r="AL187" s="51">
        <f>IF(AN187=21,H187,0)</f>
        <v>0</v>
      </c>
      <c r="AN187" s="51">
        <v>12</v>
      </c>
      <c r="AO187" s="51">
        <f>G187*0</f>
        <v>0</v>
      </c>
      <c r="AP187" s="51">
        <f>G187*(1-0)</f>
        <v>0</v>
      </c>
      <c r="AQ187" s="53" t="s">
        <v>150</v>
      </c>
      <c r="AV187" s="51">
        <f>AW187+AX187</f>
        <v>0</v>
      </c>
      <c r="AW187" s="51">
        <f>F187*AO187</f>
        <v>0</v>
      </c>
      <c r="AX187" s="51">
        <f>F187*AP187</f>
        <v>0</v>
      </c>
      <c r="AY187" s="53" t="s">
        <v>537</v>
      </c>
      <c r="AZ187" s="53" t="s">
        <v>538</v>
      </c>
      <c r="BA187" s="35" t="s">
        <v>117</v>
      </c>
      <c r="BC187" s="51">
        <f>AW187+AX187</f>
        <v>0</v>
      </c>
      <c r="BD187" s="51">
        <f>G187/(100-BE187)*100</f>
        <v>0</v>
      </c>
      <c r="BE187" s="51">
        <v>0</v>
      </c>
      <c r="BF187" s="51">
        <f>187</f>
        <v>187</v>
      </c>
      <c r="BH187" s="51">
        <f>F187*AO187</f>
        <v>0</v>
      </c>
      <c r="BI187" s="51">
        <f>F187*AP187</f>
        <v>0</v>
      </c>
      <c r="BJ187" s="51">
        <f>F187*G187</f>
        <v>0</v>
      </c>
      <c r="BK187" s="51"/>
      <c r="BL187" s="51">
        <v>771</v>
      </c>
      <c r="BW187" s="51">
        <v>12</v>
      </c>
      <c r="BX187" s="3" t="s">
        <v>541</v>
      </c>
    </row>
    <row r="188" spans="1:76">
      <c r="A188" s="54"/>
      <c r="C188" s="55" t="s">
        <v>319</v>
      </c>
      <c r="D188" s="56" t="s">
        <v>320</v>
      </c>
      <c r="F188" s="57">
        <v>5.3719999999999999</v>
      </c>
      <c r="J188" s="41"/>
    </row>
    <row r="189" spans="1:76">
      <c r="A189" s="1" t="s">
        <v>542</v>
      </c>
      <c r="B189" s="2" t="s">
        <v>543</v>
      </c>
      <c r="C189" s="75" t="s">
        <v>544</v>
      </c>
      <c r="D189" s="70"/>
      <c r="E189" s="2" t="s">
        <v>114</v>
      </c>
      <c r="F189" s="51">
        <v>5.3719999999999999</v>
      </c>
      <c r="G189" s="52">
        <v>0</v>
      </c>
      <c r="H189" s="51">
        <f>F189*G189</f>
        <v>0</v>
      </c>
      <c r="J189" s="41"/>
      <c r="Z189" s="51">
        <f>IF(AQ189="5",BJ189,0)</f>
        <v>0</v>
      </c>
      <c r="AB189" s="51">
        <f>IF(AQ189="1",BH189,0)</f>
        <v>0</v>
      </c>
      <c r="AC189" s="51">
        <f>IF(AQ189="1",BI189,0)</f>
        <v>0</v>
      </c>
      <c r="AD189" s="51">
        <f>IF(AQ189="7",BH189,0)</f>
        <v>0</v>
      </c>
      <c r="AE189" s="51">
        <f>IF(AQ189="7",BI189,0)</f>
        <v>0</v>
      </c>
      <c r="AF189" s="51">
        <f>IF(AQ189="2",BH189,0)</f>
        <v>0</v>
      </c>
      <c r="AG189" s="51">
        <f>IF(AQ189="2",BI189,0)</f>
        <v>0</v>
      </c>
      <c r="AH189" s="51">
        <f>IF(AQ189="0",BJ189,0)</f>
        <v>0</v>
      </c>
      <c r="AI189" s="35" t="s">
        <v>4</v>
      </c>
      <c r="AJ189" s="51">
        <f>IF(AN189=0,H189,0)</f>
        <v>0</v>
      </c>
      <c r="AK189" s="51">
        <f>IF(AN189=12,H189,0)</f>
        <v>0</v>
      </c>
      <c r="AL189" s="51">
        <f>IF(AN189=21,H189,0)</f>
        <v>0</v>
      </c>
      <c r="AN189" s="51">
        <v>12</v>
      </c>
      <c r="AO189" s="51">
        <f>G189*0.245838926</f>
        <v>0</v>
      </c>
      <c r="AP189" s="51">
        <f>G189*(1-0.245838926)</f>
        <v>0</v>
      </c>
      <c r="AQ189" s="53" t="s">
        <v>150</v>
      </c>
      <c r="AV189" s="51">
        <f>AW189+AX189</f>
        <v>0</v>
      </c>
      <c r="AW189" s="51">
        <f>F189*AO189</f>
        <v>0</v>
      </c>
      <c r="AX189" s="51">
        <f>F189*AP189</f>
        <v>0</v>
      </c>
      <c r="AY189" s="53" t="s">
        <v>537</v>
      </c>
      <c r="AZ189" s="53" t="s">
        <v>538</v>
      </c>
      <c r="BA189" s="35" t="s">
        <v>117</v>
      </c>
      <c r="BC189" s="51">
        <f>AW189+AX189</f>
        <v>0</v>
      </c>
      <c r="BD189" s="51">
        <f>G189/(100-BE189)*100</f>
        <v>0</v>
      </c>
      <c r="BE189" s="51">
        <v>0</v>
      </c>
      <c r="BF189" s="51">
        <f>189</f>
        <v>189</v>
      </c>
      <c r="BH189" s="51">
        <f>F189*AO189</f>
        <v>0</v>
      </c>
      <c r="BI189" s="51">
        <f>F189*AP189</f>
        <v>0</v>
      </c>
      <c r="BJ189" s="51">
        <f>F189*G189</f>
        <v>0</v>
      </c>
      <c r="BK189" s="51"/>
      <c r="BL189" s="51">
        <v>771</v>
      </c>
      <c r="BW189" s="51">
        <v>12</v>
      </c>
      <c r="BX189" s="3" t="s">
        <v>544</v>
      </c>
    </row>
    <row r="190" spans="1:76">
      <c r="A190" s="54"/>
      <c r="C190" s="55" t="s">
        <v>319</v>
      </c>
      <c r="D190" s="56" t="s">
        <v>320</v>
      </c>
      <c r="F190" s="57">
        <v>5.3719999999999999</v>
      </c>
      <c r="J190" s="41"/>
    </row>
    <row r="191" spans="1:76">
      <c r="A191" s="1" t="s">
        <v>545</v>
      </c>
      <c r="B191" s="2" t="s">
        <v>546</v>
      </c>
      <c r="C191" s="75" t="s">
        <v>547</v>
      </c>
      <c r="D191" s="70"/>
      <c r="E191" s="2" t="s">
        <v>141</v>
      </c>
      <c r="F191" s="51">
        <v>2</v>
      </c>
      <c r="G191" s="52">
        <v>0</v>
      </c>
      <c r="H191" s="51">
        <f>F191*G191</f>
        <v>0</v>
      </c>
      <c r="J191" s="41"/>
      <c r="Z191" s="51">
        <f>IF(AQ191="5",BJ191,0)</f>
        <v>0</v>
      </c>
      <c r="AB191" s="51">
        <f>IF(AQ191="1",BH191,0)</f>
        <v>0</v>
      </c>
      <c r="AC191" s="51">
        <f>IF(AQ191="1",BI191,0)</f>
        <v>0</v>
      </c>
      <c r="AD191" s="51">
        <f>IF(AQ191="7",BH191,0)</f>
        <v>0</v>
      </c>
      <c r="AE191" s="51">
        <f>IF(AQ191="7",BI191,0)</f>
        <v>0</v>
      </c>
      <c r="AF191" s="51">
        <f>IF(AQ191="2",BH191,0)</f>
        <v>0</v>
      </c>
      <c r="AG191" s="51">
        <f>IF(AQ191="2",BI191,0)</f>
        <v>0</v>
      </c>
      <c r="AH191" s="51">
        <f>IF(AQ191="0",BJ191,0)</f>
        <v>0</v>
      </c>
      <c r="AI191" s="35" t="s">
        <v>4</v>
      </c>
      <c r="AJ191" s="51">
        <f>IF(AN191=0,H191,0)</f>
        <v>0</v>
      </c>
      <c r="AK191" s="51">
        <f>IF(AN191=12,H191,0)</f>
        <v>0</v>
      </c>
      <c r="AL191" s="51">
        <f>IF(AN191=21,H191,0)</f>
        <v>0</v>
      </c>
      <c r="AN191" s="51">
        <v>12</v>
      </c>
      <c r="AO191" s="51">
        <f>G191*0</f>
        <v>0</v>
      </c>
      <c r="AP191" s="51">
        <f>G191*(1-0)</f>
        <v>0</v>
      </c>
      <c r="AQ191" s="53" t="s">
        <v>150</v>
      </c>
      <c r="AV191" s="51">
        <f>AW191+AX191</f>
        <v>0</v>
      </c>
      <c r="AW191" s="51">
        <f>F191*AO191</f>
        <v>0</v>
      </c>
      <c r="AX191" s="51">
        <f>F191*AP191</f>
        <v>0</v>
      </c>
      <c r="AY191" s="53" t="s">
        <v>537</v>
      </c>
      <c r="AZ191" s="53" t="s">
        <v>538</v>
      </c>
      <c r="BA191" s="35" t="s">
        <v>117</v>
      </c>
      <c r="BC191" s="51">
        <f>AW191+AX191</f>
        <v>0</v>
      </c>
      <c r="BD191" s="51">
        <f>G191/(100-BE191)*100</f>
        <v>0</v>
      </c>
      <c r="BE191" s="51">
        <v>0</v>
      </c>
      <c r="BF191" s="51">
        <f>191</f>
        <v>191</v>
      </c>
      <c r="BH191" s="51">
        <f>F191*AO191</f>
        <v>0</v>
      </c>
      <c r="BI191" s="51">
        <f>F191*AP191</f>
        <v>0</v>
      </c>
      <c r="BJ191" s="51">
        <f>F191*G191</f>
        <v>0</v>
      </c>
      <c r="BK191" s="51"/>
      <c r="BL191" s="51">
        <v>771</v>
      </c>
      <c r="BW191" s="51">
        <v>12</v>
      </c>
      <c r="BX191" s="3" t="s">
        <v>547</v>
      </c>
    </row>
    <row r="192" spans="1:76">
      <c r="A192" s="54"/>
      <c r="C192" s="55" t="s">
        <v>548</v>
      </c>
      <c r="D192" s="56" t="s">
        <v>549</v>
      </c>
      <c r="F192" s="57">
        <v>2</v>
      </c>
      <c r="J192" s="41"/>
    </row>
    <row r="193" spans="1:76">
      <c r="A193" s="1" t="s">
        <v>550</v>
      </c>
      <c r="B193" s="2" t="s">
        <v>551</v>
      </c>
      <c r="C193" s="75" t="s">
        <v>552</v>
      </c>
      <c r="D193" s="70"/>
      <c r="E193" s="2" t="s">
        <v>141</v>
      </c>
      <c r="F193" s="51">
        <v>19.77</v>
      </c>
      <c r="G193" s="52">
        <v>0</v>
      </c>
      <c r="H193" s="51">
        <f>F193*G193</f>
        <v>0</v>
      </c>
      <c r="J193" s="41"/>
      <c r="Z193" s="51">
        <f>IF(AQ193="5",BJ193,0)</f>
        <v>0</v>
      </c>
      <c r="AB193" s="51">
        <f>IF(AQ193="1",BH193,0)</f>
        <v>0</v>
      </c>
      <c r="AC193" s="51">
        <f>IF(AQ193="1",BI193,0)</f>
        <v>0</v>
      </c>
      <c r="AD193" s="51">
        <f>IF(AQ193="7",BH193,0)</f>
        <v>0</v>
      </c>
      <c r="AE193" s="51">
        <f>IF(AQ193="7",BI193,0)</f>
        <v>0</v>
      </c>
      <c r="AF193" s="51">
        <f>IF(AQ193="2",BH193,0)</f>
        <v>0</v>
      </c>
      <c r="AG193" s="51">
        <f>IF(AQ193="2",BI193,0)</f>
        <v>0</v>
      </c>
      <c r="AH193" s="51">
        <f>IF(AQ193="0",BJ193,0)</f>
        <v>0</v>
      </c>
      <c r="AI193" s="35" t="s">
        <v>4</v>
      </c>
      <c r="AJ193" s="51">
        <f>IF(AN193=0,H193,0)</f>
        <v>0</v>
      </c>
      <c r="AK193" s="51">
        <f>IF(AN193=12,H193,0)</f>
        <v>0</v>
      </c>
      <c r="AL193" s="51">
        <f>IF(AN193=21,H193,0)</f>
        <v>0</v>
      </c>
      <c r="AN193" s="51">
        <v>12</v>
      </c>
      <c r="AO193" s="51">
        <f>G193*0.49522676</f>
        <v>0</v>
      </c>
      <c r="AP193" s="51">
        <f>G193*(1-0.49522676)</f>
        <v>0</v>
      </c>
      <c r="AQ193" s="53" t="s">
        <v>150</v>
      </c>
      <c r="AV193" s="51">
        <f>AW193+AX193</f>
        <v>0</v>
      </c>
      <c r="AW193" s="51">
        <f>F193*AO193</f>
        <v>0</v>
      </c>
      <c r="AX193" s="51">
        <f>F193*AP193</f>
        <v>0</v>
      </c>
      <c r="AY193" s="53" t="s">
        <v>537</v>
      </c>
      <c r="AZ193" s="53" t="s">
        <v>538</v>
      </c>
      <c r="BA193" s="35" t="s">
        <v>117</v>
      </c>
      <c r="BC193" s="51">
        <f>AW193+AX193</f>
        <v>0</v>
      </c>
      <c r="BD193" s="51">
        <f>G193/(100-BE193)*100</f>
        <v>0</v>
      </c>
      <c r="BE193" s="51">
        <v>0</v>
      </c>
      <c r="BF193" s="51">
        <f>193</f>
        <v>193</v>
      </c>
      <c r="BH193" s="51">
        <f>F193*AO193</f>
        <v>0</v>
      </c>
      <c r="BI193" s="51">
        <f>F193*AP193</f>
        <v>0</v>
      </c>
      <c r="BJ193" s="51">
        <f>F193*G193</f>
        <v>0</v>
      </c>
      <c r="BK193" s="51"/>
      <c r="BL193" s="51">
        <v>771</v>
      </c>
      <c r="BW193" s="51">
        <v>12</v>
      </c>
      <c r="BX193" s="3" t="s">
        <v>552</v>
      </c>
    </row>
    <row r="194" spans="1:76">
      <c r="A194" s="54"/>
      <c r="C194" s="55" t="s">
        <v>329</v>
      </c>
      <c r="D194" s="56" t="s">
        <v>553</v>
      </c>
      <c r="F194" s="57">
        <v>8.67</v>
      </c>
      <c r="J194" s="41"/>
    </row>
    <row r="195" spans="1:76">
      <c r="A195" s="54"/>
      <c r="C195" s="55" t="s">
        <v>554</v>
      </c>
      <c r="D195" s="56" t="s">
        <v>555</v>
      </c>
      <c r="F195" s="57">
        <v>10.5</v>
      </c>
      <c r="J195" s="41"/>
    </row>
    <row r="196" spans="1:76">
      <c r="A196" s="54"/>
      <c r="C196" s="55" t="s">
        <v>556</v>
      </c>
      <c r="D196" s="56" t="s">
        <v>557</v>
      </c>
      <c r="F196" s="57">
        <v>0.6</v>
      </c>
      <c r="J196" s="41"/>
    </row>
    <row r="197" spans="1:76">
      <c r="A197" s="1" t="s">
        <v>558</v>
      </c>
      <c r="B197" s="2" t="s">
        <v>559</v>
      </c>
      <c r="C197" s="75" t="s">
        <v>560</v>
      </c>
      <c r="D197" s="70"/>
      <c r="E197" s="2" t="s">
        <v>135</v>
      </c>
      <c r="F197" s="51">
        <v>1</v>
      </c>
      <c r="G197" s="52">
        <v>0</v>
      </c>
      <c r="H197" s="51">
        <f>F197*G197</f>
        <v>0</v>
      </c>
      <c r="J197" s="41"/>
      <c r="Z197" s="51">
        <f>IF(AQ197="5",BJ197,0)</f>
        <v>0</v>
      </c>
      <c r="AB197" s="51">
        <f>IF(AQ197="1",BH197,0)</f>
        <v>0</v>
      </c>
      <c r="AC197" s="51">
        <f>IF(AQ197="1",BI197,0)</f>
        <v>0</v>
      </c>
      <c r="AD197" s="51">
        <f>IF(AQ197="7",BH197,0)</f>
        <v>0</v>
      </c>
      <c r="AE197" s="51">
        <f>IF(AQ197="7",BI197,0)</f>
        <v>0</v>
      </c>
      <c r="AF197" s="51">
        <f>IF(AQ197="2",BH197,0)</f>
        <v>0</v>
      </c>
      <c r="AG197" s="51">
        <f>IF(AQ197="2",BI197,0)</f>
        <v>0</v>
      </c>
      <c r="AH197" s="51">
        <f>IF(AQ197="0",BJ197,0)</f>
        <v>0</v>
      </c>
      <c r="AI197" s="35" t="s">
        <v>4</v>
      </c>
      <c r="AJ197" s="51">
        <f>IF(AN197=0,H197,0)</f>
        <v>0</v>
      </c>
      <c r="AK197" s="51">
        <f>IF(AN197=12,H197,0)</f>
        <v>0</v>
      </c>
      <c r="AL197" s="51">
        <f>IF(AN197=21,H197,0)</f>
        <v>0</v>
      </c>
      <c r="AN197" s="51">
        <v>12</v>
      </c>
      <c r="AO197" s="51">
        <f>G197*1</f>
        <v>0</v>
      </c>
      <c r="AP197" s="51">
        <f>G197*(1-1)</f>
        <v>0</v>
      </c>
      <c r="AQ197" s="53" t="s">
        <v>150</v>
      </c>
      <c r="AV197" s="51">
        <f>AW197+AX197</f>
        <v>0</v>
      </c>
      <c r="AW197" s="51">
        <f>F197*AO197</f>
        <v>0</v>
      </c>
      <c r="AX197" s="51">
        <f>F197*AP197</f>
        <v>0</v>
      </c>
      <c r="AY197" s="53" t="s">
        <v>537</v>
      </c>
      <c r="AZ197" s="53" t="s">
        <v>538</v>
      </c>
      <c r="BA197" s="35" t="s">
        <v>117</v>
      </c>
      <c r="BC197" s="51">
        <f>AW197+AX197</f>
        <v>0</v>
      </c>
      <c r="BD197" s="51">
        <f>G197/(100-BE197)*100</f>
        <v>0</v>
      </c>
      <c r="BE197" s="51">
        <v>0</v>
      </c>
      <c r="BF197" s="51">
        <f>197</f>
        <v>197</v>
      </c>
      <c r="BH197" s="51">
        <f>F197*AO197</f>
        <v>0</v>
      </c>
      <c r="BI197" s="51">
        <f>F197*AP197</f>
        <v>0</v>
      </c>
      <c r="BJ197" s="51">
        <f>F197*G197</f>
        <v>0</v>
      </c>
      <c r="BK197" s="51"/>
      <c r="BL197" s="51">
        <v>771</v>
      </c>
      <c r="BW197" s="51">
        <v>12</v>
      </c>
      <c r="BX197" s="3" t="s">
        <v>560</v>
      </c>
    </row>
    <row r="198" spans="1:76">
      <c r="A198" s="1" t="s">
        <v>561</v>
      </c>
      <c r="B198" s="2" t="s">
        <v>562</v>
      </c>
      <c r="C198" s="75" t="s">
        <v>563</v>
      </c>
      <c r="D198" s="70"/>
      <c r="E198" s="2" t="s">
        <v>114</v>
      </c>
      <c r="F198" s="51">
        <v>5.9089999999999998</v>
      </c>
      <c r="G198" s="52">
        <v>0</v>
      </c>
      <c r="H198" s="51">
        <f>F198*G198</f>
        <v>0</v>
      </c>
      <c r="J198" s="41"/>
      <c r="Z198" s="51">
        <f>IF(AQ198="5",BJ198,0)</f>
        <v>0</v>
      </c>
      <c r="AB198" s="51">
        <f>IF(AQ198="1",BH198,0)</f>
        <v>0</v>
      </c>
      <c r="AC198" s="51">
        <f>IF(AQ198="1",BI198,0)</f>
        <v>0</v>
      </c>
      <c r="AD198" s="51">
        <f>IF(AQ198="7",BH198,0)</f>
        <v>0</v>
      </c>
      <c r="AE198" s="51">
        <f>IF(AQ198="7",BI198,0)</f>
        <v>0</v>
      </c>
      <c r="AF198" s="51">
        <f>IF(AQ198="2",BH198,0)</f>
        <v>0</v>
      </c>
      <c r="AG198" s="51">
        <f>IF(AQ198="2",BI198,0)</f>
        <v>0</v>
      </c>
      <c r="AH198" s="51">
        <f>IF(AQ198="0",BJ198,0)</f>
        <v>0</v>
      </c>
      <c r="AI198" s="35" t="s">
        <v>4</v>
      </c>
      <c r="AJ198" s="51">
        <f>IF(AN198=0,H198,0)</f>
        <v>0</v>
      </c>
      <c r="AK198" s="51">
        <f>IF(AN198=12,H198,0)</f>
        <v>0</v>
      </c>
      <c r="AL198" s="51">
        <f>IF(AN198=21,H198,0)</f>
        <v>0</v>
      </c>
      <c r="AN198" s="51">
        <v>12</v>
      </c>
      <c r="AO198" s="51">
        <f>G198*1</f>
        <v>0</v>
      </c>
      <c r="AP198" s="51">
        <f>G198*(1-1)</f>
        <v>0</v>
      </c>
      <c r="AQ198" s="53" t="s">
        <v>150</v>
      </c>
      <c r="AV198" s="51">
        <f>AW198+AX198</f>
        <v>0</v>
      </c>
      <c r="AW198" s="51">
        <f>F198*AO198</f>
        <v>0</v>
      </c>
      <c r="AX198" s="51">
        <f>F198*AP198</f>
        <v>0</v>
      </c>
      <c r="AY198" s="53" t="s">
        <v>537</v>
      </c>
      <c r="AZ198" s="53" t="s">
        <v>538</v>
      </c>
      <c r="BA198" s="35" t="s">
        <v>117</v>
      </c>
      <c r="BC198" s="51">
        <f>AW198+AX198</f>
        <v>0</v>
      </c>
      <c r="BD198" s="51">
        <f>G198/(100-BE198)*100</f>
        <v>0</v>
      </c>
      <c r="BE198" s="51">
        <v>0</v>
      </c>
      <c r="BF198" s="51">
        <f>198</f>
        <v>198</v>
      </c>
      <c r="BH198" s="51">
        <f>F198*AO198</f>
        <v>0</v>
      </c>
      <c r="BI198" s="51">
        <f>F198*AP198</f>
        <v>0</v>
      </c>
      <c r="BJ198" s="51">
        <f>F198*G198</f>
        <v>0</v>
      </c>
      <c r="BK198" s="51"/>
      <c r="BL198" s="51">
        <v>771</v>
      </c>
      <c r="BW198" s="51">
        <v>12</v>
      </c>
      <c r="BX198" s="3" t="s">
        <v>563</v>
      </c>
    </row>
    <row r="199" spans="1:76">
      <c r="A199" s="54"/>
      <c r="C199" s="55" t="s">
        <v>564</v>
      </c>
      <c r="D199" s="56" t="s">
        <v>4</v>
      </c>
      <c r="F199" s="57">
        <v>5.9089999999999998</v>
      </c>
      <c r="J199" s="41"/>
    </row>
    <row r="200" spans="1:76">
      <c r="A200" s="1" t="s">
        <v>565</v>
      </c>
      <c r="B200" s="2" t="s">
        <v>566</v>
      </c>
      <c r="C200" s="75" t="s">
        <v>567</v>
      </c>
      <c r="D200" s="70"/>
      <c r="E200" s="2" t="s">
        <v>273</v>
      </c>
      <c r="F200" s="51">
        <v>0.14299999999999999</v>
      </c>
      <c r="G200" s="52">
        <v>0</v>
      </c>
      <c r="H200" s="51">
        <f>F200*G200</f>
        <v>0</v>
      </c>
      <c r="J200" s="41"/>
      <c r="Z200" s="51">
        <f>IF(AQ200="5",BJ200,0)</f>
        <v>0</v>
      </c>
      <c r="AB200" s="51">
        <f>IF(AQ200="1",BH200,0)</f>
        <v>0</v>
      </c>
      <c r="AC200" s="51">
        <f>IF(AQ200="1",BI200,0)</f>
        <v>0</v>
      </c>
      <c r="AD200" s="51">
        <f>IF(AQ200="7",BH200,0)</f>
        <v>0</v>
      </c>
      <c r="AE200" s="51">
        <f>IF(AQ200="7",BI200,0)</f>
        <v>0</v>
      </c>
      <c r="AF200" s="51">
        <f>IF(AQ200="2",BH200,0)</f>
        <v>0</v>
      </c>
      <c r="AG200" s="51">
        <f>IF(AQ200="2",BI200,0)</f>
        <v>0</v>
      </c>
      <c r="AH200" s="51">
        <f>IF(AQ200="0",BJ200,0)</f>
        <v>0</v>
      </c>
      <c r="AI200" s="35" t="s">
        <v>4</v>
      </c>
      <c r="AJ200" s="51">
        <f>IF(AN200=0,H200,0)</f>
        <v>0</v>
      </c>
      <c r="AK200" s="51">
        <f>IF(AN200=12,H200,0)</f>
        <v>0</v>
      </c>
      <c r="AL200" s="51">
        <f>IF(AN200=21,H200,0)</f>
        <v>0</v>
      </c>
      <c r="AN200" s="51">
        <v>12</v>
      </c>
      <c r="AO200" s="51">
        <f>G200*0</f>
        <v>0</v>
      </c>
      <c r="AP200" s="51">
        <f>G200*(1-0)</f>
        <v>0</v>
      </c>
      <c r="AQ200" s="53" t="s">
        <v>138</v>
      </c>
      <c r="AV200" s="51">
        <f>AW200+AX200</f>
        <v>0</v>
      </c>
      <c r="AW200" s="51">
        <f>F200*AO200</f>
        <v>0</v>
      </c>
      <c r="AX200" s="51">
        <f>F200*AP200</f>
        <v>0</v>
      </c>
      <c r="AY200" s="53" t="s">
        <v>537</v>
      </c>
      <c r="AZ200" s="53" t="s">
        <v>538</v>
      </c>
      <c r="BA200" s="35" t="s">
        <v>117</v>
      </c>
      <c r="BC200" s="51">
        <f>AW200+AX200</f>
        <v>0</v>
      </c>
      <c r="BD200" s="51">
        <f>G200/(100-BE200)*100</f>
        <v>0</v>
      </c>
      <c r="BE200" s="51">
        <v>0</v>
      </c>
      <c r="BF200" s="51">
        <f>200</f>
        <v>200</v>
      </c>
      <c r="BH200" s="51">
        <f>F200*AO200</f>
        <v>0</v>
      </c>
      <c r="BI200" s="51">
        <f>F200*AP200</f>
        <v>0</v>
      </c>
      <c r="BJ200" s="51">
        <f>F200*G200</f>
        <v>0</v>
      </c>
      <c r="BK200" s="51"/>
      <c r="BL200" s="51">
        <v>771</v>
      </c>
      <c r="BW200" s="51">
        <v>12</v>
      </c>
      <c r="BX200" s="3" t="s">
        <v>567</v>
      </c>
    </row>
    <row r="201" spans="1:76">
      <c r="A201" s="47" t="s">
        <v>4</v>
      </c>
      <c r="B201" s="48" t="s">
        <v>568</v>
      </c>
      <c r="C201" s="150" t="s">
        <v>569</v>
      </c>
      <c r="D201" s="151"/>
      <c r="E201" s="49" t="s">
        <v>79</v>
      </c>
      <c r="F201" s="49" t="s">
        <v>79</v>
      </c>
      <c r="G201" s="50" t="s">
        <v>79</v>
      </c>
      <c r="H201" s="28">
        <f>SUM(H202:H220)</f>
        <v>0</v>
      </c>
      <c r="J201" s="41"/>
      <c r="AI201" s="35" t="s">
        <v>4</v>
      </c>
      <c r="AS201" s="28">
        <f>SUM(AJ202:AJ220)</f>
        <v>0</v>
      </c>
      <c r="AT201" s="28">
        <f>SUM(AK202:AK220)</f>
        <v>0</v>
      </c>
      <c r="AU201" s="28">
        <f>SUM(AL202:AL220)</f>
        <v>0</v>
      </c>
    </row>
    <row r="202" spans="1:76">
      <c r="A202" s="1" t="s">
        <v>570</v>
      </c>
      <c r="B202" s="2" t="s">
        <v>571</v>
      </c>
      <c r="C202" s="75" t="s">
        <v>572</v>
      </c>
      <c r="D202" s="70"/>
      <c r="E202" s="2" t="s">
        <v>141</v>
      </c>
      <c r="F202" s="51">
        <v>41.5</v>
      </c>
      <c r="G202" s="52">
        <v>0</v>
      </c>
      <c r="H202" s="51">
        <f>F202*G202</f>
        <v>0</v>
      </c>
      <c r="J202" s="41"/>
      <c r="Z202" s="51">
        <f>IF(AQ202="5",BJ202,0)</f>
        <v>0</v>
      </c>
      <c r="AB202" s="51">
        <f>IF(AQ202="1",BH202,0)</f>
        <v>0</v>
      </c>
      <c r="AC202" s="51">
        <f>IF(AQ202="1",BI202,0)</f>
        <v>0</v>
      </c>
      <c r="AD202" s="51">
        <f>IF(AQ202="7",BH202,0)</f>
        <v>0</v>
      </c>
      <c r="AE202" s="51">
        <f>IF(AQ202="7",BI202,0)</f>
        <v>0</v>
      </c>
      <c r="AF202" s="51">
        <f>IF(AQ202="2",BH202,0)</f>
        <v>0</v>
      </c>
      <c r="AG202" s="51">
        <f>IF(AQ202="2",BI202,0)</f>
        <v>0</v>
      </c>
      <c r="AH202" s="51">
        <f>IF(AQ202="0",BJ202,0)</f>
        <v>0</v>
      </c>
      <c r="AI202" s="35" t="s">
        <v>4</v>
      </c>
      <c r="AJ202" s="51">
        <f>IF(AN202=0,H202,0)</f>
        <v>0</v>
      </c>
      <c r="AK202" s="51">
        <f>IF(AN202=12,H202,0)</f>
        <v>0</v>
      </c>
      <c r="AL202" s="51">
        <f>IF(AN202=21,H202,0)</f>
        <v>0</v>
      </c>
      <c r="AN202" s="51">
        <v>12</v>
      </c>
      <c r="AO202" s="51">
        <f>G202*0</f>
        <v>0</v>
      </c>
      <c r="AP202" s="51">
        <f>G202*(1-0)</f>
        <v>0</v>
      </c>
      <c r="AQ202" s="53" t="s">
        <v>150</v>
      </c>
      <c r="AV202" s="51">
        <f>AW202+AX202</f>
        <v>0</v>
      </c>
      <c r="AW202" s="51">
        <f>F202*AO202</f>
        <v>0</v>
      </c>
      <c r="AX202" s="51">
        <f>F202*AP202</f>
        <v>0</v>
      </c>
      <c r="AY202" s="53" t="s">
        <v>573</v>
      </c>
      <c r="AZ202" s="53" t="s">
        <v>538</v>
      </c>
      <c r="BA202" s="35" t="s">
        <v>117</v>
      </c>
      <c r="BC202" s="51">
        <f>AW202+AX202</f>
        <v>0</v>
      </c>
      <c r="BD202" s="51">
        <f>G202/(100-BE202)*100</f>
        <v>0</v>
      </c>
      <c r="BE202" s="51">
        <v>0</v>
      </c>
      <c r="BF202" s="51">
        <f>202</f>
        <v>202</v>
      </c>
      <c r="BH202" s="51">
        <f>F202*AO202</f>
        <v>0</v>
      </c>
      <c r="BI202" s="51">
        <f>F202*AP202</f>
        <v>0</v>
      </c>
      <c r="BJ202" s="51">
        <f>F202*G202</f>
        <v>0</v>
      </c>
      <c r="BK202" s="51"/>
      <c r="BL202" s="51">
        <v>776</v>
      </c>
      <c r="BW202" s="51">
        <v>12</v>
      </c>
      <c r="BX202" s="3" t="s">
        <v>572</v>
      </c>
    </row>
    <row r="203" spans="1:76">
      <c r="A203" s="54"/>
      <c r="C203" s="55" t="s">
        <v>574</v>
      </c>
      <c r="D203" s="56" t="s">
        <v>575</v>
      </c>
      <c r="F203" s="57">
        <v>11.22</v>
      </c>
      <c r="J203" s="41"/>
    </row>
    <row r="204" spans="1:76">
      <c r="A204" s="54"/>
      <c r="C204" s="55" t="s">
        <v>576</v>
      </c>
      <c r="D204" s="56" t="s">
        <v>178</v>
      </c>
      <c r="F204" s="57">
        <v>18.05</v>
      </c>
      <c r="J204" s="41"/>
    </row>
    <row r="205" spans="1:76">
      <c r="A205" s="54"/>
      <c r="C205" s="55" t="s">
        <v>577</v>
      </c>
      <c r="D205" s="56" t="s">
        <v>174</v>
      </c>
      <c r="F205" s="57">
        <v>12.23</v>
      </c>
      <c r="J205" s="41"/>
    </row>
    <row r="206" spans="1:76">
      <c r="A206" s="1" t="s">
        <v>578</v>
      </c>
      <c r="B206" s="2" t="s">
        <v>579</v>
      </c>
      <c r="C206" s="75" t="s">
        <v>580</v>
      </c>
      <c r="D206" s="70"/>
      <c r="E206" s="2" t="s">
        <v>114</v>
      </c>
      <c r="F206" s="51">
        <v>37.607999999999997</v>
      </c>
      <c r="G206" s="52">
        <v>0</v>
      </c>
      <c r="H206" s="51">
        <f>F206*G206</f>
        <v>0</v>
      </c>
      <c r="J206" s="41"/>
      <c r="Z206" s="51">
        <f>IF(AQ206="5",BJ206,0)</f>
        <v>0</v>
      </c>
      <c r="AB206" s="51">
        <f>IF(AQ206="1",BH206,0)</f>
        <v>0</v>
      </c>
      <c r="AC206" s="51">
        <f>IF(AQ206="1",BI206,0)</f>
        <v>0</v>
      </c>
      <c r="AD206" s="51">
        <f>IF(AQ206="7",BH206,0)</f>
        <v>0</v>
      </c>
      <c r="AE206" s="51">
        <f>IF(AQ206="7",BI206,0)</f>
        <v>0</v>
      </c>
      <c r="AF206" s="51">
        <f>IF(AQ206="2",BH206,0)</f>
        <v>0</v>
      </c>
      <c r="AG206" s="51">
        <f>IF(AQ206="2",BI206,0)</f>
        <v>0</v>
      </c>
      <c r="AH206" s="51">
        <f>IF(AQ206="0",BJ206,0)</f>
        <v>0</v>
      </c>
      <c r="AI206" s="35" t="s">
        <v>4</v>
      </c>
      <c r="AJ206" s="51">
        <f>IF(AN206=0,H206,0)</f>
        <v>0</v>
      </c>
      <c r="AK206" s="51">
        <f>IF(AN206=12,H206,0)</f>
        <v>0</v>
      </c>
      <c r="AL206" s="51">
        <f>IF(AN206=21,H206,0)</f>
        <v>0</v>
      </c>
      <c r="AN206" s="51">
        <v>12</v>
      </c>
      <c r="AO206" s="51">
        <f>G206*0</f>
        <v>0</v>
      </c>
      <c r="AP206" s="51">
        <f>G206*(1-0)</f>
        <v>0</v>
      </c>
      <c r="AQ206" s="53" t="s">
        <v>150</v>
      </c>
      <c r="AV206" s="51">
        <f>AW206+AX206</f>
        <v>0</v>
      </c>
      <c r="AW206" s="51">
        <f>F206*AO206</f>
        <v>0</v>
      </c>
      <c r="AX206" s="51">
        <f>F206*AP206</f>
        <v>0</v>
      </c>
      <c r="AY206" s="53" t="s">
        <v>573</v>
      </c>
      <c r="AZ206" s="53" t="s">
        <v>538</v>
      </c>
      <c r="BA206" s="35" t="s">
        <v>117</v>
      </c>
      <c r="BC206" s="51">
        <f>AW206+AX206</f>
        <v>0</v>
      </c>
      <c r="BD206" s="51">
        <f>G206/(100-BE206)*100</f>
        <v>0</v>
      </c>
      <c r="BE206" s="51">
        <v>0</v>
      </c>
      <c r="BF206" s="51">
        <f>206</f>
        <v>206</v>
      </c>
      <c r="BH206" s="51">
        <f>F206*AO206</f>
        <v>0</v>
      </c>
      <c r="BI206" s="51">
        <f>F206*AP206</f>
        <v>0</v>
      </c>
      <c r="BJ206" s="51">
        <f>F206*G206</f>
        <v>0</v>
      </c>
      <c r="BK206" s="51"/>
      <c r="BL206" s="51">
        <v>776</v>
      </c>
      <c r="BW206" s="51">
        <v>12</v>
      </c>
      <c r="BX206" s="3" t="s">
        <v>580</v>
      </c>
    </row>
    <row r="207" spans="1:76">
      <c r="A207" s="54"/>
      <c r="C207" s="55" t="s">
        <v>581</v>
      </c>
      <c r="D207" s="56" t="s">
        <v>575</v>
      </c>
      <c r="F207" s="57">
        <v>7.3869999999999996</v>
      </c>
      <c r="J207" s="41"/>
    </row>
    <row r="208" spans="1:76">
      <c r="A208" s="54"/>
      <c r="C208" s="55" t="s">
        <v>582</v>
      </c>
      <c r="D208" s="56" t="s">
        <v>178</v>
      </c>
      <c r="F208" s="57">
        <v>20.638999999999999</v>
      </c>
      <c r="J208" s="41"/>
    </row>
    <row r="209" spans="1:76">
      <c r="A209" s="54"/>
      <c r="C209" s="55" t="s">
        <v>583</v>
      </c>
      <c r="D209" s="56" t="s">
        <v>174</v>
      </c>
      <c r="F209" s="57">
        <v>9.5820000000000007</v>
      </c>
      <c r="J209" s="41"/>
    </row>
    <row r="210" spans="1:76">
      <c r="A210" s="1" t="s">
        <v>584</v>
      </c>
      <c r="B210" s="2" t="s">
        <v>585</v>
      </c>
      <c r="C210" s="75" t="s">
        <v>586</v>
      </c>
      <c r="D210" s="70"/>
      <c r="E210" s="2" t="s">
        <v>141</v>
      </c>
      <c r="F210" s="51">
        <v>35.5</v>
      </c>
      <c r="G210" s="52">
        <v>0</v>
      </c>
      <c r="H210" s="51">
        <f>F210*G210</f>
        <v>0</v>
      </c>
      <c r="J210" s="41"/>
      <c r="Z210" s="51">
        <f>IF(AQ210="5",BJ210,0)</f>
        <v>0</v>
      </c>
      <c r="AB210" s="51">
        <f>IF(AQ210="1",BH210,0)</f>
        <v>0</v>
      </c>
      <c r="AC210" s="51">
        <f>IF(AQ210="1",BI210,0)</f>
        <v>0</v>
      </c>
      <c r="AD210" s="51">
        <f>IF(AQ210="7",BH210,0)</f>
        <v>0</v>
      </c>
      <c r="AE210" s="51">
        <f>IF(AQ210="7",BI210,0)</f>
        <v>0</v>
      </c>
      <c r="AF210" s="51">
        <f>IF(AQ210="2",BH210,0)</f>
        <v>0</v>
      </c>
      <c r="AG210" s="51">
        <f>IF(AQ210="2",BI210,0)</f>
        <v>0</v>
      </c>
      <c r="AH210" s="51">
        <f>IF(AQ210="0",BJ210,0)</f>
        <v>0</v>
      </c>
      <c r="AI210" s="35" t="s">
        <v>4</v>
      </c>
      <c r="AJ210" s="51">
        <f>IF(AN210=0,H210,0)</f>
        <v>0</v>
      </c>
      <c r="AK210" s="51">
        <f>IF(AN210=12,H210,0)</f>
        <v>0</v>
      </c>
      <c r="AL210" s="51">
        <f>IF(AN210=21,H210,0)</f>
        <v>0</v>
      </c>
      <c r="AN210" s="51">
        <v>12</v>
      </c>
      <c r="AO210" s="51">
        <f>G210*0.357142857</f>
        <v>0</v>
      </c>
      <c r="AP210" s="51">
        <f>G210*(1-0.357142857)</f>
        <v>0</v>
      </c>
      <c r="AQ210" s="53" t="s">
        <v>150</v>
      </c>
      <c r="AV210" s="51">
        <f>AW210+AX210</f>
        <v>0</v>
      </c>
      <c r="AW210" s="51">
        <f>F210*AO210</f>
        <v>0</v>
      </c>
      <c r="AX210" s="51">
        <f>F210*AP210</f>
        <v>0</v>
      </c>
      <c r="AY210" s="53" t="s">
        <v>573</v>
      </c>
      <c r="AZ210" s="53" t="s">
        <v>538</v>
      </c>
      <c r="BA210" s="35" t="s">
        <v>117</v>
      </c>
      <c r="BC210" s="51">
        <f>AW210+AX210</f>
        <v>0</v>
      </c>
      <c r="BD210" s="51">
        <f>G210/(100-BE210)*100</f>
        <v>0</v>
      </c>
      <c r="BE210" s="51">
        <v>0</v>
      </c>
      <c r="BF210" s="51">
        <f>210</f>
        <v>210</v>
      </c>
      <c r="BH210" s="51">
        <f>F210*AO210</f>
        <v>0</v>
      </c>
      <c r="BI210" s="51">
        <f>F210*AP210</f>
        <v>0</v>
      </c>
      <c r="BJ210" s="51">
        <f>F210*G210</f>
        <v>0</v>
      </c>
      <c r="BK210" s="51"/>
      <c r="BL210" s="51">
        <v>776</v>
      </c>
      <c r="BW210" s="51">
        <v>12</v>
      </c>
      <c r="BX210" s="3" t="s">
        <v>586</v>
      </c>
    </row>
    <row r="211" spans="1:76" ht="13.5" customHeight="1">
      <c r="A211" s="54"/>
      <c r="B211" s="58" t="s">
        <v>136</v>
      </c>
      <c r="C211" s="152" t="s">
        <v>587</v>
      </c>
      <c r="D211" s="153"/>
      <c r="E211" s="153"/>
      <c r="F211" s="153"/>
      <c r="G211" s="154"/>
      <c r="H211" s="153"/>
      <c r="I211" s="153"/>
      <c r="J211" s="155"/>
    </row>
    <row r="212" spans="1:76">
      <c r="A212" s="54"/>
      <c r="C212" s="55" t="s">
        <v>588</v>
      </c>
      <c r="D212" s="56" t="s">
        <v>589</v>
      </c>
      <c r="F212" s="57">
        <v>5.3</v>
      </c>
      <c r="J212" s="41"/>
    </row>
    <row r="213" spans="1:76">
      <c r="A213" s="54"/>
      <c r="C213" s="55" t="s">
        <v>590</v>
      </c>
      <c r="D213" s="56" t="s">
        <v>174</v>
      </c>
      <c r="F213" s="57">
        <v>12.15</v>
      </c>
      <c r="J213" s="41"/>
    </row>
    <row r="214" spans="1:76">
      <c r="A214" s="54"/>
      <c r="C214" s="55" t="s">
        <v>576</v>
      </c>
      <c r="D214" s="56" t="s">
        <v>178</v>
      </c>
      <c r="F214" s="57">
        <v>18.05</v>
      </c>
      <c r="J214" s="41"/>
    </row>
    <row r="215" spans="1:76">
      <c r="A215" s="1" t="s">
        <v>591</v>
      </c>
      <c r="B215" s="2" t="s">
        <v>592</v>
      </c>
      <c r="C215" s="75" t="s">
        <v>593</v>
      </c>
      <c r="D215" s="70"/>
      <c r="E215" s="2" t="s">
        <v>114</v>
      </c>
      <c r="F215" s="51">
        <v>35.06</v>
      </c>
      <c r="G215" s="52">
        <v>0</v>
      </c>
      <c r="H215" s="51">
        <f>F215*G215</f>
        <v>0</v>
      </c>
      <c r="J215" s="41"/>
      <c r="Z215" s="51">
        <f>IF(AQ215="5",BJ215,0)</f>
        <v>0</v>
      </c>
      <c r="AB215" s="51">
        <f>IF(AQ215="1",BH215,0)</f>
        <v>0</v>
      </c>
      <c r="AC215" s="51">
        <f>IF(AQ215="1",BI215,0)</f>
        <v>0</v>
      </c>
      <c r="AD215" s="51">
        <f>IF(AQ215="7",BH215,0)</f>
        <v>0</v>
      </c>
      <c r="AE215" s="51">
        <f>IF(AQ215="7",BI215,0)</f>
        <v>0</v>
      </c>
      <c r="AF215" s="51">
        <f>IF(AQ215="2",BH215,0)</f>
        <v>0</v>
      </c>
      <c r="AG215" s="51">
        <f>IF(AQ215="2",BI215,0)</f>
        <v>0</v>
      </c>
      <c r="AH215" s="51">
        <f>IF(AQ215="0",BJ215,0)</f>
        <v>0</v>
      </c>
      <c r="AI215" s="35" t="s">
        <v>4</v>
      </c>
      <c r="AJ215" s="51">
        <f>IF(AN215=0,H215,0)</f>
        <v>0</v>
      </c>
      <c r="AK215" s="51">
        <f>IF(AN215=12,H215,0)</f>
        <v>0</v>
      </c>
      <c r="AL215" s="51">
        <f>IF(AN215=21,H215,0)</f>
        <v>0</v>
      </c>
      <c r="AN215" s="51">
        <v>12</v>
      </c>
      <c r="AO215" s="51">
        <f>G215*0.207381317</f>
        <v>0</v>
      </c>
      <c r="AP215" s="51">
        <f>G215*(1-0.207381317)</f>
        <v>0</v>
      </c>
      <c r="AQ215" s="53" t="s">
        <v>150</v>
      </c>
      <c r="AV215" s="51">
        <f>AW215+AX215</f>
        <v>0</v>
      </c>
      <c r="AW215" s="51">
        <f>F215*AO215</f>
        <v>0</v>
      </c>
      <c r="AX215" s="51">
        <f>F215*AP215</f>
        <v>0</v>
      </c>
      <c r="AY215" s="53" t="s">
        <v>573</v>
      </c>
      <c r="AZ215" s="53" t="s">
        <v>538</v>
      </c>
      <c r="BA215" s="35" t="s">
        <v>117</v>
      </c>
      <c r="BC215" s="51">
        <f>AW215+AX215</f>
        <v>0</v>
      </c>
      <c r="BD215" s="51">
        <f>G215/(100-BE215)*100</f>
        <v>0</v>
      </c>
      <c r="BE215" s="51">
        <v>0</v>
      </c>
      <c r="BF215" s="51">
        <f>215</f>
        <v>215</v>
      </c>
      <c r="BH215" s="51">
        <f>F215*AO215</f>
        <v>0</v>
      </c>
      <c r="BI215" s="51">
        <f>F215*AP215</f>
        <v>0</v>
      </c>
      <c r="BJ215" s="51">
        <f>F215*G215</f>
        <v>0</v>
      </c>
      <c r="BK215" s="51"/>
      <c r="BL215" s="51">
        <v>776</v>
      </c>
      <c r="BW215" s="51">
        <v>12</v>
      </c>
      <c r="BX215" s="3" t="s">
        <v>593</v>
      </c>
    </row>
    <row r="216" spans="1:76">
      <c r="A216" s="54"/>
      <c r="C216" s="55" t="s">
        <v>594</v>
      </c>
      <c r="D216" s="56" t="s">
        <v>4</v>
      </c>
      <c r="F216" s="57">
        <v>35.06</v>
      </c>
      <c r="J216" s="41"/>
    </row>
    <row r="217" spans="1:76">
      <c r="A217" s="1" t="s">
        <v>595</v>
      </c>
      <c r="B217" s="2" t="s">
        <v>596</v>
      </c>
      <c r="C217" s="75" t="s">
        <v>597</v>
      </c>
      <c r="D217" s="70"/>
      <c r="E217" s="2" t="s">
        <v>114</v>
      </c>
      <c r="F217" s="51">
        <v>38.566000000000003</v>
      </c>
      <c r="G217" s="52">
        <v>0</v>
      </c>
      <c r="H217" s="51">
        <f>F217*G217</f>
        <v>0</v>
      </c>
      <c r="J217" s="41"/>
      <c r="Z217" s="51">
        <f>IF(AQ217="5",BJ217,0)</f>
        <v>0</v>
      </c>
      <c r="AB217" s="51">
        <f>IF(AQ217="1",BH217,0)</f>
        <v>0</v>
      </c>
      <c r="AC217" s="51">
        <f>IF(AQ217="1",BI217,0)</f>
        <v>0</v>
      </c>
      <c r="AD217" s="51">
        <f>IF(AQ217="7",BH217,0)</f>
        <v>0</v>
      </c>
      <c r="AE217" s="51">
        <f>IF(AQ217="7",BI217,0)</f>
        <v>0</v>
      </c>
      <c r="AF217" s="51">
        <f>IF(AQ217="2",BH217,0)</f>
        <v>0</v>
      </c>
      <c r="AG217" s="51">
        <f>IF(AQ217="2",BI217,0)</f>
        <v>0</v>
      </c>
      <c r="AH217" s="51">
        <f>IF(AQ217="0",BJ217,0)</f>
        <v>0</v>
      </c>
      <c r="AI217" s="35" t="s">
        <v>4</v>
      </c>
      <c r="AJ217" s="51">
        <f>IF(AN217=0,H217,0)</f>
        <v>0</v>
      </c>
      <c r="AK217" s="51">
        <f>IF(AN217=12,H217,0)</f>
        <v>0</v>
      </c>
      <c r="AL217" s="51">
        <f>IF(AN217=21,H217,0)</f>
        <v>0</v>
      </c>
      <c r="AN217" s="51">
        <v>12</v>
      </c>
      <c r="AO217" s="51">
        <f>G217*1</f>
        <v>0</v>
      </c>
      <c r="AP217" s="51">
        <f>G217*(1-1)</f>
        <v>0</v>
      </c>
      <c r="AQ217" s="53" t="s">
        <v>150</v>
      </c>
      <c r="AV217" s="51">
        <f>AW217+AX217</f>
        <v>0</v>
      </c>
      <c r="AW217" s="51">
        <f>F217*AO217</f>
        <v>0</v>
      </c>
      <c r="AX217" s="51">
        <f>F217*AP217</f>
        <v>0</v>
      </c>
      <c r="AY217" s="53" t="s">
        <v>573</v>
      </c>
      <c r="AZ217" s="53" t="s">
        <v>538</v>
      </c>
      <c r="BA217" s="35" t="s">
        <v>117</v>
      </c>
      <c r="BC217" s="51">
        <f>AW217+AX217</f>
        <v>0</v>
      </c>
      <c r="BD217" s="51">
        <f>G217/(100-BE217)*100</f>
        <v>0</v>
      </c>
      <c r="BE217" s="51">
        <v>0</v>
      </c>
      <c r="BF217" s="51">
        <f>217</f>
        <v>217</v>
      </c>
      <c r="BH217" s="51">
        <f>F217*AO217</f>
        <v>0</v>
      </c>
      <c r="BI217" s="51">
        <f>F217*AP217</f>
        <v>0</v>
      </c>
      <c r="BJ217" s="51">
        <f>F217*G217</f>
        <v>0</v>
      </c>
      <c r="BK217" s="51"/>
      <c r="BL217" s="51">
        <v>776</v>
      </c>
      <c r="BW217" s="51">
        <v>12</v>
      </c>
      <c r="BX217" s="3" t="s">
        <v>597</v>
      </c>
    </row>
    <row r="218" spans="1:76">
      <c r="A218" s="54"/>
      <c r="C218" s="55" t="s">
        <v>598</v>
      </c>
      <c r="D218" s="56" t="s">
        <v>4</v>
      </c>
      <c r="F218" s="57">
        <v>38.566000000000003</v>
      </c>
      <c r="J218" s="41"/>
    </row>
    <row r="219" spans="1:76">
      <c r="A219" s="1" t="s">
        <v>599</v>
      </c>
      <c r="B219" s="2" t="s">
        <v>600</v>
      </c>
      <c r="C219" s="75" t="s">
        <v>601</v>
      </c>
      <c r="D219" s="70"/>
      <c r="E219" s="2" t="s">
        <v>515</v>
      </c>
      <c r="F219" s="51">
        <v>1</v>
      </c>
      <c r="G219" s="52">
        <v>0</v>
      </c>
      <c r="H219" s="51">
        <f>F219*G219</f>
        <v>0</v>
      </c>
      <c r="J219" s="41"/>
      <c r="Z219" s="51">
        <f>IF(AQ219="5",BJ219,0)</f>
        <v>0</v>
      </c>
      <c r="AB219" s="51">
        <f>IF(AQ219="1",BH219,0)</f>
        <v>0</v>
      </c>
      <c r="AC219" s="51">
        <f>IF(AQ219="1",BI219,0)</f>
        <v>0</v>
      </c>
      <c r="AD219" s="51">
        <f>IF(AQ219="7",BH219,0)</f>
        <v>0</v>
      </c>
      <c r="AE219" s="51">
        <f>IF(AQ219="7",BI219,0)</f>
        <v>0</v>
      </c>
      <c r="AF219" s="51">
        <f>IF(AQ219="2",BH219,0)</f>
        <v>0</v>
      </c>
      <c r="AG219" s="51">
        <f>IF(AQ219="2",BI219,0)</f>
        <v>0</v>
      </c>
      <c r="AH219" s="51">
        <f>IF(AQ219="0",BJ219,0)</f>
        <v>0</v>
      </c>
      <c r="AI219" s="35" t="s">
        <v>4</v>
      </c>
      <c r="AJ219" s="51">
        <f>IF(AN219=0,H219,0)</f>
        <v>0</v>
      </c>
      <c r="AK219" s="51">
        <f>IF(AN219=12,H219,0)</f>
        <v>0</v>
      </c>
      <c r="AL219" s="51">
        <f>IF(AN219=21,H219,0)</f>
        <v>0</v>
      </c>
      <c r="AN219" s="51">
        <v>12</v>
      </c>
      <c r="AO219" s="51">
        <f>G219*0</f>
        <v>0</v>
      </c>
      <c r="AP219" s="51">
        <f>G219*(1-0)</f>
        <v>0</v>
      </c>
      <c r="AQ219" s="53" t="s">
        <v>150</v>
      </c>
      <c r="AV219" s="51">
        <f>AW219+AX219</f>
        <v>0</v>
      </c>
      <c r="AW219" s="51">
        <f>F219*AO219</f>
        <v>0</v>
      </c>
      <c r="AX219" s="51">
        <f>F219*AP219</f>
        <v>0</v>
      </c>
      <c r="AY219" s="53" t="s">
        <v>573</v>
      </c>
      <c r="AZ219" s="53" t="s">
        <v>538</v>
      </c>
      <c r="BA219" s="35" t="s">
        <v>117</v>
      </c>
      <c r="BC219" s="51">
        <f>AW219+AX219</f>
        <v>0</v>
      </c>
      <c r="BD219" s="51">
        <f>G219/(100-BE219)*100</f>
        <v>0</v>
      </c>
      <c r="BE219" s="51">
        <v>0</v>
      </c>
      <c r="BF219" s="51">
        <f>219</f>
        <v>219</v>
      </c>
      <c r="BH219" s="51">
        <f>F219*AO219</f>
        <v>0</v>
      </c>
      <c r="BI219" s="51">
        <f>F219*AP219</f>
        <v>0</v>
      </c>
      <c r="BJ219" s="51">
        <f>F219*G219</f>
        <v>0</v>
      </c>
      <c r="BK219" s="51"/>
      <c r="BL219" s="51">
        <v>776</v>
      </c>
      <c r="BW219" s="51">
        <v>12</v>
      </c>
      <c r="BX219" s="3" t="s">
        <v>601</v>
      </c>
    </row>
    <row r="220" spans="1:76">
      <c r="A220" s="1" t="s">
        <v>602</v>
      </c>
      <c r="B220" s="2" t="s">
        <v>603</v>
      </c>
      <c r="C220" s="75" t="s">
        <v>604</v>
      </c>
      <c r="D220" s="70"/>
      <c r="E220" s="2" t="s">
        <v>273</v>
      </c>
      <c r="F220" s="51">
        <v>0.1</v>
      </c>
      <c r="G220" s="52">
        <v>0</v>
      </c>
      <c r="H220" s="51">
        <f>F220*G220</f>
        <v>0</v>
      </c>
      <c r="J220" s="41"/>
      <c r="Z220" s="51">
        <f>IF(AQ220="5",BJ220,0)</f>
        <v>0</v>
      </c>
      <c r="AB220" s="51">
        <f>IF(AQ220="1",BH220,0)</f>
        <v>0</v>
      </c>
      <c r="AC220" s="51">
        <f>IF(AQ220="1",BI220,0)</f>
        <v>0</v>
      </c>
      <c r="AD220" s="51">
        <f>IF(AQ220="7",BH220,0)</f>
        <v>0</v>
      </c>
      <c r="AE220" s="51">
        <f>IF(AQ220="7",BI220,0)</f>
        <v>0</v>
      </c>
      <c r="AF220" s="51">
        <f>IF(AQ220="2",BH220,0)</f>
        <v>0</v>
      </c>
      <c r="AG220" s="51">
        <f>IF(AQ220="2",BI220,0)</f>
        <v>0</v>
      </c>
      <c r="AH220" s="51">
        <f>IF(AQ220="0",BJ220,0)</f>
        <v>0</v>
      </c>
      <c r="AI220" s="35" t="s">
        <v>4</v>
      </c>
      <c r="AJ220" s="51">
        <f>IF(AN220=0,H220,0)</f>
        <v>0</v>
      </c>
      <c r="AK220" s="51">
        <f>IF(AN220=12,H220,0)</f>
        <v>0</v>
      </c>
      <c r="AL220" s="51">
        <f>IF(AN220=21,H220,0)</f>
        <v>0</v>
      </c>
      <c r="AN220" s="51">
        <v>12</v>
      </c>
      <c r="AO220" s="51">
        <f>G220*0</f>
        <v>0</v>
      </c>
      <c r="AP220" s="51">
        <f>G220*(1-0)</f>
        <v>0</v>
      </c>
      <c r="AQ220" s="53" t="s">
        <v>138</v>
      </c>
      <c r="AV220" s="51">
        <f>AW220+AX220</f>
        <v>0</v>
      </c>
      <c r="AW220" s="51">
        <f>F220*AO220</f>
        <v>0</v>
      </c>
      <c r="AX220" s="51">
        <f>F220*AP220</f>
        <v>0</v>
      </c>
      <c r="AY220" s="53" t="s">
        <v>573</v>
      </c>
      <c r="AZ220" s="53" t="s">
        <v>538</v>
      </c>
      <c r="BA220" s="35" t="s">
        <v>117</v>
      </c>
      <c r="BC220" s="51">
        <f>AW220+AX220</f>
        <v>0</v>
      </c>
      <c r="BD220" s="51">
        <f>G220/(100-BE220)*100</f>
        <v>0</v>
      </c>
      <c r="BE220" s="51">
        <v>0</v>
      </c>
      <c r="BF220" s="51">
        <f>220</f>
        <v>220</v>
      </c>
      <c r="BH220" s="51">
        <f>F220*AO220</f>
        <v>0</v>
      </c>
      <c r="BI220" s="51">
        <f>F220*AP220</f>
        <v>0</v>
      </c>
      <c r="BJ220" s="51">
        <f>F220*G220</f>
        <v>0</v>
      </c>
      <c r="BK220" s="51"/>
      <c r="BL220" s="51">
        <v>776</v>
      </c>
      <c r="BW220" s="51">
        <v>12</v>
      </c>
      <c r="BX220" s="3" t="s">
        <v>604</v>
      </c>
    </row>
    <row r="221" spans="1:76">
      <c r="A221" s="47" t="s">
        <v>4</v>
      </c>
      <c r="B221" s="48" t="s">
        <v>605</v>
      </c>
      <c r="C221" s="150" t="s">
        <v>606</v>
      </c>
      <c r="D221" s="151"/>
      <c r="E221" s="49" t="s">
        <v>79</v>
      </c>
      <c r="F221" s="49" t="s">
        <v>79</v>
      </c>
      <c r="G221" s="50" t="s">
        <v>79</v>
      </c>
      <c r="H221" s="28">
        <f>SUM(H222:H225)</f>
        <v>0</v>
      </c>
      <c r="J221" s="41"/>
      <c r="AI221" s="35" t="s">
        <v>4</v>
      </c>
      <c r="AS221" s="28">
        <f>SUM(AJ222:AJ225)</f>
        <v>0</v>
      </c>
      <c r="AT221" s="28">
        <f>SUM(AK222:AK225)</f>
        <v>0</v>
      </c>
      <c r="AU221" s="28">
        <f>SUM(AL222:AL225)</f>
        <v>0</v>
      </c>
    </row>
    <row r="222" spans="1:76">
      <c r="A222" s="1" t="s">
        <v>607</v>
      </c>
      <c r="B222" s="2" t="s">
        <v>608</v>
      </c>
      <c r="C222" s="75" t="s">
        <v>609</v>
      </c>
      <c r="D222" s="70"/>
      <c r="E222" s="2" t="s">
        <v>114</v>
      </c>
      <c r="F222" s="51">
        <v>35.06</v>
      </c>
      <c r="G222" s="52">
        <v>0</v>
      </c>
      <c r="H222" s="51">
        <f>F222*G222</f>
        <v>0</v>
      </c>
      <c r="J222" s="41"/>
      <c r="Z222" s="51">
        <f>IF(AQ222="5",BJ222,0)</f>
        <v>0</v>
      </c>
      <c r="AB222" s="51">
        <f>IF(AQ222="1",BH222,0)</f>
        <v>0</v>
      </c>
      <c r="AC222" s="51">
        <f>IF(AQ222="1",BI222,0)</f>
        <v>0</v>
      </c>
      <c r="AD222" s="51">
        <f>IF(AQ222="7",BH222,0)</f>
        <v>0</v>
      </c>
      <c r="AE222" s="51">
        <f>IF(AQ222="7",BI222,0)</f>
        <v>0</v>
      </c>
      <c r="AF222" s="51">
        <f>IF(AQ222="2",BH222,0)</f>
        <v>0</v>
      </c>
      <c r="AG222" s="51">
        <f>IF(AQ222="2",BI222,0)</f>
        <v>0</v>
      </c>
      <c r="AH222" s="51">
        <f>IF(AQ222="0",BJ222,0)</f>
        <v>0</v>
      </c>
      <c r="AI222" s="35" t="s">
        <v>4</v>
      </c>
      <c r="AJ222" s="51">
        <f>IF(AN222=0,H222,0)</f>
        <v>0</v>
      </c>
      <c r="AK222" s="51">
        <f>IF(AN222=12,H222,0)</f>
        <v>0</v>
      </c>
      <c r="AL222" s="51">
        <f>IF(AN222=21,H222,0)</f>
        <v>0</v>
      </c>
      <c r="AN222" s="51">
        <v>12</v>
      </c>
      <c r="AO222" s="51">
        <f>G222*0.174336503</f>
        <v>0</v>
      </c>
      <c r="AP222" s="51">
        <f>G222*(1-0.174336503)</f>
        <v>0</v>
      </c>
      <c r="AQ222" s="53" t="s">
        <v>150</v>
      </c>
      <c r="AV222" s="51">
        <f>AW222+AX222</f>
        <v>0</v>
      </c>
      <c r="AW222" s="51">
        <f>F222*AO222</f>
        <v>0</v>
      </c>
      <c r="AX222" s="51">
        <f>F222*AP222</f>
        <v>0</v>
      </c>
      <c r="AY222" s="53" t="s">
        <v>610</v>
      </c>
      <c r="AZ222" s="53" t="s">
        <v>538</v>
      </c>
      <c r="BA222" s="35" t="s">
        <v>117</v>
      </c>
      <c r="BC222" s="51">
        <f>AW222+AX222</f>
        <v>0</v>
      </c>
      <c r="BD222" s="51">
        <f>G222/(100-BE222)*100</f>
        <v>0</v>
      </c>
      <c r="BE222" s="51">
        <v>0</v>
      </c>
      <c r="BF222" s="51">
        <f>222</f>
        <v>222</v>
      </c>
      <c r="BH222" s="51">
        <f>F222*AO222</f>
        <v>0</v>
      </c>
      <c r="BI222" s="51">
        <f>F222*AP222</f>
        <v>0</v>
      </c>
      <c r="BJ222" s="51">
        <f>F222*G222</f>
        <v>0</v>
      </c>
      <c r="BK222" s="51"/>
      <c r="BL222" s="51">
        <v>777</v>
      </c>
      <c r="BW222" s="51">
        <v>12</v>
      </c>
      <c r="BX222" s="3" t="s">
        <v>609</v>
      </c>
    </row>
    <row r="223" spans="1:76">
      <c r="A223" s="1" t="s">
        <v>611</v>
      </c>
      <c r="B223" s="2" t="s">
        <v>612</v>
      </c>
      <c r="C223" s="75" t="s">
        <v>613</v>
      </c>
      <c r="D223" s="70"/>
      <c r="E223" s="2" t="s">
        <v>114</v>
      </c>
      <c r="F223" s="51">
        <v>35.06</v>
      </c>
      <c r="G223" s="52">
        <v>0</v>
      </c>
      <c r="H223" s="51">
        <f>F223*G223</f>
        <v>0</v>
      </c>
      <c r="J223" s="41"/>
      <c r="Z223" s="51">
        <f>IF(AQ223="5",BJ223,0)</f>
        <v>0</v>
      </c>
      <c r="AB223" s="51">
        <f>IF(AQ223="1",BH223,0)</f>
        <v>0</v>
      </c>
      <c r="AC223" s="51">
        <f>IF(AQ223="1",BI223,0)</f>
        <v>0</v>
      </c>
      <c r="AD223" s="51">
        <f>IF(AQ223="7",BH223,0)</f>
        <v>0</v>
      </c>
      <c r="AE223" s="51">
        <f>IF(AQ223="7",BI223,0)</f>
        <v>0</v>
      </c>
      <c r="AF223" s="51">
        <f>IF(AQ223="2",BH223,0)</f>
        <v>0</v>
      </c>
      <c r="AG223" s="51">
        <f>IF(AQ223="2",BI223,0)</f>
        <v>0</v>
      </c>
      <c r="AH223" s="51">
        <f>IF(AQ223="0",BJ223,0)</f>
        <v>0</v>
      </c>
      <c r="AI223" s="35" t="s">
        <v>4</v>
      </c>
      <c r="AJ223" s="51">
        <f>IF(AN223=0,H223,0)</f>
        <v>0</v>
      </c>
      <c r="AK223" s="51">
        <f>IF(AN223=12,H223,0)</f>
        <v>0</v>
      </c>
      <c r="AL223" s="51">
        <f>IF(AN223=21,H223,0)</f>
        <v>0</v>
      </c>
      <c r="AN223" s="51">
        <v>12</v>
      </c>
      <c r="AO223" s="51">
        <f>G223*0.231018711</f>
        <v>0</v>
      </c>
      <c r="AP223" s="51">
        <f>G223*(1-0.231018711)</f>
        <v>0</v>
      </c>
      <c r="AQ223" s="53" t="s">
        <v>150</v>
      </c>
      <c r="AV223" s="51">
        <f>AW223+AX223</f>
        <v>0</v>
      </c>
      <c r="AW223" s="51">
        <f>F223*AO223</f>
        <v>0</v>
      </c>
      <c r="AX223" s="51">
        <f>F223*AP223</f>
        <v>0</v>
      </c>
      <c r="AY223" s="53" t="s">
        <v>610</v>
      </c>
      <c r="AZ223" s="53" t="s">
        <v>538</v>
      </c>
      <c r="BA223" s="35" t="s">
        <v>117</v>
      </c>
      <c r="BC223" s="51">
        <f>AW223+AX223</f>
        <v>0</v>
      </c>
      <c r="BD223" s="51">
        <f>G223/(100-BE223)*100</f>
        <v>0</v>
      </c>
      <c r="BE223" s="51">
        <v>0</v>
      </c>
      <c r="BF223" s="51">
        <f>223</f>
        <v>223</v>
      </c>
      <c r="BH223" s="51">
        <f>F223*AO223</f>
        <v>0</v>
      </c>
      <c r="BI223" s="51">
        <f>F223*AP223</f>
        <v>0</v>
      </c>
      <c r="BJ223" s="51">
        <f>F223*G223</f>
        <v>0</v>
      </c>
      <c r="BK223" s="51"/>
      <c r="BL223" s="51">
        <v>777</v>
      </c>
      <c r="BW223" s="51">
        <v>12</v>
      </c>
      <c r="BX223" s="3" t="s">
        <v>613</v>
      </c>
    </row>
    <row r="224" spans="1:76">
      <c r="A224" s="54"/>
      <c r="C224" s="55" t="s">
        <v>594</v>
      </c>
      <c r="D224" s="56" t="s">
        <v>4</v>
      </c>
      <c r="F224" s="57">
        <v>35.06</v>
      </c>
      <c r="J224" s="41"/>
    </row>
    <row r="225" spans="1:76">
      <c r="A225" s="1" t="s">
        <v>614</v>
      </c>
      <c r="B225" s="2" t="s">
        <v>615</v>
      </c>
      <c r="C225" s="75" t="s">
        <v>616</v>
      </c>
      <c r="D225" s="70"/>
      <c r="E225" s="2" t="s">
        <v>273</v>
      </c>
      <c r="F225" s="51">
        <v>0.107</v>
      </c>
      <c r="G225" s="52">
        <v>0</v>
      </c>
      <c r="H225" s="51">
        <f>F225*G225</f>
        <v>0</v>
      </c>
      <c r="J225" s="41"/>
      <c r="Z225" s="51">
        <f>IF(AQ225="5",BJ225,0)</f>
        <v>0</v>
      </c>
      <c r="AB225" s="51">
        <f>IF(AQ225="1",BH225,0)</f>
        <v>0</v>
      </c>
      <c r="AC225" s="51">
        <f>IF(AQ225="1",BI225,0)</f>
        <v>0</v>
      </c>
      <c r="AD225" s="51">
        <f>IF(AQ225="7",BH225,0)</f>
        <v>0</v>
      </c>
      <c r="AE225" s="51">
        <f>IF(AQ225="7",BI225,0)</f>
        <v>0</v>
      </c>
      <c r="AF225" s="51">
        <f>IF(AQ225="2",BH225,0)</f>
        <v>0</v>
      </c>
      <c r="AG225" s="51">
        <f>IF(AQ225="2",BI225,0)</f>
        <v>0</v>
      </c>
      <c r="AH225" s="51">
        <f>IF(AQ225="0",BJ225,0)</f>
        <v>0</v>
      </c>
      <c r="AI225" s="35" t="s">
        <v>4</v>
      </c>
      <c r="AJ225" s="51">
        <f>IF(AN225=0,H225,0)</f>
        <v>0</v>
      </c>
      <c r="AK225" s="51">
        <f>IF(AN225=12,H225,0)</f>
        <v>0</v>
      </c>
      <c r="AL225" s="51">
        <f>IF(AN225=21,H225,0)</f>
        <v>0</v>
      </c>
      <c r="AN225" s="51">
        <v>12</v>
      </c>
      <c r="AO225" s="51">
        <f>G225*0</f>
        <v>0</v>
      </c>
      <c r="AP225" s="51">
        <f>G225*(1-0)</f>
        <v>0</v>
      </c>
      <c r="AQ225" s="53" t="s">
        <v>138</v>
      </c>
      <c r="AV225" s="51">
        <f>AW225+AX225</f>
        <v>0</v>
      </c>
      <c r="AW225" s="51">
        <f>F225*AO225</f>
        <v>0</v>
      </c>
      <c r="AX225" s="51">
        <f>F225*AP225</f>
        <v>0</v>
      </c>
      <c r="AY225" s="53" t="s">
        <v>610</v>
      </c>
      <c r="AZ225" s="53" t="s">
        <v>538</v>
      </c>
      <c r="BA225" s="35" t="s">
        <v>117</v>
      </c>
      <c r="BC225" s="51">
        <f>AW225+AX225</f>
        <v>0</v>
      </c>
      <c r="BD225" s="51">
        <f>G225/(100-BE225)*100</f>
        <v>0</v>
      </c>
      <c r="BE225" s="51">
        <v>0</v>
      </c>
      <c r="BF225" s="51">
        <f>225</f>
        <v>225</v>
      </c>
      <c r="BH225" s="51">
        <f>F225*AO225</f>
        <v>0</v>
      </c>
      <c r="BI225" s="51">
        <f>F225*AP225</f>
        <v>0</v>
      </c>
      <c r="BJ225" s="51">
        <f>F225*G225</f>
        <v>0</v>
      </c>
      <c r="BK225" s="51"/>
      <c r="BL225" s="51">
        <v>777</v>
      </c>
      <c r="BW225" s="51">
        <v>12</v>
      </c>
      <c r="BX225" s="3" t="s">
        <v>616</v>
      </c>
    </row>
    <row r="226" spans="1:76">
      <c r="A226" s="47" t="s">
        <v>4</v>
      </c>
      <c r="B226" s="48" t="s">
        <v>617</v>
      </c>
      <c r="C226" s="150" t="s">
        <v>618</v>
      </c>
      <c r="D226" s="151"/>
      <c r="E226" s="49" t="s">
        <v>79</v>
      </c>
      <c r="F226" s="49" t="s">
        <v>79</v>
      </c>
      <c r="G226" s="50" t="s">
        <v>79</v>
      </c>
      <c r="H226" s="28">
        <f>SUM(H227:H241)</f>
        <v>0</v>
      </c>
      <c r="J226" s="41"/>
      <c r="AI226" s="35" t="s">
        <v>4</v>
      </c>
      <c r="AS226" s="28">
        <f>SUM(AJ227:AJ241)</f>
        <v>0</v>
      </c>
      <c r="AT226" s="28">
        <f>SUM(AK227:AK241)</f>
        <v>0</v>
      </c>
      <c r="AU226" s="28">
        <f>SUM(AL227:AL241)</f>
        <v>0</v>
      </c>
    </row>
    <row r="227" spans="1:76">
      <c r="A227" s="1" t="s">
        <v>619</v>
      </c>
      <c r="B227" s="2" t="s">
        <v>620</v>
      </c>
      <c r="C227" s="75" t="s">
        <v>621</v>
      </c>
      <c r="D227" s="70"/>
      <c r="E227" s="2" t="s">
        <v>114</v>
      </c>
      <c r="F227" s="51">
        <v>21.007000000000001</v>
      </c>
      <c r="G227" s="52">
        <v>0</v>
      </c>
      <c r="H227" s="51">
        <f>F227*G227</f>
        <v>0</v>
      </c>
      <c r="J227" s="41"/>
      <c r="Z227" s="51">
        <f>IF(AQ227="5",BJ227,0)</f>
        <v>0</v>
      </c>
      <c r="AB227" s="51">
        <f>IF(AQ227="1",BH227,0)</f>
        <v>0</v>
      </c>
      <c r="AC227" s="51">
        <f>IF(AQ227="1",BI227,0)</f>
        <v>0</v>
      </c>
      <c r="AD227" s="51">
        <f>IF(AQ227="7",BH227,0)</f>
        <v>0</v>
      </c>
      <c r="AE227" s="51">
        <f>IF(AQ227="7",BI227,0)</f>
        <v>0</v>
      </c>
      <c r="AF227" s="51">
        <f>IF(AQ227="2",BH227,0)</f>
        <v>0</v>
      </c>
      <c r="AG227" s="51">
        <f>IF(AQ227="2",BI227,0)</f>
        <v>0</v>
      </c>
      <c r="AH227" s="51">
        <f>IF(AQ227="0",BJ227,0)</f>
        <v>0</v>
      </c>
      <c r="AI227" s="35" t="s">
        <v>4</v>
      </c>
      <c r="AJ227" s="51">
        <f>IF(AN227=0,H227,0)</f>
        <v>0</v>
      </c>
      <c r="AK227" s="51">
        <f>IF(AN227=12,H227,0)</f>
        <v>0</v>
      </c>
      <c r="AL227" s="51">
        <f>IF(AN227=21,H227,0)</f>
        <v>0</v>
      </c>
      <c r="AN227" s="51">
        <v>12</v>
      </c>
      <c r="AO227" s="51">
        <f>G227*0.182075161</f>
        <v>0</v>
      </c>
      <c r="AP227" s="51">
        <f>G227*(1-0.182075161)</f>
        <v>0</v>
      </c>
      <c r="AQ227" s="53" t="s">
        <v>150</v>
      </c>
      <c r="AV227" s="51">
        <f>AW227+AX227</f>
        <v>0</v>
      </c>
      <c r="AW227" s="51">
        <f>F227*AO227</f>
        <v>0</v>
      </c>
      <c r="AX227" s="51">
        <f>F227*AP227</f>
        <v>0</v>
      </c>
      <c r="AY227" s="53" t="s">
        <v>622</v>
      </c>
      <c r="AZ227" s="53" t="s">
        <v>623</v>
      </c>
      <c r="BA227" s="35" t="s">
        <v>117</v>
      </c>
      <c r="BC227" s="51">
        <f>AW227+AX227</f>
        <v>0</v>
      </c>
      <c r="BD227" s="51">
        <f>G227/(100-BE227)*100</f>
        <v>0</v>
      </c>
      <c r="BE227" s="51">
        <v>0</v>
      </c>
      <c r="BF227" s="51">
        <f>227</f>
        <v>227</v>
      </c>
      <c r="BH227" s="51">
        <f>F227*AO227</f>
        <v>0</v>
      </c>
      <c r="BI227" s="51">
        <f>F227*AP227</f>
        <v>0</v>
      </c>
      <c r="BJ227" s="51">
        <f>F227*G227</f>
        <v>0</v>
      </c>
      <c r="BK227" s="51"/>
      <c r="BL227" s="51">
        <v>781</v>
      </c>
      <c r="BW227" s="51">
        <v>12</v>
      </c>
      <c r="BX227" s="3" t="s">
        <v>621</v>
      </c>
    </row>
    <row r="228" spans="1:76">
      <c r="A228" s="54"/>
      <c r="C228" s="55" t="s">
        <v>624</v>
      </c>
      <c r="D228" s="56" t="s">
        <v>172</v>
      </c>
      <c r="F228" s="57">
        <v>18.286999999999999</v>
      </c>
      <c r="J228" s="41"/>
    </row>
    <row r="229" spans="1:76">
      <c r="A229" s="54"/>
      <c r="C229" s="55" t="s">
        <v>625</v>
      </c>
      <c r="D229" s="56" t="s">
        <v>557</v>
      </c>
      <c r="F229" s="57">
        <v>2.04</v>
      </c>
      <c r="J229" s="41"/>
    </row>
    <row r="230" spans="1:76">
      <c r="A230" s="54"/>
      <c r="C230" s="55" t="s">
        <v>626</v>
      </c>
      <c r="D230" s="56" t="s">
        <v>4</v>
      </c>
      <c r="F230" s="57">
        <v>0.68</v>
      </c>
      <c r="J230" s="41"/>
    </row>
    <row r="231" spans="1:76">
      <c r="A231" s="1" t="s">
        <v>627</v>
      </c>
      <c r="B231" s="2" t="s">
        <v>628</v>
      </c>
      <c r="C231" s="75" t="s">
        <v>629</v>
      </c>
      <c r="D231" s="70"/>
      <c r="E231" s="2" t="s">
        <v>114</v>
      </c>
      <c r="F231" s="51">
        <v>2.72</v>
      </c>
      <c r="G231" s="52">
        <v>0</v>
      </c>
      <c r="H231" s="51">
        <f>F231*G231</f>
        <v>0</v>
      </c>
      <c r="J231" s="41"/>
      <c r="Z231" s="51">
        <f>IF(AQ231="5",BJ231,0)</f>
        <v>0</v>
      </c>
      <c r="AB231" s="51">
        <f>IF(AQ231="1",BH231,0)</f>
        <v>0</v>
      </c>
      <c r="AC231" s="51">
        <f>IF(AQ231="1",BI231,0)</f>
        <v>0</v>
      </c>
      <c r="AD231" s="51">
        <f>IF(AQ231="7",BH231,0)</f>
        <v>0</v>
      </c>
      <c r="AE231" s="51">
        <f>IF(AQ231="7",BI231,0)</f>
        <v>0</v>
      </c>
      <c r="AF231" s="51">
        <f>IF(AQ231="2",BH231,0)</f>
        <v>0</v>
      </c>
      <c r="AG231" s="51">
        <f>IF(AQ231="2",BI231,0)</f>
        <v>0</v>
      </c>
      <c r="AH231" s="51">
        <f>IF(AQ231="0",BJ231,0)</f>
        <v>0</v>
      </c>
      <c r="AI231" s="35" t="s">
        <v>4</v>
      </c>
      <c r="AJ231" s="51">
        <f>IF(AN231=0,H231,0)</f>
        <v>0</v>
      </c>
      <c r="AK231" s="51">
        <f>IF(AN231=12,H231,0)</f>
        <v>0</v>
      </c>
      <c r="AL231" s="51">
        <f>IF(AN231=21,H231,0)</f>
        <v>0</v>
      </c>
      <c r="AN231" s="51">
        <v>12</v>
      </c>
      <c r="AO231" s="51">
        <f>G231*0</f>
        <v>0</v>
      </c>
      <c r="AP231" s="51">
        <f>G231*(1-0)</f>
        <v>0</v>
      </c>
      <c r="AQ231" s="53" t="s">
        <v>150</v>
      </c>
      <c r="AV231" s="51">
        <f>AW231+AX231</f>
        <v>0</v>
      </c>
      <c r="AW231" s="51">
        <f>F231*AO231</f>
        <v>0</v>
      </c>
      <c r="AX231" s="51">
        <f>F231*AP231</f>
        <v>0</v>
      </c>
      <c r="AY231" s="53" t="s">
        <v>622</v>
      </c>
      <c r="AZ231" s="53" t="s">
        <v>623</v>
      </c>
      <c r="BA231" s="35" t="s">
        <v>117</v>
      </c>
      <c r="BC231" s="51">
        <f>AW231+AX231</f>
        <v>0</v>
      </c>
      <c r="BD231" s="51">
        <f>G231/(100-BE231)*100</f>
        <v>0</v>
      </c>
      <c r="BE231" s="51">
        <v>0</v>
      </c>
      <c r="BF231" s="51">
        <f>231</f>
        <v>231</v>
      </c>
      <c r="BH231" s="51">
        <f>F231*AO231</f>
        <v>0</v>
      </c>
      <c r="BI231" s="51">
        <f>F231*AP231</f>
        <v>0</v>
      </c>
      <c r="BJ231" s="51">
        <f>F231*G231</f>
        <v>0</v>
      </c>
      <c r="BK231" s="51"/>
      <c r="BL231" s="51">
        <v>781</v>
      </c>
      <c r="BW231" s="51">
        <v>12</v>
      </c>
      <c r="BX231" s="3" t="s">
        <v>629</v>
      </c>
    </row>
    <row r="232" spans="1:76">
      <c r="A232" s="1" t="s">
        <v>630</v>
      </c>
      <c r="B232" s="2" t="s">
        <v>631</v>
      </c>
      <c r="C232" s="75" t="s">
        <v>632</v>
      </c>
      <c r="D232" s="70"/>
      <c r="E232" s="2" t="s">
        <v>141</v>
      </c>
      <c r="F232" s="51">
        <v>8.4</v>
      </c>
      <c r="G232" s="52">
        <v>0</v>
      </c>
      <c r="H232" s="51">
        <f>F232*G232</f>
        <v>0</v>
      </c>
      <c r="J232" s="41"/>
      <c r="Z232" s="51">
        <f>IF(AQ232="5",BJ232,0)</f>
        <v>0</v>
      </c>
      <c r="AB232" s="51">
        <f>IF(AQ232="1",BH232,0)</f>
        <v>0</v>
      </c>
      <c r="AC232" s="51">
        <f>IF(AQ232="1",BI232,0)</f>
        <v>0</v>
      </c>
      <c r="AD232" s="51">
        <f>IF(AQ232="7",BH232,0)</f>
        <v>0</v>
      </c>
      <c r="AE232" s="51">
        <f>IF(AQ232="7",BI232,0)</f>
        <v>0</v>
      </c>
      <c r="AF232" s="51">
        <f>IF(AQ232="2",BH232,0)</f>
        <v>0</v>
      </c>
      <c r="AG232" s="51">
        <f>IF(AQ232="2",BI232,0)</f>
        <v>0</v>
      </c>
      <c r="AH232" s="51">
        <f>IF(AQ232="0",BJ232,0)</f>
        <v>0</v>
      </c>
      <c r="AI232" s="35" t="s">
        <v>4</v>
      </c>
      <c r="AJ232" s="51">
        <f>IF(AN232=0,H232,0)</f>
        <v>0</v>
      </c>
      <c r="AK232" s="51">
        <f>IF(AN232=12,H232,0)</f>
        <v>0</v>
      </c>
      <c r="AL232" s="51">
        <f>IF(AN232=21,H232,0)</f>
        <v>0</v>
      </c>
      <c r="AN232" s="51">
        <v>12</v>
      </c>
      <c r="AO232" s="51">
        <f>G232*0.05314554</f>
        <v>0</v>
      </c>
      <c r="AP232" s="51">
        <f>G232*(1-0.05314554)</f>
        <v>0</v>
      </c>
      <c r="AQ232" s="53" t="s">
        <v>150</v>
      </c>
      <c r="AV232" s="51">
        <f>AW232+AX232</f>
        <v>0</v>
      </c>
      <c r="AW232" s="51">
        <f>F232*AO232</f>
        <v>0</v>
      </c>
      <c r="AX232" s="51">
        <f>F232*AP232</f>
        <v>0</v>
      </c>
      <c r="AY232" s="53" t="s">
        <v>622</v>
      </c>
      <c r="AZ232" s="53" t="s">
        <v>623</v>
      </c>
      <c r="BA232" s="35" t="s">
        <v>117</v>
      </c>
      <c r="BC232" s="51">
        <f>AW232+AX232</f>
        <v>0</v>
      </c>
      <c r="BD232" s="51">
        <f>G232/(100-BE232)*100</f>
        <v>0</v>
      </c>
      <c r="BE232" s="51">
        <v>0</v>
      </c>
      <c r="BF232" s="51">
        <f>232</f>
        <v>232</v>
      </c>
      <c r="BH232" s="51">
        <f>F232*AO232</f>
        <v>0</v>
      </c>
      <c r="BI232" s="51">
        <f>F232*AP232</f>
        <v>0</v>
      </c>
      <c r="BJ232" s="51">
        <f>F232*G232</f>
        <v>0</v>
      </c>
      <c r="BK232" s="51"/>
      <c r="BL232" s="51">
        <v>781</v>
      </c>
      <c r="BW232" s="51">
        <v>12</v>
      </c>
      <c r="BX232" s="3" t="s">
        <v>632</v>
      </c>
    </row>
    <row r="233" spans="1:76">
      <c r="A233" s="54"/>
      <c r="C233" s="55" t="s">
        <v>633</v>
      </c>
      <c r="D233" s="56" t="s">
        <v>4</v>
      </c>
      <c r="F233" s="57">
        <v>8.4</v>
      </c>
      <c r="J233" s="41"/>
    </row>
    <row r="234" spans="1:76">
      <c r="A234" s="1" t="s">
        <v>634</v>
      </c>
      <c r="B234" s="2" t="s">
        <v>635</v>
      </c>
      <c r="C234" s="75" t="s">
        <v>636</v>
      </c>
      <c r="D234" s="70"/>
      <c r="E234" s="2" t="s">
        <v>135</v>
      </c>
      <c r="F234" s="51">
        <v>7</v>
      </c>
      <c r="G234" s="52">
        <v>0</v>
      </c>
      <c r="H234" s="51">
        <f>F234*G234</f>
        <v>0</v>
      </c>
      <c r="J234" s="41"/>
      <c r="Z234" s="51">
        <f>IF(AQ234="5",BJ234,0)</f>
        <v>0</v>
      </c>
      <c r="AB234" s="51">
        <f>IF(AQ234="1",BH234,0)</f>
        <v>0</v>
      </c>
      <c r="AC234" s="51">
        <f>IF(AQ234="1",BI234,0)</f>
        <v>0</v>
      </c>
      <c r="AD234" s="51">
        <f>IF(AQ234="7",BH234,0)</f>
        <v>0</v>
      </c>
      <c r="AE234" s="51">
        <f>IF(AQ234="7",BI234,0)</f>
        <v>0</v>
      </c>
      <c r="AF234" s="51">
        <f>IF(AQ234="2",BH234,0)</f>
        <v>0</v>
      </c>
      <c r="AG234" s="51">
        <f>IF(AQ234="2",BI234,0)</f>
        <v>0</v>
      </c>
      <c r="AH234" s="51">
        <f>IF(AQ234="0",BJ234,0)</f>
        <v>0</v>
      </c>
      <c r="AI234" s="35" t="s">
        <v>4</v>
      </c>
      <c r="AJ234" s="51">
        <f>IF(AN234=0,H234,0)</f>
        <v>0</v>
      </c>
      <c r="AK234" s="51">
        <f>IF(AN234=12,H234,0)</f>
        <v>0</v>
      </c>
      <c r="AL234" s="51">
        <f>IF(AN234=21,H234,0)</f>
        <v>0</v>
      </c>
      <c r="AN234" s="51">
        <v>12</v>
      </c>
      <c r="AO234" s="51">
        <f>G234*0.062462908</f>
        <v>0</v>
      </c>
      <c r="AP234" s="51">
        <f>G234*(1-0.062462908)</f>
        <v>0</v>
      </c>
      <c r="AQ234" s="53" t="s">
        <v>150</v>
      </c>
      <c r="AV234" s="51">
        <f>AW234+AX234</f>
        <v>0</v>
      </c>
      <c r="AW234" s="51">
        <f>F234*AO234</f>
        <v>0</v>
      </c>
      <c r="AX234" s="51">
        <f>F234*AP234</f>
        <v>0</v>
      </c>
      <c r="AY234" s="53" t="s">
        <v>622</v>
      </c>
      <c r="AZ234" s="53" t="s">
        <v>623</v>
      </c>
      <c r="BA234" s="35" t="s">
        <v>117</v>
      </c>
      <c r="BC234" s="51">
        <f>AW234+AX234</f>
        <v>0</v>
      </c>
      <c r="BD234" s="51">
        <f>G234/(100-BE234)*100</f>
        <v>0</v>
      </c>
      <c r="BE234" s="51">
        <v>0</v>
      </c>
      <c r="BF234" s="51">
        <f>234</f>
        <v>234</v>
      </c>
      <c r="BH234" s="51">
        <f>F234*AO234</f>
        <v>0</v>
      </c>
      <c r="BI234" s="51">
        <f>F234*AP234</f>
        <v>0</v>
      </c>
      <c r="BJ234" s="51">
        <f>F234*G234</f>
        <v>0</v>
      </c>
      <c r="BK234" s="51"/>
      <c r="BL234" s="51">
        <v>781</v>
      </c>
      <c r="BW234" s="51">
        <v>12</v>
      </c>
      <c r="BX234" s="3" t="s">
        <v>636</v>
      </c>
    </row>
    <row r="235" spans="1:76">
      <c r="A235" s="1" t="s">
        <v>637</v>
      </c>
      <c r="B235" s="2" t="s">
        <v>638</v>
      </c>
      <c r="C235" s="75" t="s">
        <v>639</v>
      </c>
      <c r="D235" s="70"/>
      <c r="E235" s="2" t="s">
        <v>141</v>
      </c>
      <c r="F235" s="51">
        <v>4.95</v>
      </c>
      <c r="G235" s="52">
        <v>0</v>
      </c>
      <c r="H235" s="51">
        <f>F235*G235</f>
        <v>0</v>
      </c>
      <c r="J235" s="41"/>
      <c r="Z235" s="51">
        <f>IF(AQ235="5",BJ235,0)</f>
        <v>0</v>
      </c>
      <c r="AB235" s="51">
        <f>IF(AQ235="1",BH235,0)</f>
        <v>0</v>
      </c>
      <c r="AC235" s="51">
        <f>IF(AQ235="1",BI235,0)</f>
        <v>0</v>
      </c>
      <c r="AD235" s="51">
        <f>IF(AQ235="7",BH235,0)</f>
        <v>0</v>
      </c>
      <c r="AE235" s="51">
        <f>IF(AQ235="7",BI235,0)</f>
        <v>0</v>
      </c>
      <c r="AF235" s="51">
        <f>IF(AQ235="2",BH235,0)</f>
        <v>0</v>
      </c>
      <c r="AG235" s="51">
        <f>IF(AQ235="2",BI235,0)</f>
        <v>0</v>
      </c>
      <c r="AH235" s="51">
        <f>IF(AQ235="0",BJ235,0)</f>
        <v>0</v>
      </c>
      <c r="AI235" s="35" t="s">
        <v>4</v>
      </c>
      <c r="AJ235" s="51">
        <f>IF(AN235=0,H235,0)</f>
        <v>0</v>
      </c>
      <c r="AK235" s="51">
        <f>IF(AN235=12,H235,0)</f>
        <v>0</v>
      </c>
      <c r="AL235" s="51">
        <f>IF(AN235=21,H235,0)</f>
        <v>0</v>
      </c>
      <c r="AN235" s="51">
        <v>12</v>
      </c>
      <c r="AO235" s="51">
        <f>G235*0.894839695</f>
        <v>0</v>
      </c>
      <c r="AP235" s="51">
        <f>G235*(1-0.894839695)</f>
        <v>0</v>
      </c>
      <c r="AQ235" s="53" t="s">
        <v>150</v>
      </c>
      <c r="AV235" s="51">
        <f>AW235+AX235</f>
        <v>0</v>
      </c>
      <c r="AW235" s="51">
        <f>F235*AO235</f>
        <v>0</v>
      </c>
      <c r="AX235" s="51">
        <f>F235*AP235</f>
        <v>0</v>
      </c>
      <c r="AY235" s="53" t="s">
        <v>622</v>
      </c>
      <c r="AZ235" s="53" t="s">
        <v>623</v>
      </c>
      <c r="BA235" s="35" t="s">
        <v>117</v>
      </c>
      <c r="BC235" s="51">
        <f>AW235+AX235</f>
        <v>0</v>
      </c>
      <c r="BD235" s="51">
        <f>G235/(100-BE235)*100</f>
        <v>0</v>
      </c>
      <c r="BE235" s="51">
        <v>0</v>
      </c>
      <c r="BF235" s="51">
        <f>235</f>
        <v>235</v>
      </c>
      <c r="BH235" s="51">
        <f>F235*AO235</f>
        <v>0</v>
      </c>
      <c r="BI235" s="51">
        <f>F235*AP235</f>
        <v>0</v>
      </c>
      <c r="BJ235" s="51">
        <f>F235*G235</f>
        <v>0</v>
      </c>
      <c r="BK235" s="51"/>
      <c r="BL235" s="51">
        <v>781</v>
      </c>
      <c r="BW235" s="51">
        <v>12</v>
      </c>
      <c r="BX235" s="3" t="s">
        <v>639</v>
      </c>
    </row>
    <row r="236" spans="1:76" ht="13.5" customHeight="1">
      <c r="A236" s="54"/>
      <c r="B236" s="58" t="s">
        <v>136</v>
      </c>
      <c r="C236" s="152" t="s">
        <v>640</v>
      </c>
      <c r="D236" s="153"/>
      <c r="E236" s="153"/>
      <c r="F236" s="153"/>
      <c r="G236" s="154"/>
      <c r="H236" s="153"/>
      <c r="I236" s="153"/>
      <c r="J236" s="155"/>
    </row>
    <row r="237" spans="1:76">
      <c r="A237" s="54"/>
      <c r="C237" s="55" t="s">
        <v>331</v>
      </c>
      <c r="D237" s="56" t="s">
        <v>555</v>
      </c>
      <c r="F237" s="57">
        <v>2.1</v>
      </c>
      <c r="J237" s="41"/>
    </row>
    <row r="238" spans="1:76">
      <c r="A238" s="54"/>
      <c r="C238" s="55" t="s">
        <v>641</v>
      </c>
      <c r="D238" s="56" t="s">
        <v>642</v>
      </c>
      <c r="F238" s="57">
        <v>2.85</v>
      </c>
      <c r="J238" s="41"/>
    </row>
    <row r="239" spans="1:76">
      <c r="A239" s="1" t="s">
        <v>643</v>
      </c>
      <c r="B239" s="2" t="s">
        <v>644</v>
      </c>
      <c r="C239" s="75" t="s">
        <v>645</v>
      </c>
      <c r="D239" s="70"/>
      <c r="E239" s="2" t="s">
        <v>114</v>
      </c>
      <c r="F239" s="51">
        <v>23.108000000000001</v>
      </c>
      <c r="G239" s="52">
        <v>0</v>
      </c>
      <c r="H239" s="51">
        <f>F239*G239</f>
        <v>0</v>
      </c>
      <c r="J239" s="41"/>
      <c r="Z239" s="51">
        <f>IF(AQ239="5",BJ239,0)</f>
        <v>0</v>
      </c>
      <c r="AB239" s="51">
        <f>IF(AQ239="1",BH239,0)</f>
        <v>0</v>
      </c>
      <c r="AC239" s="51">
        <f>IF(AQ239="1",BI239,0)</f>
        <v>0</v>
      </c>
      <c r="AD239" s="51">
        <f>IF(AQ239="7",BH239,0)</f>
        <v>0</v>
      </c>
      <c r="AE239" s="51">
        <f>IF(AQ239="7",BI239,0)</f>
        <v>0</v>
      </c>
      <c r="AF239" s="51">
        <f>IF(AQ239="2",BH239,0)</f>
        <v>0</v>
      </c>
      <c r="AG239" s="51">
        <f>IF(AQ239="2",BI239,0)</f>
        <v>0</v>
      </c>
      <c r="AH239" s="51">
        <f>IF(AQ239="0",BJ239,0)</f>
        <v>0</v>
      </c>
      <c r="AI239" s="35" t="s">
        <v>4</v>
      </c>
      <c r="AJ239" s="51">
        <f>IF(AN239=0,H239,0)</f>
        <v>0</v>
      </c>
      <c r="AK239" s="51">
        <f>IF(AN239=12,H239,0)</f>
        <v>0</v>
      </c>
      <c r="AL239" s="51">
        <f>IF(AN239=21,H239,0)</f>
        <v>0</v>
      </c>
      <c r="AN239" s="51">
        <v>12</v>
      </c>
      <c r="AO239" s="51">
        <f>G239*1</f>
        <v>0</v>
      </c>
      <c r="AP239" s="51">
        <f>G239*(1-1)</f>
        <v>0</v>
      </c>
      <c r="AQ239" s="53" t="s">
        <v>150</v>
      </c>
      <c r="AV239" s="51">
        <f>AW239+AX239</f>
        <v>0</v>
      </c>
      <c r="AW239" s="51">
        <f>F239*AO239</f>
        <v>0</v>
      </c>
      <c r="AX239" s="51">
        <f>F239*AP239</f>
        <v>0</v>
      </c>
      <c r="AY239" s="53" t="s">
        <v>622</v>
      </c>
      <c r="AZ239" s="53" t="s">
        <v>623</v>
      </c>
      <c r="BA239" s="35" t="s">
        <v>117</v>
      </c>
      <c r="BC239" s="51">
        <f>AW239+AX239</f>
        <v>0</v>
      </c>
      <c r="BD239" s="51">
        <f>G239/(100-BE239)*100</f>
        <v>0</v>
      </c>
      <c r="BE239" s="51">
        <v>0</v>
      </c>
      <c r="BF239" s="51">
        <f>239</f>
        <v>239</v>
      </c>
      <c r="BH239" s="51">
        <f>F239*AO239</f>
        <v>0</v>
      </c>
      <c r="BI239" s="51">
        <f>F239*AP239</f>
        <v>0</v>
      </c>
      <c r="BJ239" s="51">
        <f>F239*G239</f>
        <v>0</v>
      </c>
      <c r="BK239" s="51"/>
      <c r="BL239" s="51">
        <v>781</v>
      </c>
      <c r="BW239" s="51">
        <v>12</v>
      </c>
      <c r="BX239" s="3" t="s">
        <v>645</v>
      </c>
    </row>
    <row r="240" spans="1:76">
      <c r="A240" s="54"/>
      <c r="C240" s="55" t="s">
        <v>646</v>
      </c>
      <c r="D240" s="56" t="s">
        <v>4</v>
      </c>
      <c r="F240" s="57">
        <v>23.108000000000001</v>
      </c>
      <c r="J240" s="41"/>
    </row>
    <row r="241" spans="1:76">
      <c r="A241" s="1" t="s">
        <v>647</v>
      </c>
      <c r="B241" s="2" t="s">
        <v>648</v>
      </c>
      <c r="C241" s="75" t="s">
        <v>649</v>
      </c>
      <c r="D241" s="70"/>
      <c r="E241" s="2" t="s">
        <v>273</v>
      </c>
      <c r="F241" s="51">
        <v>0.38800000000000001</v>
      </c>
      <c r="G241" s="52">
        <v>0</v>
      </c>
      <c r="H241" s="51">
        <f>F241*G241</f>
        <v>0</v>
      </c>
      <c r="J241" s="41"/>
      <c r="Z241" s="51">
        <f>IF(AQ241="5",BJ241,0)</f>
        <v>0</v>
      </c>
      <c r="AB241" s="51">
        <f>IF(AQ241="1",BH241,0)</f>
        <v>0</v>
      </c>
      <c r="AC241" s="51">
        <f>IF(AQ241="1",BI241,0)</f>
        <v>0</v>
      </c>
      <c r="AD241" s="51">
        <f>IF(AQ241="7",BH241,0)</f>
        <v>0</v>
      </c>
      <c r="AE241" s="51">
        <f>IF(AQ241="7",BI241,0)</f>
        <v>0</v>
      </c>
      <c r="AF241" s="51">
        <f>IF(AQ241="2",BH241,0)</f>
        <v>0</v>
      </c>
      <c r="AG241" s="51">
        <f>IF(AQ241="2",BI241,0)</f>
        <v>0</v>
      </c>
      <c r="AH241" s="51">
        <f>IF(AQ241="0",BJ241,0)</f>
        <v>0</v>
      </c>
      <c r="AI241" s="35" t="s">
        <v>4</v>
      </c>
      <c r="AJ241" s="51">
        <f>IF(AN241=0,H241,0)</f>
        <v>0</v>
      </c>
      <c r="AK241" s="51">
        <f>IF(AN241=12,H241,0)</f>
        <v>0</v>
      </c>
      <c r="AL241" s="51">
        <f>IF(AN241=21,H241,0)</f>
        <v>0</v>
      </c>
      <c r="AN241" s="51">
        <v>12</v>
      </c>
      <c r="AO241" s="51">
        <f>G241*0</f>
        <v>0</v>
      </c>
      <c r="AP241" s="51">
        <f>G241*(1-0)</f>
        <v>0</v>
      </c>
      <c r="AQ241" s="53" t="s">
        <v>138</v>
      </c>
      <c r="AV241" s="51">
        <f>AW241+AX241</f>
        <v>0</v>
      </c>
      <c r="AW241" s="51">
        <f>F241*AO241</f>
        <v>0</v>
      </c>
      <c r="AX241" s="51">
        <f>F241*AP241</f>
        <v>0</v>
      </c>
      <c r="AY241" s="53" t="s">
        <v>622</v>
      </c>
      <c r="AZ241" s="53" t="s">
        <v>623</v>
      </c>
      <c r="BA241" s="35" t="s">
        <v>117</v>
      </c>
      <c r="BC241" s="51">
        <f>AW241+AX241</f>
        <v>0</v>
      </c>
      <c r="BD241" s="51">
        <f>G241/(100-BE241)*100</f>
        <v>0</v>
      </c>
      <c r="BE241" s="51">
        <v>0</v>
      </c>
      <c r="BF241" s="51">
        <f>241</f>
        <v>241</v>
      </c>
      <c r="BH241" s="51">
        <f>F241*AO241</f>
        <v>0</v>
      </c>
      <c r="BI241" s="51">
        <f>F241*AP241</f>
        <v>0</v>
      </c>
      <c r="BJ241" s="51">
        <f>F241*G241</f>
        <v>0</v>
      </c>
      <c r="BK241" s="51"/>
      <c r="BL241" s="51">
        <v>781</v>
      </c>
      <c r="BW241" s="51">
        <v>12</v>
      </c>
      <c r="BX241" s="3" t="s">
        <v>649</v>
      </c>
    </row>
    <row r="242" spans="1:76">
      <c r="A242" s="47" t="s">
        <v>4</v>
      </c>
      <c r="B242" s="48" t="s">
        <v>650</v>
      </c>
      <c r="C242" s="150" t="s">
        <v>651</v>
      </c>
      <c r="D242" s="151"/>
      <c r="E242" s="49" t="s">
        <v>79</v>
      </c>
      <c r="F242" s="49" t="s">
        <v>79</v>
      </c>
      <c r="G242" s="50" t="s">
        <v>79</v>
      </c>
      <c r="H242" s="28">
        <f>SUM(H243:H247)</f>
        <v>0</v>
      </c>
      <c r="J242" s="41"/>
      <c r="AI242" s="35" t="s">
        <v>4</v>
      </c>
      <c r="AS242" s="28">
        <f>SUM(AJ243:AJ247)</f>
        <v>0</v>
      </c>
      <c r="AT242" s="28">
        <f>SUM(AK243:AK247)</f>
        <v>0</v>
      </c>
      <c r="AU242" s="28">
        <f>SUM(AL243:AL247)</f>
        <v>0</v>
      </c>
    </row>
    <row r="243" spans="1:76">
      <c r="A243" s="1" t="s">
        <v>652</v>
      </c>
      <c r="B243" s="2" t="s">
        <v>653</v>
      </c>
      <c r="C243" s="75" t="s">
        <v>654</v>
      </c>
      <c r="D243" s="70"/>
      <c r="E243" s="2" t="s">
        <v>515</v>
      </c>
      <c r="F243" s="51">
        <v>3</v>
      </c>
      <c r="G243" s="52">
        <v>0</v>
      </c>
      <c r="H243" s="51">
        <f>F243*G243</f>
        <v>0</v>
      </c>
      <c r="J243" s="41"/>
      <c r="Z243" s="51">
        <f>IF(AQ243="5",BJ243,0)</f>
        <v>0</v>
      </c>
      <c r="AB243" s="51">
        <f>IF(AQ243="1",BH243,0)</f>
        <v>0</v>
      </c>
      <c r="AC243" s="51">
        <f>IF(AQ243="1",BI243,0)</f>
        <v>0</v>
      </c>
      <c r="AD243" s="51">
        <f>IF(AQ243="7",BH243,0)</f>
        <v>0</v>
      </c>
      <c r="AE243" s="51">
        <f>IF(AQ243="7",BI243,0)</f>
        <v>0</v>
      </c>
      <c r="AF243" s="51">
        <f>IF(AQ243="2",BH243,0)</f>
        <v>0</v>
      </c>
      <c r="AG243" s="51">
        <f>IF(AQ243="2",BI243,0)</f>
        <v>0</v>
      </c>
      <c r="AH243" s="51">
        <f>IF(AQ243="0",BJ243,0)</f>
        <v>0</v>
      </c>
      <c r="AI243" s="35" t="s">
        <v>4</v>
      </c>
      <c r="AJ243" s="51">
        <f>IF(AN243=0,H243,0)</f>
        <v>0</v>
      </c>
      <c r="AK243" s="51">
        <f>IF(AN243=12,H243,0)</f>
        <v>0</v>
      </c>
      <c r="AL243" s="51">
        <f>IF(AN243=21,H243,0)</f>
        <v>0</v>
      </c>
      <c r="AN243" s="51">
        <v>12</v>
      </c>
      <c r="AO243" s="51">
        <f>G243*0.194314286</f>
        <v>0</v>
      </c>
      <c r="AP243" s="51">
        <f>G243*(1-0.194314286)</f>
        <v>0</v>
      </c>
      <c r="AQ243" s="53" t="s">
        <v>150</v>
      </c>
      <c r="AV243" s="51">
        <f>AW243+AX243</f>
        <v>0</v>
      </c>
      <c r="AW243" s="51">
        <f>F243*AO243</f>
        <v>0</v>
      </c>
      <c r="AX243" s="51">
        <f>F243*AP243</f>
        <v>0</v>
      </c>
      <c r="AY243" s="53" t="s">
        <v>655</v>
      </c>
      <c r="AZ243" s="53" t="s">
        <v>623</v>
      </c>
      <c r="BA243" s="35" t="s">
        <v>117</v>
      </c>
      <c r="BC243" s="51">
        <f>AW243+AX243</f>
        <v>0</v>
      </c>
      <c r="BD243" s="51">
        <f>G243/(100-BE243)*100</f>
        <v>0</v>
      </c>
      <c r="BE243" s="51">
        <v>0</v>
      </c>
      <c r="BF243" s="51">
        <f>243</f>
        <v>243</v>
      </c>
      <c r="BH243" s="51">
        <f>F243*AO243</f>
        <v>0</v>
      </c>
      <c r="BI243" s="51">
        <f>F243*AP243</f>
        <v>0</v>
      </c>
      <c r="BJ243" s="51">
        <f>F243*G243</f>
        <v>0</v>
      </c>
      <c r="BK243" s="51"/>
      <c r="BL243" s="51">
        <v>783</v>
      </c>
      <c r="BW243" s="51">
        <v>12</v>
      </c>
      <c r="BX243" s="3" t="s">
        <v>654</v>
      </c>
    </row>
    <row r="244" spans="1:76" ht="13.5" customHeight="1">
      <c r="A244" s="54"/>
      <c r="B244" s="58" t="s">
        <v>136</v>
      </c>
      <c r="C244" s="152" t="s">
        <v>656</v>
      </c>
      <c r="D244" s="153"/>
      <c r="E244" s="153"/>
      <c r="F244" s="153"/>
      <c r="G244" s="154"/>
      <c r="H244" s="153"/>
      <c r="I244" s="153"/>
      <c r="J244" s="155"/>
    </row>
    <row r="245" spans="1:76">
      <c r="A245" s="1" t="s">
        <v>657</v>
      </c>
      <c r="B245" s="2" t="s">
        <v>658</v>
      </c>
      <c r="C245" s="75" t="s">
        <v>659</v>
      </c>
      <c r="D245" s="70"/>
      <c r="E245" s="2" t="s">
        <v>114</v>
      </c>
      <c r="F245" s="51">
        <v>6</v>
      </c>
      <c r="G245" s="52">
        <v>0</v>
      </c>
      <c r="H245" s="51">
        <f>F245*G245</f>
        <v>0</v>
      </c>
      <c r="J245" s="41"/>
      <c r="Z245" s="51">
        <f>IF(AQ245="5",BJ245,0)</f>
        <v>0</v>
      </c>
      <c r="AB245" s="51">
        <f>IF(AQ245="1",BH245,0)</f>
        <v>0</v>
      </c>
      <c r="AC245" s="51">
        <f>IF(AQ245="1",BI245,0)</f>
        <v>0</v>
      </c>
      <c r="AD245" s="51">
        <f>IF(AQ245="7",BH245,0)</f>
        <v>0</v>
      </c>
      <c r="AE245" s="51">
        <f>IF(AQ245="7",BI245,0)</f>
        <v>0</v>
      </c>
      <c r="AF245" s="51">
        <f>IF(AQ245="2",BH245,0)</f>
        <v>0</v>
      </c>
      <c r="AG245" s="51">
        <f>IF(AQ245="2",BI245,0)</f>
        <v>0</v>
      </c>
      <c r="AH245" s="51">
        <f>IF(AQ245="0",BJ245,0)</f>
        <v>0</v>
      </c>
      <c r="AI245" s="35" t="s">
        <v>4</v>
      </c>
      <c r="AJ245" s="51">
        <f>IF(AN245=0,H245,0)</f>
        <v>0</v>
      </c>
      <c r="AK245" s="51">
        <f>IF(AN245=12,H245,0)</f>
        <v>0</v>
      </c>
      <c r="AL245" s="51">
        <f>IF(AN245=21,H245,0)</f>
        <v>0</v>
      </c>
      <c r="AN245" s="51">
        <v>12</v>
      </c>
      <c r="AO245" s="51">
        <f>G245*0.032470588</f>
        <v>0</v>
      </c>
      <c r="AP245" s="51">
        <f>G245*(1-0.032470588)</f>
        <v>0</v>
      </c>
      <c r="AQ245" s="53" t="s">
        <v>150</v>
      </c>
      <c r="AV245" s="51">
        <f>AW245+AX245</f>
        <v>0</v>
      </c>
      <c r="AW245" s="51">
        <f>F245*AO245</f>
        <v>0</v>
      </c>
      <c r="AX245" s="51">
        <f>F245*AP245</f>
        <v>0</v>
      </c>
      <c r="AY245" s="53" t="s">
        <v>655</v>
      </c>
      <c r="AZ245" s="53" t="s">
        <v>623</v>
      </c>
      <c r="BA245" s="35" t="s">
        <v>117</v>
      </c>
      <c r="BC245" s="51">
        <f>AW245+AX245</f>
        <v>0</v>
      </c>
      <c r="BD245" s="51">
        <f>G245/(100-BE245)*100</f>
        <v>0</v>
      </c>
      <c r="BE245" s="51">
        <v>0</v>
      </c>
      <c r="BF245" s="51">
        <f>245</f>
        <v>245</v>
      </c>
      <c r="BH245" s="51">
        <f>F245*AO245</f>
        <v>0</v>
      </c>
      <c r="BI245" s="51">
        <f>F245*AP245</f>
        <v>0</v>
      </c>
      <c r="BJ245" s="51">
        <f>F245*G245</f>
        <v>0</v>
      </c>
      <c r="BK245" s="51"/>
      <c r="BL245" s="51">
        <v>783</v>
      </c>
      <c r="BW245" s="51">
        <v>12</v>
      </c>
      <c r="BX245" s="3" t="s">
        <v>659</v>
      </c>
    </row>
    <row r="246" spans="1:76">
      <c r="A246" s="1" t="s">
        <v>660</v>
      </c>
      <c r="B246" s="2" t="s">
        <v>661</v>
      </c>
      <c r="C246" s="75" t="s">
        <v>662</v>
      </c>
      <c r="D246" s="70"/>
      <c r="E246" s="2" t="s">
        <v>114</v>
      </c>
      <c r="F246" s="51">
        <v>6</v>
      </c>
      <c r="G246" s="52">
        <v>0</v>
      </c>
      <c r="H246" s="51">
        <f>F246*G246</f>
        <v>0</v>
      </c>
      <c r="J246" s="41"/>
      <c r="Z246" s="51">
        <f>IF(AQ246="5",BJ246,0)</f>
        <v>0</v>
      </c>
      <c r="AB246" s="51">
        <f>IF(AQ246="1",BH246,0)</f>
        <v>0</v>
      </c>
      <c r="AC246" s="51">
        <f>IF(AQ246="1",BI246,0)</f>
        <v>0</v>
      </c>
      <c r="AD246" s="51">
        <f>IF(AQ246="7",BH246,0)</f>
        <v>0</v>
      </c>
      <c r="AE246" s="51">
        <f>IF(AQ246="7",BI246,0)</f>
        <v>0</v>
      </c>
      <c r="AF246" s="51">
        <f>IF(AQ246="2",BH246,0)</f>
        <v>0</v>
      </c>
      <c r="AG246" s="51">
        <f>IF(AQ246="2",BI246,0)</f>
        <v>0</v>
      </c>
      <c r="AH246" s="51">
        <f>IF(AQ246="0",BJ246,0)</f>
        <v>0</v>
      </c>
      <c r="AI246" s="35" t="s">
        <v>4</v>
      </c>
      <c r="AJ246" s="51">
        <f>IF(AN246=0,H246,0)</f>
        <v>0</v>
      </c>
      <c r="AK246" s="51">
        <f>IF(AN246=12,H246,0)</f>
        <v>0</v>
      </c>
      <c r="AL246" s="51">
        <f>IF(AN246=21,H246,0)</f>
        <v>0</v>
      </c>
      <c r="AN246" s="51">
        <v>12</v>
      </c>
      <c r="AO246" s="51">
        <f>G246*0.421268827</f>
        <v>0</v>
      </c>
      <c r="AP246" s="51">
        <f>G246*(1-0.421268827)</f>
        <v>0</v>
      </c>
      <c r="AQ246" s="53" t="s">
        <v>150</v>
      </c>
      <c r="AV246" s="51">
        <f>AW246+AX246</f>
        <v>0</v>
      </c>
      <c r="AW246" s="51">
        <f>F246*AO246</f>
        <v>0</v>
      </c>
      <c r="AX246" s="51">
        <f>F246*AP246</f>
        <v>0</v>
      </c>
      <c r="AY246" s="53" t="s">
        <v>655</v>
      </c>
      <c r="AZ246" s="53" t="s">
        <v>623</v>
      </c>
      <c r="BA246" s="35" t="s">
        <v>117</v>
      </c>
      <c r="BC246" s="51">
        <f>AW246+AX246</f>
        <v>0</v>
      </c>
      <c r="BD246" s="51">
        <f>G246/(100-BE246)*100</f>
        <v>0</v>
      </c>
      <c r="BE246" s="51">
        <v>0</v>
      </c>
      <c r="BF246" s="51">
        <f>246</f>
        <v>246</v>
      </c>
      <c r="BH246" s="51">
        <f>F246*AO246</f>
        <v>0</v>
      </c>
      <c r="BI246" s="51">
        <f>F246*AP246</f>
        <v>0</v>
      </c>
      <c r="BJ246" s="51">
        <f>F246*G246</f>
        <v>0</v>
      </c>
      <c r="BK246" s="51"/>
      <c r="BL246" s="51">
        <v>783</v>
      </c>
      <c r="BW246" s="51">
        <v>12</v>
      </c>
      <c r="BX246" s="3" t="s">
        <v>662</v>
      </c>
    </row>
    <row r="247" spans="1:76">
      <c r="A247" s="1" t="s">
        <v>663</v>
      </c>
      <c r="B247" s="2" t="s">
        <v>664</v>
      </c>
      <c r="C247" s="75" t="s">
        <v>665</v>
      </c>
      <c r="D247" s="70"/>
      <c r="E247" s="2" t="s">
        <v>114</v>
      </c>
      <c r="F247" s="51">
        <v>1.56</v>
      </c>
      <c r="G247" s="52">
        <v>0</v>
      </c>
      <c r="H247" s="51">
        <f>F247*G247</f>
        <v>0</v>
      </c>
      <c r="J247" s="41"/>
      <c r="Z247" s="51">
        <f>IF(AQ247="5",BJ247,0)</f>
        <v>0</v>
      </c>
      <c r="AB247" s="51">
        <f>IF(AQ247="1",BH247,0)</f>
        <v>0</v>
      </c>
      <c r="AC247" s="51">
        <f>IF(AQ247="1",BI247,0)</f>
        <v>0</v>
      </c>
      <c r="AD247" s="51">
        <f>IF(AQ247="7",BH247,0)</f>
        <v>0</v>
      </c>
      <c r="AE247" s="51">
        <f>IF(AQ247="7",BI247,0)</f>
        <v>0</v>
      </c>
      <c r="AF247" s="51">
        <f>IF(AQ247="2",BH247,0)</f>
        <v>0</v>
      </c>
      <c r="AG247" s="51">
        <f>IF(AQ247="2",BI247,0)</f>
        <v>0</v>
      </c>
      <c r="AH247" s="51">
        <f>IF(AQ247="0",BJ247,0)</f>
        <v>0</v>
      </c>
      <c r="AI247" s="35" t="s">
        <v>4</v>
      </c>
      <c r="AJ247" s="51">
        <f>IF(AN247=0,H247,0)</f>
        <v>0</v>
      </c>
      <c r="AK247" s="51">
        <f>IF(AN247=12,H247,0)</f>
        <v>0</v>
      </c>
      <c r="AL247" s="51">
        <f>IF(AN247=21,H247,0)</f>
        <v>0</v>
      </c>
      <c r="AN247" s="51">
        <v>12</v>
      </c>
      <c r="AO247" s="51">
        <f>G247*0.176446281</f>
        <v>0</v>
      </c>
      <c r="AP247" s="51">
        <f>G247*(1-0.176446281)</f>
        <v>0</v>
      </c>
      <c r="AQ247" s="53" t="s">
        <v>150</v>
      </c>
      <c r="AV247" s="51">
        <f>AW247+AX247</f>
        <v>0</v>
      </c>
      <c r="AW247" s="51">
        <f>F247*AO247</f>
        <v>0</v>
      </c>
      <c r="AX247" s="51">
        <f>F247*AP247</f>
        <v>0</v>
      </c>
      <c r="AY247" s="53" t="s">
        <v>655</v>
      </c>
      <c r="AZ247" s="53" t="s">
        <v>623</v>
      </c>
      <c r="BA247" s="35" t="s">
        <v>117</v>
      </c>
      <c r="BC247" s="51">
        <f>AW247+AX247</f>
        <v>0</v>
      </c>
      <c r="BD247" s="51">
        <f>G247/(100-BE247)*100</f>
        <v>0</v>
      </c>
      <c r="BE247" s="51">
        <v>0</v>
      </c>
      <c r="BF247" s="51">
        <f>247</f>
        <v>247</v>
      </c>
      <c r="BH247" s="51">
        <f>F247*AO247</f>
        <v>0</v>
      </c>
      <c r="BI247" s="51">
        <f>F247*AP247</f>
        <v>0</v>
      </c>
      <c r="BJ247" s="51">
        <f>F247*G247</f>
        <v>0</v>
      </c>
      <c r="BK247" s="51"/>
      <c r="BL247" s="51">
        <v>783</v>
      </c>
      <c r="BW247" s="51">
        <v>12</v>
      </c>
      <c r="BX247" s="3" t="s">
        <v>665</v>
      </c>
    </row>
    <row r="248" spans="1:76">
      <c r="A248" s="54"/>
      <c r="C248" s="55" t="s">
        <v>666</v>
      </c>
      <c r="D248" s="56" t="s">
        <v>667</v>
      </c>
      <c r="F248" s="57">
        <v>1.56</v>
      </c>
      <c r="J248" s="41"/>
    </row>
    <row r="249" spans="1:76">
      <c r="A249" s="47" t="s">
        <v>4</v>
      </c>
      <c r="B249" s="48" t="s">
        <v>668</v>
      </c>
      <c r="C249" s="150" t="s">
        <v>669</v>
      </c>
      <c r="D249" s="151"/>
      <c r="E249" s="49" t="s">
        <v>79</v>
      </c>
      <c r="F249" s="49" t="s">
        <v>79</v>
      </c>
      <c r="G249" s="50" t="s">
        <v>79</v>
      </c>
      <c r="H249" s="28">
        <f>SUM(H250:H257)</f>
        <v>0</v>
      </c>
      <c r="J249" s="41"/>
      <c r="AI249" s="35" t="s">
        <v>4</v>
      </c>
      <c r="AS249" s="28">
        <f>SUM(AJ250:AJ257)</f>
        <v>0</v>
      </c>
      <c r="AT249" s="28">
        <f>SUM(AK250:AK257)</f>
        <v>0</v>
      </c>
      <c r="AU249" s="28">
        <f>SUM(AL250:AL257)</f>
        <v>0</v>
      </c>
    </row>
    <row r="250" spans="1:76">
      <c r="A250" s="1" t="s">
        <v>670</v>
      </c>
      <c r="B250" s="2" t="s">
        <v>671</v>
      </c>
      <c r="C250" s="75" t="s">
        <v>672</v>
      </c>
      <c r="D250" s="70"/>
      <c r="E250" s="2" t="s">
        <v>114</v>
      </c>
      <c r="F250" s="51">
        <v>125.765</v>
      </c>
      <c r="G250" s="52">
        <v>0</v>
      </c>
      <c r="H250" s="51">
        <f>F250*G250</f>
        <v>0</v>
      </c>
      <c r="J250" s="41"/>
      <c r="Z250" s="51">
        <f>IF(AQ250="5",BJ250,0)</f>
        <v>0</v>
      </c>
      <c r="AB250" s="51">
        <f>IF(AQ250="1",BH250,0)</f>
        <v>0</v>
      </c>
      <c r="AC250" s="51">
        <f>IF(AQ250="1",BI250,0)</f>
        <v>0</v>
      </c>
      <c r="AD250" s="51">
        <f>IF(AQ250="7",BH250,0)</f>
        <v>0</v>
      </c>
      <c r="AE250" s="51">
        <f>IF(AQ250="7",BI250,0)</f>
        <v>0</v>
      </c>
      <c r="AF250" s="51">
        <f>IF(AQ250="2",BH250,0)</f>
        <v>0</v>
      </c>
      <c r="AG250" s="51">
        <f>IF(AQ250="2",BI250,0)</f>
        <v>0</v>
      </c>
      <c r="AH250" s="51">
        <f>IF(AQ250="0",BJ250,0)</f>
        <v>0</v>
      </c>
      <c r="AI250" s="35" t="s">
        <v>4</v>
      </c>
      <c r="AJ250" s="51">
        <f>IF(AN250=0,H250,0)</f>
        <v>0</v>
      </c>
      <c r="AK250" s="51">
        <f>IF(AN250=12,H250,0)</f>
        <v>0</v>
      </c>
      <c r="AL250" s="51">
        <f>IF(AN250=21,H250,0)</f>
        <v>0</v>
      </c>
      <c r="AN250" s="51">
        <v>12</v>
      </c>
      <c r="AO250" s="51">
        <f>G250*0.002564102</f>
        <v>0</v>
      </c>
      <c r="AP250" s="51">
        <f>G250*(1-0.002564102)</f>
        <v>0</v>
      </c>
      <c r="AQ250" s="53" t="s">
        <v>150</v>
      </c>
      <c r="AV250" s="51">
        <f>AW250+AX250</f>
        <v>0</v>
      </c>
      <c r="AW250" s="51">
        <f>F250*AO250</f>
        <v>0</v>
      </c>
      <c r="AX250" s="51">
        <f>F250*AP250</f>
        <v>0</v>
      </c>
      <c r="AY250" s="53" t="s">
        <v>673</v>
      </c>
      <c r="AZ250" s="53" t="s">
        <v>623</v>
      </c>
      <c r="BA250" s="35" t="s">
        <v>117</v>
      </c>
      <c r="BC250" s="51">
        <f>AW250+AX250</f>
        <v>0</v>
      </c>
      <c r="BD250" s="51">
        <f>G250/(100-BE250)*100</f>
        <v>0</v>
      </c>
      <c r="BE250" s="51">
        <v>0</v>
      </c>
      <c r="BF250" s="51">
        <f>250</f>
        <v>250</v>
      </c>
      <c r="BH250" s="51">
        <f>F250*AO250</f>
        <v>0</v>
      </c>
      <c r="BI250" s="51">
        <f>F250*AP250</f>
        <v>0</v>
      </c>
      <c r="BJ250" s="51">
        <f>F250*G250</f>
        <v>0</v>
      </c>
      <c r="BK250" s="51"/>
      <c r="BL250" s="51">
        <v>784</v>
      </c>
      <c r="BW250" s="51">
        <v>12</v>
      </c>
      <c r="BX250" s="3" t="s">
        <v>672</v>
      </c>
    </row>
    <row r="251" spans="1:76">
      <c r="A251" s="54"/>
      <c r="C251" s="55" t="s">
        <v>674</v>
      </c>
      <c r="D251" s="56" t="s">
        <v>675</v>
      </c>
      <c r="F251" s="57">
        <v>40.43</v>
      </c>
      <c r="J251" s="41"/>
    </row>
    <row r="252" spans="1:76">
      <c r="A252" s="54"/>
      <c r="C252" s="55" t="s">
        <v>189</v>
      </c>
      <c r="D252" s="56" t="s">
        <v>170</v>
      </c>
      <c r="F252" s="57">
        <v>7.85</v>
      </c>
      <c r="J252" s="41"/>
    </row>
    <row r="253" spans="1:76">
      <c r="A253" s="54"/>
      <c r="C253" s="55" t="s">
        <v>676</v>
      </c>
      <c r="D253" s="56" t="s">
        <v>172</v>
      </c>
      <c r="F253" s="57">
        <v>12.571</v>
      </c>
      <c r="J253" s="41"/>
    </row>
    <row r="254" spans="1:76">
      <c r="A254" s="54"/>
      <c r="C254" s="55" t="s">
        <v>677</v>
      </c>
      <c r="D254" s="56" t="s">
        <v>174</v>
      </c>
      <c r="F254" s="57">
        <v>21.294</v>
      </c>
      <c r="J254" s="41"/>
    </row>
    <row r="255" spans="1:76">
      <c r="A255" s="54"/>
      <c r="C255" s="55" t="s">
        <v>177</v>
      </c>
      <c r="D255" s="56" t="s">
        <v>178</v>
      </c>
      <c r="F255" s="57">
        <v>43.62</v>
      </c>
      <c r="J255" s="41"/>
    </row>
    <row r="256" spans="1:76">
      <c r="A256" s="1" t="s">
        <v>678</v>
      </c>
      <c r="B256" s="2" t="s">
        <v>679</v>
      </c>
      <c r="C256" s="75" t="s">
        <v>680</v>
      </c>
      <c r="D256" s="70"/>
      <c r="E256" s="2" t="s">
        <v>114</v>
      </c>
      <c r="F256" s="51">
        <v>136</v>
      </c>
      <c r="G256" s="52">
        <v>0</v>
      </c>
      <c r="H256" s="51">
        <f>F256*G256</f>
        <v>0</v>
      </c>
      <c r="J256" s="41"/>
      <c r="Z256" s="51">
        <f>IF(AQ256="5",BJ256,0)</f>
        <v>0</v>
      </c>
      <c r="AB256" s="51">
        <f>IF(AQ256="1",BH256,0)</f>
        <v>0</v>
      </c>
      <c r="AC256" s="51">
        <f>IF(AQ256="1",BI256,0)</f>
        <v>0</v>
      </c>
      <c r="AD256" s="51">
        <f>IF(AQ256="7",BH256,0)</f>
        <v>0</v>
      </c>
      <c r="AE256" s="51">
        <f>IF(AQ256="7",BI256,0)</f>
        <v>0</v>
      </c>
      <c r="AF256" s="51">
        <f>IF(AQ256="2",BH256,0)</f>
        <v>0</v>
      </c>
      <c r="AG256" s="51">
        <f>IF(AQ256="2",BI256,0)</f>
        <v>0</v>
      </c>
      <c r="AH256" s="51">
        <f>IF(AQ256="0",BJ256,0)</f>
        <v>0</v>
      </c>
      <c r="AI256" s="35" t="s">
        <v>4</v>
      </c>
      <c r="AJ256" s="51">
        <f>IF(AN256=0,H256,0)</f>
        <v>0</v>
      </c>
      <c r="AK256" s="51">
        <f>IF(AN256=12,H256,0)</f>
        <v>0</v>
      </c>
      <c r="AL256" s="51">
        <f>IF(AN256=21,H256,0)</f>
        <v>0</v>
      </c>
      <c r="AN256" s="51">
        <v>12</v>
      </c>
      <c r="AO256" s="51">
        <f>G256*0.271311794</f>
        <v>0</v>
      </c>
      <c r="AP256" s="51">
        <f>G256*(1-0.271311794)</f>
        <v>0</v>
      </c>
      <c r="AQ256" s="53" t="s">
        <v>150</v>
      </c>
      <c r="AV256" s="51">
        <f>AW256+AX256</f>
        <v>0</v>
      </c>
      <c r="AW256" s="51">
        <f>F256*AO256</f>
        <v>0</v>
      </c>
      <c r="AX256" s="51">
        <f>F256*AP256</f>
        <v>0</v>
      </c>
      <c r="AY256" s="53" t="s">
        <v>673</v>
      </c>
      <c r="AZ256" s="53" t="s">
        <v>623</v>
      </c>
      <c r="BA256" s="35" t="s">
        <v>117</v>
      </c>
      <c r="BC256" s="51">
        <f>AW256+AX256</f>
        <v>0</v>
      </c>
      <c r="BD256" s="51">
        <f>G256/(100-BE256)*100</f>
        <v>0</v>
      </c>
      <c r="BE256" s="51">
        <v>0</v>
      </c>
      <c r="BF256" s="51">
        <f>256</f>
        <v>256</v>
      </c>
      <c r="BH256" s="51">
        <f>F256*AO256</f>
        <v>0</v>
      </c>
      <c r="BI256" s="51">
        <f>F256*AP256</f>
        <v>0</v>
      </c>
      <c r="BJ256" s="51">
        <f>F256*G256</f>
        <v>0</v>
      </c>
      <c r="BK256" s="51"/>
      <c r="BL256" s="51">
        <v>784</v>
      </c>
      <c r="BW256" s="51">
        <v>12</v>
      </c>
      <c r="BX256" s="3" t="s">
        <v>680</v>
      </c>
    </row>
    <row r="257" spans="1:76">
      <c r="A257" s="1" t="s">
        <v>681</v>
      </c>
      <c r="B257" s="2" t="s">
        <v>682</v>
      </c>
      <c r="C257" s="75" t="s">
        <v>683</v>
      </c>
      <c r="D257" s="70"/>
      <c r="E257" s="2" t="s">
        <v>114</v>
      </c>
      <c r="F257" s="51">
        <v>136</v>
      </c>
      <c r="G257" s="52">
        <v>0</v>
      </c>
      <c r="H257" s="51">
        <f>F257*G257</f>
        <v>0</v>
      </c>
      <c r="J257" s="41"/>
      <c r="Z257" s="51">
        <f>IF(AQ257="5",BJ257,0)</f>
        <v>0</v>
      </c>
      <c r="AB257" s="51">
        <f>IF(AQ257="1",BH257,0)</f>
        <v>0</v>
      </c>
      <c r="AC257" s="51">
        <f>IF(AQ257="1",BI257,0)</f>
        <v>0</v>
      </c>
      <c r="AD257" s="51">
        <f>IF(AQ257="7",BH257,0)</f>
        <v>0</v>
      </c>
      <c r="AE257" s="51">
        <f>IF(AQ257="7",BI257,0)</f>
        <v>0</v>
      </c>
      <c r="AF257" s="51">
        <f>IF(AQ257="2",BH257,0)</f>
        <v>0</v>
      </c>
      <c r="AG257" s="51">
        <f>IF(AQ257="2",BI257,0)</f>
        <v>0</v>
      </c>
      <c r="AH257" s="51">
        <f>IF(AQ257="0",BJ257,0)</f>
        <v>0</v>
      </c>
      <c r="AI257" s="35" t="s">
        <v>4</v>
      </c>
      <c r="AJ257" s="51">
        <f>IF(AN257=0,H257,0)</f>
        <v>0</v>
      </c>
      <c r="AK257" s="51">
        <f>IF(AN257=12,H257,0)</f>
        <v>0</v>
      </c>
      <c r="AL257" s="51">
        <f>IF(AN257=21,H257,0)</f>
        <v>0</v>
      </c>
      <c r="AN257" s="51">
        <v>12</v>
      </c>
      <c r="AO257" s="51">
        <f>G257*0.242142026</f>
        <v>0</v>
      </c>
      <c r="AP257" s="51">
        <f>G257*(1-0.242142026)</f>
        <v>0</v>
      </c>
      <c r="AQ257" s="53" t="s">
        <v>150</v>
      </c>
      <c r="AV257" s="51">
        <f>AW257+AX257</f>
        <v>0</v>
      </c>
      <c r="AW257" s="51">
        <f>F257*AO257</f>
        <v>0</v>
      </c>
      <c r="AX257" s="51">
        <f>F257*AP257</f>
        <v>0</v>
      </c>
      <c r="AY257" s="53" t="s">
        <v>673</v>
      </c>
      <c r="AZ257" s="53" t="s">
        <v>623</v>
      </c>
      <c r="BA257" s="35" t="s">
        <v>117</v>
      </c>
      <c r="BC257" s="51">
        <f>AW257+AX257</f>
        <v>0</v>
      </c>
      <c r="BD257" s="51">
        <f>G257/(100-BE257)*100</f>
        <v>0</v>
      </c>
      <c r="BE257" s="51">
        <v>0</v>
      </c>
      <c r="BF257" s="51">
        <f>257</f>
        <v>257</v>
      </c>
      <c r="BH257" s="51">
        <f>F257*AO257</f>
        <v>0</v>
      </c>
      <c r="BI257" s="51">
        <f>F257*AP257</f>
        <v>0</v>
      </c>
      <c r="BJ257" s="51">
        <f>F257*G257</f>
        <v>0</v>
      </c>
      <c r="BK257" s="51"/>
      <c r="BL257" s="51">
        <v>784</v>
      </c>
      <c r="BW257" s="51">
        <v>12</v>
      </c>
      <c r="BX257" s="3" t="s">
        <v>683</v>
      </c>
    </row>
    <row r="258" spans="1:76">
      <c r="A258" s="54"/>
      <c r="C258" s="55" t="s">
        <v>684</v>
      </c>
      <c r="D258" s="56" t="s">
        <v>4</v>
      </c>
      <c r="F258" s="57">
        <v>136</v>
      </c>
      <c r="J258" s="41"/>
    </row>
    <row r="259" spans="1:76">
      <c r="A259" s="47" t="s">
        <v>4</v>
      </c>
      <c r="B259" s="48" t="s">
        <v>685</v>
      </c>
      <c r="C259" s="150" t="s">
        <v>686</v>
      </c>
      <c r="D259" s="151"/>
      <c r="E259" s="49" t="s">
        <v>79</v>
      </c>
      <c r="F259" s="49" t="s">
        <v>79</v>
      </c>
      <c r="G259" s="50" t="s">
        <v>79</v>
      </c>
      <c r="H259" s="28">
        <f>SUM(H260:H264)</f>
        <v>0</v>
      </c>
      <c r="J259" s="41"/>
      <c r="AI259" s="35" t="s">
        <v>4</v>
      </c>
      <c r="AS259" s="28">
        <f>SUM(AJ260:AJ264)</f>
        <v>0</v>
      </c>
      <c r="AT259" s="28">
        <f>SUM(AK260:AK264)</f>
        <v>0</v>
      </c>
      <c r="AU259" s="28">
        <f>SUM(AL260:AL264)</f>
        <v>0</v>
      </c>
    </row>
    <row r="260" spans="1:76">
      <c r="A260" s="1" t="s">
        <v>687</v>
      </c>
      <c r="B260" s="2" t="s">
        <v>688</v>
      </c>
      <c r="C260" s="75" t="s">
        <v>689</v>
      </c>
      <c r="D260" s="70"/>
      <c r="E260" s="2" t="s">
        <v>135</v>
      </c>
      <c r="F260" s="51">
        <v>1</v>
      </c>
      <c r="G260" s="52">
        <v>0</v>
      </c>
      <c r="H260" s="51">
        <f>F260*G260</f>
        <v>0</v>
      </c>
      <c r="J260" s="41"/>
      <c r="Z260" s="51">
        <f>IF(AQ260="5",BJ260,0)</f>
        <v>0</v>
      </c>
      <c r="AB260" s="51">
        <f>IF(AQ260="1",BH260,0)</f>
        <v>0</v>
      </c>
      <c r="AC260" s="51">
        <f>IF(AQ260="1",BI260,0)</f>
        <v>0</v>
      </c>
      <c r="AD260" s="51">
        <f>IF(AQ260="7",BH260,0)</f>
        <v>0</v>
      </c>
      <c r="AE260" s="51">
        <f>IF(AQ260="7",BI260,0)</f>
        <v>0</v>
      </c>
      <c r="AF260" s="51">
        <f>IF(AQ260="2",BH260,0)</f>
        <v>0</v>
      </c>
      <c r="AG260" s="51">
        <f>IF(AQ260="2",BI260,0)</f>
        <v>0</v>
      </c>
      <c r="AH260" s="51">
        <f>IF(AQ260="0",BJ260,0)</f>
        <v>0</v>
      </c>
      <c r="AI260" s="35" t="s">
        <v>4</v>
      </c>
      <c r="AJ260" s="51">
        <f>IF(AN260=0,H260,0)</f>
        <v>0</v>
      </c>
      <c r="AK260" s="51">
        <f>IF(AN260=12,H260,0)</f>
        <v>0</v>
      </c>
      <c r="AL260" s="51">
        <f>IF(AN260=21,H260,0)</f>
        <v>0</v>
      </c>
      <c r="AN260" s="51">
        <v>12</v>
      </c>
      <c r="AO260" s="51">
        <f>G260*0</f>
        <v>0</v>
      </c>
      <c r="AP260" s="51">
        <f>G260*(1-0)</f>
        <v>0</v>
      </c>
      <c r="AQ260" s="53" t="s">
        <v>120</v>
      </c>
      <c r="AV260" s="51">
        <f>AW260+AX260</f>
        <v>0</v>
      </c>
      <c r="AW260" s="51">
        <f>F260*AO260</f>
        <v>0</v>
      </c>
      <c r="AX260" s="51">
        <f>F260*AP260</f>
        <v>0</v>
      </c>
      <c r="AY260" s="53" t="s">
        <v>690</v>
      </c>
      <c r="AZ260" s="53" t="s">
        <v>236</v>
      </c>
      <c r="BA260" s="35" t="s">
        <v>117</v>
      </c>
      <c r="BC260" s="51">
        <f>AW260+AX260</f>
        <v>0</v>
      </c>
      <c r="BD260" s="51">
        <f>G260/(100-BE260)*100</f>
        <v>0</v>
      </c>
      <c r="BE260" s="51">
        <v>0</v>
      </c>
      <c r="BF260" s="51">
        <f>260</f>
        <v>260</v>
      </c>
      <c r="BH260" s="51">
        <f>F260*AO260</f>
        <v>0</v>
      </c>
      <c r="BI260" s="51">
        <f>F260*AP260</f>
        <v>0</v>
      </c>
      <c r="BJ260" s="51">
        <f>F260*G260</f>
        <v>0</v>
      </c>
      <c r="BK260" s="51"/>
      <c r="BL260" s="51"/>
      <c r="BW260" s="51">
        <v>12</v>
      </c>
      <c r="BX260" s="3" t="s">
        <v>689</v>
      </c>
    </row>
    <row r="261" spans="1:76">
      <c r="A261" s="1" t="s">
        <v>691</v>
      </c>
      <c r="B261" s="2" t="s">
        <v>692</v>
      </c>
      <c r="C261" s="75" t="s">
        <v>693</v>
      </c>
      <c r="D261" s="70"/>
      <c r="E261" s="2" t="s">
        <v>135</v>
      </c>
      <c r="F261" s="51">
        <v>1</v>
      </c>
      <c r="G261" s="52">
        <v>0</v>
      </c>
      <c r="H261" s="51">
        <f>F261*G261</f>
        <v>0</v>
      </c>
      <c r="J261" s="41"/>
      <c r="Z261" s="51">
        <f>IF(AQ261="5",BJ261,0)</f>
        <v>0</v>
      </c>
      <c r="AB261" s="51">
        <f>IF(AQ261="1",BH261,0)</f>
        <v>0</v>
      </c>
      <c r="AC261" s="51">
        <f>IF(AQ261="1",BI261,0)</f>
        <v>0</v>
      </c>
      <c r="AD261" s="51">
        <f>IF(AQ261="7",BH261,0)</f>
        <v>0</v>
      </c>
      <c r="AE261" s="51">
        <f>IF(AQ261="7",BI261,0)</f>
        <v>0</v>
      </c>
      <c r="AF261" s="51">
        <f>IF(AQ261="2",BH261,0)</f>
        <v>0</v>
      </c>
      <c r="AG261" s="51">
        <f>IF(AQ261="2",BI261,0)</f>
        <v>0</v>
      </c>
      <c r="AH261" s="51">
        <f>IF(AQ261="0",BJ261,0)</f>
        <v>0</v>
      </c>
      <c r="AI261" s="35" t="s">
        <v>4</v>
      </c>
      <c r="AJ261" s="51">
        <f>IF(AN261=0,H261,0)</f>
        <v>0</v>
      </c>
      <c r="AK261" s="51">
        <f>IF(AN261=12,H261,0)</f>
        <v>0</v>
      </c>
      <c r="AL261" s="51">
        <f>IF(AN261=21,H261,0)</f>
        <v>0</v>
      </c>
      <c r="AN261" s="51">
        <v>12</v>
      </c>
      <c r="AO261" s="51">
        <f>G261*0</f>
        <v>0</v>
      </c>
      <c r="AP261" s="51">
        <f>G261*(1-0)</f>
        <v>0</v>
      </c>
      <c r="AQ261" s="53" t="s">
        <v>120</v>
      </c>
      <c r="AV261" s="51">
        <f>AW261+AX261</f>
        <v>0</v>
      </c>
      <c r="AW261" s="51">
        <f>F261*AO261</f>
        <v>0</v>
      </c>
      <c r="AX261" s="51">
        <f>F261*AP261</f>
        <v>0</v>
      </c>
      <c r="AY261" s="53" t="s">
        <v>690</v>
      </c>
      <c r="AZ261" s="53" t="s">
        <v>236</v>
      </c>
      <c r="BA261" s="35" t="s">
        <v>117</v>
      </c>
      <c r="BC261" s="51">
        <f>AW261+AX261</f>
        <v>0</v>
      </c>
      <c r="BD261" s="51">
        <f>G261/(100-BE261)*100</f>
        <v>0</v>
      </c>
      <c r="BE261" s="51">
        <v>0</v>
      </c>
      <c r="BF261" s="51">
        <f>261</f>
        <v>261</v>
      </c>
      <c r="BH261" s="51">
        <f>F261*AO261</f>
        <v>0</v>
      </c>
      <c r="BI261" s="51">
        <f>F261*AP261</f>
        <v>0</v>
      </c>
      <c r="BJ261" s="51">
        <f>F261*G261</f>
        <v>0</v>
      </c>
      <c r="BK261" s="51"/>
      <c r="BL261" s="51"/>
      <c r="BW261" s="51">
        <v>12</v>
      </c>
      <c r="BX261" s="3" t="s">
        <v>693</v>
      </c>
    </row>
    <row r="262" spans="1:76">
      <c r="A262" s="1" t="s">
        <v>694</v>
      </c>
      <c r="B262" s="2" t="s">
        <v>695</v>
      </c>
      <c r="C262" s="75" t="s">
        <v>696</v>
      </c>
      <c r="D262" s="70"/>
      <c r="E262" s="2" t="s">
        <v>408</v>
      </c>
      <c r="F262" s="51">
        <v>1</v>
      </c>
      <c r="G262" s="52">
        <v>0</v>
      </c>
      <c r="H262" s="51">
        <f>F262*G262</f>
        <v>0</v>
      </c>
      <c r="J262" s="41"/>
      <c r="Z262" s="51">
        <f>IF(AQ262="5",BJ262,0)</f>
        <v>0</v>
      </c>
      <c r="AB262" s="51">
        <f>IF(AQ262="1",BH262,0)</f>
        <v>0</v>
      </c>
      <c r="AC262" s="51">
        <f>IF(AQ262="1",BI262,0)</f>
        <v>0</v>
      </c>
      <c r="AD262" s="51">
        <f>IF(AQ262="7",BH262,0)</f>
        <v>0</v>
      </c>
      <c r="AE262" s="51">
        <f>IF(AQ262="7",BI262,0)</f>
        <v>0</v>
      </c>
      <c r="AF262" s="51">
        <f>IF(AQ262="2",BH262,0)</f>
        <v>0</v>
      </c>
      <c r="AG262" s="51">
        <f>IF(AQ262="2",BI262,0)</f>
        <v>0</v>
      </c>
      <c r="AH262" s="51">
        <f>IF(AQ262="0",BJ262,0)</f>
        <v>0</v>
      </c>
      <c r="AI262" s="35" t="s">
        <v>4</v>
      </c>
      <c r="AJ262" s="51">
        <f>IF(AN262=0,H262,0)</f>
        <v>0</v>
      </c>
      <c r="AK262" s="51">
        <f>IF(AN262=12,H262,0)</f>
        <v>0</v>
      </c>
      <c r="AL262" s="51">
        <f>IF(AN262=21,H262,0)</f>
        <v>0</v>
      </c>
      <c r="AN262" s="51">
        <v>12</v>
      </c>
      <c r="AO262" s="51">
        <f>G262*0</f>
        <v>0</v>
      </c>
      <c r="AP262" s="51">
        <f>G262*(1-0)</f>
        <v>0</v>
      </c>
      <c r="AQ262" s="53" t="s">
        <v>120</v>
      </c>
      <c r="AV262" s="51">
        <f>AW262+AX262</f>
        <v>0</v>
      </c>
      <c r="AW262" s="51">
        <f>F262*AO262</f>
        <v>0</v>
      </c>
      <c r="AX262" s="51">
        <f>F262*AP262</f>
        <v>0</v>
      </c>
      <c r="AY262" s="53" t="s">
        <v>690</v>
      </c>
      <c r="AZ262" s="53" t="s">
        <v>236</v>
      </c>
      <c r="BA262" s="35" t="s">
        <v>117</v>
      </c>
      <c r="BC262" s="51">
        <f>AW262+AX262</f>
        <v>0</v>
      </c>
      <c r="BD262" s="51">
        <f>G262/(100-BE262)*100</f>
        <v>0</v>
      </c>
      <c r="BE262" s="51">
        <v>0</v>
      </c>
      <c r="BF262" s="51">
        <f>262</f>
        <v>262</v>
      </c>
      <c r="BH262" s="51">
        <f>F262*AO262</f>
        <v>0</v>
      </c>
      <c r="BI262" s="51">
        <f>F262*AP262</f>
        <v>0</v>
      </c>
      <c r="BJ262" s="51">
        <f>F262*G262</f>
        <v>0</v>
      </c>
      <c r="BK262" s="51"/>
      <c r="BL262" s="51"/>
      <c r="BW262" s="51">
        <v>12</v>
      </c>
      <c r="BX262" s="3" t="s">
        <v>696</v>
      </c>
    </row>
    <row r="263" spans="1:76">
      <c r="A263" s="1" t="s">
        <v>697</v>
      </c>
      <c r="B263" s="2" t="s">
        <v>698</v>
      </c>
      <c r="C263" s="75" t="s">
        <v>699</v>
      </c>
      <c r="D263" s="70"/>
      <c r="E263" s="2" t="s">
        <v>408</v>
      </c>
      <c r="F263" s="51">
        <v>1</v>
      </c>
      <c r="G263" s="52">
        <v>0</v>
      </c>
      <c r="H263" s="51">
        <f>F263*G263</f>
        <v>0</v>
      </c>
      <c r="J263" s="41"/>
      <c r="Z263" s="51">
        <f>IF(AQ263="5",BJ263,0)</f>
        <v>0</v>
      </c>
      <c r="AB263" s="51">
        <f>IF(AQ263="1",BH263,0)</f>
        <v>0</v>
      </c>
      <c r="AC263" s="51">
        <f>IF(AQ263="1",BI263,0)</f>
        <v>0</v>
      </c>
      <c r="AD263" s="51">
        <f>IF(AQ263="7",BH263,0)</f>
        <v>0</v>
      </c>
      <c r="AE263" s="51">
        <f>IF(AQ263="7",BI263,0)</f>
        <v>0</v>
      </c>
      <c r="AF263" s="51">
        <f>IF(AQ263="2",BH263,0)</f>
        <v>0</v>
      </c>
      <c r="AG263" s="51">
        <f>IF(AQ263="2",BI263,0)</f>
        <v>0</v>
      </c>
      <c r="AH263" s="51">
        <f>IF(AQ263="0",BJ263,0)</f>
        <v>0</v>
      </c>
      <c r="AI263" s="35" t="s">
        <v>4</v>
      </c>
      <c r="AJ263" s="51">
        <f>IF(AN263=0,H263,0)</f>
        <v>0</v>
      </c>
      <c r="AK263" s="51">
        <f>IF(AN263=12,H263,0)</f>
        <v>0</v>
      </c>
      <c r="AL263" s="51">
        <f>IF(AN263=21,H263,0)</f>
        <v>0</v>
      </c>
      <c r="AN263" s="51">
        <v>12</v>
      </c>
      <c r="AO263" s="51">
        <f>G263*0</f>
        <v>0</v>
      </c>
      <c r="AP263" s="51">
        <f>G263*(1-0)</f>
        <v>0</v>
      </c>
      <c r="AQ263" s="53" t="s">
        <v>120</v>
      </c>
      <c r="AV263" s="51">
        <f>AW263+AX263</f>
        <v>0</v>
      </c>
      <c r="AW263" s="51">
        <f>F263*AO263</f>
        <v>0</v>
      </c>
      <c r="AX263" s="51">
        <f>F263*AP263</f>
        <v>0</v>
      </c>
      <c r="AY263" s="53" t="s">
        <v>690</v>
      </c>
      <c r="AZ263" s="53" t="s">
        <v>236</v>
      </c>
      <c r="BA263" s="35" t="s">
        <v>117</v>
      </c>
      <c r="BC263" s="51">
        <f>AW263+AX263</f>
        <v>0</v>
      </c>
      <c r="BD263" s="51">
        <f>G263/(100-BE263)*100</f>
        <v>0</v>
      </c>
      <c r="BE263" s="51">
        <v>0</v>
      </c>
      <c r="BF263" s="51">
        <f>263</f>
        <v>263</v>
      </c>
      <c r="BH263" s="51">
        <f>F263*AO263</f>
        <v>0</v>
      </c>
      <c r="BI263" s="51">
        <f>F263*AP263</f>
        <v>0</v>
      </c>
      <c r="BJ263" s="51">
        <f>F263*G263</f>
        <v>0</v>
      </c>
      <c r="BK263" s="51"/>
      <c r="BL263" s="51"/>
      <c r="BW263" s="51">
        <v>12</v>
      </c>
      <c r="BX263" s="3" t="s">
        <v>699</v>
      </c>
    </row>
    <row r="264" spans="1:76">
      <c r="A264" s="1" t="s">
        <v>700</v>
      </c>
      <c r="B264" s="2" t="s">
        <v>701</v>
      </c>
      <c r="C264" s="75" t="s">
        <v>702</v>
      </c>
      <c r="D264" s="70"/>
      <c r="E264" s="2" t="s">
        <v>135</v>
      </c>
      <c r="F264" s="51">
        <v>1</v>
      </c>
      <c r="G264" s="52">
        <v>0</v>
      </c>
      <c r="H264" s="51">
        <f>F264*G264</f>
        <v>0</v>
      </c>
      <c r="J264" s="41"/>
      <c r="Z264" s="51">
        <f>IF(AQ264="5",BJ264,0)</f>
        <v>0</v>
      </c>
      <c r="AB264" s="51">
        <f>IF(AQ264="1",BH264,0)</f>
        <v>0</v>
      </c>
      <c r="AC264" s="51">
        <f>IF(AQ264="1",BI264,0)</f>
        <v>0</v>
      </c>
      <c r="AD264" s="51">
        <f>IF(AQ264="7",BH264,0)</f>
        <v>0</v>
      </c>
      <c r="AE264" s="51">
        <f>IF(AQ264="7",BI264,0)</f>
        <v>0</v>
      </c>
      <c r="AF264" s="51">
        <f>IF(AQ264="2",BH264,0)</f>
        <v>0</v>
      </c>
      <c r="AG264" s="51">
        <f>IF(AQ264="2",BI264,0)</f>
        <v>0</v>
      </c>
      <c r="AH264" s="51">
        <f>IF(AQ264="0",BJ264,0)</f>
        <v>0</v>
      </c>
      <c r="AI264" s="35" t="s">
        <v>4</v>
      </c>
      <c r="AJ264" s="51">
        <f>IF(AN264=0,H264,0)</f>
        <v>0</v>
      </c>
      <c r="AK264" s="51">
        <f>IF(AN264=12,H264,0)</f>
        <v>0</v>
      </c>
      <c r="AL264" s="51">
        <f>IF(AN264=21,H264,0)</f>
        <v>0</v>
      </c>
      <c r="AN264" s="51">
        <v>12</v>
      </c>
      <c r="AO264" s="51">
        <f>G264*0</f>
        <v>0</v>
      </c>
      <c r="AP264" s="51">
        <f>G264*(1-0)</f>
        <v>0</v>
      </c>
      <c r="AQ264" s="53" t="s">
        <v>120</v>
      </c>
      <c r="AV264" s="51">
        <f>AW264+AX264</f>
        <v>0</v>
      </c>
      <c r="AW264" s="51">
        <f>F264*AO264</f>
        <v>0</v>
      </c>
      <c r="AX264" s="51">
        <f>F264*AP264</f>
        <v>0</v>
      </c>
      <c r="AY264" s="53" t="s">
        <v>690</v>
      </c>
      <c r="AZ264" s="53" t="s">
        <v>236</v>
      </c>
      <c r="BA264" s="35" t="s">
        <v>117</v>
      </c>
      <c r="BC264" s="51">
        <f>AW264+AX264</f>
        <v>0</v>
      </c>
      <c r="BD264" s="51">
        <f>G264/(100-BE264)*100</f>
        <v>0</v>
      </c>
      <c r="BE264" s="51">
        <v>0</v>
      </c>
      <c r="BF264" s="51">
        <f>264</f>
        <v>264</v>
      </c>
      <c r="BH264" s="51">
        <f>F264*AO264</f>
        <v>0</v>
      </c>
      <c r="BI264" s="51">
        <f>F264*AP264</f>
        <v>0</v>
      </c>
      <c r="BJ264" s="51">
        <f>F264*G264</f>
        <v>0</v>
      </c>
      <c r="BK264" s="51"/>
      <c r="BL264" s="51"/>
      <c r="BW264" s="51">
        <v>12</v>
      </c>
      <c r="BX264" s="3" t="s">
        <v>702</v>
      </c>
    </row>
    <row r="265" spans="1:76">
      <c r="A265" s="47" t="s">
        <v>4</v>
      </c>
      <c r="B265" s="48" t="s">
        <v>703</v>
      </c>
      <c r="C265" s="150" t="s">
        <v>57</v>
      </c>
      <c r="D265" s="151"/>
      <c r="E265" s="49" t="s">
        <v>79</v>
      </c>
      <c r="F265" s="49" t="s">
        <v>79</v>
      </c>
      <c r="G265" s="50" t="s">
        <v>79</v>
      </c>
      <c r="H265" s="28">
        <f>H266+H268</f>
        <v>0</v>
      </c>
      <c r="J265" s="41"/>
      <c r="AI265" s="35" t="s">
        <v>4</v>
      </c>
    </row>
    <row r="266" spans="1:76">
      <c r="A266" s="47" t="s">
        <v>4</v>
      </c>
      <c r="B266" s="48" t="s">
        <v>704</v>
      </c>
      <c r="C266" s="150" t="s">
        <v>25</v>
      </c>
      <c r="D266" s="151"/>
      <c r="E266" s="49" t="s">
        <v>79</v>
      </c>
      <c r="F266" s="49" t="s">
        <v>79</v>
      </c>
      <c r="G266" s="50" t="s">
        <v>79</v>
      </c>
      <c r="H266" s="28">
        <f>SUM(H267:H267)</f>
        <v>0</v>
      </c>
      <c r="J266" s="41"/>
      <c r="AI266" s="35" t="s">
        <v>4</v>
      </c>
      <c r="AS266" s="28">
        <f>SUM(AJ267:AJ267)</f>
        <v>0</v>
      </c>
      <c r="AT266" s="28">
        <f>SUM(AK267:AK267)</f>
        <v>0</v>
      </c>
      <c r="AU266" s="28">
        <f>SUM(AL267:AL267)</f>
        <v>0</v>
      </c>
    </row>
    <row r="267" spans="1:76">
      <c r="A267" s="1" t="s">
        <v>705</v>
      </c>
      <c r="B267" s="2" t="s">
        <v>706</v>
      </c>
      <c r="C267" s="75" t="s">
        <v>25</v>
      </c>
      <c r="D267" s="70"/>
      <c r="E267" s="2" t="s">
        <v>707</v>
      </c>
      <c r="F267" s="51">
        <v>1</v>
      </c>
      <c r="G267" s="52">
        <v>0</v>
      </c>
      <c r="H267" s="51">
        <f>F267*G267</f>
        <v>0</v>
      </c>
      <c r="J267" s="41"/>
      <c r="Z267" s="51">
        <f>IF(AQ267="5",BJ267,0)</f>
        <v>0</v>
      </c>
      <c r="AB267" s="51">
        <f>IF(AQ267="1",BH267,0)</f>
        <v>0</v>
      </c>
      <c r="AC267" s="51">
        <f>IF(AQ267="1",BI267,0)</f>
        <v>0</v>
      </c>
      <c r="AD267" s="51">
        <f>IF(AQ267="7",BH267,0)</f>
        <v>0</v>
      </c>
      <c r="AE267" s="51">
        <f>IF(AQ267="7",BI267,0)</f>
        <v>0</v>
      </c>
      <c r="AF267" s="51">
        <f>IF(AQ267="2",BH267,0)</f>
        <v>0</v>
      </c>
      <c r="AG267" s="51">
        <f>IF(AQ267="2",BI267,0)</f>
        <v>0</v>
      </c>
      <c r="AH267" s="51">
        <f>IF(AQ267="0",BJ267,0)</f>
        <v>0</v>
      </c>
      <c r="AI267" s="35" t="s">
        <v>4</v>
      </c>
      <c r="AJ267" s="51">
        <f>IF(AN267=0,H267,0)</f>
        <v>0</v>
      </c>
      <c r="AK267" s="51">
        <f>IF(AN267=12,H267,0)</f>
        <v>0</v>
      </c>
      <c r="AL267" s="51">
        <f>IF(AN267=21,H267,0)</f>
        <v>0</v>
      </c>
      <c r="AN267" s="51">
        <v>12</v>
      </c>
      <c r="AO267" s="51">
        <f>G267*0</f>
        <v>0</v>
      </c>
      <c r="AP267" s="51">
        <f>G267*(1-0)</f>
        <v>0</v>
      </c>
      <c r="AQ267" s="53" t="s">
        <v>302</v>
      </c>
      <c r="AV267" s="51">
        <f>AW267+AX267</f>
        <v>0</v>
      </c>
      <c r="AW267" s="51">
        <f>F267*AO267</f>
        <v>0</v>
      </c>
      <c r="AX267" s="51">
        <f>F267*AP267</f>
        <v>0</v>
      </c>
      <c r="AY267" s="53" t="s">
        <v>708</v>
      </c>
      <c r="AZ267" s="53" t="s">
        <v>709</v>
      </c>
      <c r="BA267" s="35" t="s">
        <v>117</v>
      </c>
      <c r="BC267" s="51">
        <f>AW267+AX267</f>
        <v>0</v>
      </c>
      <c r="BD267" s="51">
        <f>G267/(100-BE267)*100</f>
        <v>0</v>
      </c>
      <c r="BE267" s="51">
        <v>0</v>
      </c>
      <c r="BF267" s="51">
        <f>267</f>
        <v>267</v>
      </c>
      <c r="BH267" s="51">
        <f>F267*AO267</f>
        <v>0</v>
      </c>
      <c r="BI267" s="51">
        <f>F267*AP267</f>
        <v>0</v>
      </c>
      <c r="BJ267" s="51">
        <f>F267*G267</f>
        <v>0</v>
      </c>
      <c r="BK267" s="51"/>
      <c r="BL267" s="51"/>
      <c r="BO267" s="51">
        <f>F267*G267</f>
        <v>0</v>
      </c>
      <c r="BW267" s="51">
        <v>12</v>
      </c>
      <c r="BX267" s="3" t="s">
        <v>25</v>
      </c>
    </row>
    <row r="268" spans="1:76">
      <c r="A268" s="47" t="s">
        <v>4</v>
      </c>
      <c r="B268" s="48" t="s">
        <v>710</v>
      </c>
      <c r="C268" s="150" t="s">
        <v>31</v>
      </c>
      <c r="D268" s="151"/>
      <c r="E268" s="49" t="s">
        <v>79</v>
      </c>
      <c r="F268" s="49" t="s">
        <v>79</v>
      </c>
      <c r="G268" s="50" t="s">
        <v>79</v>
      </c>
      <c r="H268" s="28">
        <f>SUM(H269:H269)</f>
        <v>0</v>
      </c>
      <c r="J268" s="41"/>
      <c r="AI268" s="35" t="s">
        <v>4</v>
      </c>
      <c r="AS268" s="28">
        <f>SUM(AJ269:AJ269)</f>
        <v>0</v>
      </c>
      <c r="AT268" s="28">
        <f>SUM(AK269:AK269)</f>
        <v>0</v>
      </c>
      <c r="AU268" s="28">
        <f>SUM(AL269:AL269)</f>
        <v>0</v>
      </c>
    </row>
    <row r="269" spans="1:76">
      <c r="A269" s="4" t="s">
        <v>711</v>
      </c>
      <c r="B269" s="5" t="s">
        <v>712</v>
      </c>
      <c r="C269" s="156" t="s">
        <v>713</v>
      </c>
      <c r="D269" s="73"/>
      <c r="E269" s="5" t="s">
        <v>707</v>
      </c>
      <c r="F269" s="59">
        <v>1</v>
      </c>
      <c r="G269" s="60">
        <v>0</v>
      </c>
      <c r="H269" s="59">
        <f>F269*G269</f>
        <v>0</v>
      </c>
      <c r="I269" s="61"/>
      <c r="J269" s="62"/>
      <c r="Z269" s="51">
        <f>IF(AQ269="5",BJ269,0)</f>
        <v>0</v>
      </c>
      <c r="AB269" s="51">
        <f>IF(AQ269="1",BH269,0)</f>
        <v>0</v>
      </c>
      <c r="AC269" s="51">
        <f>IF(AQ269="1",BI269,0)</f>
        <v>0</v>
      </c>
      <c r="AD269" s="51">
        <f>IF(AQ269="7",BH269,0)</f>
        <v>0</v>
      </c>
      <c r="AE269" s="51">
        <f>IF(AQ269="7",BI269,0)</f>
        <v>0</v>
      </c>
      <c r="AF269" s="51">
        <f>IF(AQ269="2",BH269,0)</f>
        <v>0</v>
      </c>
      <c r="AG269" s="51">
        <f>IF(AQ269="2",BI269,0)</f>
        <v>0</v>
      </c>
      <c r="AH269" s="51">
        <f>IF(AQ269="0",BJ269,0)</f>
        <v>0</v>
      </c>
      <c r="AI269" s="35" t="s">
        <v>4</v>
      </c>
      <c r="AJ269" s="51">
        <f>IF(AN269=0,H269,0)</f>
        <v>0</v>
      </c>
      <c r="AK269" s="51">
        <f>IF(AN269=12,H269,0)</f>
        <v>0</v>
      </c>
      <c r="AL269" s="51">
        <f>IF(AN269=21,H269,0)</f>
        <v>0</v>
      </c>
      <c r="AN269" s="51">
        <v>12</v>
      </c>
      <c r="AO269" s="51">
        <f>G269*0</f>
        <v>0</v>
      </c>
      <c r="AP269" s="51">
        <f>G269*(1-0)</f>
        <v>0</v>
      </c>
      <c r="AQ269" s="53" t="s">
        <v>302</v>
      </c>
      <c r="AV269" s="51">
        <f>AW269+AX269</f>
        <v>0</v>
      </c>
      <c r="AW269" s="51">
        <f>F269*AO269</f>
        <v>0</v>
      </c>
      <c r="AX269" s="51">
        <f>F269*AP269</f>
        <v>0</v>
      </c>
      <c r="AY269" s="53" t="s">
        <v>714</v>
      </c>
      <c r="AZ269" s="53" t="s">
        <v>709</v>
      </c>
      <c r="BA269" s="35" t="s">
        <v>117</v>
      </c>
      <c r="BC269" s="51">
        <f>AW269+AX269</f>
        <v>0</v>
      </c>
      <c r="BD269" s="51">
        <f>G269/(100-BE269)*100</f>
        <v>0</v>
      </c>
      <c r="BE269" s="51">
        <v>0</v>
      </c>
      <c r="BF269" s="51">
        <f>269</f>
        <v>269</v>
      </c>
      <c r="BH269" s="51">
        <f>F269*AO269</f>
        <v>0</v>
      </c>
      <c r="BI269" s="51">
        <f>F269*AP269</f>
        <v>0</v>
      </c>
      <c r="BJ269" s="51">
        <f>F269*G269</f>
        <v>0</v>
      </c>
      <c r="BK269" s="51"/>
      <c r="BL269" s="51"/>
      <c r="BR269" s="51">
        <f>F269*G269</f>
        <v>0</v>
      </c>
      <c r="BW269" s="51">
        <v>12</v>
      </c>
      <c r="BX269" s="3" t="s">
        <v>713</v>
      </c>
    </row>
    <row r="270" spans="1:76">
      <c r="H270" s="63">
        <f>H13+H28+H68+H75+H84+H104+H106+H118+H129+H141+H164+H168+H170+H185+H201+H221+H226+H242+H249+H259+H266+H268</f>
        <v>0</v>
      </c>
    </row>
    <row r="271" spans="1:76">
      <c r="A271" s="64" t="s">
        <v>56</v>
      </c>
    </row>
    <row r="272" spans="1:76" ht="12.75" customHeight="1">
      <c r="A272" s="75" t="s">
        <v>4</v>
      </c>
      <c r="B272" s="70"/>
      <c r="C272" s="70"/>
      <c r="D272" s="70"/>
      <c r="E272" s="70"/>
      <c r="F272" s="70"/>
      <c r="G272" s="70"/>
      <c r="H272" s="70"/>
      <c r="I272" s="70"/>
      <c r="J272" s="70"/>
    </row>
  </sheetData>
  <sheetProtection password="CF7A" sheet="1"/>
  <mergeCells count="204">
    <mergeCell ref="C268:D268"/>
    <mergeCell ref="C269:D269"/>
    <mergeCell ref="A272:J272"/>
    <mergeCell ref="C263:D263"/>
    <mergeCell ref="C264:D264"/>
    <mergeCell ref="C265:D265"/>
    <mergeCell ref="C266:D266"/>
    <mergeCell ref="C267:D267"/>
    <mergeCell ref="C257:D257"/>
    <mergeCell ref="C259:D259"/>
    <mergeCell ref="C260:D260"/>
    <mergeCell ref="C261:D261"/>
    <mergeCell ref="C262:D262"/>
    <mergeCell ref="C246:D246"/>
    <mergeCell ref="C247:D247"/>
    <mergeCell ref="C249:D249"/>
    <mergeCell ref="C250:D250"/>
    <mergeCell ref="C256:D256"/>
    <mergeCell ref="C241:D241"/>
    <mergeCell ref="C242:D242"/>
    <mergeCell ref="C243:D243"/>
    <mergeCell ref="C244:J244"/>
    <mergeCell ref="C245:D245"/>
    <mergeCell ref="C232:D232"/>
    <mergeCell ref="C234:D234"/>
    <mergeCell ref="C235:D235"/>
    <mergeCell ref="C236:J236"/>
    <mergeCell ref="C239:D239"/>
    <mergeCell ref="C223:D223"/>
    <mergeCell ref="C225:D225"/>
    <mergeCell ref="C226:D226"/>
    <mergeCell ref="C227:D227"/>
    <mergeCell ref="C231:D231"/>
    <mergeCell ref="C217:D217"/>
    <mergeCell ref="C219:D219"/>
    <mergeCell ref="C220:D220"/>
    <mergeCell ref="C221:D221"/>
    <mergeCell ref="C222:D222"/>
    <mergeCell ref="C202:D202"/>
    <mergeCell ref="C206:D206"/>
    <mergeCell ref="C210:D210"/>
    <mergeCell ref="C211:J211"/>
    <mergeCell ref="C215:D215"/>
    <mergeCell ref="C193:D193"/>
    <mergeCell ref="C197:D197"/>
    <mergeCell ref="C198:D198"/>
    <mergeCell ref="C200:D200"/>
    <mergeCell ref="C201:D201"/>
    <mergeCell ref="C185:D185"/>
    <mergeCell ref="C186:D186"/>
    <mergeCell ref="C187:D187"/>
    <mergeCell ref="C189:D189"/>
    <mergeCell ref="C191:D191"/>
    <mergeCell ref="C179:D179"/>
    <mergeCell ref="C181:D181"/>
    <mergeCell ref="C182:D182"/>
    <mergeCell ref="C183:D183"/>
    <mergeCell ref="C184:D184"/>
    <mergeCell ref="C174:D174"/>
    <mergeCell ref="C175:D175"/>
    <mergeCell ref="C176:D176"/>
    <mergeCell ref="C177:D177"/>
    <mergeCell ref="C178:D178"/>
    <mergeCell ref="C169:D169"/>
    <mergeCell ref="C170:D170"/>
    <mergeCell ref="C171:D171"/>
    <mergeCell ref="C172:D172"/>
    <mergeCell ref="C173:D173"/>
    <mergeCell ref="C164:D164"/>
    <mergeCell ref="C165:D165"/>
    <mergeCell ref="C166:D166"/>
    <mergeCell ref="C167:D167"/>
    <mergeCell ref="C168:D168"/>
    <mergeCell ref="C159:D159"/>
    <mergeCell ref="C160:D160"/>
    <mergeCell ref="C161:D161"/>
    <mergeCell ref="C162:D162"/>
    <mergeCell ref="C163:D163"/>
    <mergeCell ref="C154:D154"/>
    <mergeCell ref="C155:D155"/>
    <mergeCell ref="C156:D156"/>
    <mergeCell ref="C157:D157"/>
    <mergeCell ref="C158:D158"/>
    <mergeCell ref="C149:J149"/>
    <mergeCell ref="C150:D150"/>
    <mergeCell ref="C151:D151"/>
    <mergeCell ref="C152:D152"/>
    <mergeCell ref="C153:D153"/>
    <mergeCell ref="C144:D144"/>
    <mergeCell ref="C145:D145"/>
    <mergeCell ref="C146:D146"/>
    <mergeCell ref="C147:D147"/>
    <mergeCell ref="C148:D148"/>
    <mergeCell ref="C139:D139"/>
    <mergeCell ref="C140:D140"/>
    <mergeCell ref="C141:D141"/>
    <mergeCell ref="C142:D142"/>
    <mergeCell ref="C143:D143"/>
    <mergeCell ref="C134:D134"/>
    <mergeCell ref="C135:D135"/>
    <mergeCell ref="C136:J136"/>
    <mergeCell ref="C137:D137"/>
    <mergeCell ref="C138:D138"/>
    <mergeCell ref="C129:D129"/>
    <mergeCell ref="C130:D130"/>
    <mergeCell ref="C131:D131"/>
    <mergeCell ref="C132:D132"/>
    <mergeCell ref="C133:D133"/>
    <mergeCell ref="C124:D124"/>
    <mergeCell ref="C125:D125"/>
    <mergeCell ref="C126:D126"/>
    <mergeCell ref="C127:D127"/>
    <mergeCell ref="C128:D128"/>
    <mergeCell ref="C119:D119"/>
    <mergeCell ref="C120:D120"/>
    <mergeCell ref="C121:D121"/>
    <mergeCell ref="C122:D122"/>
    <mergeCell ref="C123:D123"/>
    <mergeCell ref="C109:J109"/>
    <mergeCell ref="C113:D113"/>
    <mergeCell ref="C114:J114"/>
    <mergeCell ref="C117:D117"/>
    <mergeCell ref="C118:D118"/>
    <mergeCell ref="C104:D104"/>
    <mergeCell ref="C105:D105"/>
    <mergeCell ref="C106:D106"/>
    <mergeCell ref="C107:D107"/>
    <mergeCell ref="C108:D108"/>
    <mergeCell ref="C94:D94"/>
    <mergeCell ref="C96:D96"/>
    <mergeCell ref="C97:D97"/>
    <mergeCell ref="C99:D99"/>
    <mergeCell ref="C101:D101"/>
    <mergeCell ref="C87:D87"/>
    <mergeCell ref="C88:D88"/>
    <mergeCell ref="C90:D90"/>
    <mergeCell ref="C91:D91"/>
    <mergeCell ref="C93:D93"/>
    <mergeCell ref="C81:D81"/>
    <mergeCell ref="C82:D82"/>
    <mergeCell ref="C84:D84"/>
    <mergeCell ref="C85:D85"/>
    <mergeCell ref="C86:D86"/>
    <mergeCell ref="C75:D75"/>
    <mergeCell ref="C76:D76"/>
    <mergeCell ref="C77:J77"/>
    <mergeCell ref="C78:D78"/>
    <mergeCell ref="C79:D79"/>
    <mergeCell ref="C68:D68"/>
    <mergeCell ref="C69:D69"/>
    <mergeCell ref="C71:D71"/>
    <mergeCell ref="C72:J72"/>
    <mergeCell ref="C74:D74"/>
    <mergeCell ref="C57:D57"/>
    <mergeCell ref="C60:D60"/>
    <mergeCell ref="C61:J61"/>
    <mergeCell ref="C65:D65"/>
    <mergeCell ref="C66:J66"/>
    <mergeCell ref="C35:D35"/>
    <mergeCell ref="C42:D42"/>
    <mergeCell ref="C44:D44"/>
    <mergeCell ref="C49:D49"/>
    <mergeCell ref="C50:J50"/>
    <mergeCell ref="C28:D28"/>
    <mergeCell ref="C29:D29"/>
    <mergeCell ref="C30:D30"/>
    <mergeCell ref="C32:D32"/>
    <mergeCell ref="C34:D34"/>
    <mergeCell ref="C18:D18"/>
    <mergeCell ref="C21:D21"/>
    <mergeCell ref="C22:J22"/>
    <mergeCell ref="C23:D23"/>
    <mergeCell ref="C26:D26"/>
    <mergeCell ref="C11:D11"/>
    <mergeCell ref="C12:D12"/>
    <mergeCell ref="C13:D13"/>
    <mergeCell ref="C14:D14"/>
    <mergeCell ref="C16:D16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Franta</cp:lastModifiedBy>
  <dcterms:created xsi:type="dcterms:W3CDTF">2021-06-10T20:06:38Z</dcterms:created>
  <dcterms:modified xsi:type="dcterms:W3CDTF">2025-02-12T13:34:14Z</dcterms:modified>
</cp:coreProperties>
</file>