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VORN!$I$45</definedName>
  </definedNames>
  <calcPr calcId="124519"/>
</workbook>
</file>

<file path=xl/calcChain.xml><?xml version="1.0" encoding="utf-8"?>
<calcChain xmlns="http://schemas.openxmlformats.org/spreadsheetml/2006/main">
  <c r="BR253" i="3"/>
  <c r="BJ253"/>
  <c r="BF253"/>
  <c r="BD253"/>
  <c r="AX253"/>
  <c r="AP253"/>
  <c r="BI253" s="1"/>
  <c r="AO253"/>
  <c r="AW253" s="1"/>
  <c r="AL253"/>
  <c r="AJ253"/>
  <c r="AH253"/>
  <c r="AG253"/>
  <c r="AF253"/>
  <c r="AE253"/>
  <c r="AD253"/>
  <c r="AC253"/>
  <c r="AB253"/>
  <c r="Z253"/>
  <c r="H253"/>
  <c r="AK253" s="1"/>
  <c r="AT252" s="1"/>
  <c r="AU252"/>
  <c r="AS252"/>
  <c r="H252"/>
  <c r="BO251"/>
  <c r="BJ251"/>
  <c r="BF251"/>
  <c r="BD251"/>
  <c r="AX251"/>
  <c r="AP251"/>
  <c r="BI251" s="1"/>
  <c r="AO251"/>
  <c r="AW251" s="1"/>
  <c r="AL251"/>
  <c r="AJ251"/>
  <c r="AH251"/>
  <c r="AG251"/>
  <c r="AF251"/>
  <c r="AE251"/>
  <c r="AD251"/>
  <c r="AC251"/>
  <c r="AB251"/>
  <c r="Z251"/>
  <c r="H251"/>
  <c r="AK251" s="1"/>
  <c r="AT250" s="1"/>
  <c r="AU250"/>
  <c r="AS250"/>
  <c r="H250"/>
  <c r="H249" s="1"/>
  <c r="BJ248"/>
  <c r="BF248"/>
  <c r="BD248"/>
  <c r="AX248"/>
  <c r="AP248"/>
  <c r="BI248" s="1"/>
  <c r="AG248" s="1"/>
  <c r="AO248"/>
  <c r="AW248" s="1"/>
  <c r="AL248"/>
  <c r="AJ248"/>
  <c r="AH248"/>
  <c r="AE248"/>
  <c r="AD248"/>
  <c r="AC248"/>
  <c r="AB248"/>
  <c r="Z248"/>
  <c r="H248"/>
  <c r="AK248" s="1"/>
  <c r="BJ247"/>
  <c r="BF247"/>
  <c r="BD247"/>
  <c r="AW247"/>
  <c r="BC247" s="1"/>
  <c r="AP247"/>
  <c r="AX247" s="1"/>
  <c r="AO247"/>
  <c r="BH247" s="1"/>
  <c r="AF247" s="1"/>
  <c r="AL247"/>
  <c r="AU244" s="1"/>
  <c r="AJ247"/>
  <c r="AH247"/>
  <c r="AE247"/>
  <c r="AD247"/>
  <c r="AC247"/>
  <c r="AB247"/>
  <c r="Z247"/>
  <c r="H247"/>
  <c r="AK247" s="1"/>
  <c r="BJ246"/>
  <c r="BF246"/>
  <c r="BD246"/>
  <c r="AX246"/>
  <c r="AP246"/>
  <c r="BI246" s="1"/>
  <c r="AG246" s="1"/>
  <c r="AO246"/>
  <c r="AW246" s="1"/>
  <c r="AL246"/>
  <c r="AK246"/>
  <c r="AJ246"/>
  <c r="AH246"/>
  <c r="AE246"/>
  <c r="AD246"/>
  <c r="AC246"/>
  <c r="AB246"/>
  <c r="Z246"/>
  <c r="H246"/>
  <c r="H244" s="1"/>
  <c r="BJ245"/>
  <c r="BF245"/>
  <c r="BD245"/>
  <c r="AW245"/>
  <c r="AP245"/>
  <c r="AX245" s="1"/>
  <c r="BC245" s="1"/>
  <c r="AO245"/>
  <c r="BH245" s="1"/>
  <c r="AF245" s="1"/>
  <c r="AL245"/>
  <c r="AJ245"/>
  <c r="AH245"/>
  <c r="AE245"/>
  <c r="AD245"/>
  <c r="AC245"/>
  <c r="AB245"/>
  <c r="Z245"/>
  <c r="H245"/>
  <c r="AK245" s="1"/>
  <c r="AS244"/>
  <c r="BJ243"/>
  <c r="BF243"/>
  <c r="BD243"/>
  <c r="AX243"/>
  <c r="AP243"/>
  <c r="BI243" s="1"/>
  <c r="AE243" s="1"/>
  <c r="AO243"/>
  <c r="AW243" s="1"/>
  <c r="AL243"/>
  <c r="AJ243"/>
  <c r="AH243"/>
  <c r="AG243"/>
  <c r="AF243"/>
  <c r="AC243"/>
  <c r="AB243"/>
  <c r="Z243"/>
  <c r="H243"/>
  <c r="AK243" s="1"/>
  <c r="BJ242"/>
  <c r="BF242"/>
  <c r="BD242"/>
  <c r="AW242"/>
  <c r="BC242" s="1"/>
  <c r="AP242"/>
  <c r="AX242" s="1"/>
  <c r="AO242"/>
  <c r="BH242" s="1"/>
  <c r="AD242" s="1"/>
  <c r="AL242"/>
  <c r="AU239" s="1"/>
  <c r="AJ242"/>
  <c r="AS239" s="1"/>
  <c r="AH242"/>
  <c r="AG242"/>
  <c r="AF242"/>
  <c r="AC242"/>
  <c r="AB242"/>
  <c r="Z242"/>
  <c r="H242"/>
  <c r="AK242" s="1"/>
  <c r="BJ240"/>
  <c r="BF240"/>
  <c r="BD240"/>
  <c r="AX240"/>
  <c r="AP240"/>
  <c r="BI240" s="1"/>
  <c r="AE240" s="1"/>
  <c r="AO240"/>
  <c r="AW240" s="1"/>
  <c r="AL240"/>
  <c r="AK240"/>
  <c r="AJ240"/>
  <c r="AH240"/>
  <c r="AG240"/>
  <c r="AF240"/>
  <c r="AC240"/>
  <c r="AB240"/>
  <c r="Z240"/>
  <c r="H240"/>
  <c r="BJ238"/>
  <c r="BF238"/>
  <c r="BD238"/>
  <c r="AW238"/>
  <c r="AP238"/>
  <c r="AX238" s="1"/>
  <c r="BC238" s="1"/>
  <c r="AO238"/>
  <c r="BH238" s="1"/>
  <c r="AD238" s="1"/>
  <c r="AL238"/>
  <c r="AJ238"/>
  <c r="AH238"/>
  <c r="AG238"/>
  <c r="AF238"/>
  <c r="AC238"/>
  <c r="AB238"/>
  <c r="Z238"/>
  <c r="H238"/>
  <c r="AK238" s="1"/>
  <c r="BJ237"/>
  <c r="BF237"/>
  <c r="BD237"/>
  <c r="AX237"/>
  <c r="AP237"/>
  <c r="BI237" s="1"/>
  <c r="AE237" s="1"/>
  <c r="AO237"/>
  <c r="AW237" s="1"/>
  <c r="AL237"/>
  <c r="AJ237"/>
  <c r="AH237"/>
  <c r="AG237"/>
  <c r="AF237"/>
  <c r="AC237"/>
  <c r="AB237"/>
  <c r="Z237"/>
  <c r="H237"/>
  <c r="AK237" s="1"/>
  <c r="BJ236"/>
  <c r="BF236"/>
  <c r="BD236"/>
  <c r="AW236"/>
  <c r="AP236"/>
  <c r="AX236" s="1"/>
  <c r="AO236"/>
  <c r="BH236" s="1"/>
  <c r="AD236" s="1"/>
  <c r="AL236"/>
  <c r="AU233" s="1"/>
  <c r="AJ236"/>
  <c r="AS233" s="1"/>
  <c r="AH236"/>
  <c r="AG236"/>
  <c r="AF236"/>
  <c r="AC236"/>
  <c r="AB236"/>
  <c r="Z236"/>
  <c r="H236"/>
  <c r="AK236" s="1"/>
  <c r="BJ234"/>
  <c r="BF234"/>
  <c r="BD234"/>
  <c r="AX234"/>
  <c r="AP234"/>
  <c r="BI234" s="1"/>
  <c r="AE234" s="1"/>
  <c r="AO234"/>
  <c r="AW234" s="1"/>
  <c r="AL234"/>
  <c r="AK234"/>
  <c r="AJ234"/>
  <c r="AH234"/>
  <c r="AG234"/>
  <c r="AF234"/>
  <c r="AC234"/>
  <c r="AB234"/>
  <c r="Z234"/>
  <c r="H234"/>
  <c r="BJ232"/>
  <c r="BF232"/>
  <c r="BD232"/>
  <c r="AW232"/>
  <c r="AV232" s="1"/>
  <c r="AP232"/>
  <c r="AX232" s="1"/>
  <c r="BC232" s="1"/>
  <c r="AO232"/>
  <c r="BH232" s="1"/>
  <c r="AL232"/>
  <c r="AJ232"/>
  <c r="AH232"/>
  <c r="AG232"/>
  <c r="AF232"/>
  <c r="AE232"/>
  <c r="AD232"/>
  <c r="AC232"/>
  <c r="AB232"/>
  <c r="Z232"/>
  <c r="H232"/>
  <c r="AK232" s="1"/>
  <c r="BJ230"/>
  <c r="BF230"/>
  <c r="BD230"/>
  <c r="AX230"/>
  <c r="AP230"/>
  <c r="BI230" s="1"/>
  <c r="AE230" s="1"/>
  <c r="AO230"/>
  <c r="AW230" s="1"/>
  <c r="AL230"/>
  <c r="AJ230"/>
  <c r="AH230"/>
  <c r="AG230"/>
  <c r="AF230"/>
  <c r="AC230"/>
  <c r="AB230"/>
  <c r="Z230"/>
  <c r="H230"/>
  <c r="AK230" s="1"/>
  <c r="BJ228"/>
  <c r="BF228"/>
  <c r="BD228"/>
  <c r="AW228"/>
  <c r="BC228" s="1"/>
  <c r="AP228"/>
  <c r="AX228" s="1"/>
  <c r="AO228"/>
  <c r="BH228" s="1"/>
  <c r="AD228" s="1"/>
  <c r="AL228"/>
  <c r="AJ228"/>
  <c r="AH228"/>
  <c r="AG228"/>
  <c r="AF228"/>
  <c r="AC228"/>
  <c r="AB228"/>
  <c r="Z228"/>
  <c r="H228"/>
  <c r="AK228" s="1"/>
  <c r="BJ227"/>
  <c r="BF227"/>
  <c r="BD227"/>
  <c r="AX227"/>
  <c r="AP227"/>
  <c r="BI227" s="1"/>
  <c r="AE227" s="1"/>
  <c r="AO227"/>
  <c r="AW227" s="1"/>
  <c r="AL227"/>
  <c r="AK227"/>
  <c r="AJ227"/>
  <c r="AH227"/>
  <c r="AG227"/>
  <c r="AF227"/>
  <c r="AC227"/>
  <c r="AB227"/>
  <c r="Z227"/>
  <c r="H227"/>
  <c r="BJ225"/>
  <c r="BF225"/>
  <c r="BD225"/>
  <c r="AW225"/>
  <c r="AP225"/>
  <c r="AX225" s="1"/>
  <c r="BC225" s="1"/>
  <c r="AO225"/>
  <c r="BH225" s="1"/>
  <c r="AD225" s="1"/>
  <c r="AL225"/>
  <c r="AJ225"/>
  <c r="AS219" s="1"/>
  <c r="AH225"/>
  <c r="AG225"/>
  <c r="AF225"/>
  <c r="AC225"/>
  <c r="AB225"/>
  <c r="Z225"/>
  <c r="H225"/>
  <c r="AK225" s="1"/>
  <c r="BJ224"/>
  <c r="BF224"/>
  <c r="BD224"/>
  <c r="AX224"/>
  <c r="AP224"/>
  <c r="BI224" s="1"/>
  <c r="AE224" s="1"/>
  <c r="AO224"/>
  <c r="AW224" s="1"/>
  <c r="AL224"/>
  <c r="AJ224"/>
  <c r="AH224"/>
  <c r="AG224"/>
  <c r="AF224"/>
  <c r="AC224"/>
  <c r="AB224"/>
  <c r="Z224"/>
  <c r="H224"/>
  <c r="H219" s="1"/>
  <c r="BJ220"/>
  <c r="BF220"/>
  <c r="BD220"/>
  <c r="AW220"/>
  <c r="AP220"/>
  <c r="AX220" s="1"/>
  <c r="AO220"/>
  <c r="BH220" s="1"/>
  <c r="AD220" s="1"/>
  <c r="AL220"/>
  <c r="AJ220"/>
  <c r="AH220"/>
  <c r="AG220"/>
  <c r="AF220"/>
  <c r="AC220"/>
  <c r="AB220"/>
  <c r="Z220"/>
  <c r="H220"/>
  <c r="AK220" s="1"/>
  <c r="AU219"/>
  <c r="BJ218"/>
  <c r="Z218" s="1"/>
  <c r="BF218"/>
  <c r="BD218"/>
  <c r="AX218"/>
  <c r="AP218"/>
  <c r="BI218" s="1"/>
  <c r="AO218"/>
  <c r="AW218" s="1"/>
  <c r="AL218"/>
  <c r="AK218"/>
  <c r="AJ218"/>
  <c r="AH218"/>
  <c r="AG218"/>
  <c r="AF218"/>
  <c r="AE218"/>
  <c r="AD218"/>
  <c r="AC218"/>
  <c r="AB218"/>
  <c r="H218"/>
  <c r="BJ217"/>
  <c r="BF217"/>
  <c r="BD217"/>
  <c r="AW217"/>
  <c r="AV217" s="1"/>
  <c r="AP217"/>
  <c r="AX217" s="1"/>
  <c r="BC217" s="1"/>
  <c r="AO217"/>
  <c r="BH217" s="1"/>
  <c r="AD217" s="1"/>
  <c r="AL217"/>
  <c r="AJ217"/>
  <c r="AH217"/>
  <c r="AG217"/>
  <c r="AF217"/>
  <c r="AC217"/>
  <c r="AB217"/>
  <c r="Z217"/>
  <c r="H217"/>
  <c r="AK217" s="1"/>
  <c r="BJ215"/>
  <c r="BF215"/>
  <c r="BD215"/>
  <c r="AX215"/>
  <c r="AP215"/>
  <c r="BI215" s="1"/>
  <c r="AE215" s="1"/>
  <c r="AO215"/>
  <c r="AW215" s="1"/>
  <c r="AL215"/>
  <c r="AJ215"/>
  <c r="AH215"/>
  <c r="AG215"/>
  <c r="AF215"/>
  <c r="AC215"/>
  <c r="AB215"/>
  <c r="Z215"/>
  <c r="H215"/>
  <c r="AK215" s="1"/>
  <c r="BJ213"/>
  <c r="BF213"/>
  <c r="BD213"/>
  <c r="AW213"/>
  <c r="BC213" s="1"/>
  <c r="AP213"/>
  <c r="AX213" s="1"/>
  <c r="AO213"/>
  <c r="BH213" s="1"/>
  <c r="AD213" s="1"/>
  <c r="AL213"/>
  <c r="AJ213"/>
  <c r="AH213"/>
  <c r="AG213"/>
  <c r="AF213"/>
  <c r="AC213"/>
  <c r="AB213"/>
  <c r="Z213"/>
  <c r="H213"/>
  <c r="AK213" s="1"/>
  <c r="BJ209"/>
  <c r="BF209"/>
  <c r="BD209"/>
  <c r="AX209"/>
  <c r="AP209"/>
  <c r="BI209" s="1"/>
  <c r="AE209" s="1"/>
  <c r="AO209"/>
  <c r="AW209" s="1"/>
  <c r="AL209"/>
  <c r="AK209"/>
  <c r="AJ209"/>
  <c r="AH209"/>
  <c r="AG209"/>
  <c r="AF209"/>
  <c r="AC209"/>
  <c r="AB209"/>
  <c r="Z209"/>
  <c r="H209"/>
  <c r="BJ206"/>
  <c r="BF206"/>
  <c r="BD206"/>
  <c r="AW206"/>
  <c r="AP206"/>
  <c r="AX206" s="1"/>
  <c r="BC206" s="1"/>
  <c r="AO206"/>
  <c r="BH206" s="1"/>
  <c r="AD206" s="1"/>
  <c r="AL206"/>
  <c r="AU202" s="1"/>
  <c r="AJ206"/>
  <c r="AS202" s="1"/>
  <c r="AH206"/>
  <c r="AG206"/>
  <c r="AF206"/>
  <c r="AC206"/>
  <c r="AB206"/>
  <c r="Z206"/>
  <c r="H206"/>
  <c r="AK206" s="1"/>
  <c r="BJ203"/>
  <c r="BF203"/>
  <c r="BD203"/>
  <c r="AX203"/>
  <c r="AP203"/>
  <c r="BI203" s="1"/>
  <c r="AE203" s="1"/>
  <c r="AO203"/>
  <c r="AW203" s="1"/>
  <c r="AL203"/>
  <c r="AJ203"/>
  <c r="AH203"/>
  <c r="AG203"/>
  <c r="AF203"/>
  <c r="AC203"/>
  <c r="AB203"/>
  <c r="Z203"/>
  <c r="H203"/>
  <c r="AK203" s="1"/>
  <c r="H202"/>
  <c r="BJ201"/>
  <c r="BF201"/>
  <c r="BD201"/>
  <c r="AW201"/>
  <c r="BC201" s="1"/>
  <c r="AP201"/>
  <c r="AX201" s="1"/>
  <c r="AO201"/>
  <c r="BH201" s="1"/>
  <c r="AL201"/>
  <c r="AJ201"/>
  <c r="AH201"/>
  <c r="AG201"/>
  <c r="AF201"/>
  <c r="AE201"/>
  <c r="AD201"/>
  <c r="AC201"/>
  <c r="AB201"/>
  <c r="Z201"/>
  <c r="H201"/>
  <c r="AK201" s="1"/>
  <c r="BJ197"/>
  <c r="BF197"/>
  <c r="BD197"/>
  <c r="AX197"/>
  <c r="AP197"/>
  <c r="BI197" s="1"/>
  <c r="AE197" s="1"/>
  <c r="AO197"/>
  <c r="AW197" s="1"/>
  <c r="AL197"/>
  <c r="AK197"/>
  <c r="AJ197"/>
  <c r="AH197"/>
  <c r="AG197"/>
  <c r="AF197"/>
  <c r="AC197"/>
  <c r="AB197"/>
  <c r="Z197"/>
  <c r="H197"/>
  <c r="BJ195"/>
  <c r="BF195"/>
  <c r="BD195"/>
  <c r="AW195"/>
  <c r="AP195"/>
  <c r="AX195" s="1"/>
  <c r="BC195" s="1"/>
  <c r="AO195"/>
  <c r="BH195" s="1"/>
  <c r="AD195" s="1"/>
  <c r="AL195"/>
  <c r="AJ195"/>
  <c r="AH195"/>
  <c r="AG195"/>
  <c r="AF195"/>
  <c r="AC195"/>
  <c r="AB195"/>
  <c r="Z195"/>
  <c r="H195"/>
  <c r="AK195" s="1"/>
  <c r="BJ194"/>
  <c r="BF194"/>
  <c r="BD194"/>
  <c r="AX194"/>
  <c r="AP194"/>
  <c r="BI194" s="1"/>
  <c r="AE194" s="1"/>
  <c r="AO194"/>
  <c r="AW194" s="1"/>
  <c r="AL194"/>
  <c r="AJ194"/>
  <c r="AH194"/>
  <c r="AG194"/>
  <c r="AF194"/>
  <c r="AC194"/>
  <c r="AB194"/>
  <c r="Z194"/>
  <c r="H194"/>
  <c r="AK194" s="1"/>
  <c r="BJ193"/>
  <c r="BF193"/>
  <c r="BD193"/>
  <c r="AW193"/>
  <c r="AP193"/>
  <c r="AX193" s="1"/>
  <c r="AO193"/>
  <c r="BH193" s="1"/>
  <c r="AD193" s="1"/>
  <c r="AL193"/>
  <c r="AU189" s="1"/>
  <c r="AJ193"/>
  <c r="AH193"/>
  <c r="AG193"/>
  <c r="AF193"/>
  <c r="AC193"/>
  <c r="AB193"/>
  <c r="Z193"/>
  <c r="H193"/>
  <c r="AK193" s="1"/>
  <c r="BJ191"/>
  <c r="BF191"/>
  <c r="BD191"/>
  <c r="AX191"/>
  <c r="AP191"/>
  <c r="BI191" s="1"/>
  <c r="AE191" s="1"/>
  <c r="AO191"/>
  <c r="AW191" s="1"/>
  <c r="AL191"/>
  <c r="AK191"/>
  <c r="AJ191"/>
  <c r="AH191"/>
  <c r="AG191"/>
  <c r="AF191"/>
  <c r="AC191"/>
  <c r="AB191"/>
  <c r="Z191"/>
  <c r="H191"/>
  <c r="H189" s="1"/>
  <c r="BJ190"/>
  <c r="BF190"/>
  <c r="BD190"/>
  <c r="AW190"/>
  <c r="AV190" s="1"/>
  <c r="AP190"/>
  <c r="AX190" s="1"/>
  <c r="BC190" s="1"/>
  <c r="AO190"/>
  <c r="BH190" s="1"/>
  <c r="AD190" s="1"/>
  <c r="AL190"/>
  <c r="AJ190"/>
  <c r="AH190"/>
  <c r="AG190"/>
  <c r="AF190"/>
  <c r="AC190"/>
  <c r="AB190"/>
  <c r="Z190"/>
  <c r="H190"/>
  <c r="AK190" s="1"/>
  <c r="AS189"/>
  <c r="BJ188"/>
  <c r="Z188" s="1"/>
  <c r="BF188"/>
  <c r="BD188"/>
  <c r="AX188"/>
  <c r="AP188"/>
  <c r="BI188" s="1"/>
  <c r="AO188"/>
  <c r="AW188" s="1"/>
  <c r="AL188"/>
  <c r="AJ188"/>
  <c r="AH188"/>
  <c r="AG188"/>
  <c r="AF188"/>
  <c r="AE188"/>
  <c r="AD188"/>
  <c r="AC188"/>
  <c r="AB188"/>
  <c r="H188"/>
  <c r="AK188" s="1"/>
  <c r="BJ187"/>
  <c r="BF187"/>
  <c r="BD187"/>
  <c r="AW187"/>
  <c r="BC187" s="1"/>
  <c r="AP187"/>
  <c r="AX187" s="1"/>
  <c r="AO187"/>
  <c r="BH187" s="1"/>
  <c r="AD187" s="1"/>
  <c r="AL187"/>
  <c r="AJ187"/>
  <c r="AH187"/>
  <c r="AG187"/>
  <c r="AF187"/>
  <c r="AC187"/>
  <c r="AB187"/>
  <c r="Z187"/>
  <c r="H187"/>
  <c r="AK187" s="1"/>
  <c r="BJ186"/>
  <c r="BF186"/>
  <c r="BD186"/>
  <c r="AX186"/>
  <c r="AP186"/>
  <c r="BI186" s="1"/>
  <c r="AE186" s="1"/>
  <c r="AO186"/>
  <c r="AW186" s="1"/>
  <c r="AL186"/>
  <c r="AK186"/>
  <c r="AJ186"/>
  <c r="AH186"/>
  <c r="AG186"/>
  <c r="AF186"/>
  <c r="AC186"/>
  <c r="AB186"/>
  <c r="Z186"/>
  <c r="H186"/>
  <c r="BJ185"/>
  <c r="BF185"/>
  <c r="BD185"/>
  <c r="AW185"/>
  <c r="AP185"/>
  <c r="AX185" s="1"/>
  <c r="BC185" s="1"/>
  <c r="AO185"/>
  <c r="BH185" s="1"/>
  <c r="AD185" s="1"/>
  <c r="AL185"/>
  <c r="AJ185"/>
  <c r="AH185"/>
  <c r="AG185"/>
  <c r="AF185"/>
  <c r="AC185"/>
  <c r="AB185"/>
  <c r="Z185"/>
  <c r="H185"/>
  <c r="AK185" s="1"/>
  <c r="BJ184"/>
  <c r="BF184"/>
  <c r="BD184"/>
  <c r="AX184"/>
  <c r="AP184"/>
  <c r="BI184" s="1"/>
  <c r="AE184" s="1"/>
  <c r="AO184"/>
  <c r="AW184" s="1"/>
  <c r="AL184"/>
  <c r="AJ184"/>
  <c r="AH184"/>
  <c r="AG184"/>
  <c r="AF184"/>
  <c r="AC184"/>
  <c r="AB184"/>
  <c r="Z184"/>
  <c r="H184"/>
  <c r="AK184" s="1"/>
  <c r="BJ183"/>
  <c r="BF183"/>
  <c r="BD183"/>
  <c r="AW183"/>
  <c r="AP183"/>
  <c r="AX183" s="1"/>
  <c r="AO183"/>
  <c r="BH183" s="1"/>
  <c r="AD183" s="1"/>
  <c r="AL183"/>
  <c r="AJ183"/>
  <c r="AH183"/>
  <c r="AG183"/>
  <c r="AF183"/>
  <c r="AC183"/>
  <c r="AB183"/>
  <c r="Z183"/>
  <c r="H183"/>
  <c r="AK183" s="1"/>
  <c r="BJ182"/>
  <c r="BF182"/>
  <c r="BD182"/>
  <c r="AX182"/>
  <c r="AP182"/>
  <c r="BI182" s="1"/>
  <c r="AE182" s="1"/>
  <c r="AO182"/>
  <c r="AW182" s="1"/>
  <c r="AL182"/>
  <c r="AK182"/>
  <c r="AJ182"/>
  <c r="AH182"/>
  <c r="AG182"/>
  <c r="AF182"/>
  <c r="AC182"/>
  <c r="AB182"/>
  <c r="Z182"/>
  <c r="H182"/>
  <c r="BJ181"/>
  <c r="BF181"/>
  <c r="BD181"/>
  <c r="AW181"/>
  <c r="AV181" s="1"/>
  <c r="AP181"/>
  <c r="AX181" s="1"/>
  <c r="BC181" s="1"/>
  <c r="AO181"/>
  <c r="BH181" s="1"/>
  <c r="AD181" s="1"/>
  <c r="AL181"/>
  <c r="AJ181"/>
  <c r="AH181"/>
  <c r="AG181"/>
  <c r="AF181"/>
  <c r="AC181"/>
  <c r="AB181"/>
  <c r="Z181"/>
  <c r="H181"/>
  <c r="AK181" s="1"/>
  <c r="BJ180"/>
  <c r="BF180"/>
  <c r="BD180"/>
  <c r="AX180"/>
  <c r="AP180"/>
  <c r="BI180" s="1"/>
  <c r="AE180" s="1"/>
  <c r="AO180"/>
  <c r="AW180" s="1"/>
  <c r="AL180"/>
  <c r="AJ180"/>
  <c r="AH180"/>
  <c r="AG180"/>
  <c r="AF180"/>
  <c r="AC180"/>
  <c r="AB180"/>
  <c r="Z180"/>
  <c r="H180"/>
  <c r="AK180" s="1"/>
  <c r="BJ178"/>
  <c r="BF178"/>
  <c r="BD178"/>
  <c r="AW178"/>
  <c r="BC178" s="1"/>
  <c r="AP178"/>
  <c r="AX178" s="1"/>
  <c r="AO178"/>
  <c r="BH178" s="1"/>
  <c r="AD178" s="1"/>
  <c r="AL178"/>
  <c r="AJ178"/>
  <c r="AH178"/>
  <c r="AG178"/>
  <c r="AF178"/>
  <c r="AC178"/>
  <c r="AB178"/>
  <c r="Z178"/>
  <c r="H178"/>
  <c r="AK178" s="1"/>
  <c r="BJ177"/>
  <c r="BF177"/>
  <c r="BD177"/>
  <c r="AX177"/>
  <c r="AP177"/>
  <c r="BI177" s="1"/>
  <c r="AE177" s="1"/>
  <c r="AO177"/>
  <c r="AW177" s="1"/>
  <c r="AL177"/>
  <c r="AK177"/>
  <c r="AJ177"/>
  <c r="AH177"/>
  <c r="AG177"/>
  <c r="AF177"/>
  <c r="AC177"/>
  <c r="AB177"/>
  <c r="Z177"/>
  <c r="H177"/>
  <c r="BJ176"/>
  <c r="BF176"/>
  <c r="BD176"/>
  <c r="AW176"/>
  <c r="AP176"/>
  <c r="AX176" s="1"/>
  <c r="BC176" s="1"/>
  <c r="AO176"/>
  <c r="BH176" s="1"/>
  <c r="AD176" s="1"/>
  <c r="AL176"/>
  <c r="AJ176"/>
  <c r="AS173" s="1"/>
  <c r="AH176"/>
  <c r="AG176"/>
  <c r="AF176"/>
  <c r="AC176"/>
  <c r="AB176"/>
  <c r="Z176"/>
  <c r="H176"/>
  <c r="AK176" s="1"/>
  <c r="BJ175"/>
  <c r="BF175"/>
  <c r="BD175"/>
  <c r="AX175"/>
  <c r="AP175"/>
  <c r="BI175" s="1"/>
  <c r="AE175" s="1"/>
  <c r="AO175"/>
  <c r="AW175" s="1"/>
  <c r="AL175"/>
  <c r="AJ175"/>
  <c r="AH175"/>
  <c r="AG175"/>
  <c r="AF175"/>
  <c r="AC175"/>
  <c r="AB175"/>
  <c r="Z175"/>
  <c r="H175"/>
  <c r="H173" s="1"/>
  <c r="BJ174"/>
  <c r="BF174"/>
  <c r="BD174"/>
  <c r="AW174"/>
  <c r="AP174"/>
  <c r="AX174" s="1"/>
  <c r="AO174"/>
  <c r="BH174" s="1"/>
  <c r="AD174" s="1"/>
  <c r="AL174"/>
  <c r="AJ174"/>
  <c r="AH174"/>
  <c r="AG174"/>
  <c r="AF174"/>
  <c r="AC174"/>
  <c r="AB174"/>
  <c r="Z174"/>
  <c r="H174"/>
  <c r="AK174" s="1"/>
  <c r="AU173"/>
  <c r="BJ172"/>
  <c r="BF172"/>
  <c r="BD172"/>
  <c r="AX172"/>
  <c r="AP172"/>
  <c r="BI172" s="1"/>
  <c r="AE172" s="1"/>
  <c r="AO172"/>
  <c r="AW172" s="1"/>
  <c r="AL172"/>
  <c r="AK172"/>
  <c r="AJ172"/>
  <c r="AH172"/>
  <c r="AG172"/>
  <c r="AF172"/>
  <c r="AC172"/>
  <c r="AB172"/>
  <c r="Z172"/>
  <c r="H172"/>
  <c r="AU171"/>
  <c r="AT171"/>
  <c r="AS171"/>
  <c r="H171"/>
  <c r="BJ170"/>
  <c r="BF170"/>
  <c r="BD170"/>
  <c r="AW170"/>
  <c r="AP170"/>
  <c r="AX170" s="1"/>
  <c r="BC170" s="1"/>
  <c r="AO170"/>
  <c r="BH170" s="1"/>
  <c r="AD170" s="1"/>
  <c r="AL170"/>
  <c r="AJ170"/>
  <c r="AS167" s="1"/>
  <c r="AH170"/>
  <c r="AG170"/>
  <c r="AF170"/>
  <c r="AC170"/>
  <c r="AB170"/>
  <c r="Z170"/>
  <c r="H170"/>
  <c r="AK170" s="1"/>
  <c r="BJ169"/>
  <c r="BF169"/>
  <c r="BD169"/>
  <c r="AX169"/>
  <c r="AP169"/>
  <c r="BI169" s="1"/>
  <c r="AE169" s="1"/>
  <c r="AO169"/>
  <c r="AW169" s="1"/>
  <c r="AL169"/>
  <c r="AJ169"/>
  <c r="AH169"/>
  <c r="AG169"/>
  <c r="AF169"/>
  <c r="AC169"/>
  <c r="AB169"/>
  <c r="Z169"/>
  <c r="H169"/>
  <c r="H167" s="1"/>
  <c r="BJ168"/>
  <c r="BF168"/>
  <c r="BD168"/>
  <c r="AW168"/>
  <c r="AP168"/>
  <c r="AX168" s="1"/>
  <c r="AO168"/>
  <c r="BH168" s="1"/>
  <c r="AD168" s="1"/>
  <c r="AL168"/>
  <c r="AJ168"/>
  <c r="AH168"/>
  <c r="AG168"/>
  <c r="AF168"/>
  <c r="AC168"/>
  <c r="AB168"/>
  <c r="Z168"/>
  <c r="H168"/>
  <c r="AK168" s="1"/>
  <c r="AU167"/>
  <c r="BJ166"/>
  <c r="BF166"/>
  <c r="BD166"/>
  <c r="AX166"/>
  <c r="AP166"/>
  <c r="BI166" s="1"/>
  <c r="AE166" s="1"/>
  <c r="AO166"/>
  <c r="AW166" s="1"/>
  <c r="AL166"/>
  <c r="AK166"/>
  <c r="AJ166"/>
  <c r="AH166"/>
  <c r="AG166"/>
  <c r="AF166"/>
  <c r="AC166"/>
  <c r="AB166"/>
  <c r="Z166"/>
  <c r="H166"/>
  <c r="BJ165"/>
  <c r="BF165"/>
  <c r="BD165"/>
  <c r="AW165"/>
  <c r="AP165"/>
  <c r="AX165" s="1"/>
  <c r="BC165" s="1"/>
  <c r="AO165"/>
  <c r="BH165" s="1"/>
  <c r="AD165" s="1"/>
  <c r="AL165"/>
  <c r="AJ165"/>
  <c r="AH165"/>
  <c r="AG165"/>
  <c r="AF165"/>
  <c r="AC165"/>
  <c r="AB165"/>
  <c r="Z165"/>
  <c r="H165"/>
  <c r="AK165" s="1"/>
  <c r="BJ164"/>
  <c r="BF164"/>
  <c r="BD164"/>
  <c r="AX164"/>
  <c r="AP164"/>
  <c r="BI164" s="1"/>
  <c r="AE164" s="1"/>
  <c r="AO164"/>
  <c r="AW164" s="1"/>
  <c r="AL164"/>
  <c r="AJ164"/>
  <c r="AH164"/>
  <c r="AG164"/>
  <c r="AF164"/>
  <c r="AC164"/>
  <c r="AB164"/>
  <c r="Z164"/>
  <c r="H164"/>
  <c r="AK164" s="1"/>
  <c r="BJ163"/>
  <c r="BF163"/>
  <c r="BD163"/>
  <c r="AW163"/>
  <c r="AP163"/>
  <c r="AX163" s="1"/>
  <c r="AO163"/>
  <c r="BH163" s="1"/>
  <c r="AD163" s="1"/>
  <c r="AL163"/>
  <c r="AJ163"/>
  <c r="AH163"/>
  <c r="AG163"/>
  <c r="AF163"/>
  <c r="AC163"/>
  <c r="AB163"/>
  <c r="Z163"/>
  <c r="H163"/>
  <c r="AK163" s="1"/>
  <c r="BJ162"/>
  <c r="BF162"/>
  <c r="BD162"/>
  <c r="AX162"/>
  <c r="AP162"/>
  <c r="BI162" s="1"/>
  <c r="AE162" s="1"/>
  <c r="AO162"/>
  <c r="AW162" s="1"/>
  <c r="AL162"/>
  <c r="AK162"/>
  <c r="AJ162"/>
  <c r="AH162"/>
  <c r="AG162"/>
  <c r="AF162"/>
  <c r="AC162"/>
  <c r="AB162"/>
  <c r="Z162"/>
  <c r="H162"/>
  <c r="BJ161"/>
  <c r="BF161"/>
  <c r="BD161"/>
  <c r="AW161"/>
  <c r="AV161" s="1"/>
  <c r="AP161"/>
  <c r="AX161" s="1"/>
  <c r="BC161" s="1"/>
  <c r="AO161"/>
  <c r="BH161" s="1"/>
  <c r="AD161" s="1"/>
  <c r="AL161"/>
  <c r="AJ161"/>
  <c r="AH161"/>
  <c r="AG161"/>
  <c r="AF161"/>
  <c r="AC161"/>
  <c r="AB161"/>
  <c r="Z161"/>
  <c r="H161"/>
  <c r="AK161" s="1"/>
  <c r="BJ160"/>
  <c r="BF160"/>
  <c r="BD160"/>
  <c r="AX160"/>
  <c r="AP160"/>
  <c r="BI160" s="1"/>
  <c r="AE160" s="1"/>
  <c r="AO160"/>
  <c r="AW160" s="1"/>
  <c r="AL160"/>
  <c r="AJ160"/>
  <c r="AH160"/>
  <c r="AG160"/>
  <c r="AF160"/>
  <c r="AC160"/>
  <c r="AB160"/>
  <c r="Z160"/>
  <c r="H160"/>
  <c r="AK160" s="1"/>
  <c r="BJ159"/>
  <c r="BF159"/>
  <c r="BD159"/>
  <c r="AW159"/>
  <c r="BC159" s="1"/>
  <c r="AP159"/>
  <c r="AX159" s="1"/>
  <c r="AO159"/>
  <c r="BH159" s="1"/>
  <c r="AD159" s="1"/>
  <c r="AL159"/>
  <c r="AJ159"/>
  <c r="AH159"/>
  <c r="AG159"/>
  <c r="AF159"/>
  <c r="AC159"/>
  <c r="AB159"/>
  <c r="Z159"/>
  <c r="H159"/>
  <c r="AK159" s="1"/>
  <c r="BJ158"/>
  <c r="BF158"/>
  <c r="BD158"/>
  <c r="AX158"/>
  <c r="AP158"/>
  <c r="BI158" s="1"/>
  <c r="AE158" s="1"/>
  <c r="AO158"/>
  <c r="AW158" s="1"/>
  <c r="AL158"/>
  <c r="AK158"/>
  <c r="AJ158"/>
  <c r="AH158"/>
  <c r="AG158"/>
  <c r="AF158"/>
  <c r="AC158"/>
  <c r="AB158"/>
  <c r="Z158"/>
  <c r="H158"/>
  <c r="BJ157"/>
  <c r="BF157"/>
  <c r="BD157"/>
  <c r="AW157"/>
  <c r="AP157"/>
  <c r="AX157" s="1"/>
  <c r="BC157" s="1"/>
  <c r="AO157"/>
  <c r="BH157" s="1"/>
  <c r="AD157" s="1"/>
  <c r="AL157"/>
  <c r="AJ157"/>
  <c r="AH157"/>
  <c r="AG157"/>
  <c r="AF157"/>
  <c r="AC157"/>
  <c r="AB157"/>
  <c r="Z157"/>
  <c r="H157"/>
  <c r="AK157" s="1"/>
  <c r="BJ156"/>
  <c r="BF156"/>
  <c r="BD156"/>
  <c r="AX156"/>
  <c r="AP156"/>
  <c r="BI156" s="1"/>
  <c r="AE156" s="1"/>
  <c r="AO156"/>
  <c r="AW156" s="1"/>
  <c r="AL156"/>
  <c r="AJ156"/>
  <c r="AH156"/>
  <c r="AG156"/>
  <c r="AF156"/>
  <c r="AC156"/>
  <c r="AB156"/>
  <c r="Z156"/>
  <c r="H156"/>
  <c r="AK156" s="1"/>
  <c r="BJ154"/>
  <c r="BF154"/>
  <c r="BD154"/>
  <c r="AW154"/>
  <c r="AP154"/>
  <c r="AX154" s="1"/>
  <c r="AO154"/>
  <c r="BH154" s="1"/>
  <c r="AD154" s="1"/>
  <c r="AL154"/>
  <c r="AJ154"/>
  <c r="AH154"/>
  <c r="AG154"/>
  <c r="AF154"/>
  <c r="AC154"/>
  <c r="AB154"/>
  <c r="Z154"/>
  <c r="H154"/>
  <c r="AK154" s="1"/>
  <c r="BJ153"/>
  <c r="BF153"/>
  <c r="BD153"/>
  <c r="AX153"/>
  <c r="AP153"/>
  <c r="BI153" s="1"/>
  <c r="AE153" s="1"/>
  <c r="AO153"/>
  <c r="AW153" s="1"/>
  <c r="AL153"/>
  <c r="AK153"/>
  <c r="AJ153"/>
  <c r="AH153"/>
  <c r="AG153"/>
  <c r="AF153"/>
  <c r="AC153"/>
  <c r="AB153"/>
  <c r="Z153"/>
  <c r="H153"/>
  <c r="BJ152"/>
  <c r="BF152"/>
  <c r="BD152"/>
  <c r="AW152"/>
  <c r="AV152" s="1"/>
  <c r="AP152"/>
  <c r="AX152" s="1"/>
  <c r="BC152" s="1"/>
  <c r="AO152"/>
  <c r="BH152" s="1"/>
  <c r="AD152" s="1"/>
  <c r="AL152"/>
  <c r="AJ152"/>
  <c r="AH152"/>
  <c r="AG152"/>
  <c r="AF152"/>
  <c r="AC152"/>
  <c r="AB152"/>
  <c r="Z152"/>
  <c r="H152"/>
  <c r="AK152" s="1"/>
  <c r="BJ151"/>
  <c r="BF151"/>
  <c r="BD151"/>
  <c r="AX151"/>
  <c r="AP151"/>
  <c r="BI151" s="1"/>
  <c r="AE151" s="1"/>
  <c r="AO151"/>
  <c r="AW151" s="1"/>
  <c r="AL151"/>
  <c r="AJ151"/>
  <c r="AH151"/>
  <c r="AG151"/>
  <c r="AF151"/>
  <c r="AC151"/>
  <c r="AB151"/>
  <c r="Z151"/>
  <c r="H151"/>
  <c r="AK151" s="1"/>
  <c r="BJ150"/>
  <c r="BF150"/>
  <c r="BD150"/>
  <c r="AW150"/>
  <c r="BC150" s="1"/>
  <c r="AP150"/>
  <c r="AX150" s="1"/>
  <c r="AO150"/>
  <c r="BH150" s="1"/>
  <c r="AD150" s="1"/>
  <c r="AL150"/>
  <c r="AU147" s="1"/>
  <c r="AJ150"/>
  <c r="AH150"/>
  <c r="AG150"/>
  <c r="AF150"/>
  <c r="AC150"/>
  <c r="AB150"/>
  <c r="Z150"/>
  <c r="H150"/>
  <c r="AK150" s="1"/>
  <c r="BJ149"/>
  <c r="BF149"/>
  <c r="BD149"/>
  <c r="AX149"/>
  <c r="AP149"/>
  <c r="BI149" s="1"/>
  <c r="AE149" s="1"/>
  <c r="AO149"/>
  <c r="AW149" s="1"/>
  <c r="AL149"/>
  <c r="AK149"/>
  <c r="AJ149"/>
  <c r="AH149"/>
  <c r="AG149"/>
  <c r="AF149"/>
  <c r="AC149"/>
  <c r="AB149"/>
  <c r="Z149"/>
  <c r="H149"/>
  <c r="H147" s="1"/>
  <c r="BJ148"/>
  <c r="BF148"/>
  <c r="BD148"/>
  <c r="AW148"/>
  <c r="AP148"/>
  <c r="AX148" s="1"/>
  <c r="BC148" s="1"/>
  <c r="AO148"/>
  <c r="BH148" s="1"/>
  <c r="AD148" s="1"/>
  <c r="AL148"/>
  <c r="AJ148"/>
  <c r="AH148"/>
  <c r="AG148"/>
  <c r="AF148"/>
  <c r="AC148"/>
  <c r="AB148"/>
  <c r="Z148"/>
  <c r="H148"/>
  <c r="AK148" s="1"/>
  <c r="AS147"/>
  <c r="BJ146"/>
  <c r="Z146" s="1"/>
  <c r="BF146"/>
  <c r="BD146"/>
  <c r="AX146"/>
  <c r="AP146"/>
  <c r="BI146" s="1"/>
  <c r="AO146"/>
  <c r="AW146" s="1"/>
  <c r="AL146"/>
  <c r="AJ146"/>
  <c r="AH146"/>
  <c r="AG146"/>
  <c r="AF146"/>
  <c r="AE146"/>
  <c r="AD146"/>
  <c r="AC146"/>
  <c r="AB146"/>
  <c r="H146"/>
  <c r="AK146" s="1"/>
  <c r="BJ145"/>
  <c r="BF145"/>
  <c r="BD145"/>
  <c r="AW145"/>
  <c r="AP145"/>
  <c r="AX145" s="1"/>
  <c r="AO145"/>
  <c r="BH145" s="1"/>
  <c r="AD145" s="1"/>
  <c r="AL145"/>
  <c r="AJ145"/>
  <c r="AH145"/>
  <c r="AG145"/>
  <c r="AF145"/>
  <c r="AC145"/>
  <c r="AB145"/>
  <c r="Z145"/>
  <c r="H145"/>
  <c r="AK145" s="1"/>
  <c r="BJ144"/>
  <c r="BF144"/>
  <c r="BD144"/>
  <c r="AX144"/>
  <c r="AP144"/>
  <c r="BI144" s="1"/>
  <c r="AE144" s="1"/>
  <c r="AO144"/>
  <c r="AW144" s="1"/>
  <c r="AL144"/>
  <c r="AK144"/>
  <c r="AJ144"/>
  <c r="AH144"/>
  <c r="AG144"/>
  <c r="AF144"/>
  <c r="AC144"/>
  <c r="AB144"/>
  <c r="Z144"/>
  <c r="H144"/>
  <c r="BJ143"/>
  <c r="BF143"/>
  <c r="BD143"/>
  <c r="AW143"/>
  <c r="AV143" s="1"/>
  <c r="AP143"/>
  <c r="AX143" s="1"/>
  <c r="BC143" s="1"/>
  <c r="AO143"/>
  <c r="BH143" s="1"/>
  <c r="AD143" s="1"/>
  <c r="AL143"/>
  <c r="AJ143"/>
  <c r="AH143"/>
  <c r="AG143"/>
  <c r="AF143"/>
  <c r="AC143"/>
  <c r="AB143"/>
  <c r="Z143"/>
  <c r="H143"/>
  <c r="AK143" s="1"/>
  <c r="BJ141"/>
  <c r="BF141"/>
  <c r="BD141"/>
  <c r="AX141"/>
  <c r="AP141"/>
  <c r="BI141" s="1"/>
  <c r="AE141" s="1"/>
  <c r="AO141"/>
  <c r="AW141" s="1"/>
  <c r="AL141"/>
  <c r="AJ141"/>
  <c r="AH141"/>
  <c r="AG141"/>
  <c r="AF141"/>
  <c r="AC141"/>
  <c r="AB141"/>
  <c r="Z141"/>
  <c r="H141"/>
  <c r="AK141" s="1"/>
  <c r="BJ140"/>
  <c r="BF140"/>
  <c r="BD140"/>
  <c r="AW140"/>
  <c r="BC140" s="1"/>
  <c r="AP140"/>
  <c r="AX140" s="1"/>
  <c r="AO140"/>
  <c r="BH140" s="1"/>
  <c r="AD140" s="1"/>
  <c r="AL140"/>
  <c r="AJ140"/>
  <c r="AH140"/>
  <c r="AG140"/>
  <c r="AF140"/>
  <c r="AC140"/>
  <c r="AB140"/>
  <c r="Z140"/>
  <c r="H140"/>
  <c r="AK140" s="1"/>
  <c r="BJ139"/>
  <c r="BF139"/>
  <c r="BD139"/>
  <c r="AX139"/>
  <c r="AP139"/>
  <c r="BI139" s="1"/>
  <c r="AE139" s="1"/>
  <c r="AO139"/>
  <c r="AW139" s="1"/>
  <c r="AL139"/>
  <c r="AK139"/>
  <c r="AJ139"/>
  <c r="AH139"/>
  <c r="AG139"/>
  <c r="AF139"/>
  <c r="AC139"/>
  <c r="AB139"/>
  <c r="Z139"/>
  <c r="H139"/>
  <c r="BJ138"/>
  <c r="BF138"/>
  <c r="BD138"/>
  <c r="AW138"/>
  <c r="AP138"/>
  <c r="AX138" s="1"/>
  <c r="BC138" s="1"/>
  <c r="AO138"/>
  <c r="BH138" s="1"/>
  <c r="AD138" s="1"/>
  <c r="AL138"/>
  <c r="AJ138"/>
  <c r="AH138"/>
  <c r="AG138"/>
  <c r="AF138"/>
  <c r="AC138"/>
  <c r="AB138"/>
  <c r="Z138"/>
  <c r="H138"/>
  <c r="AK138" s="1"/>
  <c r="BJ137"/>
  <c r="BF137"/>
  <c r="BD137"/>
  <c r="AX137"/>
  <c r="AP137"/>
  <c r="BI137" s="1"/>
  <c r="AE137" s="1"/>
  <c r="AO137"/>
  <c r="AW137" s="1"/>
  <c r="AL137"/>
  <c r="AJ137"/>
  <c r="AH137"/>
  <c r="AG137"/>
  <c r="AF137"/>
  <c r="AC137"/>
  <c r="AB137"/>
  <c r="Z137"/>
  <c r="H137"/>
  <c r="AK137" s="1"/>
  <c r="BJ136"/>
  <c r="BF136"/>
  <c r="BD136"/>
  <c r="AW136"/>
  <c r="AP136"/>
  <c r="AX136" s="1"/>
  <c r="AO136"/>
  <c r="BH136" s="1"/>
  <c r="AD136" s="1"/>
  <c r="AL136"/>
  <c r="AU134" s="1"/>
  <c r="AJ136"/>
  <c r="AS134" s="1"/>
  <c r="AH136"/>
  <c r="AG136"/>
  <c r="AF136"/>
  <c r="AC136"/>
  <c r="AB136"/>
  <c r="Z136"/>
  <c r="H136"/>
  <c r="AK136" s="1"/>
  <c r="AT134" s="1"/>
  <c r="BJ135"/>
  <c r="BF135"/>
  <c r="BD135"/>
  <c r="AX135"/>
  <c r="AP135"/>
  <c r="BI135" s="1"/>
  <c r="AE135" s="1"/>
  <c r="AO135"/>
  <c r="AW135" s="1"/>
  <c r="AL135"/>
  <c r="AK135"/>
  <c r="AJ135"/>
  <c r="AH135"/>
  <c r="AG135"/>
  <c r="AF135"/>
  <c r="AC135"/>
  <c r="AB135"/>
  <c r="Z135"/>
  <c r="H135"/>
  <c r="BJ133"/>
  <c r="BF133"/>
  <c r="BD133"/>
  <c r="AW133"/>
  <c r="AV133" s="1"/>
  <c r="AP133"/>
  <c r="AX133" s="1"/>
  <c r="BC133" s="1"/>
  <c r="AO133"/>
  <c r="BH133" s="1"/>
  <c r="AL133"/>
  <c r="AJ133"/>
  <c r="AH133"/>
  <c r="AG133"/>
  <c r="AF133"/>
  <c r="AE133"/>
  <c r="AD133"/>
  <c r="AC133"/>
  <c r="AB133"/>
  <c r="Z133"/>
  <c r="H133"/>
  <c r="AK133" s="1"/>
  <c r="BJ132"/>
  <c r="BF132"/>
  <c r="BD132"/>
  <c r="AX132"/>
  <c r="AP132"/>
  <c r="BI132" s="1"/>
  <c r="AE132" s="1"/>
  <c r="AO132"/>
  <c r="AW132" s="1"/>
  <c r="AL132"/>
  <c r="AJ132"/>
  <c r="AH132"/>
  <c r="AG132"/>
  <c r="AF132"/>
  <c r="AC132"/>
  <c r="AB132"/>
  <c r="Z132"/>
  <c r="H132"/>
  <c r="AK132" s="1"/>
  <c r="BJ131"/>
  <c r="BF131"/>
  <c r="BD131"/>
  <c r="AW131"/>
  <c r="BC131" s="1"/>
  <c r="AP131"/>
  <c r="AX131" s="1"/>
  <c r="AO131"/>
  <c r="BH131" s="1"/>
  <c r="AD131" s="1"/>
  <c r="AL131"/>
  <c r="AJ131"/>
  <c r="AH131"/>
  <c r="AG131"/>
  <c r="AF131"/>
  <c r="AC131"/>
  <c r="AB131"/>
  <c r="Z131"/>
  <c r="H131"/>
  <c r="AK131" s="1"/>
  <c r="BJ130"/>
  <c r="BF130"/>
  <c r="BD130"/>
  <c r="AX130"/>
  <c r="AV130"/>
  <c r="AP130"/>
  <c r="BI130" s="1"/>
  <c r="AG130" s="1"/>
  <c r="AO130"/>
  <c r="AW130" s="1"/>
  <c r="BC130" s="1"/>
  <c r="AL130"/>
  <c r="AK130"/>
  <c r="AJ130"/>
  <c r="AH130"/>
  <c r="AE130"/>
  <c r="AD130"/>
  <c r="AC130"/>
  <c r="AB130"/>
  <c r="Z130"/>
  <c r="H130"/>
  <c r="BJ129"/>
  <c r="BF129"/>
  <c r="BD129"/>
  <c r="AW129"/>
  <c r="AP129"/>
  <c r="AX129" s="1"/>
  <c r="BC129" s="1"/>
  <c r="AO129"/>
  <c r="BH129" s="1"/>
  <c r="AD129" s="1"/>
  <c r="AL129"/>
  <c r="AJ129"/>
  <c r="AH129"/>
  <c r="AG129"/>
  <c r="AF129"/>
  <c r="AC129"/>
  <c r="AB129"/>
  <c r="Z129"/>
  <c r="H129"/>
  <c r="AK129" s="1"/>
  <c r="BJ128"/>
  <c r="BF128"/>
  <c r="BD128"/>
  <c r="AX128"/>
  <c r="AP128"/>
  <c r="BI128" s="1"/>
  <c r="AE128" s="1"/>
  <c r="AO128"/>
  <c r="AW128" s="1"/>
  <c r="AL128"/>
  <c r="AJ128"/>
  <c r="AH128"/>
  <c r="AG128"/>
  <c r="AF128"/>
  <c r="AC128"/>
  <c r="AB128"/>
  <c r="Z128"/>
  <c r="H128"/>
  <c r="AK128" s="1"/>
  <c r="BJ127"/>
  <c r="BF127"/>
  <c r="BD127"/>
  <c r="AW127"/>
  <c r="AP127"/>
  <c r="AX127" s="1"/>
  <c r="AO127"/>
  <c r="BH127" s="1"/>
  <c r="AD127" s="1"/>
  <c r="AL127"/>
  <c r="AJ127"/>
  <c r="AH127"/>
  <c r="AG127"/>
  <c r="AF127"/>
  <c r="AC127"/>
  <c r="AB127"/>
  <c r="Z127"/>
  <c r="H127"/>
  <c r="AK127" s="1"/>
  <c r="BJ126"/>
  <c r="BF126"/>
  <c r="BD126"/>
  <c r="AX126"/>
  <c r="AV126"/>
  <c r="AP126"/>
  <c r="BI126" s="1"/>
  <c r="AE126" s="1"/>
  <c r="AO126"/>
  <c r="AW126" s="1"/>
  <c r="BC126" s="1"/>
  <c r="AL126"/>
  <c r="AK126"/>
  <c r="AJ126"/>
  <c r="AH126"/>
  <c r="AG126"/>
  <c r="AF126"/>
  <c r="AC126"/>
  <c r="AB126"/>
  <c r="Z126"/>
  <c r="H126"/>
  <c r="BJ125"/>
  <c r="BI125"/>
  <c r="BF125"/>
  <c r="BD125"/>
  <c r="AW125"/>
  <c r="AV125" s="1"/>
  <c r="AP125"/>
  <c r="AX125" s="1"/>
  <c r="BC125" s="1"/>
  <c r="AO125"/>
  <c r="BH125" s="1"/>
  <c r="AD125" s="1"/>
  <c r="AL125"/>
  <c r="AU123" s="1"/>
  <c r="AJ125"/>
  <c r="AS123" s="1"/>
  <c r="AH125"/>
  <c r="AG125"/>
  <c r="AF125"/>
  <c r="AE125"/>
  <c r="AC125"/>
  <c r="AB125"/>
  <c r="Z125"/>
  <c r="H125"/>
  <c r="AK125" s="1"/>
  <c r="BJ124"/>
  <c r="BH124"/>
  <c r="AD124" s="1"/>
  <c r="BF124"/>
  <c r="BD124"/>
  <c r="AX124"/>
  <c r="AP124"/>
  <c r="BI124" s="1"/>
  <c r="AE124" s="1"/>
  <c r="AO124"/>
  <c r="AW124" s="1"/>
  <c r="AL124"/>
  <c r="AJ124"/>
  <c r="AH124"/>
  <c r="AG124"/>
  <c r="AF124"/>
  <c r="AC124"/>
  <c r="AB124"/>
  <c r="Z124"/>
  <c r="H124"/>
  <c r="AK124" s="1"/>
  <c r="H123"/>
  <c r="BJ122"/>
  <c r="BF122"/>
  <c r="BD122"/>
  <c r="AW122"/>
  <c r="AP122"/>
  <c r="AX122" s="1"/>
  <c r="AO122"/>
  <c r="BH122" s="1"/>
  <c r="AL122"/>
  <c r="AJ122"/>
  <c r="AH122"/>
  <c r="AG122"/>
  <c r="AF122"/>
  <c r="AE122"/>
  <c r="AD122"/>
  <c r="AC122"/>
  <c r="AB122"/>
  <c r="Z122"/>
  <c r="H122"/>
  <c r="AK122" s="1"/>
  <c r="BJ118"/>
  <c r="BF118"/>
  <c r="BD118"/>
  <c r="AX118"/>
  <c r="AP118"/>
  <c r="BI118" s="1"/>
  <c r="AE118" s="1"/>
  <c r="AO118"/>
  <c r="AW118" s="1"/>
  <c r="BC118" s="1"/>
  <c r="AL118"/>
  <c r="AK118"/>
  <c r="AJ118"/>
  <c r="AH118"/>
  <c r="AG118"/>
  <c r="AF118"/>
  <c r="AC118"/>
  <c r="AB118"/>
  <c r="Z118"/>
  <c r="H118"/>
  <c r="BJ113"/>
  <c r="BI113"/>
  <c r="BF113"/>
  <c r="BD113"/>
  <c r="BC113"/>
  <c r="AW113"/>
  <c r="AV113" s="1"/>
  <c r="AP113"/>
  <c r="AX113" s="1"/>
  <c r="AO113"/>
  <c r="BH113" s="1"/>
  <c r="AD113" s="1"/>
  <c r="AL113"/>
  <c r="AU111" s="1"/>
  <c r="AJ113"/>
  <c r="AS111" s="1"/>
  <c r="AH113"/>
  <c r="AG113"/>
  <c r="AF113"/>
  <c r="AE113"/>
  <c r="AC113"/>
  <c r="AB113"/>
  <c r="Z113"/>
  <c r="H113"/>
  <c r="AK113" s="1"/>
  <c r="BJ112"/>
  <c r="BH112"/>
  <c r="AD112" s="1"/>
  <c r="BF112"/>
  <c r="BD112"/>
  <c r="AX112"/>
  <c r="AP112"/>
  <c r="BI112" s="1"/>
  <c r="AE112" s="1"/>
  <c r="AO112"/>
  <c r="AW112" s="1"/>
  <c r="AL112"/>
  <c r="AJ112"/>
  <c r="AH112"/>
  <c r="AG112"/>
  <c r="AF112"/>
  <c r="AC112"/>
  <c r="AB112"/>
  <c r="Z112"/>
  <c r="H112"/>
  <c r="AK112" s="1"/>
  <c r="H111"/>
  <c r="BJ110"/>
  <c r="BF110"/>
  <c r="BD110"/>
  <c r="AW110"/>
  <c r="AP110"/>
  <c r="AX110" s="1"/>
  <c r="AO110"/>
  <c r="BH110" s="1"/>
  <c r="AL110"/>
  <c r="AJ110"/>
  <c r="AH110"/>
  <c r="AG110"/>
  <c r="AF110"/>
  <c r="AE110"/>
  <c r="AD110"/>
  <c r="AC110"/>
  <c r="AB110"/>
  <c r="Z110"/>
  <c r="H110"/>
  <c r="AK110" s="1"/>
  <c r="AT109" s="1"/>
  <c r="AU109"/>
  <c r="AS109"/>
  <c r="H109"/>
  <c r="BJ106"/>
  <c r="Z106" s="1"/>
  <c r="BH106"/>
  <c r="BF106"/>
  <c r="BD106"/>
  <c r="AX106"/>
  <c r="AV106"/>
  <c r="AP106"/>
  <c r="BI106" s="1"/>
  <c r="AO106"/>
  <c r="AW106" s="1"/>
  <c r="BC106" s="1"/>
  <c r="AL106"/>
  <c r="AK106"/>
  <c r="AJ106"/>
  <c r="AH106"/>
  <c r="AG106"/>
  <c r="AF106"/>
  <c r="AE106"/>
  <c r="AD106"/>
  <c r="AC106"/>
  <c r="AB106"/>
  <c r="H106"/>
  <c r="BJ104"/>
  <c r="BF104"/>
  <c r="BD104"/>
  <c r="AW104"/>
  <c r="AP104"/>
  <c r="AX104" s="1"/>
  <c r="BC104" s="1"/>
  <c r="AO104"/>
  <c r="BH104" s="1"/>
  <c r="AL104"/>
  <c r="AJ104"/>
  <c r="AH104"/>
  <c r="AG104"/>
  <c r="AF104"/>
  <c r="AE104"/>
  <c r="AD104"/>
  <c r="AC104"/>
  <c r="AB104"/>
  <c r="Z104"/>
  <c r="H104"/>
  <c r="AK104" s="1"/>
  <c r="BJ102"/>
  <c r="Z102" s="1"/>
  <c r="BF102"/>
  <c r="BD102"/>
  <c r="AX102"/>
  <c r="AP102"/>
  <c r="BI102" s="1"/>
  <c r="AO102"/>
  <c r="AW102" s="1"/>
  <c r="BC102" s="1"/>
  <c r="AL102"/>
  <c r="AK102"/>
  <c r="AJ102"/>
  <c r="AH102"/>
  <c r="AG102"/>
  <c r="AF102"/>
  <c r="AE102"/>
  <c r="AD102"/>
  <c r="AC102"/>
  <c r="AB102"/>
  <c r="H102"/>
  <c r="BJ101"/>
  <c r="BF101"/>
  <c r="BD101"/>
  <c r="BC101"/>
  <c r="AW101"/>
  <c r="AP101"/>
  <c r="AX101" s="1"/>
  <c r="AO101"/>
  <c r="BH101" s="1"/>
  <c r="AL101"/>
  <c r="AJ101"/>
  <c r="AH101"/>
  <c r="AG101"/>
  <c r="AF101"/>
  <c r="AE101"/>
  <c r="AD101"/>
  <c r="AC101"/>
  <c r="AB101"/>
  <c r="Z101"/>
  <c r="H101"/>
  <c r="AK101" s="1"/>
  <c r="BJ99"/>
  <c r="Z99" s="1"/>
  <c r="BH99"/>
  <c r="BF99"/>
  <c r="BD99"/>
  <c r="AX99"/>
  <c r="AV99"/>
  <c r="AP99"/>
  <c r="BI99" s="1"/>
  <c r="AO99"/>
  <c r="AW99" s="1"/>
  <c r="BC99" s="1"/>
  <c r="AL99"/>
  <c r="AK99"/>
  <c r="AJ99"/>
  <c r="AH99"/>
  <c r="AG99"/>
  <c r="AF99"/>
  <c r="AE99"/>
  <c r="AD99"/>
  <c r="AC99"/>
  <c r="AB99"/>
  <c r="H99"/>
  <c r="BJ98"/>
  <c r="BF98"/>
  <c r="BD98"/>
  <c r="AW98"/>
  <c r="AP98"/>
  <c r="AX98" s="1"/>
  <c r="BC98" s="1"/>
  <c r="AO98"/>
  <c r="BH98" s="1"/>
  <c r="AL98"/>
  <c r="AJ98"/>
  <c r="AH98"/>
  <c r="AG98"/>
  <c r="AF98"/>
  <c r="AE98"/>
  <c r="AD98"/>
  <c r="AC98"/>
  <c r="AB98"/>
  <c r="Z98"/>
  <c r="H98"/>
  <c r="AK98" s="1"/>
  <c r="BJ96"/>
  <c r="Z96" s="1"/>
  <c r="BF96"/>
  <c r="BD96"/>
  <c r="AX96"/>
  <c r="AP96"/>
  <c r="BI96" s="1"/>
  <c r="AO96"/>
  <c r="AW96" s="1"/>
  <c r="BC96" s="1"/>
  <c r="AL96"/>
  <c r="AK96"/>
  <c r="AJ96"/>
  <c r="AH96"/>
  <c r="AG96"/>
  <c r="AF96"/>
  <c r="AE96"/>
  <c r="AD96"/>
  <c r="AC96"/>
  <c r="AB96"/>
  <c r="H96"/>
  <c r="BJ95"/>
  <c r="BF95"/>
  <c r="BD95"/>
  <c r="BC95"/>
  <c r="AW95"/>
  <c r="AP95"/>
  <c r="AX95" s="1"/>
  <c r="AO95"/>
  <c r="BH95" s="1"/>
  <c r="AL95"/>
  <c r="AJ95"/>
  <c r="AH95"/>
  <c r="AG95"/>
  <c r="AF95"/>
  <c r="AE95"/>
  <c r="AD95"/>
  <c r="AC95"/>
  <c r="AB95"/>
  <c r="Z95"/>
  <c r="H95"/>
  <c r="AK95" s="1"/>
  <c r="BJ93"/>
  <c r="BH93"/>
  <c r="AB93" s="1"/>
  <c r="BF93"/>
  <c r="BD93"/>
  <c r="AX93"/>
  <c r="AV93"/>
  <c r="AP93"/>
  <c r="BI93" s="1"/>
  <c r="AC93" s="1"/>
  <c r="AO93"/>
  <c r="AW93" s="1"/>
  <c r="BC93" s="1"/>
  <c r="AL93"/>
  <c r="AK93"/>
  <c r="AJ93"/>
  <c r="AH93"/>
  <c r="AG93"/>
  <c r="AF93"/>
  <c r="AE93"/>
  <c r="AD93"/>
  <c r="Z93"/>
  <c r="H93"/>
  <c r="BJ92"/>
  <c r="BF92"/>
  <c r="BD92"/>
  <c r="AW92"/>
  <c r="AP92"/>
  <c r="AX92" s="1"/>
  <c r="BC92" s="1"/>
  <c r="AO92"/>
  <c r="BH92" s="1"/>
  <c r="AB92" s="1"/>
  <c r="AL92"/>
  <c r="AJ92"/>
  <c r="AH92"/>
  <c r="AG92"/>
  <c r="AF92"/>
  <c r="AE92"/>
  <c r="AD92"/>
  <c r="Z92"/>
  <c r="H92"/>
  <c r="AK92" s="1"/>
  <c r="BJ90"/>
  <c r="BF90"/>
  <c r="BD90"/>
  <c r="AX90"/>
  <c r="AP90"/>
  <c r="BI90" s="1"/>
  <c r="AC90" s="1"/>
  <c r="AO90"/>
  <c r="AW90" s="1"/>
  <c r="AV90" s="1"/>
  <c r="AL90"/>
  <c r="AJ90"/>
  <c r="AH90"/>
  <c r="AG90"/>
  <c r="AF90"/>
  <c r="AE90"/>
  <c r="AD90"/>
  <c r="Z90"/>
  <c r="H90"/>
  <c r="AK90" s="1"/>
  <c r="AT84" s="1"/>
  <c r="BJ88"/>
  <c r="BI88"/>
  <c r="AC88" s="1"/>
  <c r="BF88"/>
  <c r="BD88"/>
  <c r="AW88"/>
  <c r="AV88" s="1"/>
  <c r="AP88"/>
  <c r="AX88" s="1"/>
  <c r="AO88"/>
  <c r="BH88" s="1"/>
  <c r="AB88" s="1"/>
  <c r="AL88"/>
  <c r="AJ88"/>
  <c r="AS84" s="1"/>
  <c r="AH88"/>
  <c r="AG88"/>
  <c r="AF88"/>
  <c r="AE88"/>
  <c r="AD88"/>
  <c r="Z88"/>
  <c r="H88"/>
  <c r="AK88" s="1"/>
  <c r="BJ85"/>
  <c r="BF85"/>
  <c r="BD85"/>
  <c r="AX85"/>
  <c r="AP85"/>
  <c r="BI85" s="1"/>
  <c r="AC85" s="1"/>
  <c r="AO85"/>
  <c r="AW85" s="1"/>
  <c r="BC85" s="1"/>
  <c r="AL85"/>
  <c r="AK85"/>
  <c r="AJ85"/>
  <c r="AH85"/>
  <c r="AG85"/>
  <c r="AF85"/>
  <c r="AE85"/>
  <c r="AD85"/>
  <c r="Z85"/>
  <c r="H85"/>
  <c r="H84" s="1"/>
  <c r="BJ82"/>
  <c r="BF82"/>
  <c r="BD82"/>
  <c r="AW82"/>
  <c r="AP82"/>
  <c r="AX82" s="1"/>
  <c r="BC82" s="1"/>
  <c r="AO82"/>
  <c r="BH82" s="1"/>
  <c r="AL82"/>
  <c r="AK82"/>
  <c r="AJ82"/>
  <c r="AH82"/>
  <c r="AG82"/>
  <c r="AF82"/>
  <c r="AE82"/>
  <c r="AD82"/>
  <c r="AB82"/>
  <c r="Z82"/>
  <c r="H82"/>
  <c r="BJ81"/>
  <c r="BF81"/>
  <c r="BD81"/>
  <c r="AX81"/>
  <c r="AP81"/>
  <c r="BI81" s="1"/>
  <c r="AC81" s="1"/>
  <c r="AO81"/>
  <c r="BH81" s="1"/>
  <c r="AB81" s="1"/>
  <c r="AL81"/>
  <c r="AJ81"/>
  <c r="AH81"/>
  <c r="AG81"/>
  <c r="AF81"/>
  <c r="AE81"/>
  <c r="AD81"/>
  <c r="Z81"/>
  <c r="H81"/>
  <c r="AK81" s="1"/>
  <c r="BJ79"/>
  <c r="BF79"/>
  <c r="BD79"/>
  <c r="AW79"/>
  <c r="BC79" s="1"/>
  <c r="AP79"/>
  <c r="AX79" s="1"/>
  <c r="AO79"/>
  <c r="BH79" s="1"/>
  <c r="AB79" s="1"/>
  <c r="AL79"/>
  <c r="AU75" s="1"/>
  <c r="AJ79"/>
  <c r="AH79"/>
  <c r="AG79"/>
  <c r="AF79"/>
  <c r="AE79"/>
  <c r="AD79"/>
  <c r="Z79"/>
  <c r="H79"/>
  <c r="AK79" s="1"/>
  <c r="BJ78"/>
  <c r="BF78"/>
  <c r="BD78"/>
  <c r="AX78"/>
  <c r="AP78"/>
  <c r="BI78" s="1"/>
  <c r="AC78" s="1"/>
  <c r="AO78"/>
  <c r="AW78" s="1"/>
  <c r="AL78"/>
  <c r="AK78"/>
  <c r="AT75" s="1"/>
  <c r="AJ78"/>
  <c r="AH78"/>
  <c r="AG78"/>
  <c r="AF78"/>
  <c r="AE78"/>
  <c r="AD78"/>
  <c r="Z78"/>
  <c r="H78"/>
  <c r="H75" s="1"/>
  <c r="BJ76"/>
  <c r="BF76"/>
  <c r="BD76"/>
  <c r="AW76"/>
  <c r="AV76" s="1"/>
  <c r="AP76"/>
  <c r="AX76" s="1"/>
  <c r="BC76" s="1"/>
  <c r="AO76"/>
  <c r="BH76" s="1"/>
  <c r="AB76" s="1"/>
  <c r="AL76"/>
  <c r="AK76"/>
  <c r="AJ76"/>
  <c r="AH76"/>
  <c r="AG76"/>
  <c r="AF76"/>
  <c r="AE76"/>
  <c r="AD76"/>
  <c r="Z76"/>
  <c r="H76"/>
  <c r="AS75"/>
  <c r="BJ74"/>
  <c r="BF74"/>
  <c r="BD74"/>
  <c r="AX74"/>
  <c r="AP74"/>
  <c r="BI74" s="1"/>
  <c r="AC74" s="1"/>
  <c r="AO74"/>
  <c r="BH74" s="1"/>
  <c r="AB74" s="1"/>
  <c r="AL74"/>
  <c r="AJ74"/>
  <c r="AH74"/>
  <c r="AG74"/>
  <c r="AF74"/>
  <c r="AE74"/>
  <c r="AD74"/>
  <c r="Z74"/>
  <c r="H74"/>
  <c r="AK74" s="1"/>
  <c r="BJ72"/>
  <c r="BF72"/>
  <c r="BD72"/>
  <c r="AW72"/>
  <c r="BC72" s="1"/>
  <c r="AP72"/>
  <c r="AX72" s="1"/>
  <c r="AO72"/>
  <c r="BH72" s="1"/>
  <c r="AB72" s="1"/>
  <c r="AL72"/>
  <c r="AU67" s="1"/>
  <c r="AJ72"/>
  <c r="AH72"/>
  <c r="AG72"/>
  <c r="AF72"/>
  <c r="AE72"/>
  <c r="AD72"/>
  <c r="Z72"/>
  <c r="H72"/>
  <c r="AK72" s="1"/>
  <c r="BJ70"/>
  <c r="BF70"/>
  <c r="BD70"/>
  <c r="AX70"/>
  <c r="AP70"/>
  <c r="BI70" s="1"/>
  <c r="AC70" s="1"/>
  <c r="AO70"/>
  <c r="AW70" s="1"/>
  <c r="AL70"/>
  <c r="AK70"/>
  <c r="AJ70"/>
  <c r="AH70"/>
  <c r="AG70"/>
  <c r="AF70"/>
  <c r="AE70"/>
  <c r="AD70"/>
  <c r="Z70"/>
  <c r="H70"/>
  <c r="H67" s="1"/>
  <c r="BJ68"/>
  <c r="BF68"/>
  <c r="BD68"/>
  <c r="AW68"/>
  <c r="AV68" s="1"/>
  <c r="AP68"/>
  <c r="AX68" s="1"/>
  <c r="BC68" s="1"/>
  <c r="AO68"/>
  <c r="BH68" s="1"/>
  <c r="AB68" s="1"/>
  <c r="AL68"/>
  <c r="AJ68"/>
  <c r="AH68"/>
  <c r="AG68"/>
  <c r="AF68"/>
  <c r="AE68"/>
  <c r="AD68"/>
  <c r="Z68"/>
  <c r="H68"/>
  <c r="AK68" s="1"/>
  <c r="AS67"/>
  <c r="BJ66"/>
  <c r="BF66"/>
  <c r="BD66"/>
  <c r="AX66"/>
  <c r="AP66"/>
  <c r="BI66" s="1"/>
  <c r="AC66" s="1"/>
  <c r="AO66"/>
  <c r="AW66" s="1"/>
  <c r="AL66"/>
  <c r="AJ66"/>
  <c r="AH66"/>
  <c r="AG66"/>
  <c r="AF66"/>
  <c r="AE66"/>
  <c r="AD66"/>
  <c r="Z66"/>
  <c r="H66"/>
  <c r="AK66" s="1"/>
  <c r="BJ63"/>
  <c r="BF63"/>
  <c r="BD63"/>
  <c r="AW63"/>
  <c r="AP63"/>
  <c r="AX63" s="1"/>
  <c r="AO63"/>
  <c r="BH63" s="1"/>
  <c r="AB63" s="1"/>
  <c r="AL63"/>
  <c r="AU60" s="1"/>
  <c r="AJ63"/>
  <c r="AS60" s="1"/>
  <c r="AH63"/>
  <c r="AG63"/>
  <c r="AF63"/>
  <c r="AE63"/>
  <c r="AD63"/>
  <c r="Z63"/>
  <c r="H63"/>
  <c r="AK63" s="1"/>
  <c r="BJ61"/>
  <c r="BF61"/>
  <c r="BD61"/>
  <c r="AX61"/>
  <c r="AP61"/>
  <c r="BI61" s="1"/>
  <c r="AC61" s="1"/>
  <c r="AO61"/>
  <c r="AW61" s="1"/>
  <c r="AL61"/>
  <c r="AK61"/>
  <c r="AJ61"/>
  <c r="AH61"/>
  <c r="AG61"/>
  <c r="AF61"/>
  <c r="AE61"/>
  <c r="AD61"/>
  <c r="Z61"/>
  <c r="H61"/>
  <c r="BJ55"/>
  <c r="BF55"/>
  <c r="BD55"/>
  <c r="AW55"/>
  <c r="AP55"/>
  <c r="AX55" s="1"/>
  <c r="BC55" s="1"/>
  <c r="AO55"/>
  <c r="BH55" s="1"/>
  <c r="AB55" s="1"/>
  <c r="AL55"/>
  <c r="AJ55"/>
  <c r="AH55"/>
  <c r="AG55"/>
  <c r="AF55"/>
  <c r="AE55"/>
  <c r="AD55"/>
  <c r="Z55"/>
  <c r="H55"/>
  <c r="AK55" s="1"/>
  <c r="BJ53"/>
  <c r="BF53"/>
  <c r="BD53"/>
  <c r="AX53"/>
  <c r="AP53"/>
  <c r="BI53" s="1"/>
  <c r="AC53" s="1"/>
  <c r="AO53"/>
  <c r="BH53" s="1"/>
  <c r="AB53" s="1"/>
  <c r="AL53"/>
  <c r="AJ53"/>
  <c r="AH53"/>
  <c r="AG53"/>
  <c r="AF53"/>
  <c r="AE53"/>
  <c r="AD53"/>
  <c r="Z53"/>
  <c r="H53"/>
  <c r="AK53" s="1"/>
  <c r="BJ47"/>
  <c r="BF47"/>
  <c r="BD47"/>
  <c r="AW47"/>
  <c r="BC47" s="1"/>
  <c r="AP47"/>
  <c r="AX47" s="1"/>
  <c r="AO47"/>
  <c r="BH47" s="1"/>
  <c r="AB47" s="1"/>
  <c r="AL47"/>
  <c r="AJ47"/>
  <c r="AH47"/>
  <c r="AG47"/>
  <c r="AF47"/>
  <c r="AE47"/>
  <c r="AD47"/>
  <c r="Z47"/>
  <c r="H47"/>
  <c r="AK47" s="1"/>
  <c r="BJ44"/>
  <c r="BF44"/>
  <c r="BD44"/>
  <c r="AX44"/>
  <c r="AP44"/>
  <c r="BI44" s="1"/>
  <c r="AC44" s="1"/>
  <c r="AO44"/>
  <c r="AW44" s="1"/>
  <c r="AL44"/>
  <c r="AK44"/>
  <c r="AJ44"/>
  <c r="AH44"/>
  <c r="AG44"/>
  <c r="AF44"/>
  <c r="AE44"/>
  <c r="AD44"/>
  <c r="Z44"/>
  <c r="H44"/>
  <c r="BJ40"/>
  <c r="BF40"/>
  <c r="BD40"/>
  <c r="AW40"/>
  <c r="AP40"/>
  <c r="BI40" s="1"/>
  <c r="AC40" s="1"/>
  <c r="AO40"/>
  <c r="BH40" s="1"/>
  <c r="AB40" s="1"/>
  <c r="AL40"/>
  <c r="AJ40"/>
  <c r="AH40"/>
  <c r="AG40"/>
  <c r="AF40"/>
  <c r="AE40"/>
  <c r="AD40"/>
  <c r="Z40"/>
  <c r="H40"/>
  <c r="AK40" s="1"/>
  <c r="BJ38"/>
  <c r="BH38"/>
  <c r="AB38" s="1"/>
  <c r="BF38"/>
  <c r="BD38"/>
  <c r="AX38"/>
  <c r="AP38"/>
  <c r="BI38" s="1"/>
  <c r="AC38" s="1"/>
  <c r="AO38"/>
  <c r="AW38" s="1"/>
  <c r="AL38"/>
  <c r="AJ38"/>
  <c r="AH38"/>
  <c r="AG38"/>
  <c r="AF38"/>
  <c r="AE38"/>
  <c r="AD38"/>
  <c r="Z38"/>
  <c r="H38"/>
  <c r="AK38" s="1"/>
  <c r="BJ33"/>
  <c r="BF33"/>
  <c r="BD33"/>
  <c r="AW33"/>
  <c r="AP33"/>
  <c r="AX33" s="1"/>
  <c r="AO33"/>
  <c r="BH33" s="1"/>
  <c r="AB33" s="1"/>
  <c r="AL33"/>
  <c r="AJ33"/>
  <c r="AH33"/>
  <c r="AG33"/>
  <c r="AF33"/>
  <c r="AE33"/>
  <c r="AD33"/>
  <c r="Z33"/>
  <c r="H33"/>
  <c r="AK33" s="1"/>
  <c r="BJ32"/>
  <c r="BF32"/>
  <c r="BD32"/>
  <c r="AX32"/>
  <c r="AP32"/>
  <c r="BI32" s="1"/>
  <c r="AC32" s="1"/>
  <c r="AO32"/>
  <c r="AW32" s="1"/>
  <c r="AL32"/>
  <c r="AK32"/>
  <c r="AJ32"/>
  <c r="AH32"/>
  <c r="AG32"/>
  <c r="AF32"/>
  <c r="AE32"/>
  <c r="AD32"/>
  <c r="Z32"/>
  <c r="H32"/>
  <c r="BJ31"/>
  <c r="BF31"/>
  <c r="BD31"/>
  <c r="AW31"/>
  <c r="AP31"/>
  <c r="BI31" s="1"/>
  <c r="AC31" s="1"/>
  <c r="AO31"/>
  <c r="BH31" s="1"/>
  <c r="AB31" s="1"/>
  <c r="AL31"/>
  <c r="AJ31"/>
  <c r="AS26" s="1"/>
  <c r="AH31"/>
  <c r="AG31"/>
  <c r="AF31"/>
  <c r="AE31"/>
  <c r="AD31"/>
  <c r="Z31"/>
  <c r="H31"/>
  <c r="AK31" s="1"/>
  <c r="BJ29"/>
  <c r="BF29"/>
  <c r="BD29"/>
  <c r="AX29"/>
  <c r="AP29"/>
  <c r="BI29" s="1"/>
  <c r="AC29" s="1"/>
  <c r="AO29"/>
  <c r="BH29" s="1"/>
  <c r="AB29" s="1"/>
  <c r="AL29"/>
  <c r="AJ29"/>
  <c r="AH29"/>
  <c r="AG29"/>
  <c r="AF29"/>
  <c r="AE29"/>
  <c r="AD29"/>
  <c r="Z29"/>
  <c r="H29"/>
  <c r="H26" s="1"/>
  <c r="BJ27"/>
  <c r="BF27"/>
  <c r="BD27"/>
  <c r="AW27"/>
  <c r="AP27"/>
  <c r="AX27" s="1"/>
  <c r="AO27"/>
  <c r="BH27" s="1"/>
  <c r="AB27" s="1"/>
  <c r="AL27"/>
  <c r="AJ27"/>
  <c r="AH27"/>
  <c r="AG27"/>
  <c r="AF27"/>
  <c r="AE27"/>
  <c r="AD27"/>
  <c r="Z27"/>
  <c r="H27"/>
  <c r="AK27" s="1"/>
  <c r="AU26"/>
  <c r="BJ24"/>
  <c r="BF24"/>
  <c r="BD24"/>
  <c r="AX24"/>
  <c r="AP24"/>
  <c r="BI24" s="1"/>
  <c r="AC24" s="1"/>
  <c r="AO24"/>
  <c r="AW24" s="1"/>
  <c r="AL24"/>
  <c r="AK24"/>
  <c r="AJ24"/>
  <c r="AH24"/>
  <c r="AG24"/>
  <c r="AF24"/>
  <c r="AE24"/>
  <c r="AD24"/>
  <c r="Z24"/>
  <c r="H24"/>
  <c r="BJ21"/>
  <c r="BF21"/>
  <c r="BD21"/>
  <c r="AW21"/>
  <c r="AP21"/>
  <c r="BI21" s="1"/>
  <c r="AC21" s="1"/>
  <c r="AO21"/>
  <c r="BH21" s="1"/>
  <c r="AB21" s="1"/>
  <c r="AL21"/>
  <c r="AJ21"/>
  <c r="AH21"/>
  <c r="AG21"/>
  <c r="AF21"/>
  <c r="AE21"/>
  <c r="AD21"/>
  <c r="Z21"/>
  <c r="C21" i="1" s="1"/>
  <c r="H21" i="3"/>
  <c r="AK21" s="1"/>
  <c r="BJ19"/>
  <c r="BF19"/>
  <c r="BD19"/>
  <c r="AX19"/>
  <c r="AP19"/>
  <c r="BI19" s="1"/>
  <c r="AC19" s="1"/>
  <c r="AO19"/>
  <c r="AW19" s="1"/>
  <c r="AL19"/>
  <c r="AJ19"/>
  <c r="AH19"/>
  <c r="AG19"/>
  <c r="AF19"/>
  <c r="AE19"/>
  <c r="AD19"/>
  <c r="Z19"/>
  <c r="H19"/>
  <c r="H13" s="1"/>
  <c r="BJ16"/>
  <c r="BF16"/>
  <c r="BD16"/>
  <c r="AW16"/>
  <c r="BC16" s="1"/>
  <c r="AP16"/>
  <c r="AX16" s="1"/>
  <c r="AO16"/>
  <c r="BH16" s="1"/>
  <c r="AB16" s="1"/>
  <c r="AL16"/>
  <c r="AU13" s="1"/>
  <c r="AJ16"/>
  <c r="AS13" s="1"/>
  <c r="AH16"/>
  <c r="AG16"/>
  <c r="AF16"/>
  <c r="AE16"/>
  <c r="AD16"/>
  <c r="Z16"/>
  <c r="H16"/>
  <c r="AK16" s="1"/>
  <c r="BJ14"/>
  <c r="BF14"/>
  <c r="BD14"/>
  <c r="AX14"/>
  <c r="AP14"/>
  <c r="BI14" s="1"/>
  <c r="AC14" s="1"/>
  <c r="AO14"/>
  <c r="AW14" s="1"/>
  <c r="AL14"/>
  <c r="AK14"/>
  <c r="AJ14"/>
  <c r="AH14"/>
  <c r="C20" i="1" s="1"/>
  <c r="AG14" i="3"/>
  <c r="AF14"/>
  <c r="AE14"/>
  <c r="AD14"/>
  <c r="Z14"/>
  <c r="H14"/>
  <c r="AU1"/>
  <c r="AT1"/>
  <c r="AS1"/>
  <c r="I44" i="2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I45" s="1"/>
  <c r="I24" i="1" s="1"/>
  <c r="F35" i="2"/>
  <c r="I26"/>
  <c r="I25"/>
  <c r="I24"/>
  <c r="I23"/>
  <c r="I22"/>
  <c r="I15" i="1" s="1"/>
  <c r="I21" i="2"/>
  <c r="I27" s="1"/>
  <c r="I18"/>
  <c r="I17"/>
  <c r="I16"/>
  <c r="I15"/>
  <c r="I10"/>
  <c r="F10"/>
  <c r="C10"/>
  <c r="F8"/>
  <c r="C8"/>
  <c r="F6"/>
  <c r="C6"/>
  <c r="F4"/>
  <c r="C4"/>
  <c r="F2"/>
  <c r="C2"/>
  <c r="F22" i="1"/>
  <c r="I19"/>
  <c r="I18"/>
  <c r="I17"/>
  <c r="I16"/>
  <c r="F16"/>
  <c r="F15"/>
  <c r="I14"/>
  <c r="F14"/>
  <c r="I10"/>
  <c r="F10"/>
  <c r="C10"/>
  <c r="F8"/>
  <c r="C8"/>
  <c r="F6"/>
  <c r="C6"/>
  <c r="F4"/>
  <c r="C4"/>
  <c r="F2"/>
  <c r="C2"/>
  <c r="AT13" i="3" l="1"/>
  <c r="AV61"/>
  <c r="BC61"/>
  <c r="BC24"/>
  <c r="AV24"/>
  <c r="BC38"/>
  <c r="AV38"/>
  <c r="BC44"/>
  <c r="AV44"/>
  <c r="I22" i="1"/>
  <c r="BC19" i="3"/>
  <c r="AV19"/>
  <c r="AV14"/>
  <c r="BC14"/>
  <c r="BC66"/>
  <c r="AV66"/>
  <c r="AV70"/>
  <c r="BC70"/>
  <c r="F29" i="2"/>
  <c r="BC33" i="3"/>
  <c r="AV55"/>
  <c r="AT60"/>
  <c r="BC32"/>
  <c r="AV32"/>
  <c r="BC78"/>
  <c r="AV78"/>
  <c r="AV21"/>
  <c r="BC27"/>
  <c r="BC63"/>
  <c r="AT67"/>
  <c r="BC122"/>
  <c r="AV122"/>
  <c r="BC137"/>
  <c r="AV137"/>
  <c r="BC153"/>
  <c r="AV153"/>
  <c r="BC175"/>
  <c r="AV175"/>
  <c r="BC182"/>
  <c r="AV182"/>
  <c r="BC188"/>
  <c r="AV188"/>
  <c r="BC191"/>
  <c r="AV191"/>
  <c r="BC234"/>
  <c r="AV234"/>
  <c r="BC124"/>
  <c r="AV124"/>
  <c r="BC139"/>
  <c r="AV139"/>
  <c r="BC146"/>
  <c r="AV146"/>
  <c r="BC149"/>
  <c r="AV149"/>
  <c r="BC160"/>
  <c r="AV160"/>
  <c r="BC166"/>
  <c r="AV166"/>
  <c r="BC177"/>
  <c r="AV177"/>
  <c r="BC215"/>
  <c r="AV215"/>
  <c r="BC218"/>
  <c r="AV218"/>
  <c r="BC230"/>
  <c r="AV230"/>
  <c r="BC243"/>
  <c r="AV243"/>
  <c r="BC246"/>
  <c r="AV246"/>
  <c r="BH19"/>
  <c r="AB19" s="1"/>
  <c r="BI55"/>
  <c r="AC55" s="1"/>
  <c r="BH66"/>
  <c r="AB66" s="1"/>
  <c r="BI68"/>
  <c r="AC68" s="1"/>
  <c r="BI76"/>
  <c r="AC76" s="1"/>
  <c r="C27" i="1"/>
  <c r="C29"/>
  <c r="F29" s="1"/>
  <c r="AV16" i="3"/>
  <c r="AX21"/>
  <c r="BC21" s="1"/>
  <c r="AV27"/>
  <c r="AW29"/>
  <c r="AX31"/>
  <c r="BC31" s="1"/>
  <c r="AV33"/>
  <c r="AX40"/>
  <c r="BC40" s="1"/>
  <c r="AV47"/>
  <c r="AW53"/>
  <c r="AV63"/>
  <c r="AV72"/>
  <c r="AW74"/>
  <c r="AV79"/>
  <c r="AW81"/>
  <c r="BH90"/>
  <c r="AB90" s="1"/>
  <c r="AV95"/>
  <c r="BI95"/>
  <c r="AV101"/>
  <c r="BI101"/>
  <c r="AT111"/>
  <c r="BH128"/>
  <c r="AD128" s="1"/>
  <c r="BC136"/>
  <c r="AV157"/>
  <c r="BC163"/>
  <c r="AV170"/>
  <c r="BC174"/>
  <c r="AV185"/>
  <c r="AT189"/>
  <c r="AV195"/>
  <c r="AV206"/>
  <c r="AV225"/>
  <c r="AV238"/>
  <c r="AT239"/>
  <c r="BC127"/>
  <c r="AV127"/>
  <c r="BC110"/>
  <c r="AV110"/>
  <c r="BC128"/>
  <c r="AV128"/>
  <c r="BC135"/>
  <c r="AV135"/>
  <c r="BC156"/>
  <c r="AV156"/>
  <c r="BC162"/>
  <c r="AV162"/>
  <c r="BC169"/>
  <c r="AV169"/>
  <c r="BC184"/>
  <c r="AV184"/>
  <c r="BC194"/>
  <c r="AV194"/>
  <c r="BC203"/>
  <c r="AV203"/>
  <c r="BC224"/>
  <c r="AV224"/>
  <c r="BC237"/>
  <c r="AV237"/>
  <c r="BC253"/>
  <c r="AV253"/>
  <c r="BI16"/>
  <c r="AC16" s="1"/>
  <c r="C15" i="1" s="1"/>
  <c r="AK19" i="3"/>
  <c r="C28" i="1" s="1"/>
  <c r="F28" s="1"/>
  <c r="BI33" i="3"/>
  <c r="AC33" s="1"/>
  <c r="BH44"/>
  <c r="AB44" s="1"/>
  <c r="BI47"/>
  <c r="AC47" s="1"/>
  <c r="H60"/>
  <c r="H12" s="1"/>
  <c r="BH61"/>
  <c r="AB61" s="1"/>
  <c r="BI63"/>
  <c r="AC63" s="1"/>
  <c r="BH70"/>
  <c r="AB70" s="1"/>
  <c r="BI72"/>
  <c r="AC72" s="1"/>
  <c r="BH78"/>
  <c r="AB78" s="1"/>
  <c r="BI79"/>
  <c r="AC79" s="1"/>
  <c r="AV85"/>
  <c r="BH85"/>
  <c r="AB85" s="1"/>
  <c r="AV96"/>
  <c r="BH96"/>
  <c r="AV102"/>
  <c r="BH102"/>
  <c r="AV118"/>
  <c r="AT147"/>
  <c r="AT233"/>
  <c r="AT244"/>
  <c r="BC144"/>
  <c r="AV144"/>
  <c r="BC164"/>
  <c r="AV164"/>
  <c r="BC112"/>
  <c r="AV112"/>
  <c r="BC132"/>
  <c r="AV132"/>
  <c r="BC141"/>
  <c r="AV141"/>
  <c r="BC151"/>
  <c r="AV151"/>
  <c r="BC158"/>
  <c r="AV158"/>
  <c r="BC172"/>
  <c r="AV172"/>
  <c r="BC180"/>
  <c r="AV180"/>
  <c r="BC186"/>
  <c r="AV186"/>
  <c r="BC197"/>
  <c r="AV197"/>
  <c r="BC209"/>
  <c r="AV209"/>
  <c r="BC227"/>
  <c r="AV227"/>
  <c r="BC240"/>
  <c r="AV240"/>
  <c r="BC248"/>
  <c r="AV248"/>
  <c r="BC251"/>
  <c r="AV251"/>
  <c r="BH14"/>
  <c r="AB14" s="1"/>
  <c r="BH24"/>
  <c r="AB24" s="1"/>
  <c r="BI27"/>
  <c r="AC27" s="1"/>
  <c r="AK29"/>
  <c r="AT26" s="1"/>
  <c r="BH32"/>
  <c r="AB32" s="1"/>
  <c r="AV82"/>
  <c r="BI82"/>
  <c r="AC82" s="1"/>
  <c r="AU84"/>
  <c r="BC88"/>
  <c r="BC90"/>
  <c r="AV92"/>
  <c r="BI92"/>
  <c r="AC92" s="1"/>
  <c r="AV98"/>
  <c r="BI98"/>
  <c r="AV104"/>
  <c r="BI104"/>
  <c r="AT123"/>
  <c r="AV129"/>
  <c r="BI129"/>
  <c r="AE129" s="1"/>
  <c r="AV138"/>
  <c r="BC145"/>
  <c r="AV148"/>
  <c r="BC154"/>
  <c r="AV165"/>
  <c r="BC168"/>
  <c r="AV176"/>
  <c r="BC183"/>
  <c r="BC193"/>
  <c r="AT202"/>
  <c r="BC220"/>
  <c r="BC236"/>
  <c r="AV245"/>
  <c r="BH132"/>
  <c r="AD132" s="1"/>
  <c r="BI133"/>
  <c r="BH137"/>
  <c r="AD137" s="1"/>
  <c r="BI138"/>
  <c r="AE138" s="1"/>
  <c r="BH141"/>
  <c r="AD141" s="1"/>
  <c r="BI143"/>
  <c r="AE143" s="1"/>
  <c r="BH146"/>
  <c r="BI148"/>
  <c r="AE148" s="1"/>
  <c r="BH151"/>
  <c r="AD151" s="1"/>
  <c r="BI152"/>
  <c r="AE152" s="1"/>
  <c r="BH156"/>
  <c r="AD156" s="1"/>
  <c r="BI157"/>
  <c r="AE157" s="1"/>
  <c r="BH160"/>
  <c r="AD160" s="1"/>
  <c r="BI161"/>
  <c r="AE161" s="1"/>
  <c r="BH164"/>
  <c r="AD164" s="1"/>
  <c r="BI165"/>
  <c r="AE165" s="1"/>
  <c r="BH169"/>
  <c r="AD169" s="1"/>
  <c r="BI170"/>
  <c r="AE170" s="1"/>
  <c r="BH175"/>
  <c r="AD175" s="1"/>
  <c r="BI176"/>
  <c r="AE176" s="1"/>
  <c r="BH180"/>
  <c r="AD180" s="1"/>
  <c r="BI181"/>
  <c r="AE181" s="1"/>
  <c r="BH184"/>
  <c r="AD184" s="1"/>
  <c r="BI185"/>
  <c r="AE185" s="1"/>
  <c r="BH188"/>
  <c r="BI190"/>
  <c r="AE190" s="1"/>
  <c r="BH194"/>
  <c r="AD194" s="1"/>
  <c r="BI195"/>
  <c r="AE195" s="1"/>
  <c r="BH203"/>
  <c r="AD203" s="1"/>
  <c r="BI206"/>
  <c r="AE206" s="1"/>
  <c r="BH215"/>
  <c r="AD215" s="1"/>
  <c r="BI217"/>
  <c r="AE217" s="1"/>
  <c r="BH224"/>
  <c r="AD224" s="1"/>
  <c r="BI225"/>
  <c r="AE225" s="1"/>
  <c r="BH230"/>
  <c r="AD230" s="1"/>
  <c r="BI232"/>
  <c r="BH237"/>
  <c r="AD237" s="1"/>
  <c r="BI238"/>
  <c r="AE238" s="1"/>
  <c r="BH243"/>
  <c r="AD243" s="1"/>
  <c r="BI245"/>
  <c r="AG245" s="1"/>
  <c r="C19" i="1" s="1"/>
  <c r="BH248" i="3"/>
  <c r="AF248" s="1"/>
  <c r="BH251"/>
  <c r="BH253"/>
  <c r="AV131"/>
  <c r="AV136"/>
  <c r="AV140"/>
  <c r="AV145"/>
  <c r="AV150"/>
  <c r="AV154"/>
  <c r="AV159"/>
  <c r="AV163"/>
  <c r="AV168"/>
  <c r="AV174"/>
  <c r="AV178"/>
  <c r="AV183"/>
  <c r="AV187"/>
  <c r="AV193"/>
  <c r="AV201"/>
  <c r="AV213"/>
  <c r="AV220"/>
  <c r="AV228"/>
  <c r="AV236"/>
  <c r="AV242"/>
  <c r="AV247"/>
  <c r="BI110"/>
  <c r="BH118"/>
  <c r="AD118" s="1"/>
  <c r="C16" i="1" s="1"/>
  <c r="BI122" i="3"/>
  <c r="BH126"/>
  <c r="AD126" s="1"/>
  <c r="BI127"/>
  <c r="AE127" s="1"/>
  <c r="C17" i="1" s="1"/>
  <c r="BH130" i="3"/>
  <c r="AF130" s="1"/>
  <c r="C18" i="1" s="1"/>
  <c r="BI131" i="3"/>
  <c r="AE131" s="1"/>
  <c r="H134"/>
  <c r="H254" s="1"/>
  <c r="BH135"/>
  <c r="AD135" s="1"/>
  <c r="BI136"/>
  <c r="AE136" s="1"/>
  <c r="BH139"/>
  <c r="AD139" s="1"/>
  <c r="BI140"/>
  <c r="AE140" s="1"/>
  <c r="BH144"/>
  <c r="AD144" s="1"/>
  <c r="BI145"/>
  <c r="AE145" s="1"/>
  <c r="BH149"/>
  <c r="AD149" s="1"/>
  <c r="BI150"/>
  <c r="AE150" s="1"/>
  <c r="BH153"/>
  <c r="AD153" s="1"/>
  <c r="BI154"/>
  <c r="AE154" s="1"/>
  <c r="BH158"/>
  <c r="AD158" s="1"/>
  <c r="BI159"/>
  <c r="AE159" s="1"/>
  <c r="BH162"/>
  <c r="AD162" s="1"/>
  <c r="BI163"/>
  <c r="AE163" s="1"/>
  <c r="BH166"/>
  <c r="AD166" s="1"/>
  <c r="BI168"/>
  <c r="AE168" s="1"/>
  <c r="AK169"/>
  <c r="AT167" s="1"/>
  <c r="BH172"/>
  <c r="AD172" s="1"/>
  <c r="BI174"/>
  <c r="AE174" s="1"/>
  <c r="AK175"/>
  <c r="AT173" s="1"/>
  <c r="BH177"/>
  <c r="AD177" s="1"/>
  <c r="BI178"/>
  <c r="AE178" s="1"/>
  <c r="BH182"/>
  <c r="AD182" s="1"/>
  <c r="BI183"/>
  <c r="AE183" s="1"/>
  <c r="BH186"/>
  <c r="AD186" s="1"/>
  <c r="BI187"/>
  <c r="AE187" s="1"/>
  <c r="BH191"/>
  <c r="AD191" s="1"/>
  <c r="BI193"/>
  <c r="AE193" s="1"/>
  <c r="BH197"/>
  <c r="AD197" s="1"/>
  <c r="BI201"/>
  <c r="BH209"/>
  <c r="AD209" s="1"/>
  <c r="BI213"/>
  <c r="AE213" s="1"/>
  <c r="BH218"/>
  <c r="BI220"/>
  <c r="AE220" s="1"/>
  <c r="AK224"/>
  <c r="AT219" s="1"/>
  <c r="BH227"/>
  <c r="AD227" s="1"/>
  <c r="BI228"/>
  <c r="AE228" s="1"/>
  <c r="H233"/>
  <c r="BH234"/>
  <c r="AD234" s="1"/>
  <c r="BI236"/>
  <c r="AE236" s="1"/>
  <c r="H239"/>
  <c r="BH240"/>
  <c r="AD240" s="1"/>
  <c r="BI242"/>
  <c r="AE242" s="1"/>
  <c r="BH246"/>
  <c r="AF246" s="1"/>
  <c r="BI247"/>
  <c r="AG247" s="1"/>
  <c r="BC53" l="1"/>
  <c r="AV53"/>
  <c r="BC74"/>
  <c r="AV74"/>
  <c r="BC29"/>
  <c r="AV29"/>
  <c r="BC81"/>
  <c r="AV81"/>
  <c r="C14" i="1"/>
  <c r="C22" s="1"/>
  <c r="AV40" i="3"/>
  <c r="AV31"/>
  <c r="I28" i="1"/>
  <c r="I29" s="1"/>
</calcChain>
</file>

<file path=xl/sharedStrings.xml><?xml version="1.0" encoding="utf-8"?>
<sst xmlns="http://schemas.openxmlformats.org/spreadsheetml/2006/main" count="1954" uniqueCount="694">
  <si>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</si>
  <si>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</si>
  <si>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</si>
  <si>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</si>
  <si>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</si>
  <si>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</si>
  <si>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</si>
  <si>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</si>
  <si>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</si>
  <si>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</si>
  <si>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</si>
  <si>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</si>
  <si>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</si>
  <si>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</si>
  <si>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</si>
  <si>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</si>
  <si>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</si>
  <si>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</si>
  <si>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</si>
  <si>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</si>
  <si>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</si>
  <si>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</si>
  <si>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</si>
  <si>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</si>
  <si>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</si>
  <si>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</si>
  <si>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</si>
  <si>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</si>
  <si>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</si>
  <si>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</si>
  <si>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</si>
  <si>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</si>
  <si>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</si>
  <si>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</si>
  <si>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</si>
  <si>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</si>
  <si>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</si>
  <si>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</si>
  <si>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</si>
  <si>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</si>
  <si>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</si>
  <si>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</si>
  <si>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</si>
  <si>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</si>
  <si>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</si>
  <si>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</si>
  <si>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</si>
  <si>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</si>
  <si>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</si>
  <si>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</si>
  <si>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</si>
  <si>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</si>
  <si>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</si>
  <si>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</si>
  <si>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</si>
  <si>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</si>
  <si>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</si>
  <si>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</si>
  <si>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</si>
  <si>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</si>
  <si>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</si>
  <si>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</si>
  <si>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</si>
  <si>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</si>
  <si>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</si>
  <si>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</si>
  <si>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</si>
  <si>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</si>
  <si>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</si>
  <si>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</si>
  <si>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</si>
  <si>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</si>
  <si>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</si>
  <si>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</si>
  <si>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</si>
  <si>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</si>
  <si>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</t>
  </si>
  <si>
    <t>021-2024 Libušínská 204/13, byt č.18  1+kk</t>
  </si>
  <si>
    <t>Doba výstavby:</t>
  </si>
  <si>
    <t xml:space="preserve"> </t>
  </si>
  <si>
    <t> </t>
  </si>
  <si>
    <t>stavební opravy</t>
  </si>
  <si>
    <t>Zpracováno dne: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</si>
  <si>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</si>
  <si>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</si>
  <si>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</si>
  <si>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</si>
  <si>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</si>
  <si>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</si>
  <si>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</si>
  <si>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ISWORK</t>
  </si>
  <si>
    <t>GROUPCODE</t>
  </si>
  <si>
    <t>VATTAX</t>
  </si>
  <si>
    <t>Rozměry</t>
  </si>
  <si>
    <t>(Kč)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</si>
  <si>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</si>
  <si>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</si>
  <si>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</si>
  <si>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</si>
  <si>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</si>
  <si>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</si>
  <si>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</si>
  <si>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</si>
  <si>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</si>
  <si>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</si>
  <si>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</si>
  <si>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</si>
  <si>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</si>
  <si>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</si>
  <si>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34</t>
  </si>
  <si>
    <t>Stěny a příčky</t>
  </si>
  <si>
    <t>1</t>
  </si>
  <si>
    <t>342270040RA0</t>
  </si>
  <si>
    <t>Příčka z desek  Pórobetonových hladkých, tloušťka 5 cm</t>
  </si>
  <si>
    <t>m2</t>
  </si>
  <si>
    <t>34_</t>
  </si>
  <si>
    <t>_3_</t>
  </si>
  <si>
    <t>_</t>
  </si>
  <si>
    <t>(0,45+0,85)*2,6</t>
  </si>
  <si>
    <t>obezdívka šachty</t>
  </si>
  <si>
    <t>2</t>
  </si>
  <si>
    <t>342270042RA0</t>
  </si>
  <si>
    <t>Příčka z desek Pórobetonových hladkých, tloušťka 10 cm</t>
  </si>
  <si>
    <t>(3,46+1,8)*2,6-0,8*2-0,7*2</t>
  </si>
  <si>
    <t>bytové jádro</t>
  </si>
  <si>
    <t>1,2*0,7+0,9*1,25</t>
  </si>
  <si>
    <t>přizdívka</t>
  </si>
  <si>
    <t>3</t>
  </si>
  <si>
    <t>317121047RT2</t>
  </si>
  <si>
    <t>Překlad nenosný pórobetonový, světlost otvoru do 1050 mm</t>
  </si>
  <si>
    <t>kus</t>
  </si>
  <si>
    <t>Varianta:</t>
  </si>
  <si>
    <t>překlad nenosný  124 x 24,9 x 10 cm</t>
  </si>
  <si>
    <t>4</t>
  </si>
  <si>
    <t>342668111R00</t>
  </si>
  <si>
    <t>Těsnění styku příčky se stáv. konstrukcí PU pěnou</t>
  </si>
  <si>
    <t>m</t>
  </si>
  <si>
    <t>(0,85+0,45)</t>
  </si>
  <si>
    <t>(3,46+1,7+2,2)</t>
  </si>
  <si>
    <t>5</t>
  </si>
  <si>
    <t>342948111R00</t>
  </si>
  <si>
    <t>Ukotvení příček k cihelné konstrukci kotvami na hmoždinky</t>
  </si>
  <si>
    <t>2,6*5</t>
  </si>
  <si>
    <t>61</t>
  </si>
  <si>
    <t>Úprava povrchů vnitřní</t>
  </si>
  <si>
    <t>6</t>
  </si>
  <si>
    <t>611421321R00</t>
  </si>
  <si>
    <t>Oprava váp.omítek stropů do 30% plochy - hladkých</t>
  </si>
  <si>
    <t>61_</t>
  </si>
  <si>
    <t>_6_</t>
  </si>
  <si>
    <t>2,2+3,57+14,88</t>
  </si>
  <si>
    <t>7</t>
  </si>
  <si>
    <t>620991111R00</t>
  </si>
  <si>
    <t>Zakrývání spár panelů páskou</t>
  </si>
  <si>
    <t>2*6,1</t>
  </si>
  <si>
    <t>8</t>
  </si>
  <si>
    <t>601016191R00</t>
  </si>
  <si>
    <t>Penetrační nátěr stropů</t>
  </si>
  <si>
    <t>9</t>
  </si>
  <si>
    <t>611471411R00</t>
  </si>
  <si>
    <t>Úprava stropů aktivovaným štukem tl. 2 - 3 mm</t>
  </si>
  <si>
    <t>10</t>
  </si>
  <si>
    <t>602016191R00</t>
  </si>
  <si>
    <t>Penetrační nátěr stěn</t>
  </si>
  <si>
    <t>(1,26+1,7)*2*2,6-0,8*2*2-0,7*2</t>
  </si>
  <si>
    <t>stěny  chodba</t>
  </si>
  <si>
    <t>(2,1+1,7)*2*2,6-0,7*2</t>
  </si>
  <si>
    <t>koupelna</t>
  </si>
  <si>
    <t>(3,46+4,3)*2*2,6-2,6*1,5-0,8*2</t>
  </si>
  <si>
    <t>kuchyň, pokoj</t>
  </si>
  <si>
    <t>(2,6+1,5*2)*0,15</t>
  </si>
  <si>
    <t>ostění okno</t>
  </si>
  <si>
    <t>11</t>
  </si>
  <si>
    <t>612403399R00</t>
  </si>
  <si>
    <t>Hrubá výplň rýh ve stěnách maltou</t>
  </si>
  <si>
    <t>25*0,1</t>
  </si>
  <si>
    <t>po instalacích</t>
  </si>
  <si>
    <t>12</t>
  </si>
  <si>
    <t>612421321R00</t>
  </si>
  <si>
    <t>Oprava vápen.omítek stěn do 30 % pl. - hladkých</t>
  </si>
  <si>
    <t>(1,26+1,7)*2,6-0,8*2</t>
  </si>
  <si>
    <t>1,7*2,6</t>
  </si>
  <si>
    <t>(3,46+4,3*2)*2,6-2,6*1,5</t>
  </si>
  <si>
    <t>13</t>
  </si>
  <si>
    <t>612401391RT2</t>
  </si>
  <si>
    <t>Omítka malých ploch vnitřních stěn do 1 m2</t>
  </si>
  <si>
    <t>vápennou štukovou omítkou</t>
  </si>
  <si>
    <t>vchod. dveře</t>
  </si>
  <si>
    <t>14</t>
  </si>
  <si>
    <t>612471411RT2</t>
  </si>
  <si>
    <t>Úprava vnitřních stěn aktivovaným štukem</t>
  </si>
  <si>
    <t>s použitím suché maltové směsi</t>
  </si>
  <si>
    <t>(2,1+1,7)*2*0,5</t>
  </si>
  <si>
    <t>koupelna nad obklady</t>
  </si>
  <si>
    <t>15</t>
  </si>
  <si>
    <t>610991111R00</t>
  </si>
  <si>
    <t>Zakrývání výplní vnitřních otvorů</t>
  </si>
  <si>
    <t>2,6*1,5</t>
  </si>
  <si>
    <t>kuchyň</t>
  </si>
  <si>
    <t>16</t>
  </si>
  <si>
    <t>612481211RT2</t>
  </si>
  <si>
    <t>Montáž výztužné sítě(perlinky)do stěrky-vnit.stěny</t>
  </si>
  <si>
    <t>včetně výztužné sítě a stěrkového tmelu</t>
  </si>
  <si>
    <t>(1,26+1,7)*2,6-0,8*2-0,7*2</t>
  </si>
  <si>
    <t>nové příčky Ytong -  chodba</t>
  </si>
  <si>
    <t>koupelna nad obklad</t>
  </si>
  <si>
    <t>3,46*2,6-0,8*2</t>
  </si>
  <si>
    <t>63</t>
  </si>
  <si>
    <t>Podlahy a podlahové konstrukce</t>
  </si>
  <si>
    <t>17</t>
  </si>
  <si>
    <t>632451441R00</t>
  </si>
  <si>
    <t>Doplnění potěru plochy do 1 m2, tl. 30 - 40 mm</t>
  </si>
  <si>
    <t>63_</t>
  </si>
  <si>
    <t>1,2*0,8</t>
  </si>
  <si>
    <t>pod stáv. vanou</t>
  </si>
  <si>
    <t>18</t>
  </si>
  <si>
    <t>632411110RT2</t>
  </si>
  <si>
    <t>Samonivelační stěrka , ruční zpracování tl. 10 mm</t>
  </si>
  <si>
    <t>samonivelační polymercementová stěrka  30 MPa</t>
  </si>
  <si>
    <t>m.č. 1 - 3</t>
  </si>
  <si>
    <t>19</t>
  </si>
  <si>
    <t>632411904R00</t>
  </si>
  <si>
    <t>Penetrace savých podkladů  0,25 l/m2</t>
  </si>
  <si>
    <t>64</t>
  </si>
  <si>
    <t>Výplně otvorů</t>
  </si>
  <si>
    <t>20</t>
  </si>
  <si>
    <t>642942111RT3</t>
  </si>
  <si>
    <t>Osazení zárubní dveřních ocelových, pl. do 2,5 m2</t>
  </si>
  <si>
    <t>64_</t>
  </si>
  <si>
    <t>včetně dodávky zárubně 700 x 1970 x 100 mm</t>
  </si>
  <si>
    <t>21</t>
  </si>
  <si>
    <t>642942111RT4</t>
  </si>
  <si>
    <t>včetně dodávky zárubně 800 x 1970 x 100 mm</t>
  </si>
  <si>
    <t>22</t>
  </si>
  <si>
    <t>642945121R00</t>
  </si>
  <si>
    <t>Osazení zárubní ocel. požár.1křídl., zazděním</t>
  </si>
  <si>
    <t>vchodové dveře</t>
  </si>
  <si>
    <t>23</t>
  </si>
  <si>
    <t>5533301126</t>
  </si>
  <si>
    <t>Zárubeň ocelová  100/1970/800 L, P, EI, EW 30</t>
  </si>
  <si>
    <t>95</t>
  </si>
  <si>
    <t>Různé dokončovací konstrukce a práce na pozemních stavbách</t>
  </si>
  <si>
    <t>24</t>
  </si>
  <si>
    <t>900      R01</t>
  </si>
  <si>
    <t>HZS - drobné nezměřitelné práce</t>
  </si>
  <si>
    <t>h</t>
  </si>
  <si>
    <t>95_</t>
  </si>
  <si>
    <t>_9_</t>
  </si>
  <si>
    <t>stavební dělník</t>
  </si>
  <si>
    <t>25</t>
  </si>
  <si>
    <t>952901111R00</t>
  </si>
  <si>
    <t>Vyčištění budov o výšce podlaží do 4 m</t>
  </si>
  <si>
    <t>26</t>
  </si>
  <si>
    <t>953943111R00</t>
  </si>
  <si>
    <t>Osazení kovových předmětů do zdiva, 1 kg / kus</t>
  </si>
  <si>
    <t>instal. dvířka</t>
  </si>
  <si>
    <t>27</t>
  </si>
  <si>
    <t>553476578</t>
  </si>
  <si>
    <t>Dvířka revizní do zdiva 500 x 500 mm, tl.12,5 mm - vlhké prostředí pro montáž obkladů - dle vzorkování</t>
  </si>
  <si>
    <t>28</t>
  </si>
  <si>
    <t>952902110RVV</t>
  </si>
  <si>
    <t>Zametání a vytírání v místnostech, chodbách, na  schodišti</t>
  </si>
  <si>
    <t>KPL.</t>
  </si>
  <si>
    <t xml:space="preserve"> v průběhu rekonstrukce</t>
  </si>
  <si>
    <t>96</t>
  </si>
  <si>
    <t>Bourání konstrukcí</t>
  </si>
  <si>
    <t>29</t>
  </si>
  <si>
    <t>968061125R00</t>
  </si>
  <si>
    <t>Vyvěšení dřevěných a plastových dveřních křídel pl. do 2 m2</t>
  </si>
  <si>
    <t>96_</t>
  </si>
  <si>
    <t>30</t>
  </si>
  <si>
    <t>965044121R00</t>
  </si>
  <si>
    <t>Bourání podkladů bet., tl. 4 cm, s rabic.pletivem</t>
  </si>
  <si>
    <t>2,1*1,7</t>
  </si>
  <si>
    <t>31</t>
  </si>
  <si>
    <t>968072455R00</t>
  </si>
  <si>
    <t>Vybourání kovových dveřních zárubní pl. do 2 m2</t>
  </si>
  <si>
    <t>0,9*2,1</t>
  </si>
  <si>
    <t>32</t>
  </si>
  <si>
    <t>9620. 1</t>
  </si>
  <si>
    <t>Demontáž byt. jádra, vč. zařizovacích předmětů, vč. likvidace do sutě</t>
  </si>
  <si>
    <t>33</t>
  </si>
  <si>
    <t>965048515R00</t>
  </si>
  <si>
    <t>Broušení betonových povrchů do tl. 5 mm</t>
  </si>
  <si>
    <t>14,2+3,12</t>
  </si>
  <si>
    <t>stáv. místnosti, po odstranění PVC</t>
  </si>
  <si>
    <t>979011111R00</t>
  </si>
  <si>
    <t>Svislá doprava suti a vybour. hmot za 2.NP a 1.PP</t>
  </si>
  <si>
    <t>t</t>
  </si>
  <si>
    <t>35</t>
  </si>
  <si>
    <t>979011121R00</t>
  </si>
  <si>
    <t>Příplatek za každé další podlaží</t>
  </si>
  <si>
    <t>0,898*2</t>
  </si>
  <si>
    <t>36</t>
  </si>
  <si>
    <t>979081111R00</t>
  </si>
  <si>
    <t>Odvoz suti a vybour. hmot na skládku do 1 km</t>
  </si>
  <si>
    <t>37</t>
  </si>
  <si>
    <t>979081121R00</t>
  </si>
  <si>
    <t>Příplatek k odvozu za každý další 1 km</t>
  </si>
  <si>
    <t>0,898*5</t>
  </si>
  <si>
    <t>38</t>
  </si>
  <si>
    <t>979082111R00</t>
  </si>
  <si>
    <t>Vnitrostaveništní doprava suti do 10 m</t>
  </si>
  <si>
    <t>39</t>
  </si>
  <si>
    <t>979082121R00</t>
  </si>
  <si>
    <t>Příplatek k vnitrost. dopravě suti za dalších 5 m</t>
  </si>
  <si>
    <t>0,898*4</t>
  </si>
  <si>
    <t>40</t>
  </si>
  <si>
    <t>979990107R00</t>
  </si>
  <si>
    <t>Poplatek za uložení suti - směs betonu, cihel, dřeva, skupina odpadu 170904</t>
  </si>
  <si>
    <t>0,898-0,077</t>
  </si>
  <si>
    <t>41</t>
  </si>
  <si>
    <t>979990181R00</t>
  </si>
  <si>
    <t>Poplatek za uložení suti - PVC podlahová krytina, skupina odpadu 200307</t>
  </si>
  <si>
    <t>17,32*0,0035</t>
  </si>
  <si>
    <t>PVC</t>
  </si>
  <si>
    <t>20,32*0,0008</t>
  </si>
  <si>
    <t>sokl PVC</t>
  </si>
  <si>
    <t>99</t>
  </si>
  <si>
    <t>Staveništní přesun hmot</t>
  </si>
  <si>
    <t>42</t>
  </si>
  <si>
    <t>999281108R00</t>
  </si>
  <si>
    <t>Přesun hmot pro opravy a údržbu do výšky 12 m</t>
  </si>
  <si>
    <t>99_</t>
  </si>
  <si>
    <t>711</t>
  </si>
  <si>
    <t>Izolace proti vodě</t>
  </si>
  <si>
    <t>43</t>
  </si>
  <si>
    <t>711212000R00</t>
  </si>
  <si>
    <t>Penetrace podkladu pod hydroizolační hmoty, včetně dodávky</t>
  </si>
  <si>
    <t>711_</t>
  </si>
  <si>
    <t>_71_</t>
  </si>
  <si>
    <t>44</t>
  </si>
  <si>
    <t>711212002RT3</t>
  </si>
  <si>
    <t>Stěrka hydroizolační, vč. dodávky HI hmoty</t>
  </si>
  <si>
    <t>, tl. 2 mm</t>
  </si>
  <si>
    <t>koupelna podlaha</t>
  </si>
  <si>
    <t>(2,1+1,7)*2*0,3-0,7*0,3</t>
  </si>
  <si>
    <t>sokl</t>
  </si>
  <si>
    <t>(0,9+1,2+0,9)*2,1</t>
  </si>
  <si>
    <t>sprcha svisle</t>
  </si>
  <si>
    <t>45</t>
  </si>
  <si>
    <t>711212601RT2</t>
  </si>
  <si>
    <t>Utěsnění detailů při stěrkových hydroizolacích, těsnicí pás do spoje podlaha - stěna</t>
  </si>
  <si>
    <t>šířka 100 mm</t>
  </si>
  <si>
    <t>(2,1+1,7)*2-0,7</t>
  </si>
  <si>
    <t>koupelna sokl</t>
  </si>
  <si>
    <t>2,1*2</t>
  </si>
  <si>
    <t>svisle sprcha</t>
  </si>
  <si>
    <t>46</t>
  </si>
  <si>
    <t>998711102R00</t>
  </si>
  <si>
    <t>Přesun hmot pro izolace proti vodě, výšky do 12 m</t>
  </si>
  <si>
    <t>721</t>
  </si>
  <si>
    <t>Vnitřní kanalizace</t>
  </si>
  <si>
    <t>47</t>
  </si>
  <si>
    <t>721140935R00</t>
  </si>
  <si>
    <t>Provedení opravy vnitřní kanalizace, potrubí litinové, přechod z plastových trub na litinu,DN 100 mm</t>
  </si>
  <si>
    <t>721_</t>
  </si>
  <si>
    <t>_72_</t>
  </si>
  <si>
    <t>48</t>
  </si>
  <si>
    <t>721176103R00</t>
  </si>
  <si>
    <t>Potrubí HT připojovací, D 50 x 1,8 mm</t>
  </si>
  <si>
    <t>49</t>
  </si>
  <si>
    <t>721176105R00</t>
  </si>
  <si>
    <t>Potrubí HT připojovací, D 110 x 2,7 mm</t>
  </si>
  <si>
    <t>50</t>
  </si>
  <si>
    <t>721176115R00</t>
  </si>
  <si>
    <t>Potrubí HT odpadní svislé, D 110 x 2,7 mm</t>
  </si>
  <si>
    <t>51</t>
  </si>
  <si>
    <t>721194105R00</t>
  </si>
  <si>
    <t>Vyvedení odpadních výpustek, D 50 x 1,8 mm</t>
  </si>
  <si>
    <t>52</t>
  </si>
  <si>
    <t>721194109R00</t>
  </si>
  <si>
    <t>Vyvedení odpadních výpustek, D 110 x 2,3 mm</t>
  </si>
  <si>
    <t>53</t>
  </si>
  <si>
    <t>230120046R00</t>
  </si>
  <si>
    <t>Čištění potrubí profukováním nebo proplach. DN 100</t>
  </si>
  <si>
    <t>54</t>
  </si>
  <si>
    <t>721290111R00</t>
  </si>
  <si>
    <t>Zkouška těsnosti kanalizace vodou DN 125 mm</t>
  </si>
  <si>
    <t>55</t>
  </si>
  <si>
    <t>721176212R00</t>
  </si>
  <si>
    <t>Potrubí KG odpadní svislé, D 110 x 3,2 mm</t>
  </si>
  <si>
    <t>56</t>
  </si>
  <si>
    <t>998721102R00</t>
  </si>
  <si>
    <t>Přesun hmot pro vnitřní kanalizaci, výšky do 12 m</t>
  </si>
  <si>
    <t>722</t>
  </si>
  <si>
    <t>Vnitřní vodovod</t>
  </si>
  <si>
    <t>57</t>
  </si>
  <si>
    <t>722130801R00</t>
  </si>
  <si>
    <t>Demontáž potrubí ocelových závitových, DN 25 mm</t>
  </si>
  <si>
    <t>722_</t>
  </si>
  <si>
    <t>58</t>
  </si>
  <si>
    <t>722130913R00</t>
  </si>
  <si>
    <t>Provedení opravy závitového potrubí, přeřezání ocelové trubky do DN 25 mm</t>
  </si>
  <si>
    <t>59</t>
  </si>
  <si>
    <t>722260921R00</t>
  </si>
  <si>
    <t>Zpětná montáž vodoměrů závitových G 1/2"</t>
  </si>
  <si>
    <t>60</t>
  </si>
  <si>
    <t>722172631R00</t>
  </si>
  <si>
    <t>Potrubí plastové PP-R Instaplast, bez zednických výpomocí, D 20 x 3,4 mm, PN 20</t>
  </si>
  <si>
    <t>722220111R00</t>
  </si>
  <si>
    <t>Nástěnka K 247, pro výtokový ventil G 1/2"</t>
  </si>
  <si>
    <t>62</t>
  </si>
  <si>
    <t>722220121R00</t>
  </si>
  <si>
    <t>Nástěnka K 247, pro baterii G 1/2"</t>
  </si>
  <si>
    <t>pár</t>
  </si>
  <si>
    <t>722181214RT8</t>
  </si>
  <si>
    <t>Izolace návleková MIRELON PRO tl. stěny 20 mm</t>
  </si>
  <si>
    <t>vnitřní průměr 25 mm</t>
  </si>
  <si>
    <t>722190401R00</t>
  </si>
  <si>
    <t>Vyvedení a upevnění výpustek DN 15 mm</t>
  </si>
  <si>
    <t>65</t>
  </si>
  <si>
    <t>722290234R00</t>
  </si>
  <si>
    <t>Proplach a dezinfekce vodovodního potrubí DN 80 mm</t>
  </si>
  <si>
    <t>66</t>
  </si>
  <si>
    <t>722280106R00</t>
  </si>
  <si>
    <t>Tlaková zkouška vodovodního potrubí DN 32 mm</t>
  </si>
  <si>
    <t>67</t>
  </si>
  <si>
    <t>998722102R00</t>
  </si>
  <si>
    <t>Přesun hmot pro vnitřní vodovod, výšky do 12 m</t>
  </si>
  <si>
    <t>725</t>
  </si>
  <si>
    <t>Zařizovací předměty</t>
  </si>
  <si>
    <t>68</t>
  </si>
  <si>
    <t>725219401R00</t>
  </si>
  <si>
    <t>Montáž umyvadel na šrouby do zdiva</t>
  </si>
  <si>
    <t>soubor</t>
  </si>
  <si>
    <t>725_</t>
  </si>
  <si>
    <t>69</t>
  </si>
  <si>
    <t>725017162R00</t>
  </si>
  <si>
    <t>Umyvadlo na šrouby , 550 x 450 mm, bílé</t>
  </si>
  <si>
    <t>70</t>
  </si>
  <si>
    <t>725860213R00</t>
  </si>
  <si>
    <t>Sifon umyvadlový HL132, D 32/40 mm</t>
  </si>
  <si>
    <t>71</t>
  </si>
  <si>
    <t>725860107R00</t>
  </si>
  <si>
    <t>Uzávěrka zápachová umyvadlová T 1015, D 40 mm</t>
  </si>
  <si>
    <t>72</t>
  </si>
  <si>
    <t>725829301R00</t>
  </si>
  <si>
    <t>Montáž nástěnná baterie u umyvadla v koupelně</t>
  </si>
  <si>
    <t>73</t>
  </si>
  <si>
    <t>725849201R00</t>
  </si>
  <si>
    <t>Montáž baterií sprchových, pevná výška</t>
  </si>
  <si>
    <t>74</t>
  </si>
  <si>
    <t>725860181RT1</t>
  </si>
  <si>
    <t>Sifon pračkový HL404.1, D 40/50 mm nerezový</t>
  </si>
  <si>
    <t>podomít.uzáv. s přivzd.vent. krycí deska 225x100mm</t>
  </si>
  <si>
    <t>75</t>
  </si>
  <si>
    <t>725860222R00</t>
  </si>
  <si>
    <t>Sifon sprchový PP HL514SN, D 40/50 mm</t>
  </si>
  <si>
    <t>76</t>
  </si>
  <si>
    <t>725810402R00</t>
  </si>
  <si>
    <t>Ventil rohový bez přípojovací trubičky TE 66 G 1/2"</t>
  </si>
  <si>
    <t>77</t>
  </si>
  <si>
    <t>725823114RT1</t>
  </si>
  <si>
    <t>Baterie nástěnná koupelna umyvadlo</t>
  </si>
  <si>
    <t>78</t>
  </si>
  <si>
    <t>725845111R00</t>
  </si>
  <si>
    <t>Baterie sprchová nástěnná ruční, bez příslušenství</t>
  </si>
  <si>
    <t>79</t>
  </si>
  <si>
    <t>725814125R00</t>
  </si>
  <si>
    <t>Ventil pračkový   DN 20 mm</t>
  </si>
  <si>
    <t>80</t>
  </si>
  <si>
    <t>725119305R00</t>
  </si>
  <si>
    <t>Montáž klozetových mís kombinovaných</t>
  </si>
  <si>
    <t>81</t>
  </si>
  <si>
    <t>725013161R00</t>
  </si>
  <si>
    <t>Klozet kombi  , nádrž s armaturou, odpad šikmý</t>
  </si>
  <si>
    <t>82</t>
  </si>
  <si>
    <t>725291113R00</t>
  </si>
  <si>
    <t>Madlo rovné bílé Novaservis dl. 500 mm</t>
  </si>
  <si>
    <t>83</t>
  </si>
  <si>
    <t>55423054.</t>
  </si>
  <si>
    <t>Sprchová vanička litý mramor 1200x800 mm, dle vzorkování</t>
  </si>
  <si>
    <t>84</t>
  </si>
  <si>
    <t>55484470.</t>
  </si>
  <si>
    <t>Sprchová zástěna dle vzorkování</t>
  </si>
  <si>
    <t>85</t>
  </si>
  <si>
    <t>725590812R00</t>
  </si>
  <si>
    <t>Přesun vybouraných hmot, zařizovací předměty H 12 m</t>
  </si>
  <si>
    <t>728</t>
  </si>
  <si>
    <t>Vzduchotechnika</t>
  </si>
  <si>
    <t>86</t>
  </si>
  <si>
    <t>Vzduchotechnika - odtah od odsavače</t>
  </si>
  <si>
    <t>728_</t>
  </si>
  <si>
    <t>87</t>
  </si>
  <si>
    <t>728415111R00</t>
  </si>
  <si>
    <t>Montáž mřížky větrací nebo ventilační do 0,04 m2</t>
  </si>
  <si>
    <t>88</t>
  </si>
  <si>
    <t>429727810</t>
  </si>
  <si>
    <t>Mřížka kruhová PVC průměr 100 mm</t>
  </si>
  <si>
    <t>735</t>
  </si>
  <si>
    <t>Otopná tělesa</t>
  </si>
  <si>
    <t>89</t>
  </si>
  <si>
    <t>730. 1</t>
  </si>
  <si>
    <t>Demont a zpětná montáž radiatorů ÚT</t>
  </si>
  <si>
    <t>735_</t>
  </si>
  <si>
    <t>_73_</t>
  </si>
  <si>
    <t>766</t>
  </si>
  <si>
    <t>Konstrukce truhlářské</t>
  </si>
  <si>
    <t>90</t>
  </si>
  <si>
    <t>766662811R00</t>
  </si>
  <si>
    <t>Demontáž prahů dveří 1křídlových</t>
  </si>
  <si>
    <t>766_</t>
  </si>
  <si>
    <t>_76_</t>
  </si>
  <si>
    <t>91</t>
  </si>
  <si>
    <t>766812840R00</t>
  </si>
  <si>
    <t>Demontáž kuchyňských linek do 2,1 m</t>
  </si>
  <si>
    <t>92</t>
  </si>
  <si>
    <t>766825821R00</t>
  </si>
  <si>
    <t>Demontáž vestavěných skříní 2křídlových</t>
  </si>
  <si>
    <t>93</t>
  </si>
  <si>
    <t>766661112R00</t>
  </si>
  <si>
    <t>Montáž dveří do zárubně,otevíravých 1kř.do 0,8 m</t>
  </si>
  <si>
    <t>94</t>
  </si>
  <si>
    <t>766661412R00</t>
  </si>
  <si>
    <t>Montáž dveří protipožár.1kř.do 80 cm, s kukátkem</t>
  </si>
  <si>
    <t>6116. 0</t>
  </si>
  <si>
    <t>Dveře vnitřní hladké plné, 1 křídl. bílé,  700 x 1970 mm, CPL, DTD výplň - vše dle standardů</t>
  </si>
  <si>
    <t>6116. 1</t>
  </si>
  <si>
    <t>Dveře vnitřní hladké 1 křídl. bílé, 2/3 sklo 800 x 1970 mm, CPL, DTD výplň, sklo bezpečnostní - vše dle standardů</t>
  </si>
  <si>
    <t>97</t>
  </si>
  <si>
    <t>6116. 2</t>
  </si>
  <si>
    <t>Dveře vnitřní vchodové  800 x 1970 mm, EW EI 30 min, bezpeč. kování a zámek, kukátko - vše dle standardů</t>
  </si>
  <si>
    <t>98</t>
  </si>
  <si>
    <t>766812114R00</t>
  </si>
  <si>
    <t>Montáž kuchyňských linek dřevěných linek š.do 2,1m</t>
  </si>
  <si>
    <t>766. 1</t>
  </si>
  <si>
    <t>Dodávka kuchyň. linka dle schématu  " kuchyně Libušínská "</t>
  </si>
  <si>
    <t>100</t>
  </si>
  <si>
    <t>766695212R00</t>
  </si>
  <si>
    <t>Montáž prahů dveří jednokřídlových š. do 10 cm</t>
  </si>
  <si>
    <t>101</t>
  </si>
  <si>
    <t>61187396</t>
  </si>
  <si>
    <t>Prah bukový dl. 800 mm, š. 100 mm, tl. 20 mm</t>
  </si>
  <si>
    <t>102</t>
  </si>
  <si>
    <t>766. 2</t>
  </si>
  <si>
    <t>Oprava plastového okna, seřízení, doplnění chybějících částí</t>
  </si>
  <si>
    <t>103</t>
  </si>
  <si>
    <t>998766102R00</t>
  </si>
  <si>
    <t>Přesun hmot pro truhlářské konstr., výšky do 12 m</t>
  </si>
  <si>
    <t>771</t>
  </si>
  <si>
    <t>Podlahy z dlaždic</t>
  </si>
  <si>
    <t>104</t>
  </si>
  <si>
    <t>771101210R00</t>
  </si>
  <si>
    <t>Penetrace podkladu pod dlažby</t>
  </si>
  <si>
    <t>771_</t>
  </si>
  <si>
    <t>_77_</t>
  </si>
  <si>
    <t>105</t>
  </si>
  <si>
    <t>771575109R00</t>
  </si>
  <si>
    <t>Montáž keramické dlažby, hladké, na tmel, 300 x 300 m</t>
  </si>
  <si>
    <t>3,57</t>
  </si>
  <si>
    <t>106</t>
  </si>
  <si>
    <t>771579791R00</t>
  </si>
  <si>
    <t>Příplatek za plochu podlah keram. do 5 m2 jednotl.</t>
  </si>
  <si>
    <t>107</t>
  </si>
  <si>
    <t>108</t>
  </si>
  <si>
    <t>59764231</t>
  </si>
  <si>
    <t>Dlažba protiskluzná 300 x 300 x 9 mm, dle vzorkování, dle standardů</t>
  </si>
  <si>
    <t>3,57*1,1</t>
  </si>
  <si>
    <t>109</t>
  </si>
  <si>
    <t>771578011R00</t>
  </si>
  <si>
    <t>Spára podlaha - stěna, silikonem</t>
  </si>
  <si>
    <t>(2,1+1,7)*2-0,6</t>
  </si>
  <si>
    <t>2,1*5</t>
  </si>
  <si>
    <t>svisle</t>
  </si>
  <si>
    <t>0,6</t>
  </si>
  <si>
    <t>kuch. linka</t>
  </si>
  <si>
    <t>110</t>
  </si>
  <si>
    <t>998771102R00</t>
  </si>
  <si>
    <t>Přesun hmot pro podlahy z dlaždic, výšky do 12 m</t>
  </si>
  <si>
    <t>776</t>
  </si>
  <si>
    <t>Podlahy povlakové</t>
  </si>
  <si>
    <t>111</t>
  </si>
  <si>
    <t>776401800R00</t>
  </si>
  <si>
    <t>Demontáž soklíků nebo lišt, pryžových nebo z PVC</t>
  </si>
  <si>
    <t>776_</t>
  </si>
  <si>
    <t>(3,46+4,4)*2-0,7</t>
  </si>
  <si>
    <t>(1,3+2,4)*2-0,7-0,8-0,6</t>
  </si>
  <si>
    <t>chodba</t>
  </si>
  <si>
    <t>112</t>
  </si>
  <si>
    <t>776511810R00</t>
  </si>
  <si>
    <t>Odstranění PVC a koberců lepených bez podložky</t>
  </si>
  <si>
    <t>14,2</t>
  </si>
  <si>
    <t>pokoj</t>
  </si>
  <si>
    <t>3,12</t>
  </si>
  <si>
    <t>113</t>
  </si>
  <si>
    <t>776421100RU1</t>
  </si>
  <si>
    <t>Lepení podlahových soklíků z PVC a vinylu</t>
  </si>
  <si>
    <t>včetně dodávky soklíku PVC</t>
  </si>
  <si>
    <t>(1,26+1,7)*2-0,8*2-0,7</t>
  </si>
  <si>
    <t>(3,46+4,3)*2-0,8</t>
  </si>
  <si>
    <t>114</t>
  </si>
  <si>
    <t>776521200R00</t>
  </si>
  <si>
    <t>Lepení povlakových podlah z dílců PVC a CV (vinyl)</t>
  </si>
  <si>
    <t>2,2+14,88</t>
  </si>
  <si>
    <t>115</t>
  </si>
  <si>
    <t>28412231</t>
  </si>
  <si>
    <t>Podlahovina PVC dle Standardu a vzorkování</t>
  </si>
  <si>
    <t>17,08*1,1</t>
  </si>
  <si>
    <t>116</t>
  </si>
  <si>
    <t>776. 1</t>
  </si>
  <si>
    <t>Provedení spoje PVC - dlažba bez přechodových lišt</t>
  </si>
  <si>
    <t>ks</t>
  </si>
  <si>
    <t>117</t>
  </si>
  <si>
    <t>998776102R00</t>
  </si>
  <si>
    <t>Přesun hmot pro podlahy povlakové, výšky do 12 m</t>
  </si>
  <si>
    <t>781</t>
  </si>
  <si>
    <t>Obklady (keramické)</t>
  </si>
  <si>
    <t>118</t>
  </si>
  <si>
    <t>781475115R00</t>
  </si>
  <si>
    <t>Obklad vnitřní stěn keramický, do tmele, 25x25 cm</t>
  </si>
  <si>
    <t>781_</t>
  </si>
  <si>
    <t>_78_</t>
  </si>
  <si>
    <t>(2,1+1,7)*2*2,1-0,7*2</t>
  </si>
  <si>
    <t>(2,6+0,8)*0,6</t>
  </si>
  <si>
    <t>0,6*0,85+0,2*0,85</t>
  </si>
  <si>
    <t>119</t>
  </si>
  <si>
    <t>781419711R00</t>
  </si>
  <si>
    <t>Příplatek k obkladu stěn za plochu do 10 m2 jedntl</t>
  </si>
  <si>
    <t>120</t>
  </si>
  <si>
    <t>781111111R00</t>
  </si>
  <si>
    <t>Řezání obkladaček diamantovým kotoučem</t>
  </si>
  <si>
    <t>5*2,1</t>
  </si>
  <si>
    <t>121</t>
  </si>
  <si>
    <t>781111116R00</t>
  </si>
  <si>
    <t>Otvor v obkladačce diamant.korunkou prům.do 90 mm</t>
  </si>
  <si>
    <t>122</t>
  </si>
  <si>
    <t>597813605</t>
  </si>
  <si>
    <t>Obkládačka  200 x 250 mm - dle vzorkovámí</t>
  </si>
  <si>
    <t>16,44*1,15</t>
  </si>
  <si>
    <t>123</t>
  </si>
  <si>
    <t>781497132RS4</t>
  </si>
  <si>
    <t>Lišta nerezová rohová k obkladům - vše dle standardů, dle vzorkování</t>
  </si>
  <si>
    <t>profil IL, pro tloušťku obkladu 10 mm</t>
  </si>
  <si>
    <t>124</t>
  </si>
  <si>
    <t>998781102R00</t>
  </si>
  <si>
    <t>Přesun hmot pro obklady keramické, výšky do 12 m</t>
  </si>
  <si>
    <t>783</t>
  </si>
  <si>
    <t>Nátěry</t>
  </si>
  <si>
    <t>125</t>
  </si>
  <si>
    <t>783222100RV1</t>
  </si>
  <si>
    <t>Nátěr syntetický kovových konstrukcí dvojnásobný</t>
  </si>
  <si>
    <t>783_</t>
  </si>
  <si>
    <t>zárubně - vše dle standardů</t>
  </si>
  <si>
    <t>126</t>
  </si>
  <si>
    <t>783601813R00</t>
  </si>
  <si>
    <t>Očištění radiátorů před nátěrem</t>
  </si>
  <si>
    <t>127</t>
  </si>
  <si>
    <t>783. 1</t>
  </si>
  <si>
    <t>Očištění + Nátěr krycího plechu dešťové kanalizace v chodbě</t>
  </si>
  <si>
    <t>128</t>
  </si>
  <si>
    <t>783324140R00</t>
  </si>
  <si>
    <t>Nátěr syntetický litin. radiátorů 1x + 1x email</t>
  </si>
  <si>
    <t>784</t>
  </si>
  <si>
    <t>Malby</t>
  </si>
  <si>
    <t>129</t>
  </si>
  <si>
    <t>784402801R00</t>
  </si>
  <si>
    <t>Odstranění malby oškrábáním v místnosti H do 3,8 m</t>
  </si>
  <si>
    <t>784_</t>
  </si>
  <si>
    <t>(3,46+6,1)*2*2,6-2,1*1,5-0,8*2</t>
  </si>
  <si>
    <t>stáv. stěny</t>
  </si>
  <si>
    <t>130</t>
  </si>
  <si>
    <t>784161401R00</t>
  </si>
  <si>
    <t>Penetrace podkladu nátěrem , 1 x</t>
  </si>
  <si>
    <t>131</t>
  </si>
  <si>
    <t>784165512R00</t>
  </si>
  <si>
    <t>Malba  bílá, bez penetrace, 2 x</t>
  </si>
  <si>
    <t>M21</t>
  </si>
  <si>
    <t>Elektromontáže</t>
  </si>
  <si>
    <t>132</t>
  </si>
  <si>
    <t>210. 1</t>
  </si>
  <si>
    <t>Montáž sporáku</t>
  </si>
  <si>
    <t>M21_</t>
  </si>
  <si>
    <t>133</t>
  </si>
  <si>
    <t>210. 2</t>
  </si>
  <si>
    <t>Sporák elektrický</t>
  </si>
  <si>
    <t>134</t>
  </si>
  <si>
    <t>210. 3</t>
  </si>
  <si>
    <t>D + M elektroinstalace dle PD</t>
  </si>
  <si>
    <t>135</t>
  </si>
  <si>
    <t>210. 4</t>
  </si>
  <si>
    <t>D + M požární hlásič bateriový - životnost baterie min. 5 let</t>
  </si>
  <si>
    <t>VORN</t>
  </si>
  <si>
    <t>03VRN</t>
  </si>
  <si>
    <t>136</t>
  </si>
  <si>
    <t>030001VRN</t>
  </si>
  <si>
    <t>Soubor</t>
  </si>
  <si>
    <t>03VRN_</t>
  </si>
  <si>
    <t>_Â _</t>
  </si>
  <si>
    <t>06VRN</t>
  </si>
  <si>
    <t>137</t>
  </si>
  <si>
    <t>065002VRN</t>
  </si>
  <si>
    <t>Mimostaveništní doprava</t>
  </si>
  <si>
    <t>06VRN_</t>
  </si>
</sst>
</file>

<file path=xl/styles.xml><?xml version="1.0" encoding="utf-8"?>
<styleSheet xmlns="http://schemas.openxmlformats.org/spreadsheetml/2006/main">
  <fonts count="15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sz val="10"/>
      <color rgb="FF400040"/>
      <name val="Arial"/>
      <charset val="238"/>
    </font>
    <font>
      <b/>
      <sz val="10"/>
      <color rgb="FF400040"/>
      <name val="Arial"/>
      <charset val="238"/>
    </font>
    <font>
      <i/>
      <sz val="10"/>
      <color rgb="FF400040"/>
      <name val="Arial"/>
      <charset val="238"/>
    </font>
    <font>
      <i/>
      <sz val="10"/>
      <color rgb="FF0000FF"/>
      <name val="Arial"/>
      <charset val="238"/>
    </font>
    <font>
      <i/>
      <sz val="10"/>
      <color rgb="FF00000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EAEAEA"/>
        <bgColor rgb="FFEAEAEA"/>
      </patternFill>
    </fill>
    <fill>
      <patternFill patternType="solid">
        <fgColor rgb="FFCCFFFF"/>
        <bgColor rgb="FFCCFFFF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4" fontId="8" fillId="0" borderId="16" xfId="0" applyNumberFormat="1" applyFont="1" applyFill="1" applyBorder="1" applyAlignment="1" applyProtection="1">
      <alignment horizontal="right" vertical="center"/>
    </xf>
    <xf numFmtId="0" fontId="8" fillId="0" borderId="16" xfId="0" applyNumberFormat="1" applyFont="1" applyFill="1" applyBorder="1" applyAlignment="1" applyProtection="1">
      <alignment horizontal="right" vertical="center"/>
    </xf>
    <xf numFmtId="0" fontId="7" fillId="0" borderId="19" xfId="0" applyNumberFormat="1" applyFont="1" applyFill="1" applyBorder="1" applyAlignment="1" applyProtection="1">
      <alignment horizontal="lef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0" fontId="8" fillId="0" borderId="23" xfId="0" applyNumberFormat="1" applyFont="1" applyFill="1" applyBorder="1" applyAlignment="1" applyProtection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8" fillId="0" borderId="26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7" fillId="2" borderId="18" xfId="0" applyNumberFormat="1" applyFont="1" applyFill="1" applyBorder="1" applyAlignment="1" applyProtection="1">
      <alignment horizontal="right" vertical="center"/>
    </xf>
    <xf numFmtId="0" fontId="9" fillId="0" borderId="40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49" xfId="0" applyNumberFormat="1" applyFont="1" applyFill="1" applyBorder="1" applyAlignment="1" applyProtection="1">
      <alignment horizontal="right" vertical="center"/>
    </xf>
    <xf numFmtId="0" fontId="2" fillId="0" borderId="49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right" vertical="center"/>
    </xf>
    <xf numFmtId="4" fontId="3" fillId="0" borderId="5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56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center" vertical="center"/>
    </xf>
    <xf numFmtId="0" fontId="3" fillId="3" borderId="60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0" fillId="0" borderId="62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3" xfId="0" applyNumberFormat="1" applyFont="1" applyFill="1" applyBorder="1" applyAlignment="1" applyProtection="1">
      <alignment horizontal="left" vertical="center"/>
    </xf>
    <xf numFmtId="0" fontId="2" fillId="0" borderId="64" xfId="0" applyNumberFormat="1" applyFont="1" applyFill="1" applyBorder="1" applyAlignment="1" applyProtection="1">
      <alignment horizontal="left" vertical="center"/>
    </xf>
    <xf numFmtId="0" fontId="3" fillId="3" borderId="64" xfId="0" applyNumberFormat="1" applyFont="1" applyFill="1" applyBorder="1" applyAlignment="1" applyProtection="1">
      <alignment horizontal="center" vertical="center"/>
      <protection locked="0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/>
    <xf numFmtId="0" fontId="10" fillId="4" borderId="68" xfId="0" applyNumberFormat="1" applyFont="1" applyFill="1" applyBorder="1" applyAlignment="1" applyProtection="1">
      <alignment horizontal="left" vertical="center"/>
    </xf>
    <xf numFmtId="0" fontId="11" fillId="4" borderId="40" xfId="0" applyNumberFormat="1" applyFont="1" applyFill="1" applyBorder="1" applyAlignment="1" applyProtection="1">
      <alignment horizontal="left" vertical="center"/>
    </xf>
    <xf numFmtId="0" fontId="10" fillId="4" borderId="40" xfId="0" applyNumberFormat="1" applyFont="1" applyFill="1" applyBorder="1" applyAlignment="1" applyProtection="1">
      <alignment horizontal="left" vertical="center"/>
    </xf>
    <xf numFmtId="0" fontId="10" fillId="5" borderId="40" xfId="0" applyNumberFormat="1" applyFont="1" applyFill="1" applyBorder="1" applyAlignment="1" applyProtection="1">
      <alignment horizontal="left" vertical="center"/>
      <protection locked="0"/>
    </xf>
    <xf numFmtId="4" fontId="11" fillId="4" borderId="40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5" borderId="0" xfId="0" applyNumberFormat="1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2" fillId="3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4" fontId="3" fillId="0" borderId="69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horizontal="left" vertical="center"/>
    </xf>
    <xf numFmtId="0" fontId="8" fillId="0" borderId="24" xfId="0" applyNumberFormat="1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2" borderId="25" xfId="0" applyNumberFormat="1" applyFont="1" applyFill="1" applyBorder="1" applyAlignment="1" applyProtection="1">
      <alignment horizontal="left" vertical="center"/>
    </xf>
    <xf numFmtId="0" fontId="7" fillId="2" borderId="27" xfId="0" applyNumberFormat="1" applyFont="1" applyFill="1" applyBorder="1" applyAlignment="1" applyProtection="1">
      <alignment horizontal="left" vertical="center"/>
    </xf>
    <xf numFmtId="0" fontId="7" fillId="2" borderId="20" xfId="0" applyNumberFormat="1" applyFont="1" applyFill="1" applyBorder="1" applyAlignment="1" applyProtection="1">
      <alignment horizontal="left" vertical="center"/>
    </xf>
    <xf numFmtId="0" fontId="7" fillId="2" borderId="28" xfId="0" applyNumberFormat="1" applyFont="1" applyFill="1" applyBorder="1" applyAlignment="1" applyProtection="1">
      <alignment horizontal="left" vertical="center"/>
    </xf>
    <xf numFmtId="0" fontId="7" fillId="2" borderId="12" xfId="0" applyNumberFormat="1" applyFont="1" applyFill="1" applyBorder="1" applyAlignment="1" applyProtection="1">
      <alignment horizontal="left" vertical="center"/>
    </xf>
    <xf numFmtId="0" fontId="7" fillId="2" borderId="17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left" vertical="center"/>
    </xf>
    <xf numFmtId="0" fontId="8" fillId="0" borderId="30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7" fillId="0" borderId="41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0" borderId="46" xfId="0" applyNumberFormat="1" applyFont="1" applyFill="1" applyBorder="1" applyAlignment="1" applyProtection="1">
      <alignment horizontal="left" vertical="center"/>
    </xf>
    <xf numFmtId="0" fontId="2" fillId="0" borderId="47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horizontal="left" vertical="center"/>
    </xf>
    <xf numFmtId="0" fontId="7" fillId="0" borderId="51" xfId="0" applyNumberFormat="1" applyFont="1" applyFill="1" applyBorder="1" applyAlignment="1" applyProtection="1">
      <alignment horizontal="left" vertical="center"/>
    </xf>
    <xf numFmtId="0" fontId="7" fillId="0" borderId="52" xfId="0" applyNumberFormat="1" applyFont="1" applyFill="1" applyBorder="1" applyAlignment="1" applyProtection="1">
      <alignment horizontal="left" vertical="center"/>
    </xf>
    <xf numFmtId="4" fontId="7" fillId="0" borderId="54" xfId="0" applyNumberFormat="1" applyFont="1" applyFill="1" applyBorder="1" applyAlignment="1" applyProtection="1">
      <alignment horizontal="right" vertical="center"/>
    </xf>
    <xf numFmtId="0" fontId="7" fillId="0" borderId="51" xfId="0" applyNumberFormat="1" applyFont="1" applyFill="1" applyBorder="1" applyAlignment="1" applyProtection="1">
      <alignment horizontal="right" vertical="center"/>
    </xf>
    <xf numFmtId="0" fontId="7" fillId="0" borderId="52" xfId="0" applyNumberFormat="1" applyFont="1" applyFill="1" applyBorder="1" applyAlignment="1" applyProtection="1">
      <alignment horizontal="righ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3" borderId="41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NumberFormat="1" applyFont="1" applyFill="1" applyBorder="1" applyAlignment="1" applyProtection="1">
      <alignment horizontal="left" vertical="center"/>
      <protection locked="0"/>
    </xf>
    <xf numFmtId="0" fontId="2" fillId="3" borderId="8" xfId="0" applyNumberFormat="1" applyFont="1" applyFill="1" applyBorder="1" applyAlignment="1" applyProtection="1">
      <alignment horizontal="left" vertical="center"/>
      <protection locked="0"/>
    </xf>
    <xf numFmtId="0" fontId="2" fillId="3" borderId="9" xfId="0" applyNumberFormat="1" applyFont="1" applyFill="1" applyBorder="1" applyAlignment="1" applyProtection="1">
      <alignment horizontal="left" vertical="center"/>
      <protection locked="0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11" fillId="4" borderId="40" xfId="0" applyNumberFormat="1" applyFont="1" applyFill="1" applyBorder="1" applyAlignment="1" applyProtection="1">
      <alignment horizontal="left" vertical="center" wrapText="1"/>
    </xf>
    <xf numFmtId="0" fontId="11" fillId="4" borderId="4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3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6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abSelected="1" workbookViewId="0">
      <selection activeCell="A37" sqref="A37:I37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</row>
    <row r="2" spans="1:9">
      <c r="A2" s="67" t="s">
        <v>1</v>
      </c>
      <c r="B2" s="68"/>
      <c r="C2" s="76" t="str">
        <f>'Stavební rozpočet'!C2</f>
        <v>021-2024 Libušínská 204/13, byt č.18  1+kk</v>
      </c>
      <c r="D2" s="77"/>
      <c r="E2" s="74" t="s">
        <v>2</v>
      </c>
      <c r="F2" s="74" t="str">
        <f>'Stavební rozpočet'!I2</f>
        <v> </v>
      </c>
      <c r="G2" s="68"/>
      <c r="H2" s="74" t="s">
        <v>3</v>
      </c>
      <c r="I2" s="79" t="s">
        <v>4</v>
      </c>
    </row>
    <row r="3" spans="1:9" ht="15" customHeight="1">
      <c r="A3" s="69"/>
      <c r="B3" s="70"/>
      <c r="C3" s="78"/>
      <c r="D3" s="78"/>
      <c r="E3" s="70"/>
      <c r="F3" s="70"/>
      <c r="G3" s="70"/>
      <c r="H3" s="70"/>
      <c r="I3" s="80"/>
    </row>
    <row r="4" spans="1:9">
      <c r="A4" s="71" t="s">
        <v>5</v>
      </c>
      <c r="B4" s="70"/>
      <c r="C4" s="75" t="str">
        <f>'Stavební rozpočet'!C4</f>
        <v>stavební opravy</v>
      </c>
      <c r="D4" s="70"/>
      <c r="E4" s="75" t="s">
        <v>6</v>
      </c>
      <c r="F4" s="75" t="str">
        <f>'Stavební rozpočet'!I4</f>
        <v> </v>
      </c>
      <c r="G4" s="70"/>
      <c r="H4" s="75" t="s">
        <v>3</v>
      </c>
      <c r="I4" s="80" t="s">
        <v>4</v>
      </c>
    </row>
    <row r="5" spans="1:9" ht="15" customHeight="1">
      <c r="A5" s="69"/>
      <c r="B5" s="70"/>
      <c r="C5" s="70"/>
      <c r="D5" s="70"/>
      <c r="E5" s="70"/>
      <c r="F5" s="70"/>
      <c r="G5" s="70"/>
      <c r="H5" s="70"/>
      <c r="I5" s="80"/>
    </row>
    <row r="6" spans="1:9">
      <c r="A6" s="71" t="s">
        <v>7</v>
      </c>
      <c r="B6" s="70"/>
      <c r="C6" s="75" t="str">
        <f>'Stavební rozpočet'!C6</f>
        <v xml:space="preserve"> </v>
      </c>
      <c r="D6" s="70"/>
      <c r="E6" s="75" t="s">
        <v>8</v>
      </c>
      <c r="F6" s="75" t="str">
        <f>'Stavební rozpočet'!I6</f>
        <v> </v>
      </c>
      <c r="G6" s="70"/>
      <c r="H6" s="75" t="s">
        <v>3</v>
      </c>
      <c r="I6" s="80" t="s">
        <v>4</v>
      </c>
    </row>
    <row r="7" spans="1:9" ht="15" customHeight="1">
      <c r="A7" s="69"/>
      <c r="B7" s="70"/>
      <c r="C7" s="70"/>
      <c r="D7" s="70"/>
      <c r="E7" s="70"/>
      <c r="F7" s="70"/>
      <c r="G7" s="70"/>
      <c r="H7" s="70"/>
      <c r="I7" s="80"/>
    </row>
    <row r="8" spans="1:9">
      <c r="A8" s="71" t="s">
        <v>9</v>
      </c>
      <c r="B8" s="70"/>
      <c r="C8" s="75" t="str">
        <f>'Stavební rozpočet'!G4</f>
        <v xml:space="preserve"> </v>
      </c>
      <c r="D8" s="70"/>
      <c r="E8" s="75" t="s">
        <v>10</v>
      </c>
      <c r="F8" s="75" t="str">
        <f>'Stavební rozpočet'!G6</f>
        <v xml:space="preserve"> </v>
      </c>
      <c r="G8" s="70"/>
      <c r="H8" s="70" t="s">
        <v>11</v>
      </c>
      <c r="I8" s="81">
        <v>137</v>
      </c>
    </row>
    <row r="9" spans="1:9">
      <c r="A9" s="69"/>
      <c r="B9" s="70"/>
      <c r="C9" s="70"/>
      <c r="D9" s="70"/>
      <c r="E9" s="70"/>
      <c r="F9" s="70"/>
      <c r="G9" s="70"/>
      <c r="H9" s="70"/>
      <c r="I9" s="80"/>
    </row>
    <row r="10" spans="1:9">
      <c r="A10" s="71" t="s">
        <v>12</v>
      </c>
      <c r="B10" s="70"/>
      <c r="C10" s="75" t="str">
        <f>'Stavební rozpočet'!C8</f>
        <v xml:space="preserve"> </v>
      </c>
      <c r="D10" s="70"/>
      <c r="E10" s="75" t="s">
        <v>13</v>
      </c>
      <c r="F10" s="75" t="str">
        <f>'Stavební rozpočet'!I8</f>
        <v> </v>
      </c>
      <c r="G10" s="70"/>
      <c r="H10" s="70" t="s">
        <v>14</v>
      </c>
      <c r="I10" s="82">
        <f>'Stavební rozpočet'!G8</f>
        <v>0</v>
      </c>
    </row>
    <row r="11" spans="1:9">
      <c r="A11" s="72"/>
      <c r="B11" s="73"/>
      <c r="C11" s="73"/>
      <c r="D11" s="73"/>
      <c r="E11" s="73"/>
      <c r="F11" s="73"/>
      <c r="G11" s="73"/>
      <c r="H11" s="73"/>
      <c r="I11" s="83"/>
    </row>
    <row r="12" spans="1:9" ht="23.25">
      <c r="A12" s="84" t="s">
        <v>15</v>
      </c>
      <c r="B12" s="84"/>
      <c r="C12" s="84"/>
      <c r="D12" s="84"/>
      <c r="E12" s="84"/>
      <c r="F12" s="84"/>
      <c r="G12" s="84"/>
      <c r="H12" s="84"/>
      <c r="I12" s="84"/>
    </row>
    <row r="13" spans="1:9" ht="26.25" customHeight="1">
      <c r="A13" s="6" t="s">
        <v>16</v>
      </c>
      <c r="B13" s="85" t="s">
        <v>17</v>
      </c>
      <c r="C13" s="86"/>
      <c r="D13" s="7" t="s">
        <v>18</v>
      </c>
      <c r="E13" s="85" t="s">
        <v>19</v>
      </c>
      <c r="F13" s="86"/>
      <c r="G13" s="7" t="s">
        <v>20</v>
      </c>
      <c r="H13" s="85" t="s">
        <v>21</v>
      </c>
      <c r="I13" s="86"/>
    </row>
    <row r="14" spans="1:9" ht="15.75">
      <c r="A14" s="8" t="s">
        <v>22</v>
      </c>
      <c r="B14" s="9" t="s">
        <v>23</v>
      </c>
      <c r="C14" s="10">
        <f>SUM('Stavební rozpočet'!AB12:AB253)</f>
        <v>0</v>
      </c>
      <c r="D14" s="93" t="s">
        <v>24</v>
      </c>
      <c r="E14" s="94"/>
      <c r="F14" s="10">
        <f>VORN!I15</f>
        <v>0</v>
      </c>
      <c r="G14" s="93" t="s">
        <v>25</v>
      </c>
      <c r="H14" s="94"/>
      <c r="I14" s="11">
        <f>VORN!I21</f>
        <v>0</v>
      </c>
    </row>
    <row r="15" spans="1:9" ht="15.75">
      <c r="A15" s="12" t="s">
        <v>4</v>
      </c>
      <c r="B15" s="9" t="s">
        <v>26</v>
      </c>
      <c r="C15" s="10">
        <f>SUM('Stavební rozpočet'!AC12:AC253)</f>
        <v>0</v>
      </c>
      <c r="D15" s="93" t="s">
        <v>27</v>
      </c>
      <c r="E15" s="94"/>
      <c r="F15" s="10">
        <f>VORN!I16</f>
        <v>0</v>
      </c>
      <c r="G15" s="93" t="s">
        <v>28</v>
      </c>
      <c r="H15" s="94"/>
      <c r="I15" s="11">
        <f>VORN!I22</f>
        <v>0</v>
      </c>
    </row>
    <row r="16" spans="1:9" ht="15.75">
      <c r="A16" s="8" t="s">
        <v>29</v>
      </c>
      <c r="B16" s="9" t="s">
        <v>23</v>
      </c>
      <c r="C16" s="10">
        <f>SUM('Stavební rozpočet'!AD12:AD253)</f>
        <v>0</v>
      </c>
      <c r="D16" s="93" t="s">
        <v>30</v>
      </c>
      <c r="E16" s="94"/>
      <c r="F16" s="10">
        <f>VORN!I17</f>
        <v>0</v>
      </c>
      <c r="G16" s="93" t="s">
        <v>31</v>
      </c>
      <c r="H16" s="94"/>
      <c r="I16" s="11">
        <f>VORN!I23</f>
        <v>0</v>
      </c>
    </row>
    <row r="17" spans="1:9" ht="15.75">
      <c r="A17" s="12" t="s">
        <v>4</v>
      </c>
      <c r="B17" s="9" t="s">
        <v>26</v>
      </c>
      <c r="C17" s="10">
        <f>SUM('Stavební rozpočet'!AE12:AE253)</f>
        <v>0</v>
      </c>
      <c r="D17" s="93" t="s">
        <v>4</v>
      </c>
      <c r="E17" s="94"/>
      <c r="F17" s="11" t="s">
        <v>4</v>
      </c>
      <c r="G17" s="93" t="s">
        <v>32</v>
      </c>
      <c r="H17" s="94"/>
      <c r="I17" s="11">
        <f>VORN!I24</f>
        <v>0</v>
      </c>
    </row>
    <row r="18" spans="1:9" ht="15.75">
      <c r="A18" s="8" t="s">
        <v>33</v>
      </c>
      <c r="B18" s="9" t="s">
        <v>23</v>
      </c>
      <c r="C18" s="10">
        <f>SUM('Stavební rozpočet'!AF12:AF253)</f>
        <v>0</v>
      </c>
      <c r="D18" s="93" t="s">
        <v>4</v>
      </c>
      <c r="E18" s="94"/>
      <c r="F18" s="11" t="s">
        <v>4</v>
      </c>
      <c r="G18" s="93" t="s">
        <v>34</v>
      </c>
      <c r="H18" s="94"/>
      <c r="I18" s="11">
        <f>VORN!I25</f>
        <v>0</v>
      </c>
    </row>
    <row r="19" spans="1:9" ht="15.75">
      <c r="A19" s="12" t="s">
        <v>4</v>
      </c>
      <c r="B19" s="9" t="s">
        <v>26</v>
      </c>
      <c r="C19" s="10">
        <f>SUM('Stavební rozpočet'!AG12:AG253)</f>
        <v>0</v>
      </c>
      <c r="D19" s="93" t="s">
        <v>4</v>
      </c>
      <c r="E19" s="94"/>
      <c r="F19" s="11" t="s">
        <v>4</v>
      </c>
      <c r="G19" s="93" t="s">
        <v>35</v>
      </c>
      <c r="H19" s="94"/>
      <c r="I19" s="11">
        <f>VORN!I26</f>
        <v>0</v>
      </c>
    </row>
    <row r="20" spans="1:9" ht="15.75">
      <c r="A20" s="87" t="s">
        <v>36</v>
      </c>
      <c r="B20" s="88"/>
      <c r="C20" s="10">
        <f>SUM('Stavební rozpočet'!AH12:AH253)</f>
        <v>0</v>
      </c>
      <c r="D20" s="93" t="s">
        <v>4</v>
      </c>
      <c r="E20" s="94"/>
      <c r="F20" s="11" t="s">
        <v>4</v>
      </c>
      <c r="G20" s="93" t="s">
        <v>4</v>
      </c>
      <c r="H20" s="94"/>
      <c r="I20" s="11" t="s">
        <v>4</v>
      </c>
    </row>
    <row r="21" spans="1:9" ht="15.75">
      <c r="A21" s="89" t="s">
        <v>37</v>
      </c>
      <c r="B21" s="90"/>
      <c r="C21" s="13">
        <f>SUM('Stavební rozpočet'!Z12:Z253)</f>
        <v>0</v>
      </c>
      <c r="D21" s="95" t="s">
        <v>4</v>
      </c>
      <c r="E21" s="96"/>
      <c r="F21" s="14" t="s">
        <v>4</v>
      </c>
      <c r="G21" s="95" t="s">
        <v>4</v>
      </c>
      <c r="H21" s="96"/>
      <c r="I21" s="14" t="s">
        <v>4</v>
      </c>
    </row>
    <row r="22" spans="1:9" ht="16.5" customHeight="1">
      <c r="A22" s="91" t="s">
        <v>38</v>
      </c>
      <c r="B22" s="92"/>
      <c r="C22" s="15">
        <f>SUM(C14:C21)</f>
        <v>0</v>
      </c>
      <c r="D22" s="97" t="s">
        <v>39</v>
      </c>
      <c r="E22" s="92"/>
      <c r="F22" s="15">
        <f>SUM(F14:F21)</f>
        <v>0</v>
      </c>
      <c r="G22" s="97" t="s">
        <v>40</v>
      </c>
      <c r="H22" s="92"/>
      <c r="I22" s="15">
        <f>SUM(I14:I21)</f>
        <v>0</v>
      </c>
    </row>
    <row r="23" spans="1:9" ht="15.75">
      <c r="D23" s="87" t="s">
        <v>41</v>
      </c>
      <c r="E23" s="88"/>
      <c r="F23" s="16">
        <v>0</v>
      </c>
      <c r="G23" s="98" t="s">
        <v>42</v>
      </c>
      <c r="H23" s="88"/>
      <c r="I23" s="10">
        <v>0</v>
      </c>
    </row>
    <row r="24" spans="1:9" ht="15.75">
      <c r="G24" s="87" t="s">
        <v>43</v>
      </c>
      <c r="H24" s="88"/>
      <c r="I24" s="13">
        <f>vorn_sum</f>
        <v>0</v>
      </c>
    </row>
    <row r="25" spans="1:9" ht="15.75">
      <c r="G25" s="87" t="s">
        <v>44</v>
      </c>
      <c r="H25" s="88"/>
      <c r="I25" s="15">
        <v>0</v>
      </c>
    </row>
    <row r="27" spans="1:9" ht="15.75">
      <c r="A27" s="99" t="s">
        <v>45</v>
      </c>
      <c r="B27" s="100"/>
      <c r="C27" s="17">
        <f>SUM('Stavební rozpočet'!AJ12:AJ253)</f>
        <v>0</v>
      </c>
    </row>
    <row r="28" spans="1:9" ht="15.75">
      <c r="A28" s="101" t="s">
        <v>46</v>
      </c>
      <c r="B28" s="102"/>
      <c r="C28" s="18">
        <f>SUM('Stavební rozpočet'!AK12:AK253)</f>
        <v>0</v>
      </c>
      <c r="D28" s="103" t="s">
        <v>47</v>
      </c>
      <c r="E28" s="100"/>
      <c r="F28" s="17">
        <f>ROUND(C28*(12/100),2)</f>
        <v>0</v>
      </c>
      <c r="G28" s="103" t="s">
        <v>48</v>
      </c>
      <c r="H28" s="100"/>
      <c r="I28" s="17">
        <f>SUM(C27:C29)</f>
        <v>0</v>
      </c>
    </row>
    <row r="29" spans="1:9" ht="15.75">
      <c r="A29" s="101" t="s">
        <v>49</v>
      </c>
      <c r="B29" s="102"/>
      <c r="C29" s="18">
        <f>SUM('Stavební rozpočet'!AL12:AL253)</f>
        <v>0</v>
      </c>
      <c r="D29" s="104" t="s">
        <v>50</v>
      </c>
      <c r="E29" s="102"/>
      <c r="F29" s="18">
        <f>ROUND(C29*(21/100),2)</f>
        <v>0</v>
      </c>
      <c r="G29" s="104" t="s">
        <v>51</v>
      </c>
      <c r="H29" s="102"/>
      <c r="I29" s="18">
        <f>ROUND(SUM(F28:F29)+I28,0)</f>
        <v>0</v>
      </c>
    </row>
    <row r="31" spans="1:9">
      <c r="A31" s="105" t="s">
        <v>52</v>
      </c>
      <c r="B31" s="106"/>
      <c r="C31" s="107"/>
      <c r="D31" s="114" t="s">
        <v>53</v>
      </c>
      <c r="E31" s="106"/>
      <c r="F31" s="107"/>
      <c r="G31" s="114" t="s">
        <v>54</v>
      </c>
      <c r="H31" s="106"/>
      <c r="I31" s="107"/>
    </row>
    <row r="32" spans="1:9">
      <c r="A32" s="108" t="s">
        <v>4</v>
      </c>
      <c r="B32" s="109"/>
      <c r="C32" s="110"/>
      <c r="D32" s="115" t="s">
        <v>4</v>
      </c>
      <c r="E32" s="109"/>
      <c r="F32" s="110"/>
      <c r="G32" s="115" t="s">
        <v>4</v>
      </c>
      <c r="H32" s="109"/>
      <c r="I32" s="110"/>
    </row>
    <row r="33" spans="1:9">
      <c r="A33" s="108" t="s">
        <v>4</v>
      </c>
      <c r="B33" s="109"/>
      <c r="C33" s="110"/>
      <c r="D33" s="115" t="s">
        <v>4</v>
      </c>
      <c r="E33" s="109"/>
      <c r="F33" s="110"/>
      <c r="G33" s="115" t="s">
        <v>4</v>
      </c>
      <c r="H33" s="109"/>
      <c r="I33" s="110"/>
    </row>
    <row r="34" spans="1:9">
      <c r="A34" s="108" t="s">
        <v>4</v>
      </c>
      <c r="B34" s="109"/>
      <c r="C34" s="110"/>
      <c r="D34" s="115" t="s">
        <v>4</v>
      </c>
      <c r="E34" s="109"/>
      <c r="F34" s="110"/>
      <c r="G34" s="115" t="s">
        <v>4</v>
      </c>
      <c r="H34" s="109"/>
      <c r="I34" s="110"/>
    </row>
    <row r="35" spans="1:9">
      <c r="A35" s="111" t="s">
        <v>55</v>
      </c>
      <c r="B35" s="112"/>
      <c r="C35" s="113"/>
      <c r="D35" s="116" t="s">
        <v>55</v>
      </c>
      <c r="E35" s="112"/>
      <c r="F35" s="113"/>
      <c r="G35" s="116" t="s">
        <v>55</v>
      </c>
      <c r="H35" s="112"/>
      <c r="I35" s="113"/>
    </row>
    <row r="36" spans="1:9">
      <c r="A36" s="19" t="s">
        <v>56</v>
      </c>
    </row>
    <row r="37" spans="1:9" ht="12.75" customHeight="1">
      <c r="A37" s="75" t="s">
        <v>4</v>
      </c>
      <c r="B37" s="70"/>
      <c r="C37" s="70"/>
      <c r="D37" s="70"/>
      <c r="E37" s="70"/>
      <c r="F37" s="70"/>
      <c r="G37" s="70"/>
      <c r="H37" s="70"/>
      <c r="I37" s="70"/>
    </row>
  </sheetData>
  <sheetProtection password="CF7A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>
      <c r="A1" s="65" t="s">
        <v>57</v>
      </c>
      <c r="B1" s="66"/>
      <c r="C1" s="66"/>
      <c r="D1" s="66"/>
      <c r="E1" s="66"/>
      <c r="F1" s="66"/>
      <c r="G1" s="66"/>
      <c r="H1" s="66"/>
      <c r="I1" s="66"/>
    </row>
    <row r="2" spans="1:9">
      <c r="A2" s="67" t="s">
        <v>1</v>
      </c>
      <c r="B2" s="68"/>
      <c r="C2" s="76" t="str">
        <f>'Stavební rozpočet'!C2</f>
        <v>021-2024 Libušínská 204/13, byt č.18  1+kk</v>
      </c>
      <c r="D2" s="77"/>
      <c r="E2" s="74" t="s">
        <v>2</v>
      </c>
      <c r="F2" s="74" t="str">
        <f>'Stavební rozpočet'!I2</f>
        <v> </v>
      </c>
      <c r="G2" s="68"/>
      <c r="H2" s="74" t="s">
        <v>3</v>
      </c>
      <c r="I2" s="79" t="s">
        <v>4</v>
      </c>
    </row>
    <row r="3" spans="1:9" ht="15" customHeight="1">
      <c r="A3" s="69"/>
      <c r="B3" s="70"/>
      <c r="C3" s="78"/>
      <c r="D3" s="78"/>
      <c r="E3" s="70"/>
      <c r="F3" s="70"/>
      <c r="G3" s="70"/>
      <c r="H3" s="70"/>
      <c r="I3" s="80"/>
    </row>
    <row r="4" spans="1:9">
      <c r="A4" s="71" t="s">
        <v>5</v>
      </c>
      <c r="B4" s="70"/>
      <c r="C4" s="75" t="str">
        <f>'Stavební rozpočet'!C4</f>
        <v>stavební opravy</v>
      </c>
      <c r="D4" s="70"/>
      <c r="E4" s="75" t="s">
        <v>6</v>
      </c>
      <c r="F4" s="75" t="str">
        <f>'Stavební rozpočet'!I4</f>
        <v> </v>
      </c>
      <c r="G4" s="70"/>
      <c r="H4" s="75" t="s">
        <v>3</v>
      </c>
      <c r="I4" s="80" t="s">
        <v>4</v>
      </c>
    </row>
    <row r="5" spans="1:9" ht="15" customHeight="1">
      <c r="A5" s="69"/>
      <c r="B5" s="70"/>
      <c r="C5" s="70"/>
      <c r="D5" s="70"/>
      <c r="E5" s="70"/>
      <c r="F5" s="70"/>
      <c r="G5" s="70"/>
      <c r="H5" s="70"/>
      <c r="I5" s="80"/>
    </row>
    <row r="6" spans="1:9">
      <c r="A6" s="71" t="s">
        <v>7</v>
      </c>
      <c r="B6" s="70"/>
      <c r="C6" s="75" t="str">
        <f>'Stavební rozpočet'!C6</f>
        <v xml:space="preserve"> </v>
      </c>
      <c r="D6" s="70"/>
      <c r="E6" s="75" t="s">
        <v>8</v>
      </c>
      <c r="F6" s="75" t="str">
        <f>'Stavební rozpočet'!I6</f>
        <v> </v>
      </c>
      <c r="G6" s="70"/>
      <c r="H6" s="75" t="s">
        <v>3</v>
      </c>
      <c r="I6" s="80" t="s">
        <v>4</v>
      </c>
    </row>
    <row r="7" spans="1:9" ht="15" customHeight="1">
      <c r="A7" s="69"/>
      <c r="B7" s="70"/>
      <c r="C7" s="70"/>
      <c r="D7" s="70"/>
      <c r="E7" s="70"/>
      <c r="F7" s="70"/>
      <c r="G7" s="70"/>
      <c r="H7" s="70"/>
      <c r="I7" s="80"/>
    </row>
    <row r="8" spans="1:9">
      <c r="A8" s="71" t="s">
        <v>9</v>
      </c>
      <c r="B8" s="70"/>
      <c r="C8" s="75" t="str">
        <f>'Stavební rozpočet'!G4</f>
        <v xml:space="preserve"> </v>
      </c>
      <c r="D8" s="70"/>
      <c r="E8" s="75" t="s">
        <v>10</v>
      </c>
      <c r="F8" s="75" t="str">
        <f>'Stavební rozpočet'!G6</f>
        <v xml:space="preserve"> </v>
      </c>
      <c r="G8" s="70"/>
      <c r="H8" s="70" t="s">
        <v>11</v>
      </c>
      <c r="I8" s="81">
        <v>137</v>
      </c>
    </row>
    <row r="9" spans="1:9">
      <c r="A9" s="69"/>
      <c r="B9" s="70"/>
      <c r="C9" s="70"/>
      <c r="D9" s="70"/>
      <c r="E9" s="70"/>
      <c r="F9" s="70"/>
      <c r="G9" s="70"/>
      <c r="H9" s="70"/>
      <c r="I9" s="80"/>
    </row>
    <row r="10" spans="1:9">
      <c r="A10" s="71" t="s">
        <v>12</v>
      </c>
      <c r="B10" s="70"/>
      <c r="C10" s="75" t="str">
        <f>'Stavební rozpočet'!C8</f>
        <v xml:space="preserve"> </v>
      </c>
      <c r="D10" s="70"/>
      <c r="E10" s="75" t="s">
        <v>13</v>
      </c>
      <c r="F10" s="75" t="str">
        <f>'Stavební rozpočet'!I8</f>
        <v> </v>
      </c>
      <c r="G10" s="70"/>
      <c r="H10" s="70" t="s">
        <v>14</v>
      </c>
      <c r="I10" s="82">
        <f>'Stavební rozpočet'!G8</f>
        <v>0</v>
      </c>
    </row>
    <row r="11" spans="1:9">
      <c r="A11" s="72"/>
      <c r="B11" s="73"/>
      <c r="C11" s="73"/>
      <c r="D11" s="73"/>
      <c r="E11" s="73"/>
      <c r="F11" s="73"/>
      <c r="G11" s="73"/>
      <c r="H11" s="73"/>
      <c r="I11" s="83"/>
    </row>
    <row r="13" spans="1:9" ht="15.75">
      <c r="A13" s="117" t="s">
        <v>58</v>
      </c>
      <c r="B13" s="117"/>
      <c r="C13" s="117"/>
      <c r="D13" s="117"/>
      <c r="E13" s="117"/>
    </row>
    <row r="14" spans="1:9">
      <c r="A14" s="118" t="s">
        <v>59</v>
      </c>
      <c r="B14" s="119"/>
      <c r="C14" s="119"/>
      <c r="D14" s="119"/>
      <c r="E14" s="120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>
      <c r="A15" s="121" t="s">
        <v>24</v>
      </c>
      <c r="B15" s="122"/>
      <c r="C15" s="122"/>
      <c r="D15" s="122"/>
      <c r="E15" s="123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>
      <c r="A16" s="121" t="s">
        <v>27</v>
      </c>
      <c r="B16" s="122"/>
      <c r="C16" s="122"/>
      <c r="D16" s="122"/>
      <c r="E16" s="123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>
      <c r="A17" s="124" t="s">
        <v>30</v>
      </c>
      <c r="B17" s="125"/>
      <c r="C17" s="125"/>
      <c r="D17" s="125"/>
      <c r="E17" s="126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>
      <c r="A18" s="127" t="s">
        <v>63</v>
      </c>
      <c r="B18" s="128"/>
      <c r="C18" s="128"/>
      <c r="D18" s="128"/>
      <c r="E18" s="129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>
      <c r="A20" s="118" t="s">
        <v>21</v>
      </c>
      <c r="B20" s="119"/>
      <c r="C20" s="119"/>
      <c r="D20" s="119"/>
      <c r="E20" s="120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>
      <c r="A21" s="121" t="s">
        <v>25</v>
      </c>
      <c r="B21" s="122"/>
      <c r="C21" s="122"/>
      <c r="D21" s="122"/>
      <c r="E21" s="123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>
      <c r="A22" s="121" t="s">
        <v>28</v>
      </c>
      <c r="B22" s="122"/>
      <c r="C22" s="122"/>
      <c r="D22" s="122"/>
      <c r="E22" s="123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>
      <c r="A23" s="121" t="s">
        <v>31</v>
      </c>
      <c r="B23" s="122"/>
      <c r="C23" s="122"/>
      <c r="D23" s="122"/>
      <c r="E23" s="123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>
      <c r="A24" s="121" t="s">
        <v>32</v>
      </c>
      <c r="B24" s="122"/>
      <c r="C24" s="122"/>
      <c r="D24" s="122"/>
      <c r="E24" s="123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>
      <c r="A25" s="121" t="s">
        <v>34</v>
      </c>
      <c r="B25" s="122"/>
      <c r="C25" s="122"/>
      <c r="D25" s="122"/>
      <c r="E25" s="123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>
      <c r="A26" s="124" t="s">
        <v>35</v>
      </c>
      <c r="B26" s="125"/>
      <c r="C26" s="125"/>
      <c r="D26" s="125"/>
      <c r="E26" s="126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>
      <c r="A27" s="127" t="s">
        <v>64</v>
      </c>
      <c r="B27" s="128"/>
      <c r="C27" s="128"/>
      <c r="D27" s="128"/>
      <c r="E27" s="129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>
      <c r="A29" s="130" t="s">
        <v>65</v>
      </c>
      <c r="B29" s="131"/>
      <c r="C29" s="131"/>
      <c r="D29" s="131"/>
      <c r="E29" s="132"/>
      <c r="F29" s="133">
        <f>I18+I27</f>
        <v>0</v>
      </c>
      <c r="G29" s="134"/>
      <c r="H29" s="134"/>
      <c r="I29" s="135"/>
    </row>
    <row r="33" spans="1:9" ht="15.75">
      <c r="A33" s="117" t="s">
        <v>66</v>
      </c>
      <c r="B33" s="117"/>
      <c r="C33" s="117"/>
      <c r="D33" s="117"/>
      <c r="E33" s="117"/>
    </row>
    <row r="34" spans="1:9">
      <c r="A34" s="118" t="s">
        <v>67</v>
      </c>
      <c r="B34" s="119"/>
      <c r="C34" s="119"/>
      <c r="D34" s="119"/>
      <c r="E34" s="120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>
      <c r="A35" s="121" t="s">
        <v>68</v>
      </c>
      <c r="B35" s="122"/>
      <c r="C35" s="122"/>
      <c r="D35" s="122"/>
      <c r="E35" s="123"/>
      <c r="F35" s="21">
        <f>SUM('Stavební rozpočet'!BM12:BM253)</f>
        <v>0</v>
      </c>
      <c r="G35" s="22" t="s">
        <v>4</v>
      </c>
      <c r="H35" s="22" t="s">
        <v>4</v>
      </c>
      <c r="I35" s="21">
        <f t="shared" ref="I35:I44" si="1">F35</f>
        <v>0</v>
      </c>
    </row>
    <row r="36" spans="1:9">
      <c r="A36" s="121" t="s">
        <v>69</v>
      </c>
      <c r="B36" s="122"/>
      <c r="C36" s="122"/>
      <c r="D36" s="122"/>
      <c r="E36" s="123"/>
      <c r="F36" s="21">
        <f>SUM('Stavební rozpočet'!BN12:BN253)</f>
        <v>0</v>
      </c>
      <c r="G36" s="22" t="s">
        <v>4</v>
      </c>
      <c r="H36" s="22" t="s">
        <v>4</v>
      </c>
      <c r="I36" s="21">
        <f t="shared" si="1"/>
        <v>0</v>
      </c>
    </row>
    <row r="37" spans="1:9">
      <c r="A37" s="121" t="s">
        <v>25</v>
      </c>
      <c r="B37" s="122"/>
      <c r="C37" s="122"/>
      <c r="D37" s="122"/>
      <c r="E37" s="123"/>
      <c r="F37" s="21">
        <f>SUM('Stavební rozpočet'!BO12:BO253)</f>
        <v>0</v>
      </c>
      <c r="G37" s="22" t="s">
        <v>4</v>
      </c>
      <c r="H37" s="22" t="s">
        <v>4</v>
      </c>
      <c r="I37" s="21">
        <f t="shared" si="1"/>
        <v>0</v>
      </c>
    </row>
    <row r="38" spans="1:9">
      <c r="A38" s="121" t="s">
        <v>70</v>
      </c>
      <c r="B38" s="122"/>
      <c r="C38" s="122"/>
      <c r="D38" s="122"/>
      <c r="E38" s="123"/>
      <c r="F38" s="21">
        <f>SUM('Stavební rozpočet'!BP12:BP253)</f>
        <v>0</v>
      </c>
      <c r="G38" s="22" t="s">
        <v>4</v>
      </c>
      <c r="H38" s="22" t="s">
        <v>4</v>
      </c>
      <c r="I38" s="21">
        <f t="shared" si="1"/>
        <v>0</v>
      </c>
    </row>
    <row r="39" spans="1:9">
      <c r="A39" s="121" t="s">
        <v>71</v>
      </c>
      <c r="B39" s="122"/>
      <c r="C39" s="122"/>
      <c r="D39" s="122"/>
      <c r="E39" s="123"/>
      <c r="F39" s="21">
        <f>SUM('Stavební rozpočet'!BQ12:BQ253)</f>
        <v>0</v>
      </c>
      <c r="G39" s="22" t="s">
        <v>4</v>
      </c>
      <c r="H39" s="22" t="s">
        <v>4</v>
      </c>
      <c r="I39" s="21">
        <f t="shared" si="1"/>
        <v>0</v>
      </c>
    </row>
    <row r="40" spans="1:9">
      <c r="A40" s="121" t="s">
        <v>31</v>
      </c>
      <c r="B40" s="122"/>
      <c r="C40" s="122"/>
      <c r="D40" s="122"/>
      <c r="E40" s="123"/>
      <c r="F40" s="21">
        <f>SUM('Stavební rozpočet'!BR12:BR253)</f>
        <v>0</v>
      </c>
      <c r="G40" s="22" t="s">
        <v>4</v>
      </c>
      <c r="H40" s="22" t="s">
        <v>4</v>
      </c>
      <c r="I40" s="21">
        <f t="shared" si="1"/>
        <v>0</v>
      </c>
    </row>
    <row r="41" spans="1:9">
      <c r="A41" s="121" t="s">
        <v>32</v>
      </c>
      <c r="B41" s="122"/>
      <c r="C41" s="122"/>
      <c r="D41" s="122"/>
      <c r="E41" s="123"/>
      <c r="F41" s="21">
        <f>SUM('Stavební rozpočet'!BS12:BS253)</f>
        <v>0</v>
      </c>
      <c r="G41" s="22" t="s">
        <v>4</v>
      </c>
      <c r="H41" s="22" t="s">
        <v>4</v>
      </c>
      <c r="I41" s="21">
        <f t="shared" si="1"/>
        <v>0</v>
      </c>
    </row>
    <row r="42" spans="1:9">
      <c r="A42" s="121" t="s">
        <v>72</v>
      </c>
      <c r="B42" s="122"/>
      <c r="C42" s="122"/>
      <c r="D42" s="122"/>
      <c r="E42" s="123"/>
      <c r="F42" s="21">
        <f>SUM('Stavební rozpočet'!BT12:BT253)</f>
        <v>0</v>
      </c>
      <c r="G42" s="22" t="s">
        <v>4</v>
      </c>
      <c r="H42" s="22" t="s">
        <v>4</v>
      </c>
      <c r="I42" s="21">
        <f t="shared" si="1"/>
        <v>0</v>
      </c>
    </row>
    <row r="43" spans="1:9">
      <c r="A43" s="121" t="s">
        <v>73</v>
      </c>
      <c r="B43" s="122"/>
      <c r="C43" s="122"/>
      <c r="D43" s="122"/>
      <c r="E43" s="123"/>
      <c r="F43" s="21">
        <f>SUM('Stavební rozpočet'!BU12:BU253)</f>
        <v>0</v>
      </c>
      <c r="G43" s="22" t="s">
        <v>4</v>
      </c>
      <c r="H43" s="22" t="s">
        <v>4</v>
      </c>
      <c r="I43" s="21">
        <f t="shared" si="1"/>
        <v>0</v>
      </c>
    </row>
    <row r="44" spans="1:9">
      <c r="A44" s="124" t="s">
        <v>74</v>
      </c>
      <c r="B44" s="125"/>
      <c r="C44" s="125"/>
      <c r="D44" s="125"/>
      <c r="E44" s="126"/>
      <c r="F44" s="23">
        <f>SUM('Stavební rozpočet'!BV12:BV253)</f>
        <v>0</v>
      </c>
      <c r="G44" s="24" t="s">
        <v>4</v>
      </c>
      <c r="H44" s="24" t="s">
        <v>4</v>
      </c>
      <c r="I44" s="23">
        <f t="shared" si="1"/>
        <v>0</v>
      </c>
    </row>
    <row r="45" spans="1:9">
      <c r="A45" s="127" t="s">
        <v>75</v>
      </c>
      <c r="B45" s="128"/>
      <c r="C45" s="128"/>
      <c r="D45" s="128"/>
      <c r="E45" s="129"/>
      <c r="F45" s="25" t="s">
        <v>4</v>
      </c>
      <c r="G45" s="26" t="s">
        <v>4</v>
      </c>
      <c r="H45" s="26" t="s">
        <v>4</v>
      </c>
      <c r="I45" s="27">
        <f>SUM(I35:I44)</f>
        <v>0</v>
      </c>
    </row>
  </sheetData>
  <sheetProtection password="CF7A" sheet="1"/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256"/>
  <sheetViews>
    <sheetView workbookViewId="0">
      <pane ySplit="11" topLeftCell="A12" activePane="bottomLeft" state="frozen"/>
      <selection pane="bottomLeft" activeCell="G8" sqref="G8:G9"/>
    </sheetView>
  </sheetViews>
  <sheetFormatPr defaultColWidth="12.140625" defaultRowHeight="15" customHeight="1"/>
  <cols>
    <col min="1" max="1" width="3.140625" customWidth="1"/>
    <col min="2" max="2" width="17.85546875" customWidth="1"/>
    <col min="3" max="3" width="42.85546875" customWidth="1"/>
    <col min="4" max="4" width="35.7109375" customWidth="1"/>
    <col min="5" max="5" width="6.7109375" customWidth="1"/>
    <col min="6" max="6" width="12.85546875" customWidth="1"/>
    <col min="7" max="7" width="12" customWidth="1"/>
    <col min="8" max="8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>
      <c r="A1" s="66" t="s">
        <v>76</v>
      </c>
      <c r="B1" s="66"/>
      <c r="C1" s="66"/>
      <c r="D1" s="66"/>
      <c r="E1" s="66"/>
      <c r="F1" s="66"/>
      <c r="G1" s="66"/>
      <c r="H1" s="66"/>
      <c r="I1" s="66"/>
      <c r="J1" s="66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>
      <c r="A2" s="67" t="s">
        <v>1</v>
      </c>
      <c r="B2" s="68"/>
      <c r="C2" s="76" t="s">
        <v>77</v>
      </c>
      <c r="D2" s="77"/>
      <c r="E2" s="68" t="s">
        <v>78</v>
      </c>
      <c r="F2" s="68"/>
      <c r="G2" s="138" t="s">
        <v>79</v>
      </c>
      <c r="H2" s="74" t="s">
        <v>2</v>
      </c>
      <c r="I2" s="68" t="s">
        <v>80</v>
      </c>
      <c r="J2" s="79"/>
    </row>
    <row r="3" spans="1:76">
      <c r="A3" s="69"/>
      <c r="B3" s="70"/>
      <c r="C3" s="78"/>
      <c r="D3" s="78"/>
      <c r="E3" s="70"/>
      <c r="F3" s="70"/>
      <c r="G3" s="139"/>
      <c r="H3" s="70"/>
      <c r="I3" s="70"/>
      <c r="J3" s="80"/>
    </row>
    <row r="4" spans="1:76">
      <c r="A4" s="71" t="s">
        <v>5</v>
      </c>
      <c r="B4" s="70"/>
      <c r="C4" s="75" t="s">
        <v>81</v>
      </c>
      <c r="D4" s="70"/>
      <c r="E4" s="70" t="s">
        <v>9</v>
      </c>
      <c r="F4" s="70"/>
      <c r="G4" s="139" t="s">
        <v>79</v>
      </c>
      <c r="H4" s="75" t="s">
        <v>6</v>
      </c>
      <c r="I4" s="70" t="s">
        <v>80</v>
      </c>
      <c r="J4" s="80"/>
    </row>
    <row r="5" spans="1:76">
      <c r="A5" s="69"/>
      <c r="B5" s="70"/>
      <c r="C5" s="70"/>
      <c r="D5" s="70"/>
      <c r="E5" s="70"/>
      <c r="F5" s="70"/>
      <c r="G5" s="139"/>
      <c r="H5" s="70"/>
      <c r="I5" s="70"/>
      <c r="J5" s="80"/>
    </row>
    <row r="6" spans="1:76">
      <c r="A6" s="71" t="s">
        <v>7</v>
      </c>
      <c r="B6" s="70"/>
      <c r="C6" s="75" t="s">
        <v>79</v>
      </c>
      <c r="D6" s="70"/>
      <c r="E6" s="70" t="s">
        <v>10</v>
      </c>
      <c r="F6" s="70"/>
      <c r="G6" s="139" t="s">
        <v>79</v>
      </c>
      <c r="H6" s="75" t="s">
        <v>8</v>
      </c>
      <c r="I6" s="139" t="s">
        <v>80</v>
      </c>
      <c r="J6" s="141"/>
    </row>
    <row r="7" spans="1:76">
      <c r="A7" s="69"/>
      <c r="B7" s="70"/>
      <c r="C7" s="70"/>
      <c r="D7" s="70"/>
      <c r="E7" s="70"/>
      <c r="F7" s="70"/>
      <c r="G7" s="139"/>
      <c r="H7" s="70"/>
      <c r="I7" s="139"/>
      <c r="J7" s="141"/>
    </row>
    <row r="8" spans="1:76">
      <c r="A8" s="71" t="s">
        <v>12</v>
      </c>
      <c r="B8" s="70"/>
      <c r="C8" s="75" t="s">
        <v>79</v>
      </c>
      <c r="D8" s="70"/>
      <c r="E8" s="70" t="s">
        <v>82</v>
      </c>
      <c r="F8" s="70"/>
      <c r="G8" s="139"/>
      <c r="H8" s="75" t="s">
        <v>13</v>
      </c>
      <c r="I8" s="139" t="s">
        <v>80</v>
      </c>
      <c r="J8" s="141"/>
    </row>
    <row r="9" spans="1:76">
      <c r="A9" s="136"/>
      <c r="B9" s="137"/>
      <c r="C9" s="137"/>
      <c r="D9" s="137"/>
      <c r="E9" s="137"/>
      <c r="F9" s="137"/>
      <c r="G9" s="140"/>
      <c r="H9" s="137"/>
      <c r="I9" s="142"/>
      <c r="J9" s="143"/>
    </row>
    <row r="10" spans="1:76">
      <c r="A10" s="29" t="s">
        <v>83</v>
      </c>
      <c r="B10" s="30" t="s">
        <v>84</v>
      </c>
      <c r="C10" s="144" t="s">
        <v>85</v>
      </c>
      <c r="D10" s="145"/>
      <c r="E10" s="30" t="s">
        <v>86</v>
      </c>
      <c r="F10" s="31" t="s">
        <v>87</v>
      </c>
      <c r="G10" s="32" t="s">
        <v>88</v>
      </c>
      <c r="H10" s="33" t="s">
        <v>89</v>
      </c>
      <c r="J10" s="34"/>
      <c r="BK10" s="35" t="s">
        <v>90</v>
      </c>
      <c r="BL10" s="36" t="s">
        <v>91</v>
      </c>
      <c r="BW10" s="36" t="s">
        <v>92</v>
      </c>
    </row>
    <row r="11" spans="1:76">
      <c r="A11" s="37" t="s">
        <v>79</v>
      </c>
      <c r="B11" s="38" t="s">
        <v>79</v>
      </c>
      <c r="C11" s="146" t="s">
        <v>93</v>
      </c>
      <c r="D11" s="147"/>
      <c r="E11" s="38" t="s">
        <v>79</v>
      </c>
      <c r="F11" s="38" t="s">
        <v>79</v>
      </c>
      <c r="G11" s="39" t="s">
        <v>94</v>
      </c>
      <c r="H11" s="40" t="s">
        <v>95</v>
      </c>
      <c r="J11" s="41"/>
      <c r="Z11" s="35" t="s">
        <v>96</v>
      </c>
      <c r="AA11" s="35" t="s">
        <v>97</v>
      </c>
      <c r="AB11" s="35" t="s">
        <v>98</v>
      </c>
      <c r="AC11" s="35" t="s">
        <v>99</v>
      </c>
      <c r="AD11" s="35" t="s">
        <v>100</v>
      </c>
      <c r="AE11" s="35" t="s">
        <v>101</v>
      </c>
      <c r="AF11" s="35" t="s">
        <v>102</v>
      </c>
      <c r="AG11" s="35" t="s">
        <v>103</v>
      </c>
      <c r="AH11" s="35" t="s">
        <v>104</v>
      </c>
      <c r="BH11" s="35" t="s">
        <v>105</v>
      </c>
      <c r="BI11" s="35" t="s">
        <v>106</v>
      </c>
      <c r="BJ11" s="35" t="s">
        <v>107</v>
      </c>
    </row>
    <row r="12" spans="1:76">
      <c r="A12" s="42" t="s">
        <v>4</v>
      </c>
      <c r="B12" s="43" t="s">
        <v>4</v>
      </c>
      <c r="C12" s="148" t="s">
        <v>108</v>
      </c>
      <c r="D12" s="149"/>
      <c r="E12" s="44" t="s">
        <v>79</v>
      </c>
      <c r="F12" s="44" t="s">
        <v>79</v>
      </c>
      <c r="G12" s="45" t="s">
        <v>79</v>
      </c>
      <c r="H12" s="46">
        <f>H13+H26+H60+H67+H75+H84+H109+H111+H123+H134+H147+H167+H171+H173+H189+H202+H219+H233+H239+H244+H250+H252</f>
        <v>0</v>
      </c>
      <c r="J12" s="41"/>
    </row>
    <row r="13" spans="1:76">
      <c r="A13" s="47" t="s">
        <v>4</v>
      </c>
      <c r="B13" s="48" t="s">
        <v>109</v>
      </c>
      <c r="C13" s="150" t="s">
        <v>110</v>
      </c>
      <c r="D13" s="151"/>
      <c r="E13" s="49" t="s">
        <v>79</v>
      </c>
      <c r="F13" s="49" t="s">
        <v>79</v>
      </c>
      <c r="G13" s="50" t="s">
        <v>79</v>
      </c>
      <c r="H13" s="28">
        <f>SUM(H14:H24)</f>
        <v>0</v>
      </c>
      <c r="J13" s="41"/>
      <c r="AI13" s="35" t="s">
        <v>4</v>
      </c>
      <c r="AS13" s="28">
        <f>SUM(AJ14:AJ24)</f>
        <v>0</v>
      </c>
      <c r="AT13" s="28">
        <f>SUM(AK14:AK24)</f>
        <v>0</v>
      </c>
      <c r="AU13" s="28">
        <f>SUM(AL14:AL24)</f>
        <v>0</v>
      </c>
    </row>
    <row r="14" spans="1:76">
      <c r="A14" s="1" t="s">
        <v>111</v>
      </c>
      <c r="B14" s="2" t="s">
        <v>112</v>
      </c>
      <c r="C14" s="75" t="s">
        <v>113</v>
      </c>
      <c r="D14" s="70"/>
      <c r="E14" s="2" t="s">
        <v>114</v>
      </c>
      <c r="F14" s="51">
        <v>3.38</v>
      </c>
      <c r="G14" s="52">
        <v>0</v>
      </c>
      <c r="H14" s="51">
        <f>F14*G14</f>
        <v>0</v>
      </c>
      <c r="J14" s="41"/>
      <c r="Z14" s="51">
        <f>IF(AQ14="5",BJ14,0)</f>
        <v>0</v>
      </c>
      <c r="AB14" s="51">
        <f>IF(AQ14="1",BH14,0)</f>
        <v>0</v>
      </c>
      <c r="AC14" s="51">
        <f>IF(AQ14="1",BI14,0)</f>
        <v>0</v>
      </c>
      <c r="AD14" s="51">
        <f>IF(AQ14="7",BH14,0)</f>
        <v>0</v>
      </c>
      <c r="AE14" s="51">
        <f>IF(AQ14="7",BI14,0)</f>
        <v>0</v>
      </c>
      <c r="AF14" s="51">
        <f>IF(AQ14="2",BH14,0)</f>
        <v>0</v>
      </c>
      <c r="AG14" s="51">
        <f>IF(AQ14="2",BI14,0)</f>
        <v>0</v>
      </c>
      <c r="AH14" s="51">
        <f>IF(AQ14="0",BJ14,0)</f>
        <v>0</v>
      </c>
      <c r="AI14" s="35" t="s">
        <v>4</v>
      </c>
      <c r="AJ14" s="51">
        <f>IF(AN14=0,H14,0)</f>
        <v>0</v>
      </c>
      <c r="AK14" s="51">
        <f>IF(AN14=12,H14,0)</f>
        <v>0</v>
      </c>
      <c r="AL14" s="51">
        <f>IF(AN14=21,H14,0)</f>
        <v>0</v>
      </c>
      <c r="AN14" s="51">
        <v>12</v>
      </c>
      <c r="AO14" s="51">
        <f>G14*0.549716841</f>
        <v>0</v>
      </c>
      <c r="AP14" s="51">
        <f>G14*(1-0.549716841)</f>
        <v>0</v>
      </c>
      <c r="AQ14" s="53" t="s">
        <v>111</v>
      </c>
      <c r="AV14" s="51">
        <f>AW14+AX14</f>
        <v>0</v>
      </c>
      <c r="AW14" s="51">
        <f>F14*AO14</f>
        <v>0</v>
      </c>
      <c r="AX14" s="51">
        <f>F14*AP14</f>
        <v>0</v>
      </c>
      <c r="AY14" s="53" t="s">
        <v>115</v>
      </c>
      <c r="AZ14" s="53" t="s">
        <v>116</v>
      </c>
      <c r="BA14" s="35" t="s">
        <v>117</v>
      </c>
      <c r="BC14" s="51">
        <f>AW14+AX14</f>
        <v>0</v>
      </c>
      <c r="BD14" s="51">
        <f>G14/(100-BE14)*100</f>
        <v>0</v>
      </c>
      <c r="BE14" s="51">
        <v>0</v>
      </c>
      <c r="BF14" s="51">
        <f>14</f>
        <v>14</v>
      </c>
      <c r="BH14" s="51">
        <f>F14*AO14</f>
        <v>0</v>
      </c>
      <c r="BI14" s="51">
        <f>F14*AP14</f>
        <v>0</v>
      </c>
      <c r="BJ14" s="51">
        <f>F14*G14</f>
        <v>0</v>
      </c>
      <c r="BK14" s="51"/>
      <c r="BL14" s="51">
        <v>34</v>
      </c>
      <c r="BW14" s="51">
        <v>12</v>
      </c>
      <c r="BX14" s="3" t="s">
        <v>113</v>
      </c>
    </row>
    <row r="15" spans="1:76">
      <c r="A15" s="54"/>
      <c r="C15" s="55" t="s">
        <v>118</v>
      </c>
      <c r="D15" s="56" t="s">
        <v>119</v>
      </c>
      <c r="F15" s="57">
        <v>3.38</v>
      </c>
      <c r="J15" s="41"/>
    </row>
    <row r="16" spans="1:76">
      <c r="A16" s="1" t="s">
        <v>120</v>
      </c>
      <c r="B16" s="2" t="s">
        <v>121</v>
      </c>
      <c r="C16" s="75" t="s">
        <v>122</v>
      </c>
      <c r="D16" s="70"/>
      <c r="E16" s="2" t="s">
        <v>114</v>
      </c>
      <c r="F16" s="51">
        <v>12.641</v>
      </c>
      <c r="G16" s="52">
        <v>0</v>
      </c>
      <c r="H16" s="51">
        <f>F16*G16</f>
        <v>0</v>
      </c>
      <c r="J16" s="41"/>
      <c r="Z16" s="51">
        <f>IF(AQ16="5",BJ16,0)</f>
        <v>0</v>
      </c>
      <c r="AB16" s="51">
        <f>IF(AQ16="1",BH16,0)</f>
        <v>0</v>
      </c>
      <c r="AC16" s="51">
        <f>IF(AQ16="1",BI16,0)</f>
        <v>0</v>
      </c>
      <c r="AD16" s="51">
        <f>IF(AQ16="7",BH16,0)</f>
        <v>0</v>
      </c>
      <c r="AE16" s="51">
        <f>IF(AQ16="7",BI16,0)</f>
        <v>0</v>
      </c>
      <c r="AF16" s="51">
        <f>IF(AQ16="2",BH16,0)</f>
        <v>0</v>
      </c>
      <c r="AG16" s="51">
        <f>IF(AQ16="2",BI16,0)</f>
        <v>0</v>
      </c>
      <c r="AH16" s="51">
        <f>IF(AQ16="0",BJ16,0)</f>
        <v>0</v>
      </c>
      <c r="AI16" s="35" t="s">
        <v>4</v>
      </c>
      <c r="AJ16" s="51">
        <f>IF(AN16=0,H16,0)</f>
        <v>0</v>
      </c>
      <c r="AK16" s="51">
        <f>IF(AN16=12,H16,0)</f>
        <v>0</v>
      </c>
      <c r="AL16" s="51">
        <f>IF(AN16=21,H16,0)</f>
        <v>0</v>
      </c>
      <c r="AN16" s="51">
        <v>12</v>
      </c>
      <c r="AO16" s="51">
        <f>G16*0.64935799</f>
        <v>0</v>
      </c>
      <c r="AP16" s="51">
        <f>G16*(1-0.64935799)</f>
        <v>0</v>
      </c>
      <c r="AQ16" s="53" t="s">
        <v>111</v>
      </c>
      <c r="AV16" s="51">
        <f>AW16+AX16</f>
        <v>0</v>
      </c>
      <c r="AW16" s="51">
        <f>F16*AO16</f>
        <v>0</v>
      </c>
      <c r="AX16" s="51">
        <f>F16*AP16</f>
        <v>0</v>
      </c>
      <c r="AY16" s="53" t="s">
        <v>115</v>
      </c>
      <c r="AZ16" s="53" t="s">
        <v>116</v>
      </c>
      <c r="BA16" s="35" t="s">
        <v>117</v>
      </c>
      <c r="BC16" s="51">
        <f>AW16+AX16</f>
        <v>0</v>
      </c>
      <c r="BD16" s="51">
        <f>G16/(100-BE16)*100</f>
        <v>0</v>
      </c>
      <c r="BE16" s="51">
        <v>0</v>
      </c>
      <c r="BF16" s="51">
        <f>16</f>
        <v>16</v>
      </c>
      <c r="BH16" s="51">
        <f>F16*AO16</f>
        <v>0</v>
      </c>
      <c r="BI16" s="51">
        <f>F16*AP16</f>
        <v>0</v>
      </c>
      <c r="BJ16" s="51">
        <f>F16*G16</f>
        <v>0</v>
      </c>
      <c r="BK16" s="51"/>
      <c r="BL16" s="51">
        <v>34</v>
      </c>
      <c r="BW16" s="51">
        <v>12</v>
      </c>
      <c r="BX16" s="3" t="s">
        <v>122</v>
      </c>
    </row>
    <row r="17" spans="1:76">
      <c r="A17" s="54"/>
      <c r="C17" s="55" t="s">
        <v>123</v>
      </c>
      <c r="D17" s="56" t="s">
        <v>124</v>
      </c>
      <c r="F17" s="57">
        <v>10.676</v>
      </c>
      <c r="J17" s="41"/>
    </row>
    <row r="18" spans="1:76">
      <c r="A18" s="54"/>
      <c r="C18" s="55" t="s">
        <v>125</v>
      </c>
      <c r="D18" s="56" t="s">
        <v>126</v>
      </c>
      <c r="F18" s="57">
        <v>1.9650000000000001</v>
      </c>
      <c r="J18" s="41"/>
    </row>
    <row r="19" spans="1:76">
      <c r="A19" s="1" t="s">
        <v>127</v>
      </c>
      <c r="B19" s="2" t="s">
        <v>128</v>
      </c>
      <c r="C19" s="75" t="s">
        <v>129</v>
      </c>
      <c r="D19" s="70"/>
      <c r="E19" s="2" t="s">
        <v>130</v>
      </c>
      <c r="F19" s="51">
        <v>2</v>
      </c>
      <c r="G19" s="52">
        <v>0</v>
      </c>
      <c r="H19" s="51">
        <f>F19*G19</f>
        <v>0</v>
      </c>
      <c r="J19" s="41"/>
      <c r="Z19" s="51">
        <f>IF(AQ19="5",BJ19,0)</f>
        <v>0</v>
      </c>
      <c r="AB19" s="51">
        <f>IF(AQ19="1",BH19,0)</f>
        <v>0</v>
      </c>
      <c r="AC19" s="51">
        <f>IF(AQ19="1",BI19,0)</f>
        <v>0</v>
      </c>
      <c r="AD19" s="51">
        <f>IF(AQ19="7",BH19,0)</f>
        <v>0</v>
      </c>
      <c r="AE19" s="51">
        <f>IF(AQ19="7",BI19,0)</f>
        <v>0</v>
      </c>
      <c r="AF19" s="51">
        <f>IF(AQ19="2",BH19,0)</f>
        <v>0</v>
      </c>
      <c r="AG19" s="51">
        <f>IF(AQ19="2",BI19,0)</f>
        <v>0</v>
      </c>
      <c r="AH19" s="51">
        <f>IF(AQ19="0",BJ19,0)</f>
        <v>0</v>
      </c>
      <c r="AI19" s="35" t="s">
        <v>4</v>
      </c>
      <c r="AJ19" s="51">
        <f>IF(AN19=0,H19,0)</f>
        <v>0</v>
      </c>
      <c r="AK19" s="51">
        <f>IF(AN19=12,H19,0)</f>
        <v>0</v>
      </c>
      <c r="AL19" s="51">
        <f>IF(AN19=21,H19,0)</f>
        <v>0</v>
      </c>
      <c r="AN19" s="51">
        <v>12</v>
      </c>
      <c r="AO19" s="51">
        <f>G19*0.863109072</f>
        <v>0</v>
      </c>
      <c r="AP19" s="51">
        <f>G19*(1-0.863109072)</f>
        <v>0</v>
      </c>
      <c r="AQ19" s="53" t="s">
        <v>111</v>
      </c>
      <c r="AV19" s="51">
        <f>AW19+AX19</f>
        <v>0</v>
      </c>
      <c r="AW19" s="51">
        <f>F19*AO19</f>
        <v>0</v>
      </c>
      <c r="AX19" s="51">
        <f>F19*AP19</f>
        <v>0</v>
      </c>
      <c r="AY19" s="53" t="s">
        <v>115</v>
      </c>
      <c r="AZ19" s="53" t="s">
        <v>116</v>
      </c>
      <c r="BA19" s="35" t="s">
        <v>117</v>
      </c>
      <c r="BC19" s="51">
        <f>AW19+AX19</f>
        <v>0</v>
      </c>
      <c r="BD19" s="51">
        <f>G19/(100-BE19)*100</f>
        <v>0</v>
      </c>
      <c r="BE19" s="51">
        <v>0</v>
      </c>
      <c r="BF19" s="51">
        <f>19</f>
        <v>19</v>
      </c>
      <c r="BH19" s="51">
        <f>F19*AO19</f>
        <v>0</v>
      </c>
      <c r="BI19" s="51">
        <f>F19*AP19</f>
        <v>0</v>
      </c>
      <c r="BJ19" s="51">
        <f>F19*G19</f>
        <v>0</v>
      </c>
      <c r="BK19" s="51"/>
      <c r="BL19" s="51">
        <v>34</v>
      </c>
      <c r="BW19" s="51">
        <v>12</v>
      </c>
      <c r="BX19" s="3" t="s">
        <v>129</v>
      </c>
    </row>
    <row r="20" spans="1:76" ht="13.5" customHeight="1">
      <c r="A20" s="54"/>
      <c r="B20" s="58" t="s">
        <v>131</v>
      </c>
      <c r="C20" s="152" t="s">
        <v>132</v>
      </c>
      <c r="D20" s="153"/>
      <c r="E20" s="153"/>
      <c r="F20" s="153"/>
      <c r="G20" s="154"/>
      <c r="H20" s="153"/>
      <c r="I20" s="153"/>
      <c r="J20" s="155"/>
    </row>
    <row r="21" spans="1:76">
      <c r="A21" s="1" t="s">
        <v>133</v>
      </c>
      <c r="B21" s="2" t="s">
        <v>134</v>
      </c>
      <c r="C21" s="75" t="s">
        <v>135</v>
      </c>
      <c r="D21" s="70"/>
      <c r="E21" s="2" t="s">
        <v>136</v>
      </c>
      <c r="F21" s="51">
        <v>8.66</v>
      </c>
      <c r="G21" s="52">
        <v>0</v>
      </c>
      <c r="H21" s="51">
        <f>F21*G21</f>
        <v>0</v>
      </c>
      <c r="J21" s="41"/>
      <c r="Z21" s="51">
        <f>IF(AQ21="5",BJ21,0)</f>
        <v>0</v>
      </c>
      <c r="AB21" s="51">
        <f>IF(AQ21="1",BH21,0)</f>
        <v>0</v>
      </c>
      <c r="AC21" s="51">
        <f>IF(AQ21="1",BI21,0)</f>
        <v>0</v>
      </c>
      <c r="AD21" s="51">
        <f>IF(AQ21="7",BH21,0)</f>
        <v>0</v>
      </c>
      <c r="AE21" s="51">
        <f>IF(AQ21="7",BI21,0)</f>
        <v>0</v>
      </c>
      <c r="AF21" s="51">
        <f>IF(AQ21="2",BH21,0)</f>
        <v>0</v>
      </c>
      <c r="AG21" s="51">
        <f>IF(AQ21="2",BI21,0)</f>
        <v>0</v>
      </c>
      <c r="AH21" s="51">
        <f>IF(AQ21="0",BJ21,0)</f>
        <v>0</v>
      </c>
      <c r="AI21" s="35" t="s">
        <v>4</v>
      </c>
      <c r="AJ21" s="51">
        <f>IF(AN21=0,H21,0)</f>
        <v>0</v>
      </c>
      <c r="AK21" s="51">
        <f>IF(AN21=12,H21,0)</f>
        <v>0</v>
      </c>
      <c r="AL21" s="51">
        <f>IF(AN21=21,H21,0)</f>
        <v>0</v>
      </c>
      <c r="AN21" s="51">
        <v>12</v>
      </c>
      <c r="AO21" s="51">
        <f>G21*0.18277551</f>
        <v>0</v>
      </c>
      <c r="AP21" s="51">
        <f>G21*(1-0.18277551)</f>
        <v>0</v>
      </c>
      <c r="AQ21" s="53" t="s">
        <v>111</v>
      </c>
      <c r="AV21" s="51">
        <f>AW21+AX21</f>
        <v>0</v>
      </c>
      <c r="AW21" s="51">
        <f>F21*AO21</f>
        <v>0</v>
      </c>
      <c r="AX21" s="51">
        <f>F21*AP21</f>
        <v>0</v>
      </c>
      <c r="AY21" s="53" t="s">
        <v>115</v>
      </c>
      <c r="AZ21" s="53" t="s">
        <v>116</v>
      </c>
      <c r="BA21" s="35" t="s">
        <v>117</v>
      </c>
      <c r="BC21" s="51">
        <f>AW21+AX21</f>
        <v>0</v>
      </c>
      <c r="BD21" s="51">
        <f>G21/(100-BE21)*100</f>
        <v>0</v>
      </c>
      <c r="BE21" s="51">
        <v>0</v>
      </c>
      <c r="BF21" s="51">
        <f>21</f>
        <v>21</v>
      </c>
      <c r="BH21" s="51">
        <f>F21*AO21</f>
        <v>0</v>
      </c>
      <c r="BI21" s="51">
        <f>F21*AP21</f>
        <v>0</v>
      </c>
      <c r="BJ21" s="51">
        <f>F21*G21</f>
        <v>0</v>
      </c>
      <c r="BK21" s="51"/>
      <c r="BL21" s="51">
        <v>34</v>
      </c>
      <c r="BW21" s="51">
        <v>12</v>
      </c>
      <c r="BX21" s="3" t="s">
        <v>135</v>
      </c>
    </row>
    <row r="22" spans="1:76">
      <c r="A22" s="54"/>
      <c r="C22" s="55" t="s">
        <v>137</v>
      </c>
      <c r="D22" s="56" t="s">
        <v>4</v>
      </c>
      <c r="F22" s="57">
        <v>1.3</v>
      </c>
      <c r="J22" s="41"/>
    </row>
    <row r="23" spans="1:76">
      <c r="A23" s="54"/>
      <c r="C23" s="55" t="s">
        <v>138</v>
      </c>
      <c r="D23" s="56" t="s">
        <v>4</v>
      </c>
      <c r="F23" s="57">
        <v>7.36</v>
      </c>
      <c r="J23" s="41"/>
    </row>
    <row r="24" spans="1:76">
      <c r="A24" s="1" t="s">
        <v>139</v>
      </c>
      <c r="B24" s="2" t="s">
        <v>140</v>
      </c>
      <c r="C24" s="75" t="s">
        <v>141</v>
      </c>
      <c r="D24" s="70"/>
      <c r="E24" s="2" t="s">
        <v>136</v>
      </c>
      <c r="F24" s="51">
        <v>13</v>
      </c>
      <c r="G24" s="52">
        <v>0</v>
      </c>
      <c r="H24" s="51">
        <f>F24*G24</f>
        <v>0</v>
      </c>
      <c r="J24" s="41"/>
      <c r="Z24" s="51">
        <f>IF(AQ24="5",BJ24,0)</f>
        <v>0</v>
      </c>
      <c r="AB24" s="51">
        <f>IF(AQ24="1",BH24,0)</f>
        <v>0</v>
      </c>
      <c r="AC24" s="51">
        <f>IF(AQ24="1",BI24,0)</f>
        <v>0</v>
      </c>
      <c r="AD24" s="51">
        <f>IF(AQ24="7",BH24,0)</f>
        <v>0</v>
      </c>
      <c r="AE24" s="51">
        <f>IF(AQ24="7",BI24,0)</f>
        <v>0</v>
      </c>
      <c r="AF24" s="51">
        <f>IF(AQ24="2",BH24,0)</f>
        <v>0</v>
      </c>
      <c r="AG24" s="51">
        <f>IF(AQ24="2",BI24,0)</f>
        <v>0</v>
      </c>
      <c r="AH24" s="51">
        <f>IF(AQ24="0",BJ24,0)</f>
        <v>0</v>
      </c>
      <c r="AI24" s="35" t="s">
        <v>4</v>
      </c>
      <c r="AJ24" s="51">
        <f>IF(AN24=0,H24,0)</f>
        <v>0</v>
      </c>
      <c r="AK24" s="51">
        <f>IF(AN24=12,H24,0)</f>
        <v>0</v>
      </c>
      <c r="AL24" s="51">
        <f>IF(AN24=21,H24,0)</f>
        <v>0</v>
      </c>
      <c r="AN24" s="51">
        <v>12</v>
      </c>
      <c r="AO24" s="51">
        <f>G24*0.211238095</f>
        <v>0</v>
      </c>
      <c r="AP24" s="51">
        <f>G24*(1-0.211238095)</f>
        <v>0</v>
      </c>
      <c r="AQ24" s="53" t="s">
        <v>111</v>
      </c>
      <c r="AV24" s="51">
        <f>AW24+AX24</f>
        <v>0</v>
      </c>
      <c r="AW24" s="51">
        <f>F24*AO24</f>
        <v>0</v>
      </c>
      <c r="AX24" s="51">
        <f>F24*AP24</f>
        <v>0</v>
      </c>
      <c r="AY24" s="53" t="s">
        <v>115</v>
      </c>
      <c r="AZ24" s="53" t="s">
        <v>116</v>
      </c>
      <c r="BA24" s="35" t="s">
        <v>117</v>
      </c>
      <c r="BC24" s="51">
        <f>AW24+AX24</f>
        <v>0</v>
      </c>
      <c r="BD24" s="51">
        <f>G24/(100-BE24)*100</f>
        <v>0</v>
      </c>
      <c r="BE24" s="51">
        <v>0</v>
      </c>
      <c r="BF24" s="51">
        <f>24</f>
        <v>24</v>
      </c>
      <c r="BH24" s="51">
        <f>F24*AO24</f>
        <v>0</v>
      </c>
      <c r="BI24" s="51">
        <f>F24*AP24</f>
        <v>0</v>
      </c>
      <c r="BJ24" s="51">
        <f>F24*G24</f>
        <v>0</v>
      </c>
      <c r="BK24" s="51"/>
      <c r="BL24" s="51">
        <v>34</v>
      </c>
      <c r="BW24" s="51">
        <v>12</v>
      </c>
      <c r="BX24" s="3" t="s">
        <v>141</v>
      </c>
    </row>
    <row r="25" spans="1:76">
      <c r="A25" s="54"/>
      <c r="C25" s="55" t="s">
        <v>142</v>
      </c>
      <c r="D25" s="56" t="s">
        <v>4</v>
      </c>
      <c r="F25" s="57">
        <v>13</v>
      </c>
      <c r="J25" s="41"/>
    </row>
    <row r="26" spans="1:76">
      <c r="A26" s="47" t="s">
        <v>4</v>
      </c>
      <c r="B26" s="48" t="s">
        <v>143</v>
      </c>
      <c r="C26" s="150" t="s">
        <v>144</v>
      </c>
      <c r="D26" s="151"/>
      <c r="E26" s="49" t="s">
        <v>79</v>
      </c>
      <c r="F26" s="49" t="s">
        <v>79</v>
      </c>
      <c r="G26" s="50" t="s">
        <v>79</v>
      </c>
      <c r="H26" s="28">
        <f>SUM(H27:H55)</f>
        <v>0</v>
      </c>
      <c r="J26" s="41"/>
      <c r="AI26" s="35" t="s">
        <v>4</v>
      </c>
      <c r="AS26" s="28">
        <f>SUM(AJ27:AJ55)</f>
        <v>0</v>
      </c>
      <c r="AT26" s="28">
        <f>SUM(AK27:AK55)</f>
        <v>0</v>
      </c>
      <c r="AU26" s="28">
        <f>SUM(AL27:AL55)</f>
        <v>0</v>
      </c>
    </row>
    <row r="27" spans="1:76">
      <c r="A27" s="1" t="s">
        <v>145</v>
      </c>
      <c r="B27" s="2" t="s">
        <v>146</v>
      </c>
      <c r="C27" s="75" t="s">
        <v>147</v>
      </c>
      <c r="D27" s="70"/>
      <c r="E27" s="2" t="s">
        <v>114</v>
      </c>
      <c r="F27" s="51">
        <v>20.65</v>
      </c>
      <c r="G27" s="52">
        <v>0</v>
      </c>
      <c r="H27" s="51">
        <f>F27*G27</f>
        <v>0</v>
      </c>
      <c r="J27" s="41"/>
      <c r="Z27" s="51">
        <f>IF(AQ27="5",BJ27,0)</f>
        <v>0</v>
      </c>
      <c r="AB27" s="51">
        <f>IF(AQ27="1",BH27,0)</f>
        <v>0</v>
      </c>
      <c r="AC27" s="51">
        <f>IF(AQ27="1",BI27,0)</f>
        <v>0</v>
      </c>
      <c r="AD27" s="51">
        <f>IF(AQ27="7",BH27,0)</f>
        <v>0</v>
      </c>
      <c r="AE27" s="51">
        <f>IF(AQ27="7",BI27,0)</f>
        <v>0</v>
      </c>
      <c r="AF27" s="51">
        <f>IF(AQ27="2",BH27,0)</f>
        <v>0</v>
      </c>
      <c r="AG27" s="51">
        <f>IF(AQ27="2",BI27,0)</f>
        <v>0</v>
      </c>
      <c r="AH27" s="51">
        <f>IF(AQ27="0",BJ27,0)</f>
        <v>0</v>
      </c>
      <c r="AI27" s="35" t="s">
        <v>4</v>
      </c>
      <c r="AJ27" s="51">
        <f>IF(AN27=0,H27,0)</f>
        <v>0</v>
      </c>
      <c r="AK27" s="51">
        <f>IF(AN27=12,H27,0)</f>
        <v>0</v>
      </c>
      <c r="AL27" s="51">
        <f>IF(AN27=21,H27,0)</f>
        <v>0</v>
      </c>
      <c r="AN27" s="51">
        <v>12</v>
      </c>
      <c r="AO27" s="51">
        <f>G27*0.165092593</f>
        <v>0</v>
      </c>
      <c r="AP27" s="51">
        <f>G27*(1-0.165092593)</f>
        <v>0</v>
      </c>
      <c r="AQ27" s="53" t="s">
        <v>111</v>
      </c>
      <c r="AV27" s="51">
        <f>AW27+AX27</f>
        <v>0</v>
      </c>
      <c r="AW27" s="51">
        <f>F27*AO27</f>
        <v>0</v>
      </c>
      <c r="AX27" s="51">
        <f>F27*AP27</f>
        <v>0</v>
      </c>
      <c r="AY27" s="53" t="s">
        <v>148</v>
      </c>
      <c r="AZ27" s="53" t="s">
        <v>149</v>
      </c>
      <c r="BA27" s="35" t="s">
        <v>117</v>
      </c>
      <c r="BC27" s="51">
        <f>AW27+AX27</f>
        <v>0</v>
      </c>
      <c r="BD27" s="51">
        <f>G27/(100-BE27)*100</f>
        <v>0</v>
      </c>
      <c r="BE27" s="51">
        <v>0</v>
      </c>
      <c r="BF27" s="51">
        <f>27</f>
        <v>27</v>
      </c>
      <c r="BH27" s="51">
        <f>F27*AO27</f>
        <v>0</v>
      </c>
      <c r="BI27" s="51">
        <f>F27*AP27</f>
        <v>0</v>
      </c>
      <c r="BJ27" s="51">
        <f>F27*G27</f>
        <v>0</v>
      </c>
      <c r="BK27" s="51"/>
      <c r="BL27" s="51">
        <v>61</v>
      </c>
      <c r="BW27" s="51">
        <v>12</v>
      </c>
      <c r="BX27" s="3" t="s">
        <v>147</v>
      </c>
    </row>
    <row r="28" spans="1:76">
      <c r="A28" s="54"/>
      <c r="C28" s="55" t="s">
        <v>150</v>
      </c>
      <c r="D28" s="56" t="s">
        <v>4</v>
      </c>
      <c r="F28" s="57">
        <v>20.65</v>
      </c>
      <c r="J28" s="41"/>
    </row>
    <row r="29" spans="1:76">
      <c r="A29" s="1" t="s">
        <v>151</v>
      </c>
      <c r="B29" s="2" t="s">
        <v>152</v>
      </c>
      <c r="C29" s="75" t="s">
        <v>153</v>
      </c>
      <c r="D29" s="70"/>
      <c r="E29" s="2" t="s">
        <v>136</v>
      </c>
      <c r="F29" s="51">
        <v>12.2</v>
      </c>
      <c r="G29" s="52">
        <v>0</v>
      </c>
      <c r="H29" s="51">
        <f>F29*G29</f>
        <v>0</v>
      </c>
      <c r="J29" s="41"/>
      <c r="Z29" s="51">
        <f>IF(AQ29="5",BJ29,0)</f>
        <v>0</v>
      </c>
      <c r="AB29" s="51">
        <f>IF(AQ29="1",BH29,0)</f>
        <v>0</v>
      </c>
      <c r="AC29" s="51">
        <f>IF(AQ29="1",BI29,0)</f>
        <v>0</v>
      </c>
      <c r="AD29" s="51">
        <f>IF(AQ29="7",BH29,0)</f>
        <v>0</v>
      </c>
      <c r="AE29" s="51">
        <f>IF(AQ29="7",BI29,0)</f>
        <v>0</v>
      </c>
      <c r="AF29" s="51">
        <f>IF(AQ29="2",BH29,0)</f>
        <v>0</v>
      </c>
      <c r="AG29" s="51">
        <f>IF(AQ29="2",BI29,0)</f>
        <v>0</v>
      </c>
      <c r="AH29" s="51">
        <f>IF(AQ29="0",BJ29,0)</f>
        <v>0</v>
      </c>
      <c r="AI29" s="35" t="s">
        <v>4</v>
      </c>
      <c r="AJ29" s="51">
        <f>IF(AN29=0,H29,0)</f>
        <v>0</v>
      </c>
      <c r="AK29" s="51">
        <f>IF(AN29=12,H29,0)</f>
        <v>0</v>
      </c>
      <c r="AL29" s="51">
        <f>IF(AN29=21,H29,0)</f>
        <v>0</v>
      </c>
      <c r="AN29" s="51">
        <v>12</v>
      </c>
      <c r="AO29" s="51">
        <f>G29*0.15122807</f>
        <v>0</v>
      </c>
      <c r="AP29" s="51">
        <f>G29*(1-0.15122807)</f>
        <v>0</v>
      </c>
      <c r="AQ29" s="53" t="s">
        <v>111</v>
      </c>
      <c r="AV29" s="51">
        <f>AW29+AX29</f>
        <v>0</v>
      </c>
      <c r="AW29" s="51">
        <f>F29*AO29</f>
        <v>0</v>
      </c>
      <c r="AX29" s="51">
        <f>F29*AP29</f>
        <v>0</v>
      </c>
      <c r="AY29" s="53" t="s">
        <v>148</v>
      </c>
      <c r="AZ29" s="53" t="s">
        <v>149</v>
      </c>
      <c r="BA29" s="35" t="s">
        <v>117</v>
      </c>
      <c r="BC29" s="51">
        <f>AW29+AX29</f>
        <v>0</v>
      </c>
      <c r="BD29" s="51">
        <f>G29/(100-BE29)*100</f>
        <v>0</v>
      </c>
      <c r="BE29" s="51">
        <v>0</v>
      </c>
      <c r="BF29" s="51">
        <f>29</f>
        <v>29</v>
      </c>
      <c r="BH29" s="51">
        <f>F29*AO29</f>
        <v>0</v>
      </c>
      <c r="BI29" s="51">
        <f>F29*AP29</f>
        <v>0</v>
      </c>
      <c r="BJ29" s="51">
        <f>F29*G29</f>
        <v>0</v>
      </c>
      <c r="BK29" s="51"/>
      <c r="BL29" s="51">
        <v>61</v>
      </c>
      <c r="BW29" s="51">
        <v>12</v>
      </c>
      <c r="BX29" s="3" t="s">
        <v>153</v>
      </c>
    </row>
    <row r="30" spans="1:76">
      <c r="A30" s="54"/>
      <c r="C30" s="55" t="s">
        <v>154</v>
      </c>
      <c r="D30" s="56" t="s">
        <v>4</v>
      </c>
      <c r="F30" s="57">
        <v>12.2</v>
      </c>
      <c r="J30" s="41"/>
    </row>
    <row r="31" spans="1:76">
      <c r="A31" s="1" t="s">
        <v>155</v>
      </c>
      <c r="B31" s="2" t="s">
        <v>156</v>
      </c>
      <c r="C31" s="75" t="s">
        <v>157</v>
      </c>
      <c r="D31" s="70"/>
      <c r="E31" s="2" t="s">
        <v>114</v>
      </c>
      <c r="F31" s="51">
        <v>20.65</v>
      </c>
      <c r="G31" s="52">
        <v>0</v>
      </c>
      <c r="H31" s="51">
        <f>F31*G31</f>
        <v>0</v>
      </c>
      <c r="J31" s="41"/>
      <c r="Z31" s="51">
        <f>IF(AQ31="5",BJ31,0)</f>
        <v>0</v>
      </c>
      <c r="AB31" s="51">
        <f>IF(AQ31="1",BH31,0)</f>
        <v>0</v>
      </c>
      <c r="AC31" s="51">
        <f>IF(AQ31="1",BI31,0)</f>
        <v>0</v>
      </c>
      <c r="AD31" s="51">
        <f>IF(AQ31="7",BH31,0)</f>
        <v>0</v>
      </c>
      <c r="AE31" s="51">
        <f>IF(AQ31="7",BI31,0)</f>
        <v>0</v>
      </c>
      <c r="AF31" s="51">
        <f>IF(AQ31="2",BH31,0)</f>
        <v>0</v>
      </c>
      <c r="AG31" s="51">
        <f>IF(AQ31="2",BI31,0)</f>
        <v>0</v>
      </c>
      <c r="AH31" s="51">
        <f>IF(AQ31="0",BJ31,0)</f>
        <v>0</v>
      </c>
      <c r="AI31" s="35" t="s">
        <v>4</v>
      </c>
      <c r="AJ31" s="51">
        <f>IF(AN31=0,H31,0)</f>
        <v>0</v>
      </c>
      <c r="AK31" s="51">
        <f>IF(AN31=12,H31,0)</f>
        <v>0</v>
      </c>
      <c r="AL31" s="51">
        <f>IF(AN31=21,H31,0)</f>
        <v>0</v>
      </c>
      <c r="AN31" s="51">
        <v>12</v>
      </c>
      <c r="AO31" s="51">
        <f>G31*0.351190934</f>
        <v>0</v>
      </c>
      <c r="AP31" s="51">
        <f>G31*(1-0.351190934)</f>
        <v>0</v>
      </c>
      <c r="AQ31" s="53" t="s">
        <v>111</v>
      </c>
      <c r="AV31" s="51">
        <f>AW31+AX31</f>
        <v>0</v>
      </c>
      <c r="AW31" s="51">
        <f>F31*AO31</f>
        <v>0</v>
      </c>
      <c r="AX31" s="51">
        <f>F31*AP31</f>
        <v>0</v>
      </c>
      <c r="AY31" s="53" t="s">
        <v>148</v>
      </c>
      <c r="AZ31" s="53" t="s">
        <v>149</v>
      </c>
      <c r="BA31" s="35" t="s">
        <v>117</v>
      </c>
      <c r="BC31" s="51">
        <f>AW31+AX31</f>
        <v>0</v>
      </c>
      <c r="BD31" s="51">
        <f>G31/(100-BE31)*100</f>
        <v>0</v>
      </c>
      <c r="BE31" s="51">
        <v>0</v>
      </c>
      <c r="BF31" s="51">
        <f>31</f>
        <v>31</v>
      </c>
      <c r="BH31" s="51">
        <f>F31*AO31</f>
        <v>0</v>
      </c>
      <c r="BI31" s="51">
        <f>F31*AP31</f>
        <v>0</v>
      </c>
      <c r="BJ31" s="51">
        <f>F31*G31</f>
        <v>0</v>
      </c>
      <c r="BK31" s="51"/>
      <c r="BL31" s="51">
        <v>61</v>
      </c>
      <c r="BW31" s="51">
        <v>12</v>
      </c>
      <c r="BX31" s="3" t="s">
        <v>157</v>
      </c>
    </row>
    <row r="32" spans="1:76">
      <c r="A32" s="1" t="s">
        <v>158</v>
      </c>
      <c r="B32" s="2" t="s">
        <v>159</v>
      </c>
      <c r="C32" s="75" t="s">
        <v>160</v>
      </c>
      <c r="D32" s="70"/>
      <c r="E32" s="2" t="s">
        <v>114</v>
      </c>
      <c r="F32" s="51">
        <v>20.65</v>
      </c>
      <c r="G32" s="52">
        <v>0</v>
      </c>
      <c r="H32" s="51">
        <f>F32*G32</f>
        <v>0</v>
      </c>
      <c r="J32" s="41"/>
      <c r="Z32" s="51">
        <f>IF(AQ32="5",BJ32,0)</f>
        <v>0</v>
      </c>
      <c r="AB32" s="51">
        <f>IF(AQ32="1",BH32,0)</f>
        <v>0</v>
      </c>
      <c r="AC32" s="51">
        <f>IF(AQ32="1",BI32,0)</f>
        <v>0</v>
      </c>
      <c r="AD32" s="51">
        <f>IF(AQ32="7",BH32,0)</f>
        <v>0</v>
      </c>
      <c r="AE32" s="51">
        <f>IF(AQ32="7",BI32,0)</f>
        <v>0</v>
      </c>
      <c r="AF32" s="51">
        <f>IF(AQ32="2",BH32,0)</f>
        <v>0</v>
      </c>
      <c r="AG32" s="51">
        <f>IF(AQ32="2",BI32,0)</f>
        <v>0</v>
      </c>
      <c r="AH32" s="51">
        <f>IF(AQ32="0",BJ32,0)</f>
        <v>0</v>
      </c>
      <c r="AI32" s="35" t="s">
        <v>4</v>
      </c>
      <c r="AJ32" s="51">
        <f>IF(AN32=0,H32,0)</f>
        <v>0</v>
      </c>
      <c r="AK32" s="51">
        <f>IF(AN32=12,H32,0)</f>
        <v>0</v>
      </c>
      <c r="AL32" s="51">
        <f>IF(AN32=21,H32,0)</f>
        <v>0</v>
      </c>
      <c r="AN32" s="51">
        <v>12</v>
      </c>
      <c r="AO32" s="51">
        <f>G32*0.179173569</f>
        <v>0</v>
      </c>
      <c r="AP32" s="51">
        <f>G32*(1-0.179173569)</f>
        <v>0</v>
      </c>
      <c r="AQ32" s="53" t="s">
        <v>111</v>
      </c>
      <c r="AV32" s="51">
        <f>AW32+AX32</f>
        <v>0</v>
      </c>
      <c r="AW32" s="51">
        <f>F32*AO32</f>
        <v>0</v>
      </c>
      <c r="AX32" s="51">
        <f>F32*AP32</f>
        <v>0</v>
      </c>
      <c r="AY32" s="53" t="s">
        <v>148</v>
      </c>
      <c r="AZ32" s="53" t="s">
        <v>149</v>
      </c>
      <c r="BA32" s="35" t="s">
        <v>117</v>
      </c>
      <c r="BC32" s="51">
        <f>AW32+AX32</f>
        <v>0</v>
      </c>
      <c r="BD32" s="51">
        <f>G32/(100-BE32)*100</f>
        <v>0</v>
      </c>
      <c r="BE32" s="51">
        <v>0</v>
      </c>
      <c r="BF32" s="51">
        <f>32</f>
        <v>32</v>
      </c>
      <c r="BH32" s="51">
        <f>F32*AO32</f>
        <v>0</v>
      </c>
      <c r="BI32" s="51">
        <f>F32*AP32</f>
        <v>0</v>
      </c>
      <c r="BJ32" s="51">
        <f>F32*G32</f>
        <v>0</v>
      </c>
      <c r="BK32" s="51"/>
      <c r="BL32" s="51">
        <v>61</v>
      </c>
      <c r="BW32" s="51">
        <v>12</v>
      </c>
      <c r="BX32" s="3" t="s">
        <v>160</v>
      </c>
    </row>
    <row r="33" spans="1:76">
      <c r="A33" s="1" t="s">
        <v>161</v>
      </c>
      <c r="B33" s="2" t="s">
        <v>162</v>
      </c>
      <c r="C33" s="75" t="s">
        <v>163</v>
      </c>
      <c r="D33" s="70"/>
      <c r="E33" s="2" t="s">
        <v>114</v>
      </c>
      <c r="F33" s="51">
        <v>64.843999999999994</v>
      </c>
      <c r="G33" s="52">
        <v>0</v>
      </c>
      <c r="H33" s="51">
        <f>F33*G33</f>
        <v>0</v>
      </c>
      <c r="J33" s="41"/>
      <c r="Z33" s="51">
        <f>IF(AQ33="5",BJ33,0)</f>
        <v>0</v>
      </c>
      <c r="AB33" s="51">
        <f>IF(AQ33="1",BH33,0)</f>
        <v>0</v>
      </c>
      <c r="AC33" s="51">
        <f>IF(AQ33="1",BI33,0)</f>
        <v>0</v>
      </c>
      <c r="AD33" s="51">
        <f>IF(AQ33="7",BH33,0)</f>
        <v>0</v>
      </c>
      <c r="AE33" s="51">
        <f>IF(AQ33="7",BI33,0)</f>
        <v>0</v>
      </c>
      <c r="AF33" s="51">
        <f>IF(AQ33="2",BH33,0)</f>
        <v>0</v>
      </c>
      <c r="AG33" s="51">
        <f>IF(AQ33="2",BI33,0)</f>
        <v>0</v>
      </c>
      <c r="AH33" s="51">
        <f>IF(AQ33="0",BJ33,0)</f>
        <v>0</v>
      </c>
      <c r="AI33" s="35" t="s">
        <v>4</v>
      </c>
      <c r="AJ33" s="51">
        <f>IF(AN33=0,H33,0)</f>
        <v>0</v>
      </c>
      <c r="AK33" s="51">
        <f>IF(AN33=12,H33,0)</f>
        <v>0</v>
      </c>
      <c r="AL33" s="51">
        <f>IF(AN33=21,H33,0)</f>
        <v>0</v>
      </c>
      <c r="AN33" s="51">
        <v>12</v>
      </c>
      <c r="AO33" s="51">
        <f>G33*0.408905856</f>
        <v>0</v>
      </c>
      <c r="AP33" s="51">
        <f>G33*(1-0.408905856)</f>
        <v>0</v>
      </c>
      <c r="AQ33" s="53" t="s">
        <v>111</v>
      </c>
      <c r="AV33" s="51">
        <f>AW33+AX33</f>
        <v>0</v>
      </c>
      <c r="AW33" s="51">
        <f>F33*AO33</f>
        <v>0</v>
      </c>
      <c r="AX33" s="51">
        <f>F33*AP33</f>
        <v>0</v>
      </c>
      <c r="AY33" s="53" t="s">
        <v>148</v>
      </c>
      <c r="AZ33" s="53" t="s">
        <v>149</v>
      </c>
      <c r="BA33" s="35" t="s">
        <v>117</v>
      </c>
      <c r="BC33" s="51">
        <f>AW33+AX33</f>
        <v>0</v>
      </c>
      <c r="BD33" s="51">
        <f>G33/(100-BE33)*100</f>
        <v>0</v>
      </c>
      <c r="BE33" s="51">
        <v>0</v>
      </c>
      <c r="BF33" s="51">
        <f>33</f>
        <v>33</v>
      </c>
      <c r="BH33" s="51">
        <f>F33*AO33</f>
        <v>0</v>
      </c>
      <c r="BI33" s="51">
        <f>F33*AP33</f>
        <v>0</v>
      </c>
      <c r="BJ33" s="51">
        <f>F33*G33</f>
        <v>0</v>
      </c>
      <c r="BK33" s="51"/>
      <c r="BL33" s="51">
        <v>61</v>
      </c>
      <c r="BW33" s="51">
        <v>12</v>
      </c>
      <c r="BX33" s="3" t="s">
        <v>163</v>
      </c>
    </row>
    <row r="34" spans="1:76">
      <c r="A34" s="54"/>
      <c r="C34" s="55" t="s">
        <v>164</v>
      </c>
      <c r="D34" s="56" t="s">
        <v>165</v>
      </c>
      <c r="F34" s="57">
        <v>10.792</v>
      </c>
      <c r="J34" s="41"/>
    </row>
    <row r="35" spans="1:76">
      <c r="A35" s="54"/>
      <c r="C35" s="55" t="s">
        <v>166</v>
      </c>
      <c r="D35" s="56" t="s">
        <v>167</v>
      </c>
      <c r="F35" s="57">
        <v>18.36</v>
      </c>
      <c r="J35" s="41"/>
    </row>
    <row r="36" spans="1:76">
      <c r="A36" s="54"/>
      <c r="C36" s="55" t="s">
        <v>168</v>
      </c>
      <c r="D36" s="56" t="s">
        <v>169</v>
      </c>
      <c r="F36" s="57">
        <v>34.851999999999997</v>
      </c>
      <c r="J36" s="41"/>
    </row>
    <row r="37" spans="1:76">
      <c r="A37" s="54"/>
      <c r="C37" s="55" t="s">
        <v>170</v>
      </c>
      <c r="D37" s="56" t="s">
        <v>171</v>
      </c>
      <c r="F37" s="57">
        <v>0.84</v>
      </c>
      <c r="J37" s="41"/>
    </row>
    <row r="38" spans="1:76">
      <c r="A38" s="1" t="s">
        <v>172</v>
      </c>
      <c r="B38" s="2" t="s">
        <v>173</v>
      </c>
      <c r="C38" s="75" t="s">
        <v>174</v>
      </c>
      <c r="D38" s="70"/>
      <c r="E38" s="2" t="s">
        <v>114</v>
      </c>
      <c r="F38" s="51">
        <v>2.5</v>
      </c>
      <c r="G38" s="52">
        <v>0</v>
      </c>
      <c r="H38" s="51">
        <f>F38*G38</f>
        <v>0</v>
      </c>
      <c r="J38" s="41"/>
      <c r="Z38" s="51">
        <f>IF(AQ38="5",BJ38,0)</f>
        <v>0</v>
      </c>
      <c r="AB38" s="51">
        <f>IF(AQ38="1",BH38,0)</f>
        <v>0</v>
      </c>
      <c r="AC38" s="51">
        <f>IF(AQ38="1",BI38,0)</f>
        <v>0</v>
      </c>
      <c r="AD38" s="51">
        <f>IF(AQ38="7",BH38,0)</f>
        <v>0</v>
      </c>
      <c r="AE38" s="51">
        <f>IF(AQ38="7",BI38,0)</f>
        <v>0</v>
      </c>
      <c r="AF38" s="51">
        <f>IF(AQ38="2",BH38,0)</f>
        <v>0</v>
      </c>
      <c r="AG38" s="51">
        <f>IF(AQ38="2",BI38,0)</f>
        <v>0</v>
      </c>
      <c r="AH38" s="51">
        <f>IF(AQ38="0",BJ38,0)</f>
        <v>0</v>
      </c>
      <c r="AI38" s="35" t="s">
        <v>4</v>
      </c>
      <c r="AJ38" s="51">
        <f>IF(AN38=0,H38,0)</f>
        <v>0</v>
      </c>
      <c r="AK38" s="51">
        <f>IF(AN38=12,H38,0)</f>
        <v>0</v>
      </c>
      <c r="AL38" s="51">
        <f>IF(AN38=21,H38,0)</f>
        <v>0</v>
      </c>
      <c r="AN38" s="51">
        <v>12</v>
      </c>
      <c r="AO38" s="51">
        <f>G38*0.24248927</f>
        <v>0</v>
      </c>
      <c r="AP38" s="51">
        <f>G38*(1-0.24248927)</f>
        <v>0</v>
      </c>
      <c r="AQ38" s="53" t="s">
        <v>111</v>
      </c>
      <c r="AV38" s="51">
        <f>AW38+AX38</f>
        <v>0</v>
      </c>
      <c r="AW38" s="51">
        <f>F38*AO38</f>
        <v>0</v>
      </c>
      <c r="AX38" s="51">
        <f>F38*AP38</f>
        <v>0</v>
      </c>
      <c r="AY38" s="53" t="s">
        <v>148</v>
      </c>
      <c r="AZ38" s="53" t="s">
        <v>149</v>
      </c>
      <c r="BA38" s="35" t="s">
        <v>117</v>
      </c>
      <c r="BC38" s="51">
        <f>AW38+AX38</f>
        <v>0</v>
      </c>
      <c r="BD38" s="51">
        <f>G38/(100-BE38)*100</f>
        <v>0</v>
      </c>
      <c r="BE38" s="51">
        <v>0</v>
      </c>
      <c r="BF38" s="51">
        <f>38</f>
        <v>38</v>
      </c>
      <c r="BH38" s="51">
        <f>F38*AO38</f>
        <v>0</v>
      </c>
      <c r="BI38" s="51">
        <f>F38*AP38</f>
        <v>0</v>
      </c>
      <c r="BJ38" s="51">
        <f>F38*G38</f>
        <v>0</v>
      </c>
      <c r="BK38" s="51"/>
      <c r="BL38" s="51">
        <v>61</v>
      </c>
      <c r="BW38" s="51">
        <v>12</v>
      </c>
      <c r="BX38" s="3" t="s">
        <v>174</v>
      </c>
    </row>
    <row r="39" spans="1:76">
      <c r="A39" s="54"/>
      <c r="C39" s="55" t="s">
        <v>175</v>
      </c>
      <c r="D39" s="56" t="s">
        <v>176</v>
      </c>
      <c r="F39" s="57">
        <v>2.5</v>
      </c>
      <c r="J39" s="41"/>
    </row>
    <row r="40" spans="1:76">
      <c r="A40" s="1" t="s">
        <v>177</v>
      </c>
      <c r="B40" s="2" t="s">
        <v>178</v>
      </c>
      <c r="C40" s="75" t="s">
        <v>179</v>
      </c>
      <c r="D40" s="70"/>
      <c r="E40" s="2" t="s">
        <v>114</v>
      </c>
      <c r="F40" s="51">
        <v>37.972000000000001</v>
      </c>
      <c r="G40" s="52">
        <v>0</v>
      </c>
      <c r="H40" s="51">
        <f>F40*G40</f>
        <v>0</v>
      </c>
      <c r="J40" s="41"/>
      <c r="Z40" s="51">
        <f>IF(AQ40="5",BJ40,0)</f>
        <v>0</v>
      </c>
      <c r="AB40" s="51">
        <f>IF(AQ40="1",BH40,0)</f>
        <v>0</v>
      </c>
      <c r="AC40" s="51">
        <f>IF(AQ40="1",BI40,0)</f>
        <v>0</v>
      </c>
      <c r="AD40" s="51">
        <f>IF(AQ40="7",BH40,0)</f>
        <v>0</v>
      </c>
      <c r="AE40" s="51">
        <f>IF(AQ40="7",BI40,0)</f>
        <v>0</v>
      </c>
      <c r="AF40" s="51">
        <f>IF(AQ40="2",BH40,0)</f>
        <v>0</v>
      </c>
      <c r="AG40" s="51">
        <f>IF(AQ40="2",BI40,0)</f>
        <v>0</v>
      </c>
      <c r="AH40" s="51">
        <f>IF(AQ40="0",BJ40,0)</f>
        <v>0</v>
      </c>
      <c r="AI40" s="35" t="s">
        <v>4</v>
      </c>
      <c r="AJ40" s="51">
        <f>IF(AN40=0,H40,0)</f>
        <v>0</v>
      </c>
      <c r="AK40" s="51">
        <f>IF(AN40=12,H40,0)</f>
        <v>0</v>
      </c>
      <c r="AL40" s="51">
        <f>IF(AN40=21,H40,0)</f>
        <v>0</v>
      </c>
      <c r="AN40" s="51">
        <v>12</v>
      </c>
      <c r="AO40" s="51">
        <f>G40*0.201253731</f>
        <v>0</v>
      </c>
      <c r="AP40" s="51">
        <f>G40*(1-0.201253731)</f>
        <v>0</v>
      </c>
      <c r="AQ40" s="53" t="s">
        <v>111</v>
      </c>
      <c r="AV40" s="51">
        <f>AW40+AX40</f>
        <v>0</v>
      </c>
      <c r="AW40" s="51">
        <f>F40*AO40</f>
        <v>0</v>
      </c>
      <c r="AX40" s="51">
        <f>F40*AP40</f>
        <v>0</v>
      </c>
      <c r="AY40" s="53" t="s">
        <v>148</v>
      </c>
      <c r="AZ40" s="53" t="s">
        <v>149</v>
      </c>
      <c r="BA40" s="35" t="s">
        <v>117</v>
      </c>
      <c r="BC40" s="51">
        <f>AW40+AX40</f>
        <v>0</v>
      </c>
      <c r="BD40" s="51">
        <f>G40/(100-BE40)*100</f>
        <v>0</v>
      </c>
      <c r="BE40" s="51">
        <v>0</v>
      </c>
      <c r="BF40" s="51">
        <f>40</f>
        <v>40</v>
      </c>
      <c r="BH40" s="51">
        <f>F40*AO40</f>
        <v>0</v>
      </c>
      <c r="BI40" s="51">
        <f>F40*AP40</f>
        <v>0</v>
      </c>
      <c r="BJ40" s="51">
        <f>F40*G40</f>
        <v>0</v>
      </c>
      <c r="BK40" s="51"/>
      <c r="BL40" s="51">
        <v>61</v>
      </c>
      <c r="BW40" s="51">
        <v>12</v>
      </c>
      <c r="BX40" s="3" t="s">
        <v>179</v>
      </c>
    </row>
    <row r="41" spans="1:76">
      <c r="A41" s="54"/>
      <c r="C41" s="55" t="s">
        <v>180</v>
      </c>
      <c r="D41" s="56" t="s">
        <v>165</v>
      </c>
      <c r="F41" s="57">
        <v>6.0960000000000001</v>
      </c>
      <c r="J41" s="41"/>
    </row>
    <row r="42" spans="1:76">
      <c r="A42" s="54"/>
      <c r="C42" s="55" t="s">
        <v>181</v>
      </c>
      <c r="D42" s="56" t="s">
        <v>167</v>
      </c>
      <c r="F42" s="57">
        <v>4.42</v>
      </c>
      <c r="J42" s="41"/>
    </row>
    <row r="43" spans="1:76">
      <c r="A43" s="54"/>
      <c r="C43" s="55" t="s">
        <v>182</v>
      </c>
      <c r="D43" s="56" t="s">
        <v>169</v>
      </c>
      <c r="F43" s="57">
        <v>27.456</v>
      </c>
      <c r="J43" s="41"/>
    </row>
    <row r="44" spans="1:76">
      <c r="A44" s="1" t="s">
        <v>183</v>
      </c>
      <c r="B44" s="2" t="s">
        <v>184</v>
      </c>
      <c r="C44" s="75" t="s">
        <v>185</v>
      </c>
      <c r="D44" s="70"/>
      <c r="E44" s="2" t="s">
        <v>130</v>
      </c>
      <c r="F44" s="51">
        <v>2</v>
      </c>
      <c r="G44" s="52">
        <v>0</v>
      </c>
      <c r="H44" s="51">
        <f>F44*G44</f>
        <v>0</v>
      </c>
      <c r="J44" s="41"/>
      <c r="Z44" s="51">
        <f>IF(AQ44="5",BJ44,0)</f>
        <v>0</v>
      </c>
      <c r="AB44" s="51">
        <f>IF(AQ44="1",BH44,0)</f>
        <v>0</v>
      </c>
      <c r="AC44" s="51">
        <f>IF(AQ44="1",BI44,0)</f>
        <v>0</v>
      </c>
      <c r="AD44" s="51">
        <f>IF(AQ44="7",BH44,0)</f>
        <v>0</v>
      </c>
      <c r="AE44" s="51">
        <f>IF(AQ44="7",BI44,0)</f>
        <v>0</v>
      </c>
      <c r="AF44" s="51">
        <f>IF(AQ44="2",BH44,0)</f>
        <v>0</v>
      </c>
      <c r="AG44" s="51">
        <f>IF(AQ44="2",BI44,0)</f>
        <v>0</v>
      </c>
      <c r="AH44" s="51">
        <f>IF(AQ44="0",BJ44,0)</f>
        <v>0</v>
      </c>
      <c r="AI44" s="35" t="s">
        <v>4</v>
      </c>
      <c r="AJ44" s="51">
        <f>IF(AN44=0,H44,0)</f>
        <v>0</v>
      </c>
      <c r="AK44" s="51">
        <f>IF(AN44=12,H44,0)</f>
        <v>0</v>
      </c>
      <c r="AL44" s="51">
        <f>IF(AN44=21,H44,0)</f>
        <v>0</v>
      </c>
      <c r="AN44" s="51">
        <v>12</v>
      </c>
      <c r="AO44" s="51">
        <f>G44*0.375643435</f>
        <v>0</v>
      </c>
      <c r="AP44" s="51">
        <f>G44*(1-0.375643435)</f>
        <v>0</v>
      </c>
      <c r="AQ44" s="53" t="s">
        <v>111</v>
      </c>
      <c r="AV44" s="51">
        <f>AW44+AX44</f>
        <v>0</v>
      </c>
      <c r="AW44" s="51">
        <f>F44*AO44</f>
        <v>0</v>
      </c>
      <c r="AX44" s="51">
        <f>F44*AP44</f>
        <v>0</v>
      </c>
      <c r="AY44" s="53" t="s">
        <v>148</v>
      </c>
      <c r="AZ44" s="53" t="s">
        <v>149</v>
      </c>
      <c r="BA44" s="35" t="s">
        <v>117</v>
      </c>
      <c r="BC44" s="51">
        <f>AW44+AX44</f>
        <v>0</v>
      </c>
      <c r="BD44" s="51">
        <f>G44/(100-BE44)*100</f>
        <v>0</v>
      </c>
      <c r="BE44" s="51">
        <v>0</v>
      </c>
      <c r="BF44" s="51">
        <f>44</f>
        <v>44</v>
      </c>
      <c r="BH44" s="51">
        <f>F44*AO44</f>
        <v>0</v>
      </c>
      <c r="BI44" s="51">
        <f>F44*AP44</f>
        <v>0</v>
      </c>
      <c r="BJ44" s="51">
        <f>F44*G44</f>
        <v>0</v>
      </c>
      <c r="BK44" s="51"/>
      <c r="BL44" s="51">
        <v>61</v>
      </c>
      <c r="BW44" s="51">
        <v>12</v>
      </c>
      <c r="BX44" s="3" t="s">
        <v>185</v>
      </c>
    </row>
    <row r="45" spans="1:76" ht="13.5" customHeight="1">
      <c r="A45" s="54"/>
      <c r="B45" s="58" t="s">
        <v>131</v>
      </c>
      <c r="C45" s="152" t="s">
        <v>186</v>
      </c>
      <c r="D45" s="153"/>
      <c r="E45" s="153"/>
      <c r="F45" s="153"/>
      <c r="G45" s="154"/>
      <c r="H45" s="153"/>
      <c r="I45" s="153"/>
      <c r="J45" s="155"/>
    </row>
    <row r="46" spans="1:76">
      <c r="A46" s="54"/>
      <c r="C46" s="55" t="s">
        <v>120</v>
      </c>
      <c r="D46" s="56" t="s">
        <v>187</v>
      </c>
      <c r="F46" s="57">
        <v>2</v>
      </c>
      <c r="J46" s="41"/>
    </row>
    <row r="47" spans="1:76">
      <c r="A47" s="1" t="s">
        <v>188</v>
      </c>
      <c r="B47" s="2" t="s">
        <v>189</v>
      </c>
      <c r="C47" s="75" t="s">
        <v>190</v>
      </c>
      <c r="D47" s="70"/>
      <c r="E47" s="2" t="s">
        <v>114</v>
      </c>
      <c r="F47" s="51">
        <v>50.283999999999999</v>
      </c>
      <c r="G47" s="52">
        <v>0</v>
      </c>
      <c r="H47" s="51">
        <f>F47*G47</f>
        <v>0</v>
      </c>
      <c r="J47" s="41"/>
      <c r="Z47" s="51">
        <f>IF(AQ47="5",BJ47,0)</f>
        <v>0</v>
      </c>
      <c r="AB47" s="51">
        <f>IF(AQ47="1",BH47,0)</f>
        <v>0</v>
      </c>
      <c r="AC47" s="51">
        <f>IF(AQ47="1",BI47,0)</f>
        <v>0</v>
      </c>
      <c r="AD47" s="51">
        <f>IF(AQ47="7",BH47,0)</f>
        <v>0</v>
      </c>
      <c r="AE47" s="51">
        <f>IF(AQ47="7",BI47,0)</f>
        <v>0</v>
      </c>
      <c r="AF47" s="51">
        <f>IF(AQ47="2",BH47,0)</f>
        <v>0</v>
      </c>
      <c r="AG47" s="51">
        <f>IF(AQ47="2",BI47,0)</f>
        <v>0</v>
      </c>
      <c r="AH47" s="51">
        <f>IF(AQ47="0",BJ47,0)</f>
        <v>0</v>
      </c>
      <c r="AI47" s="35" t="s">
        <v>4</v>
      </c>
      <c r="AJ47" s="51">
        <f>IF(AN47=0,H47,0)</f>
        <v>0</v>
      </c>
      <c r="AK47" s="51">
        <f>IF(AN47=12,H47,0)</f>
        <v>0</v>
      </c>
      <c r="AL47" s="51">
        <f>IF(AN47=21,H47,0)</f>
        <v>0</v>
      </c>
      <c r="AN47" s="51">
        <v>12</v>
      </c>
      <c r="AO47" s="51">
        <f>G47*0.435487062</f>
        <v>0</v>
      </c>
      <c r="AP47" s="51">
        <f>G47*(1-0.435487062)</f>
        <v>0</v>
      </c>
      <c r="AQ47" s="53" t="s">
        <v>111</v>
      </c>
      <c r="AV47" s="51">
        <f>AW47+AX47</f>
        <v>0</v>
      </c>
      <c r="AW47" s="51">
        <f>F47*AO47</f>
        <v>0</v>
      </c>
      <c r="AX47" s="51">
        <f>F47*AP47</f>
        <v>0</v>
      </c>
      <c r="AY47" s="53" t="s">
        <v>148</v>
      </c>
      <c r="AZ47" s="53" t="s">
        <v>149</v>
      </c>
      <c r="BA47" s="35" t="s">
        <v>117</v>
      </c>
      <c r="BC47" s="51">
        <f>AW47+AX47</f>
        <v>0</v>
      </c>
      <c r="BD47" s="51">
        <f>G47/(100-BE47)*100</f>
        <v>0</v>
      </c>
      <c r="BE47" s="51">
        <v>0</v>
      </c>
      <c r="BF47" s="51">
        <f>47</f>
        <v>47</v>
      </c>
      <c r="BH47" s="51">
        <f>F47*AO47</f>
        <v>0</v>
      </c>
      <c r="BI47" s="51">
        <f>F47*AP47</f>
        <v>0</v>
      </c>
      <c r="BJ47" s="51">
        <f>F47*G47</f>
        <v>0</v>
      </c>
      <c r="BK47" s="51"/>
      <c r="BL47" s="51">
        <v>61</v>
      </c>
      <c r="BW47" s="51">
        <v>12</v>
      </c>
      <c r="BX47" s="3" t="s">
        <v>190</v>
      </c>
    </row>
    <row r="48" spans="1:76" ht="13.5" customHeight="1">
      <c r="A48" s="54"/>
      <c r="B48" s="58" t="s">
        <v>131</v>
      </c>
      <c r="C48" s="152" t="s">
        <v>191</v>
      </c>
      <c r="D48" s="153"/>
      <c r="E48" s="153"/>
      <c r="F48" s="153"/>
      <c r="G48" s="154"/>
      <c r="H48" s="153"/>
      <c r="I48" s="153"/>
      <c r="J48" s="155"/>
    </row>
    <row r="49" spans="1:76">
      <c r="A49" s="54"/>
      <c r="C49" s="55" t="s">
        <v>164</v>
      </c>
      <c r="D49" s="56" t="s">
        <v>165</v>
      </c>
      <c r="F49" s="57">
        <v>10.792</v>
      </c>
      <c r="J49" s="41"/>
    </row>
    <row r="50" spans="1:76">
      <c r="A50" s="54"/>
      <c r="C50" s="55" t="s">
        <v>192</v>
      </c>
      <c r="D50" s="56" t="s">
        <v>193</v>
      </c>
      <c r="F50" s="57">
        <v>3.8</v>
      </c>
      <c r="J50" s="41"/>
    </row>
    <row r="51" spans="1:76">
      <c r="A51" s="54"/>
      <c r="C51" s="55" t="s">
        <v>168</v>
      </c>
      <c r="D51" s="56" t="s">
        <v>169</v>
      </c>
      <c r="F51" s="57">
        <v>34.851999999999997</v>
      </c>
      <c r="J51" s="41"/>
    </row>
    <row r="52" spans="1:76">
      <c r="A52" s="54"/>
      <c r="C52" s="55" t="s">
        <v>170</v>
      </c>
      <c r="D52" s="56" t="s">
        <v>171</v>
      </c>
      <c r="F52" s="57">
        <v>0.84</v>
      </c>
      <c r="J52" s="41"/>
    </row>
    <row r="53" spans="1:76">
      <c r="A53" s="1" t="s">
        <v>194</v>
      </c>
      <c r="B53" s="2" t="s">
        <v>195</v>
      </c>
      <c r="C53" s="75" t="s">
        <v>196</v>
      </c>
      <c r="D53" s="70"/>
      <c r="E53" s="2" t="s">
        <v>114</v>
      </c>
      <c r="F53" s="51">
        <v>3.9</v>
      </c>
      <c r="G53" s="52">
        <v>0</v>
      </c>
      <c r="H53" s="51">
        <f>F53*G53</f>
        <v>0</v>
      </c>
      <c r="J53" s="41"/>
      <c r="Z53" s="51">
        <f>IF(AQ53="5",BJ53,0)</f>
        <v>0</v>
      </c>
      <c r="AB53" s="51">
        <f>IF(AQ53="1",BH53,0)</f>
        <v>0</v>
      </c>
      <c r="AC53" s="51">
        <f>IF(AQ53="1",BI53,0)</f>
        <v>0</v>
      </c>
      <c r="AD53" s="51">
        <f>IF(AQ53="7",BH53,0)</f>
        <v>0</v>
      </c>
      <c r="AE53" s="51">
        <f>IF(AQ53="7",BI53,0)</f>
        <v>0</v>
      </c>
      <c r="AF53" s="51">
        <f>IF(AQ53="2",BH53,0)</f>
        <v>0</v>
      </c>
      <c r="AG53" s="51">
        <f>IF(AQ53="2",BI53,0)</f>
        <v>0</v>
      </c>
      <c r="AH53" s="51">
        <f>IF(AQ53="0",BJ53,0)</f>
        <v>0</v>
      </c>
      <c r="AI53" s="35" t="s">
        <v>4</v>
      </c>
      <c r="AJ53" s="51">
        <f>IF(AN53=0,H53,0)</f>
        <v>0</v>
      </c>
      <c r="AK53" s="51">
        <f>IF(AN53=12,H53,0)</f>
        <v>0</v>
      </c>
      <c r="AL53" s="51">
        <f>IF(AN53=21,H53,0)</f>
        <v>0</v>
      </c>
      <c r="AN53" s="51">
        <v>12</v>
      </c>
      <c r="AO53" s="51">
        <f>G53*0.333786838</f>
        <v>0</v>
      </c>
      <c r="AP53" s="51">
        <f>G53*(1-0.333786838)</f>
        <v>0</v>
      </c>
      <c r="AQ53" s="53" t="s">
        <v>111</v>
      </c>
      <c r="AV53" s="51">
        <f>AW53+AX53</f>
        <v>0</v>
      </c>
      <c r="AW53" s="51">
        <f>F53*AO53</f>
        <v>0</v>
      </c>
      <c r="AX53" s="51">
        <f>F53*AP53</f>
        <v>0</v>
      </c>
      <c r="AY53" s="53" t="s">
        <v>148</v>
      </c>
      <c r="AZ53" s="53" t="s">
        <v>149</v>
      </c>
      <c r="BA53" s="35" t="s">
        <v>117</v>
      </c>
      <c r="BC53" s="51">
        <f>AW53+AX53</f>
        <v>0</v>
      </c>
      <c r="BD53" s="51">
        <f>G53/(100-BE53)*100</f>
        <v>0</v>
      </c>
      <c r="BE53" s="51">
        <v>0</v>
      </c>
      <c r="BF53" s="51">
        <f>53</f>
        <v>53</v>
      </c>
      <c r="BH53" s="51">
        <f>F53*AO53</f>
        <v>0</v>
      </c>
      <c r="BI53" s="51">
        <f>F53*AP53</f>
        <v>0</v>
      </c>
      <c r="BJ53" s="51">
        <f>F53*G53</f>
        <v>0</v>
      </c>
      <c r="BK53" s="51"/>
      <c r="BL53" s="51">
        <v>61</v>
      </c>
      <c r="BW53" s="51">
        <v>12</v>
      </c>
      <c r="BX53" s="3" t="s">
        <v>196</v>
      </c>
    </row>
    <row r="54" spans="1:76">
      <c r="A54" s="54"/>
      <c r="C54" s="55" t="s">
        <v>197</v>
      </c>
      <c r="D54" s="56" t="s">
        <v>198</v>
      </c>
      <c r="F54" s="57">
        <v>3.9</v>
      </c>
      <c r="J54" s="41"/>
    </row>
    <row r="55" spans="1:76">
      <c r="A55" s="1" t="s">
        <v>199</v>
      </c>
      <c r="B55" s="2" t="s">
        <v>200</v>
      </c>
      <c r="C55" s="75" t="s">
        <v>201</v>
      </c>
      <c r="D55" s="70"/>
      <c r="E55" s="2" t="s">
        <v>114</v>
      </c>
      <c r="F55" s="51">
        <v>15.891999999999999</v>
      </c>
      <c r="G55" s="52">
        <v>0</v>
      </c>
      <c r="H55" s="51">
        <f>F55*G55</f>
        <v>0</v>
      </c>
      <c r="J55" s="41"/>
      <c r="Z55" s="51">
        <f>IF(AQ55="5",BJ55,0)</f>
        <v>0</v>
      </c>
      <c r="AB55" s="51">
        <f>IF(AQ55="1",BH55,0)</f>
        <v>0</v>
      </c>
      <c r="AC55" s="51">
        <f>IF(AQ55="1",BI55,0)</f>
        <v>0</v>
      </c>
      <c r="AD55" s="51">
        <f>IF(AQ55="7",BH55,0)</f>
        <v>0</v>
      </c>
      <c r="AE55" s="51">
        <f>IF(AQ55="7",BI55,0)</f>
        <v>0</v>
      </c>
      <c r="AF55" s="51">
        <f>IF(AQ55="2",BH55,0)</f>
        <v>0</v>
      </c>
      <c r="AG55" s="51">
        <f>IF(AQ55="2",BI55,0)</f>
        <v>0</v>
      </c>
      <c r="AH55" s="51">
        <f>IF(AQ55="0",BJ55,0)</f>
        <v>0</v>
      </c>
      <c r="AI55" s="35" t="s">
        <v>4</v>
      </c>
      <c r="AJ55" s="51">
        <f>IF(AN55=0,H55,0)</f>
        <v>0</v>
      </c>
      <c r="AK55" s="51">
        <f>IF(AN55=12,H55,0)</f>
        <v>0</v>
      </c>
      <c r="AL55" s="51">
        <f>IF(AN55=21,H55,0)</f>
        <v>0</v>
      </c>
      <c r="AN55" s="51">
        <v>12</v>
      </c>
      <c r="AO55" s="51">
        <f>G55*0.292902034</f>
        <v>0</v>
      </c>
      <c r="AP55" s="51">
        <f>G55*(1-0.292902034)</f>
        <v>0</v>
      </c>
      <c r="AQ55" s="53" t="s">
        <v>111</v>
      </c>
      <c r="AV55" s="51">
        <f>AW55+AX55</f>
        <v>0</v>
      </c>
      <c r="AW55" s="51">
        <f>F55*AO55</f>
        <v>0</v>
      </c>
      <c r="AX55" s="51">
        <f>F55*AP55</f>
        <v>0</v>
      </c>
      <c r="AY55" s="53" t="s">
        <v>148</v>
      </c>
      <c r="AZ55" s="53" t="s">
        <v>149</v>
      </c>
      <c r="BA55" s="35" t="s">
        <v>117</v>
      </c>
      <c r="BC55" s="51">
        <f>AW55+AX55</f>
        <v>0</v>
      </c>
      <c r="BD55" s="51">
        <f>G55/(100-BE55)*100</f>
        <v>0</v>
      </c>
      <c r="BE55" s="51">
        <v>0</v>
      </c>
      <c r="BF55" s="51">
        <f>55</f>
        <v>55</v>
      </c>
      <c r="BH55" s="51">
        <f>F55*AO55</f>
        <v>0</v>
      </c>
      <c r="BI55" s="51">
        <f>F55*AP55</f>
        <v>0</v>
      </c>
      <c r="BJ55" s="51">
        <f>F55*G55</f>
        <v>0</v>
      </c>
      <c r="BK55" s="51"/>
      <c r="BL55" s="51">
        <v>61</v>
      </c>
      <c r="BW55" s="51">
        <v>12</v>
      </c>
      <c r="BX55" s="3" t="s">
        <v>201</v>
      </c>
    </row>
    <row r="56" spans="1:76" ht="13.5" customHeight="1">
      <c r="A56" s="54"/>
      <c r="B56" s="58" t="s">
        <v>131</v>
      </c>
      <c r="C56" s="152" t="s">
        <v>202</v>
      </c>
      <c r="D56" s="153"/>
      <c r="E56" s="153"/>
      <c r="F56" s="153"/>
      <c r="G56" s="154"/>
      <c r="H56" s="153"/>
      <c r="I56" s="153"/>
      <c r="J56" s="155"/>
    </row>
    <row r="57" spans="1:76">
      <c r="A57" s="54"/>
      <c r="C57" s="55" t="s">
        <v>203</v>
      </c>
      <c r="D57" s="56" t="s">
        <v>204</v>
      </c>
      <c r="F57" s="57">
        <v>4.6959999999999997</v>
      </c>
      <c r="J57" s="41"/>
    </row>
    <row r="58" spans="1:76">
      <c r="A58" s="54"/>
      <c r="C58" s="55" t="s">
        <v>192</v>
      </c>
      <c r="D58" s="56" t="s">
        <v>205</v>
      </c>
      <c r="F58" s="57">
        <v>3.8</v>
      </c>
      <c r="J58" s="41"/>
    </row>
    <row r="59" spans="1:76">
      <c r="A59" s="54"/>
      <c r="C59" s="55" t="s">
        <v>206</v>
      </c>
      <c r="D59" s="56" t="s">
        <v>198</v>
      </c>
      <c r="F59" s="57">
        <v>7.3959999999999999</v>
      </c>
      <c r="J59" s="41"/>
    </row>
    <row r="60" spans="1:76">
      <c r="A60" s="47" t="s">
        <v>4</v>
      </c>
      <c r="B60" s="48" t="s">
        <v>207</v>
      </c>
      <c r="C60" s="150" t="s">
        <v>208</v>
      </c>
      <c r="D60" s="151"/>
      <c r="E60" s="49" t="s">
        <v>79</v>
      </c>
      <c r="F60" s="49" t="s">
        <v>79</v>
      </c>
      <c r="G60" s="50" t="s">
        <v>79</v>
      </c>
      <c r="H60" s="28">
        <f>SUM(H61:H66)</f>
        <v>0</v>
      </c>
      <c r="J60" s="41"/>
      <c r="AI60" s="35" t="s">
        <v>4</v>
      </c>
      <c r="AS60" s="28">
        <f>SUM(AJ61:AJ66)</f>
        <v>0</v>
      </c>
      <c r="AT60" s="28">
        <f>SUM(AK61:AK66)</f>
        <v>0</v>
      </c>
      <c r="AU60" s="28">
        <f>SUM(AL61:AL66)</f>
        <v>0</v>
      </c>
    </row>
    <row r="61" spans="1:76">
      <c r="A61" s="1" t="s">
        <v>209</v>
      </c>
      <c r="B61" s="2" t="s">
        <v>210</v>
      </c>
      <c r="C61" s="75" t="s">
        <v>211</v>
      </c>
      <c r="D61" s="70"/>
      <c r="E61" s="2" t="s">
        <v>114</v>
      </c>
      <c r="F61" s="51">
        <v>0.96</v>
      </c>
      <c r="G61" s="52">
        <v>0</v>
      </c>
      <c r="H61" s="51">
        <f>F61*G61</f>
        <v>0</v>
      </c>
      <c r="J61" s="41"/>
      <c r="Z61" s="51">
        <f>IF(AQ61="5",BJ61,0)</f>
        <v>0</v>
      </c>
      <c r="AB61" s="51">
        <f>IF(AQ61="1",BH61,0)</f>
        <v>0</v>
      </c>
      <c r="AC61" s="51">
        <f>IF(AQ61="1",BI61,0)</f>
        <v>0</v>
      </c>
      <c r="AD61" s="51">
        <f>IF(AQ61="7",BH61,0)</f>
        <v>0</v>
      </c>
      <c r="AE61" s="51">
        <f>IF(AQ61="7",BI61,0)</f>
        <v>0</v>
      </c>
      <c r="AF61" s="51">
        <f>IF(AQ61="2",BH61,0)</f>
        <v>0</v>
      </c>
      <c r="AG61" s="51">
        <f>IF(AQ61="2",BI61,0)</f>
        <v>0</v>
      </c>
      <c r="AH61" s="51">
        <f>IF(AQ61="0",BJ61,0)</f>
        <v>0</v>
      </c>
      <c r="AI61" s="35" t="s">
        <v>4</v>
      </c>
      <c r="AJ61" s="51">
        <f>IF(AN61=0,H61,0)</f>
        <v>0</v>
      </c>
      <c r="AK61" s="51">
        <f>IF(AN61=12,H61,0)</f>
        <v>0</v>
      </c>
      <c r="AL61" s="51">
        <f>IF(AN61=21,H61,0)</f>
        <v>0</v>
      </c>
      <c r="AN61" s="51">
        <v>12</v>
      </c>
      <c r="AO61" s="51">
        <f>G61*0.675979906</f>
        <v>0</v>
      </c>
      <c r="AP61" s="51">
        <f>G61*(1-0.675979906)</f>
        <v>0</v>
      </c>
      <c r="AQ61" s="53" t="s">
        <v>111</v>
      </c>
      <c r="AV61" s="51">
        <f>AW61+AX61</f>
        <v>0</v>
      </c>
      <c r="AW61" s="51">
        <f>F61*AO61</f>
        <v>0</v>
      </c>
      <c r="AX61" s="51">
        <f>F61*AP61</f>
        <v>0</v>
      </c>
      <c r="AY61" s="53" t="s">
        <v>212</v>
      </c>
      <c r="AZ61" s="53" t="s">
        <v>149</v>
      </c>
      <c r="BA61" s="35" t="s">
        <v>117</v>
      </c>
      <c r="BC61" s="51">
        <f>AW61+AX61</f>
        <v>0</v>
      </c>
      <c r="BD61" s="51">
        <f>G61/(100-BE61)*100</f>
        <v>0</v>
      </c>
      <c r="BE61" s="51">
        <v>0</v>
      </c>
      <c r="BF61" s="51">
        <f>61</f>
        <v>61</v>
      </c>
      <c r="BH61" s="51">
        <f>F61*AO61</f>
        <v>0</v>
      </c>
      <c r="BI61" s="51">
        <f>F61*AP61</f>
        <v>0</v>
      </c>
      <c r="BJ61" s="51">
        <f>F61*G61</f>
        <v>0</v>
      </c>
      <c r="BK61" s="51"/>
      <c r="BL61" s="51">
        <v>63</v>
      </c>
      <c r="BW61" s="51">
        <v>12</v>
      </c>
      <c r="BX61" s="3" t="s">
        <v>211</v>
      </c>
    </row>
    <row r="62" spans="1:76">
      <c r="A62" s="54"/>
      <c r="C62" s="55" t="s">
        <v>213</v>
      </c>
      <c r="D62" s="56" t="s">
        <v>214</v>
      </c>
      <c r="F62" s="57">
        <v>0.96</v>
      </c>
      <c r="J62" s="41"/>
    </row>
    <row r="63" spans="1:76">
      <c r="A63" s="1" t="s">
        <v>215</v>
      </c>
      <c r="B63" s="2" t="s">
        <v>216</v>
      </c>
      <c r="C63" s="75" t="s">
        <v>217</v>
      </c>
      <c r="D63" s="70"/>
      <c r="E63" s="2" t="s">
        <v>114</v>
      </c>
      <c r="F63" s="51">
        <v>20.65</v>
      </c>
      <c r="G63" s="52">
        <v>0</v>
      </c>
      <c r="H63" s="51">
        <f>F63*G63</f>
        <v>0</v>
      </c>
      <c r="J63" s="41"/>
      <c r="Z63" s="51">
        <f>IF(AQ63="5",BJ63,0)</f>
        <v>0</v>
      </c>
      <c r="AB63" s="51">
        <f>IF(AQ63="1",BH63,0)</f>
        <v>0</v>
      </c>
      <c r="AC63" s="51">
        <f>IF(AQ63="1",BI63,0)</f>
        <v>0</v>
      </c>
      <c r="AD63" s="51">
        <f>IF(AQ63="7",BH63,0)</f>
        <v>0</v>
      </c>
      <c r="AE63" s="51">
        <f>IF(AQ63="7",BI63,0)</f>
        <v>0</v>
      </c>
      <c r="AF63" s="51">
        <f>IF(AQ63="2",BH63,0)</f>
        <v>0</v>
      </c>
      <c r="AG63" s="51">
        <f>IF(AQ63="2",BI63,0)</f>
        <v>0</v>
      </c>
      <c r="AH63" s="51">
        <f>IF(AQ63="0",BJ63,0)</f>
        <v>0</v>
      </c>
      <c r="AI63" s="35" t="s">
        <v>4</v>
      </c>
      <c r="AJ63" s="51">
        <f>IF(AN63=0,H63,0)</f>
        <v>0</v>
      </c>
      <c r="AK63" s="51">
        <f>IF(AN63=12,H63,0)</f>
        <v>0</v>
      </c>
      <c r="AL63" s="51">
        <f>IF(AN63=21,H63,0)</f>
        <v>0</v>
      </c>
      <c r="AN63" s="51">
        <v>12</v>
      </c>
      <c r="AO63" s="51">
        <f>G63*0.785783634</f>
        <v>0</v>
      </c>
      <c r="AP63" s="51">
        <f>G63*(1-0.785783634)</f>
        <v>0</v>
      </c>
      <c r="AQ63" s="53" t="s">
        <v>111</v>
      </c>
      <c r="AV63" s="51">
        <f>AW63+AX63</f>
        <v>0</v>
      </c>
      <c r="AW63" s="51">
        <f>F63*AO63</f>
        <v>0</v>
      </c>
      <c r="AX63" s="51">
        <f>F63*AP63</f>
        <v>0</v>
      </c>
      <c r="AY63" s="53" t="s">
        <v>212</v>
      </c>
      <c r="AZ63" s="53" t="s">
        <v>149</v>
      </c>
      <c r="BA63" s="35" t="s">
        <v>117</v>
      </c>
      <c r="BC63" s="51">
        <f>AW63+AX63</f>
        <v>0</v>
      </c>
      <c r="BD63" s="51">
        <f>G63/(100-BE63)*100</f>
        <v>0</v>
      </c>
      <c r="BE63" s="51">
        <v>0</v>
      </c>
      <c r="BF63" s="51">
        <f>63</f>
        <v>63</v>
      </c>
      <c r="BH63" s="51">
        <f>F63*AO63</f>
        <v>0</v>
      </c>
      <c r="BI63" s="51">
        <f>F63*AP63</f>
        <v>0</v>
      </c>
      <c r="BJ63" s="51">
        <f>F63*G63</f>
        <v>0</v>
      </c>
      <c r="BK63" s="51"/>
      <c r="BL63" s="51">
        <v>63</v>
      </c>
      <c r="BW63" s="51">
        <v>12</v>
      </c>
      <c r="BX63" s="3" t="s">
        <v>217</v>
      </c>
    </row>
    <row r="64" spans="1:76" ht="13.5" customHeight="1">
      <c r="A64" s="54"/>
      <c r="B64" s="58" t="s">
        <v>131</v>
      </c>
      <c r="C64" s="152" t="s">
        <v>218</v>
      </c>
      <c r="D64" s="153"/>
      <c r="E64" s="153"/>
      <c r="F64" s="153"/>
      <c r="G64" s="154"/>
      <c r="H64" s="153"/>
      <c r="I64" s="153"/>
      <c r="J64" s="155"/>
    </row>
    <row r="65" spans="1:76">
      <c r="A65" s="54"/>
      <c r="C65" s="55" t="s">
        <v>150</v>
      </c>
      <c r="D65" s="56" t="s">
        <v>219</v>
      </c>
      <c r="F65" s="57">
        <v>20.65</v>
      </c>
      <c r="J65" s="41"/>
    </row>
    <row r="66" spans="1:76">
      <c r="A66" s="1" t="s">
        <v>220</v>
      </c>
      <c r="B66" s="2" t="s">
        <v>221</v>
      </c>
      <c r="C66" s="75" t="s">
        <v>222</v>
      </c>
      <c r="D66" s="70"/>
      <c r="E66" s="2" t="s">
        <v>114</v>
      </c>
      <c r="F66" s="51">
        <v>20.65</v>
      </c>
      <c r="G66" s="52">
        <v>0</v>
      </c>
      <c r="H66" s="51">
        <f>F66*G66</f>
        <v>0</v>
      </c>
      <c r="J66" s="41"/>
      <c r="Z66" s="51">
        <f>IF(AQ66="5",BJ66,0)</f>
        <v>0</v>
      </c>
      <c r="AB66" s="51">
        <f>IF(AQ66="1",BH66,0)</f>
        <v>0</v>
      </c>
      <c r="AC66" s="51">
        <f>IF(AQ66="1",BI66,0)</f>
        <v>0</v>
      </c>
      <c r="AD66" s="51">
        <f>IF(AQ66="7",BH66,0)</f>
        <v>0</v>
      </c>
      <c r="AE66" s="51">
        <f>IF(AQ66="7",BI66,0)</f>
        <v>0</v>
      </c>
      <c r="AF66" s="51">
        <f>IF(AQ66="2",BH66,0)</f>
        <v>0</v>
      </c>
      <c r="AG66" s="51">
        <f>IF(AQ66="2",BI66,0)</f>
        <v>0</v>
      </c>
      <c r="AH66" s="51">
        <f>IF(AQ66="0",BJ66,0)</f>
        <v>0</v>
      </c>
      <c r="AI66" s="35" t="s">
        <v>4</v>
      </c>
      <c r="AJ66" s="51">
        <f>IF(AN66=0,H66,0)</f>
        <v>0</v>
      </c>
      <c r="AK66" s="51">
        <f>IF(AN66=12,H66,0)</f>
        <v>0</v>
      </c>
      <c r="AL66" s="51">
        <f>IF(AN66=21,H66,0)</f>
        <v>0</v>
      </c>
      <c r="AN66" s="51">
        <v>12</v>
      </c>
      <c r="AO66" s="51">
        <f>G66*0.539126214</f>
        <v>0</v>
      </c>
      <c r="AP66" s="51">
        <f>G66*(1-0.539126214)</f>
        <v>0</v>
      </c>
      <c r="AQ66" s="53" t="s">
        <v>111</v>
      </c>
      <c r="AV66" s="51">
        <f>AW66+AX66</f>
        <v>0</v>
      </c>
      <c r="AW66" s="51">
        <f>F66*AO66</f>
        <v>0</v>
      </c>
      <c r="AX66" s="51">
        <f>F66*AP66</f>
        <v>0</v>
      </c>
      <c r="AY66" s="53" t="s">
        <v>212</v>
      </c>
      <c r="AZ66" s="53" t="s">
        <v>149</v>
      </c>
      <c r="BA66" s="35" t="s">
        <v>117</v>
      </c>
      <c r="BC66" s="51">
        <f>AW66+AX66</f>
        <v>0</v>
      </c>
      <c r="BD66" s="51">
        <f>G66/(100-BE66)*100</f>
        <v>0</v>
      </c>
      <c r="BE66" s="51">
        <v>0</v>
      </c>
      <c r="BF66" s="51">
        <f>66</f>
        <v>66</v>
      </c>
      <c r="BH66" s="51">
        <f>F66*AO66</f>
        <v>0</v>
      </c>
      <c r="BI66" s="51">
        <f>F66*AP66</f>
        <v>0</v>
      </c>
      <c r="BJ66" s="51">
        <f>F66*G66</f>
        <v>0</v>
      </c>
      <c r="BK66" s="51"/>
      <c r="BL66" s="51">
        <v>63</v>
      </c>
      <c r="BW66" s="51">
        <v>12</v>
      </c>
      <c r="BX66" s="3" t="s">
        <v>222</v>
      </c>
    </row>
    <row r="67" spans="1:76">
      <c r="A67" s="47" t="s">
        <v>4</v>
      </c>
      <c r="B67" s="48" t="s">
        <v>223</v>
      </c>
      <c r="C67" s="150" t="s">
        <v>224</v>
      </c>
      <c r="D67" s="151"/>
      <c r="E67" s="49" t="s">
        <v>79</v>
      </c>
      <c r="F67" s="49" t="s">
        <v>79</v>
      </c>
      <c r="G67" s="50" t="s">
        <v>79</v>
      </c>
      <c r="H67" s="28">
        <f>SUM(H68:H74)</f>
        <v>0</v>
      </c>
      <c r="J67" s="41"/>
      <c r="AI67" s="35" t="s">
        <v>4</v>
      </c>
      <c r="AS67" s="28">
        <f>SUM(AJ68:AJ74)</f>
        <v>0</v>
      </c>
      <c r="AT67" s="28">
        <f>SUM(AK68:AK74)</f>
        <v>0</v>
      </c>
      <c r="AU67" s="28">
        <f>SUM(AL68:AL74)</f>
        <v>0</v>
      </c>
    </row>
    <row r="68" spans="1:76">
      <c r="A68" s="1" t="s">
        <v>225</v>
      </c>
      <c r="B68" s="2" t="s">
        <v>226</v>
      </c>
      <c r="C68" s="75" t="s">
        <v>227</v>
      </c>
      <c r="D68" s="70"/>
      <c r="E68" s="2" t="s">
        <v>130</v>
      </c>
      <c r="F68" s="51">
        <v>1</v>
      </c>
      <c r="G68" s="52">
        <v>0</v>
      </c>
      <c r="H68" s="51">
        <f>F68*G68</f>
        <v>0</v>
      </c>
      <c r="J68" s="41"/>
      <c r="Z68" s="51">
        <f>IF(AQ68="5",BJ68,0)</f>
        <v>0</v>
      </c>
      <c r="AB68" s="51">
        <f>IF(AQ68="1",BH68,0)</f>
        <v>0</v>
      </c>
      <c r="AC68" s="51">
        <f>IF(AQ68="1",BI68,0)</f>
        <v>0</v>
      </c>
      <c r="AD68" s="51">
        <f>IF(AQ68="7",BH68,0)</f>
        <v>0</v>
      </c>
      <c r="AE68" s="51">
        <f>IF(AQ68="7",BI68,0)</f>
        <v>0</v>
      </c>
      <c r="AF68" s="51">
        <f>IF(AQ68="2",BH68,0)</f>
        <v>0</v>
      </c>
      <c r="AG68" s="51">
        <f>IF(AQ68="2",BI68,0)</f>
        <v>0</v>
      </c>
      <c r="AH68" s="51">
        <f>IF(AQ68="0",BJ68,0)</f>
        <v>0</v>
      </c>
      <c r="AI68" s="35" t="s">
        <v>4</v>
      </c>
      <c r="AJ68" s="51">
        <f>IF(AN68=0,H68,0)</f>
        <v>0</v>
      </c>
      <c r="AK68" s="51">
        <f>IF(AN68=12,H68,0)</f>
        <v>0</v>
      </c>
      <c r="AL68" s="51">
        <f>IF(AN68=21,H68,0)</f>
        <v>0</v>
      </c>
      <c r="AN68" s="51">
        <v>12</v>
      </c>
      <c r="AO68" s="51">
        <f>G68*0.640164336</f>
        <v>0</v>
      </c>
      <c r="AP68" s="51">
        <f>G68*(1-0.640164336)</f>
        <v>0</v>
      </c>
      <c r="AQ68" s="53" t="s">
        <v>111</v>
      </c>
      <c r="AV68" s="51">
        <f>AW68+AX68</f>
        <v>0</v>
      </c>
      <c r="AW68" s="51">
        <f>F68*AO68</f>
        <v>0</v>
      </c>
      <c r="AX68" s="51">
        <f>F68*AP68</f>
        <v>0</v>
      </c>
      <c r="AY68" s="53" t="s">
        <v>228</v>
      </c>
      <c r="AZ68" s="53" t="s">
        <v>149</v>
      </c>
      <c r="BA68" s="35" t="s">
        <v>117</v>
      </c>
      <c r="BC68" s="51">
        <f>AW68+AX68</f>
        <v>0</v>
      </c>
      <c r="BD68" s="51">
        <f>G68/(100-BE68)*100</f>
        <v>0</v>
      </c>
      <c r="BE68" s="51">
        <v>0</v>
      </c>
      <c r="BF68" s="51">
        <f>68</f>
        <v>68</v>
      </c>
      <c r="BH68" s="51">
        <f>F68*AO68</f>
        <v>0</v>
      </c>
      <c r="BI68" s="51">
        <f>F68*AP68</f>
        <v>0</v>
      </c>
      <c r="BJ68" s="51">
        <f>F68*G68</f>
        <v>0</v>
      </c>
      <c r="BK68" s="51"/>
      <c r="BL68" s="51">
        <v>64</v>
      </c>
      <c r="BW68" s="51">
        <v>12</v>
      </c>
      <c r="BX68" s="3" t="s">
        <v>227</v>
      </c>
    </row>
    <row r="69" spans="1:76" ht="13.5" customHeight="1">
      <c r="A69" s="54"/>
      <c r="B69" s="58" t="s">
        <v>131</v>
      </c>
      <c r="C69" s="152" t="s">
        <v>229</v>
      </c>
      <c r="D69" s="153"/>
      <c r="E69" s="153"/>
      <c r="F69" s="153"/>
      <c r="G69" s="154"/>
      <c r="H69" s="153"/>
      <c r="I69" s="153"/>
      <c r="J69" s="155"/>
    </row>
    <row r="70" spans="1:76">
      <c r="A70" s="1" t="s">
        <v>230</v>
      </c>
      <c r="B70" s="2" t="s">
        <v>231</v>
      </c>
      <c r="C70" s="75" t="s">
        <v>227</v>
      </c>
      <c r="D70" s="70"/>
      <c r="E70" s="2" t="s">
        <v>130</v>
      </c>
      <c r="F70" s="51">
        <v>1</v>
      </c>
      <c r="G70" s="52">
        <v>0</v>
      </c>
      <c r="H70" s="51">
        <f>F70*G70</f>
        <v>0</v>
      </c>
      <c r="J70" s="41"/>
      <c r="Z70" s="51">
        <f>IF(AQ70="5",BJ70,0)</f>
        <v>0</v>
      </c>
      <c r="AB70" s="51">
        <f>IF(AQ70="1",BH70,0)</f>
        <v>0</v>
      </c>
      <c r="AC70" s="51">
        <f>IF(AQ70="1",BI70,0)</f>
        <v>0</v>
      </c>
      <c r="AD70" s="51">
        <f>IF(AQ70="7",BH70,0)</f>
        <v>0</v>
      </c>
      <c r="AE70" s="51">
        <f>IF(AQ70="7",BI70,0)</f>
        <v>0</v>
      </c>
      <c r="AF70" s="51">
        <f>IF(AQ70="2",BH70,0)</f>
        <v>0</v>
      </c>
      <c r="AG70" s="51">
        <f>IF(AQ70="2",BI70,0)</f>
        <v>0</v>
      </c>
      <c r="AH70" s="51">
        <f>IF(AQ70="0",BJ70,0)</f>
        <v>0</v>
      </c>
      <c r="AI70" s="35" t="s">
        <v>4</v>
      </c>
      <c r="AJ70" s="51">
        <f>IF(AN70=0,H70,0)</f>
        <v>0</v>
      </c>
      <c r="AK70" s="51">
        <f>IF(AN70=12,H70,0)</f>
        <v>0</v>
      </c>
      <c r="AL70" s="51">
        <f>IF(AN70=21,H70,0)</f>
        <v>0</v>
      </c>
      <c r="AN70" s="51">
        <v>12</v>
      </c>
      <c r="AO70" s="51">
        <f>G70*0.64451468</f>
        <v>0</v>
      </c>
      <c r="AP70" s="51">
        <f>G70*(1-0.64451468)</f>
        <v>0</v>
      </c>
      <c r="AQ70" s="53" t="s">
        <v>111</v>
      </c>
      <c r="AV70" s="51">
        <f>AW70+AX70</f>
        <v>0</v>
      </c>
      <c r="AW70" s="51">
        <f>F70*AO70</f>
        <v>0</v>
      </c>
      <c r="AX70" s="51">
        <f>F70*AP70</f>
        <v>0</v>
      </c>
      <c r="AY70" s="53" t="s">
        <v>228</v>
      </c>
      <c r="AZ70" s="53" t="s">
        <v>149</v>
      </c>
      <c r="BA70" s="35" t="s">
        <v>117</v>
      </c>
      <c r="BC70" s="51">
        <f>AW70+AX70</f>
        <v>0</v>
      </c>
      <c r="BD70" s="51">
        <f>G70/(100-BE70)*100</f>
        <v>0</v>
      </c>
      <c r="BE70" s="51">
        <v>0</v>
      </c>
      <c r="BF70" s="51">
        <f>70</f>
        <v>70</v>
      </c>
      <c r="BH70" s="51">
        <f>F70*AO70</f>
        <v>0</v>
      </c>
      <c r="BI70" s="51">
        <f>F70*AP70</f>
        <v>0</v>
      </c>
      <c r="BJ70" s="51">
        <f>F70*G70</f>
        <v>0</v>
      </c>
      <c r="BK70" s="51"/>
      <c r="BL70" s="51">
        <v>64</v>
      </c>
      <c r="BW70" s="51">
        <v>12</v>
      </c>
      <c r="BX70" s="3" t="s">
        <v>227</v>
      </c>
    </row>
    <row r="71" spans="1:76" ht="13.5" customHeight="1">
      <c r="A71" s="54"/>
      <c r="B71" s="58" t="s">
        <v>131</v>
      </c>
      <c r="C71" s="152" t="s">
        <v>232</v>
      </c>
      <c r="D71" s="153"/>
      <c r="E71" s="153"/>
      <c r="F71" s="153"/>
      <c r="G71" s="154"/>
      <c r="H71" s="153"/>
      <c r="I71" s="153"/>
      <c r="J71" s="155"/>
    </row>
    <row r="72" spans="1:76">
      <c r="A72" s="1" t="s">
        <v>233</v>
      </c>
      <c r="B72" s="2" t="s">
        <v>234</v>
      </c>
      <c r="C72" s="75" t="s">
        <v>235</v>
      </c>
      <c r="D72" s="70"/>
      <c r="E72" s="2" t="s">
        <v>130</v>
      </c>
      <c r="F72" s="51">
        <v>1</v>
      </c>
      <c r="G72" s="52">
        <v>0</v>
      </c>
      <c r="H72" s="51">
        <f>F72*G72</f>
        <v>0</v>
      </c>
      <c r="J72" s="41"/>
      <c r="Z72" s="51">
        <f>IF(AQ72="5",BJ72,0)</f>
        <v>0</v>
      </c>
      <c r="AB72" s="51">
        <f>IF(AQ72="1",BH72,0)</f>
        <v>0</v>
      </c>
      <c r="AC72" s="51">
        <f>IF(AQ72="1",BI72,0)</f>
        <v>0</v>
      </c>
      <c r="AD72" s="51">
        <f>IF(AQ72="7",BH72,0)</f>
        <v>0</v>
      </c>
      <c r="AE72" s="51">
        <f>IF(AQ72="7",BI72,0)</f>
        <v>0</v>
      </c>
      <c r="AF72" s="51">
        <f>IF(AQ72="2",BH72,0)</f>
        <v>0</v>
      </c>
      <c r="AG72" s="51">
        <f>IF(AQ72="2",BI72,0)</f>
        <v>0</v>
      </c>
      <c r="AH72" s="51">
        <f>IF(AQ72="0",BJ72,0)</f>
        <v>0</v>
      </c>
      <c r="AI72" s="35" t="s">
        <v>4</v>
      </c>
      <c r="AJ72" s="51">
        <f>IF(AN72=0,H72,0)</f>
        <v>0</v>
      </c>
      <c r="AK72" s="51">
        <f>IF(AN72=12,H72,0)</f>
        <v>0</v>
      </c>
      <c r="AL72" s="51">
        <f>IF(AN72=21,H72,0)</f>
        <v>0</v>
      </c>
      <c r="AN72" s="51">
        <v>12</v>
      </c>
      <c r="AO72" s="51">
        <f>G72*0.158146817</f>
        <v>0</v>
      </c>
      <c r="AP72" s="51">
        <f>G72*(1-0.158146817)</f>
        <v>0</v>
      </c>
      <c r="AQ72" s="53" t="s">
        <v>111</v>
      </c>
      <c r="AV72" s="51">
        <f>AW72+AX72</f>
        <v>0</v>
      </c>
      <c r="AW72" s="51">
        <f>F72*AO72</f>
        <v>0</v>
      </c>
      <c r="AX72" s="51">
        <f>F72*AP72</f>
        <v>0</v>
      </c>
      <c r="AY72" s="53" t="s">
        <v>228</v>
      </c>
      <c r="AZ72" s="53" t="s">
        <v>149</v>
      </c>
      <c r="BA72" s="35" t="s">
        <v>117</v>
      </c>
      <c r="BC72" s="51">
        <f>AW72+AX72</f>
        <v>0</v>
      </c>
      <c r="BD72" s="51">
        <f>G72/(100-BE72)*100</f>
        <v>0</v>
      </c>
      <c r="BE72" s="51">
        <v>0</v>
      </c>
      <c r="BF72" s="51">
        <f>72</f>
        <v>72</v>
      </c>
      <c r="BH72" s="51">
        <f>F72*AO72</f>
        <v>0</v>
      </c>
      <c r="BI72" s="51">
        <f>F72*AP72</f>
        <v>0</v>
      </c>
      <c r="BJ72" s="51">
        <f>F72*G72</f>
        <v>0</v>
      </c>
      <c r="BK72" s="51"/>
      <c r="BL72" s="51">
        <v>64</v>
      </c>
      <c r="BW72" s="51">
        <v>12</v>
      </c>
      <c r="BX72" s="3" t="s">
        <v>235</v>
      </c>
    </row>
    <row r="73" spans="1:76">
      <c r="A73" s="54"/>
      <c r="C73" s="55" t="s">
        <v>111</v>
      </c>
      <c r="D73" s="56" t="s">
        <v>236</v>
      </c>
      <c r="F73" s="57">
        <v>1</v>
      </c>
      <c r="J73" s="41"/>
    </row>
    <row r="74" spans="1:76">
      <c r="A74" s="1" t="s">
        <v>237</v>
      </c>
      <c r="B74" s="2" t="s">
        <v>238</v>
      </c>
      <c r="C74" s="75" t="s">
        <v>239</v>
      </c>
      <c r="D74" s="70"/>
      <c r="E74" s="2" t="s">
        <v>130</v>
      </c>
      <c r="F74" s="51">
        <v>1</v>
      </c>
      <c r="G74" s="52">
        <v>0</v>
      </c>
      <c r="H74" s="51">
        <f>F74*G74</f>
        <v>0</v>
      </c>
      <c r="J74" s="41"/>
      <c r="Z74" s="51">
        <f>IF(AQ74="5",BJ74,0)</f>
        <v>0</v>
      </c>
      <c r="AB74" s="51">
        <f>IF(AQ74="1",BH74,0)</f>
        <v>0</v>
      </c>
      <c r="AC74" s="51">
        <f>IF(AQ74="1",BI74,0)</f>
        <v>0</v>
      </c>
      <c r="AD74" s="51">
        <f>IF(AQ74="7",BH74,0)</f>
        <v>0</v>
      </c>
      <c r="AE74" s="51">
        <f>IF(AQ74="7",BI74,0)</f>
        <v>0</v>
      </c>
      <c r="AF74" s="51">
        <f>IF(AQ74="2",BH74,0)</f>
        <v>0</v>
      </c>
      <c r="AG74" s="51">
        <f>IF(AQ74="2",BI74,0)</f>
        <v>0</v>
      </c>
      <c r="AH74" s="51">
        <f>IF(AQ74="0",BJ74,0)</f>
        <v>0</v>
      </c>
      <c r="AI74" s="35" t="s">
        <v>4</v>
      </c>
      <c r="AJ74" s="51">
        <f>IF(AN74=0,H74,0)</f>
        <v>0</v>
      </c>
      <c r="AK74" s="51">
        <f>IF(AN74=12,H74,0)</f>
        <v>0</v>
      </c>
      <c r="AL74" s="51">
        <f>IF(AN74=21,H74,0)</f>
        <v>0</v>
      </c>
      <c r="AN74" s="51">
        <v>12</v>
      </c>
      <c r="AO74" s="51">
        <f>G74*1</f>
        <v>0</v>
      </c>
      <c r="AP74" s="51">
        <f>G74*(1-1)</f>
        <v>0</v>
      </c>
      <c r="AQ74" s="53" t="s">
        <v>111</v>
      </c>
      <c r="AV74" s="51">
        <f>AW74+AX74</f>
        <v>0</v>
      </c>
      <c r="AW74" s="51">
        <f>F74*AO74</f>
        <v>0</v>
      </c>
      <c r="AX74" s="51">
        <f>F74*AP74</f>
        <v>0</v>
      </c>
      <c r="AY74" s="53" t="s">
        <v>228</v>
      </c>
      <c r="AZ74" s="53" t="s">
        <v>149</v>
      </c>
      <c r="BA74" s="35" t="s">
        <v>117</v>
      </c>
      <c r="BC74" s="51">
        <f>AW74+AX74</f>
        <v>0</v>
      </c>
      <c r="BD74" s="51">
        <f>G74/(100-BE74)*100</f>
        <v>0</v>
      </c>
      <c r="BE74" s="51">
        <v>0</v>
      </c>
      <c r="BF74" s="51">
        <f>74</f>
        <v>74</v>
      </c>
      <c r="BH74" s="51">
        <f>F74*AO74</f>
        <v>0</v>
      </c>
      <c r="BI74" s="51">
        <f>F74*AP74</f>
        <v>0</v>
      </c>
      <c r="BJ74" s="51">
        <f>F74*G74</f>
        <v>0</v>
      </c>
      <c r="BK74" s="51"/>
      <c r="BL74" s="51">
        <v>64</v>
      </c>
      <c r="BW74" s="51">
        <v>12</v>
      </c>
      <c r="BX74" s="3" t="s">
        <v>239</v>
      </c>
    </row>
    <row r="75" spans="1:76">
      <c r="A75" s="47" t="s">
        <v>4</v>
      </c>
      <c r="B75" s="48" t="s">
        <v>240</v>
      </c>
      <c r="C75" s="150" t="s">
        <v>241</v>
      </c>
      <c r="D75" s="151"/>
      <c r="E75" s="49" t="s">
        <v>79</v>
      </c>
      <c r="F75" s="49" t="s">
        <v>79</v>
      </c>
      <c r="G75" s="50" t="s">
        <v>79</v>
      </c>
      <c r="H75" s="28">
        <f>SUM(H76:H82)</f>
        <v>0</v>
      </c>
      <c r="J75" s="41"/>
      <c r="AI75" s="35" t="s">
        <v>4</v>
      </c>
      <c r="AS75" s="28">
        <f>SUM(AJ76:AJ82)</f>
        <v>0</v>
      </c>
      <c r="AT75" s="28">
        <f>SUM(AK76:AK82)</f>
        <v>0</v>
      </c>
      <c r="AU75" s="28">
        <f>SUM(AL76:AL82)</f>
        <v>0</v>
      </c>
    </row>
    <row r="76" spans="1:76">
      <c r="A76" s="1" t="s">
        <v>242</v>
      </c>
      <c r="B76" s="2" t="s">
        <v>243</v>
      </c>
      <c r="C76" s="75" t="s">
        <v>244</v>
      </c>
      <c r="D76" s="70"/>
      <c r="E76" s="2" t="s">
        <v>245</v>
      </c>
      <c r="F76" s="51">
        <v>2.5</v>
      </c>
      <c r="G76" s="52">
        <v>0</v>
      </c>
      <c r="H76" s="51">
        <f>F76*G76</f>
        <v>0</v>
      </c>
      <c r="J76" s="41"/>
      <c r="Z76" s="51">
        <f>IF(AQ76="5",BJ76,0)</f>
        <v>0</v>
      </c>
      <c r="AB76" s="51">
        <f>IF(AQ76="1",BH76,0)</f>
        <v>0</v>
      </c>
      <c r="AC76" s="51">
        <f>IF(AQ76="1",BI76,0)</f>
        <v>0</v>
      </c>
      <c r="AD76" s="51">
        <f>IF(AQ76="7",BH76,0)</f>
        <v>0</v>
      </c>
      <c r="AE76" s="51">
        <f>IF(AQ76="7",BI76,0)</f>
        <v>0</v>
      </c>
      <c r="AF76" s="51">
        <f>IF(AQ76="2",BH76,0)</f>
        <v>0</v>
      </c>
      <c r="AG76" s="51">
        <f>IF(AQ76="2",BI76,0)</f>
        <v>0</v>
      </c>
      <c r="AH76" s="51">
        <f>IF(AQ76="0",BJ76,0)</f>
        <v>0</v>
      </c>
      <c r="AI76" s="35" t="s">
        <v>4</v>
      </c>
      <c r="AJ76" s="51">
        <f>IF(AN76=0,H76,0)</f>
        <v>0</v>
      </c>
      <c r="AK76" s="51">
        <f>IF(AN76=12,H76,0)</f>
        <v>0</v>
      </c>
      <c r="AL76" s="51">
        <f>IF(AN76=21,H76,0)</f>
        <v>0</v>
      </c>
      <c r="AN76" s="51">
        <v>12</v>
      </c>
      <c r="AO76" s="51">
        <f>G76*0</f>
        <v>0</v>
      </c>
      <c r="AP76" s="51">
        <f>G76*(1-0)</f>
        <v>0</v>
      </c>
      <c r="AQ76" s="53" t="s">
        <v>111</v>
      </c>
      <c r="AV76" s="51">
        <f>AW76+AX76</f>
        <v>0</v>
      </c>
      <c r="AW76" s="51">
        <f>F76*AO76</f>
        <v>0</v>
      </c>
      <c r="AX76" s="51">
        <f>F76*AP76</f>
        <v>0</v>
      </c>
      <c r="AY76" s="53" t="s">
        <v>246</v>
      </c>
      <c r="AZ76" s="53" t="s">
        <v>247</v>
      </c>
      <c r="BA76" s="35" t="s">
        <v>117</v>
      </c>
      <c r="BC76" s="51">
        <f>AW76+AX76</f>
        <v>0</v>
      </c>
      <c r="BD76" s="51">
        <f>G76/(100-BE76)*100</f>
        <v>0</v>
      </c>
      <c r="BE76" s="51">
        <v>0</v>
      </c>
      <c r="BF76" s="51">
        <f>76</f>
        <v>76</v>
      </c>
      <c r="BH76" s="51">
        <f>F76*AO76</f>
        <v>0</v>
      </c>
      <c r="BI76" s="51">
        <f>F76*AP76</f>
        <v>0</v>
      </c>
      <c r="BJ76" s="51">
        <f>F76*G76</f>
        <v>0</v>
      </c>
      <c r="BK76" s="51"/>
      <c r="BL76" s="51">
        <v>95</v>
      </c>
      <c r="BW76" s="51">
        <v>12</v>
      </c>
      <c r="BX76" s="3" t="s">
        <v>244</v>
      </c>
    </row>
    <row r="77" spans="1:76" ht="13.5" customHeight="1">
      <c r="A77" s="54"/>
      <c r="B77" s="58" t="s">
        <v>131</v>
      </c>
      <c r="C77" s="152" t="s">
        <v>248</v>
      </c>
      <c r="D77" s="153"/>
      <c r="E77" s="153"/>
      <c r="F77" s="153"/>
      <c r="G77" s="154"/>
      <c r="H77" s="153"/>
      <c r="I77" s="153"/>
      <c r="J77" s="155"/>
    </row>
    <row r="78" spans="1:76">
      <c r="A78" s="1" t="s">
        <v>249</v>
      </c>
      <c r="B78" s="2" t="s">
        <v>250</v>
      </c>
      <c r="C78" s="75" t="s">
        <v>251</v>
      </c>
      <c r="D78" s="70"/>
      <c r="E78" s="2" t="s">
        <v>114</v>
      </c>
      <c r="F78" s="51">
        <v>21</v>
      </c>
      <c r="G78" s="52">
        <v>0</v>
      </c>
      <c r="H78" s="51">
        <f>F78*G78</f>
        <v>0</v>
      </c>
      <c r="J78" s="41"/>
      <c r="Z78" s="51">
        <f>IF(AQ78="5",BJ78,0)</f>
        <v>0</v>
      </c>
      <c r="AB78" s="51">
        <f>IF(AQ78="1",BH78,0)</f>
        <v>0</v>
      </c>
      <c r="AC78" s="51">
        <f>IF(AQ78="1",BI78,0)</f>
        <v>0</v>
      </c>
      <c r="AD78" s="51">
        <f>IF(AQ78="7",BH78,0)</f>
        <v>0</v>
      </c>
      <c r="AE78" s="51">
        <f>IF(AQ78="7",BI78,0)</f>
        <v>0</v>
      </c>
      <c r="AF78" s="51">
        <f>IF(AQ78="2",BH78,0)</f>
        <v>0</v>
      </c>
      <c r="AG78" s="51">
        <f>IF(AQ78="2",BI78,0)</f>
        <v>0</v>
      </c>
      <c r="AH78" s="51">
        <f>IF(AQ78="0",BJ78,0)</f>
        <v>0</v>
      </c>
      <c r="AI78" s="35" t="s">
        <v>4</v>
      </c>
      <c r="AJ78" s="51">
        <f>IF(AN78=0,H78,0)</f>
        <v>0</v>
      </c>
      <c r="AK78" s="51">
        <f>IF(AN78=12,H78,0)</f>
        <v>0</v>
      </c>
      <c r="AL78" s="51">
        <f>IF(AN78=21,H78,0)</f>
        <v>0</v>
      </c>
      <c r="AN78" s="51">
        <v>12</v>
      </c>
      <c r="AO78" s="51">
        <f>G78*0.016056338</f>
        <v>0</v>
      </c>
      <c r="AP78" s="51">
        <f>G78*(1-0.016056338)</f>
        <v>0</v>
      </c>
      <c r="AQ78" s="53" t="s">
        <v>111</v>
      </c>
      <c r="AV78" s="51">
        <f>AW78+AX78</f>
        <v>0</v>
      </c>
      <c r="AW78" s="51">
        <f>F78*AO78</f>
        <v>0</v>
      </c>
      <c r="AX78" s="51">
        <f>F78*AP78</f>
        <v>0</v>
      </c>
      <c r="AY78" s="53" t="s">
        <v>246</v>
      </c>
      <c r="AZ78" s="53" t="s">
        <v>247</v>
      </c>
      <c r="BA78" s="35" t="s">
        <v>117</v>
      </c>
      <c r="BC78" s="51">
        <f>AW78+AX78</f>
        <v>0</v>
      </c>
      <c r="BD78" s="51">
        <f>G78/(100-BE78)*100</f>
        <v>0</v>
      </c>
      <c r="BE78" s="51">
        <v>0</v>
      </c>
      <c r="BF78" s="51">
        <f>78</f>
        <v>78</v>
      </c>
      <c r="BH78" s="51">
        <f>F78*AO78</f>
        <v>0</v>
      </c>
      <c r="BI78" s="51">
        <f>F78*AP78</f>
        <v>0</v>
      </c>
      <c r="BJ78" s="51">
        <f>F78*G78</f>
        <v>0</v>
      </c>
      <c r="BK78" s="51"/>
      <c r="BL78" s="51">
        <v>95</v>
      </c>
      <c r="BW78" s="51">
        <v>12</v>
      </c>
      <c r="BX78" s="3" t="s">
        <v>251</v>
      </c>
    </row>
    <row r="79" spans="1:76">
      <c r="A79" s="1" t="s">
        <v>252</v>
      </c>
      <c r="B79" s="2" t="s">
        <v>253</v>
      </c>
      <c r="C79" s="75" t="s">
        <v>254</v>
      </c>
      <c r="D79" s="70"/>
      <c r="E79" s="2" t="s">
        <v>130</v>
      </c>
      <c r="F79" s="51">
        <v>1</v>
      </c>
      <c r="G79" s="52">
        <v>0</v>
      </c>
      <c r="H79" s="51">
        <f>F79*G79</f>
        <v>0</v>
      </c>
      <c r="J79" s="41"/>
      <c r="Z79" s="51">
        <f>IF(AQ79="5",BJ79,0)</f>
        <v>0</v>
      </c>
      <c r="AB79" s="51">
        <f>IF(AQ79="1",BH79,0)</f>
        <v>0</v>
      </c>
      <c r="AC79" s="51">
        <f>IF(AQ79="1",BI79,0)</f>
        <v>0</v>
      </c>
      <c r="AD79" s="51">
        <f>IF(AQ79="7",BH79,0)</f>
        <v>0</v>
      </c>
      <c r="AE79" s="51">
        <f>IF(AQ79="7",BI79,0)</f>
        <v>0</v>
      </c>
      <c r="AF79" s="51">
        <f>IF(AQ79="2",BH79,0)</f>
        <v>0</v>
      </c>
      <c r="AG79" s="51">
        <f>IF(AQ79="2",BI79,0)</f>
        <v>0</v>
      </c>
      <c r="AH79" s="51">
        <f>IF(AQ79="0",BJ79,0)</f>
        <v>0</v>
      </c>
      <c r="AI79" s="35" t="s">
        <v>4</v>
      </c>
      <c r="AJ79" s="51">
        <f>IF(AN79=0,H79,0)</f>
        <v>0</v>
      </c>
      <c r="AK79" s="51">
        <f>IF(AN79=12,H79,0)</f>
        <v>0</v>
      </c>
      <c r="AL79" s="51">
        <f>IF(AN79=21,H79,0)</f>
        <v>0</v>
      </c>
      <c r="AN79" s="51">
        <v>12</v>
      </c>
      <c r="AO79" s="51">
        <f>G79*0.089096573</f>
        <v>0</v>
      </c>
      <c r="AP79" s="51">
        <f>G79*(1-0.089096573)</f>
        <v>0</v>
      </c>
      <c r="AQ79" s="53" t="s">
        <v>111</v>
      </c>
      <c r="AV79" s="51">
        <f>AW79+AX79</f>
        <v>0</v>
      </c>
      <c r="AW79" s="51">
        <f>F79*AO79</f>
        <v>0</v>
      </c>
      <c r="AX79" s="51">
        <f>F79*AP79</f>
        <v>0</v>
      </c>
      <c r="AY79" s="53" t="s">
        <v>246</v>
      </c>
      <c r="AZ79" s="53" t="s">
        <v>247</v>
      </c>
      <c r="BA79" s="35" t="s">
        <v>117</v>
      </c>
      <c r="BC79" s="51">
        <f>AW79+AX79</f>
        <v>0</v>
      </c>
      <c r="BD79" s="51">
        <f>G79/(100-BE79)*100</f>
        <v>0</v>
      </c>
      <c r="BE79" s="51">
        <v>0</v>
      </c>
      <c r="BF79" s="51">
        <f>79</f>
        <v>79</v>
      </c>
      <c r="BH79" s="51">
        <f>F79*AO79</f>
        <v>0</v>
      </c>
      <c r="BI79" s="51">
        <f>F79*AP79</f>
        <v>0</v>
      </c>
      <c r="BJ79" s="51">
        <f>F79*G79</f>
        <v>0</v>
      </c>
      <c r="BK79" s="51"/>
      <c r="BL79" s="51">
        <v>95</v>
      </c>
      <c r="BW79" s="51">
        <v>12</v>
      </c>
      <c r="BX79" s="3" t="s">
        <v>254</v>
      </c>
    </row>
    <row r="80" spans="1:76">
      <c r="A80" s="54"/>
      <c r="C80" s="55" t="s">
        <v>111</v>
      </c>
      <c r="D80" s="56" t="s">
        <v>255</v>
      </c>
      <c r="F80" s="57">
        <v>1</v>
      </c>
      <c r="J80" s="41"/>
    </row>
    <row r="81" spans="1:76" ht="25.5">
      <c r="A81" s="1" t="s">
        <v>256</v>
      </c>
      <c r="B81" s="2" t="s">
        <v>257</v>
      </c>
      <c r="C81" s="75" t="s">
        <v>258</v>
      </c>
      <c r="D81" s="70"/>
      <c r="E81" s="2" t="s">
        <v>130</v>
      </c>
      <c r="F81" s="51">
        <v>1</v>
      </c>
      <c r="G81" s="52">
        <v>0</v>
      </c>
      <c r="H81" s="51">
        <f>F81*G81</f>
        <v>0</v>
      </c>
      <c r="J81" s="41"/>
      <c r="Z81" s="51">
        <f>IF(AQ81="5",BJ81,0)</f>
        <v>0</v>
      </c>
      <c r="AB81" s="51">
        <f>IF(AQ81="1",BH81,0)</f>
        <v>0</v>
      </c>
      <c r="AC81" s="51">
        <f>IF(AQ81="1",BI81,0)</f>
        <v>0</v>
      </c>
      <c r="AD81" s="51">
        <f>IF(AQ81="7",BH81,0)</f>
        <v>0</v>
      </c>
      <c r="AE81" s="51">
        <f>IF(AQ81="7",BI81,0)</f>
        <v>0</v>
      </c>
      <c r="AF81" s="51">
        <f>IF(AQ81="2",BH81,0)</f>
        <v>0</v>
      </c>
      <c r="AG81" s="51">
        <f>IF(AQ81="2",BI81,0)</f>
        <v>0</v>
      </c>
      <c r="AH81" s="51">
        <f>IF(AQ81="0",BJ81,0)</f>
        <v>0</v>
      </c>
      <c r="AI81" s="35" t="s">
        <v>4</v>
      </c>
      <c r="AJ81" s="51">
        <f>IF(AN81=0,H81,0)</f>
        <v>0</v>
      </c>
      <c r="AK81" s="51">
        <f>IF(AN81=12,H81,0)</f>
        <v>0</v>
      </c>
      <c r="AL81" s="51">
        <f>IF(AN81=21,H81,0)</f>
        <v>0</v>
      </c>
      <c r="AN81" s="51">
        <v>12</v>
      </c>
      <c r="AO81" s="51">
        <f>G81*1</f>
        <v>0</v>
      </c>
      <c r="AP81" s="51">
        <f>G81*(1-1)</f>
        <v>0</v>
      </c>
      <c r="AQ81" s="53" t="s">
        <v>111</v>
      </c>
      <c r="AV81" s="51">
        <f>AW81+AX81</f>
        <v>0</v>
      </c>
      <c r="AW81" s="51">
        <f>F81*AO81</f>
        <v>0</v>
      </c>
      <c r="AX81" s="51">
        <f>F81*AP81</f>
        <v>0</v>
      </c>
      <c r="AY81" s="53" t="s">
        <v>246</v>
      </c>
      <c r="AZ81" s="53" t="s">
        <v>247</v>
      </c>
      <c r="BA81" s="35" t="s">
        <v>117</v>
      </c>
      <c r="BC81" s="51">
        <f>AW81+AX81</f>
        <v>0</v>
      </c>
      <c r="BD81" s="51">
        <f>G81/(100-BE81)*100</f>
        <v>0</v>
      </c>
      <c r="BE81" s="51">
        <v>0</v>
      </c>
      <c r="BF81" s="51">
        <f>81</f>
        <v>81</v>
      </c>
      <c r="BH81" s="51">
        <f>F81*AO81</f>
        <v>0</v>
      </c>
      <c r="BI81" s="51">
        <f>F81*AP81</f>
        <v>0</v>
      </c>
      <c r="BJ81" s="51">
        <f>F81*G81</f>
        <v>0</v>
      </c>
      <c r="BK81" s="51"/>
      <c r="BL81" s="51">
        <v>95</v>
      </c>
      <c r="BW81" s="51">
        <v>12</v>
      </c>
      <c r="BX81" s="3" t="s">
        <v>258</v>
      </c>
    </row>
    <row r="82" spans="1:76">
      <c r="A82" s="1" t="s">
        <v>259</v>
      </c>
      <c r="B82" s="2" t="s">
        <v>260</v>
      </c>
      <c r="C82" s="75" t="s">
        <v>261</v>
      </c>
      <c r="D82" s="70"/>
      <c r="E82" s="2" t="s">
        <v>262</v>
      </c>
      <c r="F82" s="51">
        <v>5</v>
      </c>
      <c r="G82" s="52">
        <v>0</v>
      </c>
      <c r="H82" s="51">
        <f>F82*G82</f>
        <v>0</v>
      </c>
      <c r="J82" s="41"/>
      <c r="Z82" s="51">
        <f>IF(AQ82="5",BJ82,0)</f>
        <v>0</v>
      </c>
      <c r="AB82" s="51">
        <f>IF(AQ82="1",BH82,0)</f>
        <v>0</v>
      </c>
      <c r="AC82" s="51">
        <f>IF(AQ82="1",BI82,0)</f>
        <v>0</v>
      </c>
      <c r="AD82" s="51">
        <f>IF(AQ82="7",BH82,0)</f>
        <v>0</v>
      </c>
      <c r="AE82" s="51">
        <f>IF(AQ82="7",BI82,0)</f>
        <v>0</v>
      </c>
      <c r="AF82" s="51">
        <f>IF(AQ82="2",BH82,0)</f>
        <v>0</v>
      </c>
      <c r="AG82" s="51">
        <f>IF(AQ82="2",BI82,0)</f>
        <v>0</v>
      </c>
      <c r="AH82" s="51">
        <f>IF(AQ82="0",BJ82,0)</f>
        <v>0</v>
      </c>
      <c r="AI82" s="35" t="s">
        <v>4</v>
      </c>
      <c r="AJ82" s="51">
        <f>IF(AN82=0,H82,0)</f>
        <v>0</v>
      </c>
      <c r="AK82" s="51">
        <f>IF(AN82=12,H82,0)</f>
        <v>0</v>
      </c>
      <c r="AL82" s="51">
        <f>IF(AN82=21,H82,0)</f>
        <v>0</v>
      </c>
      <c r="AN82" s="51">
        <v>12</v>
      </c>
      <c r="AO82" s="51">
        <f>G82*0</f>
        <v>0</v>
      </c>
      <c r="AP82" s="51">
        <f>G82*(1-0)</f>
        <v>0</v>
      </c>
      <c r="AQ82" s="53" t="s">
        <v>111</v>
      </c>
      <c r="AV82" s="51">
        <f>AW82+AX82</f>
        <v>0</v>
      </c>
      <c r="AW82" s="51">
        <f>F82*AO82</f>
        <v>0</v>
      </c>
      <c r="AX82" s="51">
        <f>F82*AP82</f>
        <v>0</v>
      </c>
      <c r="AY82" s="53" t="s">
        <v>246</v>
      </c>
      <c r="AZ82" s="53" t="s">
        <v>247</v>
      </c>
      <c r="BA82" s="35" t="s">
        <v>117</v>
      </c>
      <c r="BC82" s="51">
        <f>AW82+AX82</f>
        <v>0</v>
      </c>
      <c r="BD82" s="51">
        <f>G82/(100-BE82)*100</f>
        <v>0</v>
      </c>
      <c r="BE82" s="51">
        <v>0</v>
      </c>
      <c r="BF82" s="51">
        <f>82</f>
        <v>82</v>
      </c>
      <c r="BH82" s="51">
        <f>F82*AO82</f>
        <v>0</v>
      </c>
      <c r="BI82" s="51">
        <f>F82*AP82</f>
        <v>0</v>
      </c>
      <c r="BJ82" s="51">
        <f>F82*G82</f>
        <v>0</v>
      </c>
      <c r="BK82" s="51"/>
      <c r="BL82" s="51">
        <v>95</v>
      </c>
      <c r="BW82" s="51">
        <v>12</v>
      </c>
      <c r="BX82" s="3" t="s">
        <v>261</v>
      </c>
    </row>
    <row r="83" spans="1:76">
      <c r="A83" s="54"/>
      <c r="C83" s="55" t="s">
        <v>139</v>
      </c>
      <c r="D83" s="56" t="s">
        <v>263</v>
      </c>
      <c r="F83" s="57">
        <v>5</v>
      </c>
      <c r="J83" s="41"/>
    </row>
    <row r="84" spans="1:76">
      <c r="A84" s="47" t="s">
        <v>4</v>
      </c>
      <c r="B84" s="48" t="s">
        <v>264</v>
      </c>
      <c r="C84" s="150" t="s">
        <v>265</v>
      </c>
      <c r="D84" s="151"/>
      <c r="E84" s="49" t="s">
        <v>79</v>
      </c>
      <c r="F84" s="49" t="s">
        <v>79</v>
      </c>
      <c r="G84" s="50" t="s">
        <v>79</v>
      </c>
      <c r="H84" s="28">
        <f>SUM(H85:H106)</f>
        <v>0</v>
      </c>
      <c r="J84" s="41"/>
      <c r="AI84" s="35" t="s">
        <v>4</v>
      </c>
      <c r="AS84" s="28">
        <f>SUM(AJ85:AJ106)</f>
        <v>0</v>
      </c>
      <c r="AT84" s="28">
        <f>SUM(AK85:AK106)</f>
        <v>0</v>
      </c>
      <c r="AU84" s="28">
        <f>SUM(AL85:AL106)</f>
        <v>0</v>
      </c>
    </row>
    <row r="85" spans="1:76">
      <c r="A85" s="1" t="s">
        <v>266</v>
      </c>
      <c r="B85" s="2" t="s">
        <v>267</v>
      </c>
      <c r="C85" s="75" t="s">
        <v>268</v>
      </c>
      <c r="D85" s="70"/>
      <c r="E85" s="2" t="s">
        <v>130</v>
      </c>
      <c r="F85" s="51">
        <v>2</v>
      </c>
      <c r="G85" s="52">
        <v>0</v>
      </c>
      <c r="H85" s="51">
        <f>F85*G85</f>
        <v>0</v>
      </c>
      <c r="J85" s="41"/>
      <c r="Z85" s="51">
        <f>IF(AQ85="5",BJ85,0)</f>
        <v>0</v>
      </c>
      <c r="AB85" s="51">
        <f>IF(AQ85="1",BH85,0)</f>
        <v>0</v>
      </c>
      <c r="AC85" s="51">
        <f>IF(AQ85="1",BI85,0)</f>
        <v>0</v>
      </c>
      <c r="AD85" s="51">
        <f>IF(AQ85="7",BH85,0)</f>
        <v>0</v>
      </c>
      <c r="AE85" s="51">
        <f>IF(AQ85="7",BI85,0)</f>
        <v>0</v>
      </c>
      <c r="AF85" s="51">
        <f>IF(AQ85="2",BH85,0)</f>
        <v>0</v>
      </c>
      <c r="AG85" s="51">
        <f>IF(AQ85="2",BI85,0)</f>
        <v>0</v>
      </c>
      <c r="AH85" s="51">
        <f>IF(AQ85="0",BJ85,0)</f>
        <v>0</v>
      </c>
      <c r="AI85" s="35" t="s">
        <v>4</v>
      </c>
      <c r="AJ85" s="51">
        <f>IF(AN85=0,H85,0)</f>
        <v>0</v>
      </c>
      <c r="AK85" s="51">
        <f>IF(AN85=12,H85,0)</f>
        <v>0</v>
      </c>
      <c r="AL85" s="51">
        <f>IF(AN85=21,H85,0)</f>
        <v>0</v>
      </c>
      <c r="AN85" s="51">
        <v>12</v>
      </c>
      <c r="AO85" s="51">
        <f>G85*0</f>
        <v>0</v>
      </c>
      <c r="AP85" s="51">
        <f>G85*(1-0)</f>
        <v>0</v>
      </c>
      <c r="AQ85" s="53" t="s">
        <v>111</v>
      </c>
      <c r="AV85" s="51">
        <f>AW85+AX85</f>
        <v>0</v>
      </c>
      <c r="AW85" s="51">
        <f>F85*AO85</f>
        <v>0</v>
      </c>
      <c r="AX85" s="51">
        <f>F85*AP85</f>
        <v>0</v>
      </c>
      <c r="AY85" s="53" t="s">
        <v>269</v>
      </c>
      <c r="AZ85" s="53" t="s">
        <v>247</v>
      </c>
      <c r="BA85" s="35" t="s">
        <v>117</v>
      </c>
      <c r="BC85" s="51">
        <f>AW85+AX85</f>
        <v>0</v>
      </c>
      <c r="BD85" s="51">
        <f>G85/(100-BE85)*100</f>
        <v>0</v>
      </c>
      <c r="BE85" s="51">
        <v>0</v>
      </c>
      <c r="BF85" s="51">
        <f>85</f>
        <v>85</v>
      </c>
      <c r="BH85" s="51">
        <f>F85*AO85</f>
        <v>0</v>
      </c>
      <c r="BI85" s="51">
        <f>F85*AP85</f>
        <v>0</v>
      </c>
      <c r="BJ85" s="51">
        <f>F85*G85</f>
        <v>0</v>
      </c>
      <c r="BK85" s="51"/>
      <c r="BL85" s="51">
        <v>96</v>
      </c>
      <c r="BW85" s="51">
        <v>12</v>
      </c>
      <c r="BX85" s="3" t="s">
        <v>268</v>
      </c>
    </row>
    <row r="86" spans="1:76">
      <c r="A86" s="54"/>
      <c r="C86" s="55" t="s">
        <v>111</v>
      </c>
      <c r="D86" s="56" t="s">
        <v>4</v>
      </c>
      <c r="F86" s="57">
        <v>1</v>
      </c>
      <c r="J86" s="41"/>
    </row>
    <row r="87" spans="1:76">
      <c r="A87" s="54"/>
      <c r="C87" s="55" t="s">
        <v>111</v>
      </c>
      <c r="D87" s="56" t="s">
        <v>236</v>
      </c>
      <c r="F87" s="57">
        <v>1</v>
      </c>
      <c r="J87" s="41"/>
    </row>
    <row r="88" spans="1:76">
      <c r="A88" s="1" t="s">
        <v>270</v>
      </c>
      <c r="B88" s="2" t="s">
        <v>271</v>
      </c>
      <c r="C88" s="75" t="s">
        <v>272</v>
      </c>
      <c r="D88" s="70"/>
      <c r="E88" s="2" t="s">
        <v>114</v>
      </c>
      <c r="F88" s="51">
        <v>3.57</v>
      </c>
      <c r="G88" s="52">
        <v>0</v>
      </c>
      <c r="H88" s="51">
        <f>F88*G88</f>
        <v>0</v>
      </c>
      <c r="J88" s="41"/>
      <c r="Z88" s="51">
        <f>IF(AQ88="5",BJ88,0)</f>
        <v>0</v>
      </c>
      <c r="AB88" s="51">
        <f>IF(AQ88="1",BH88,0)</f>
        <v>0</v>
      </c>
      <c r="AC88" s="51">
        <f>IF(AQ88="1",BI88,0)</f>
        <v>0</v>
      </c>
      <c r="AD88" s="51">
        <f>IF(AQ88="7",BH88,0)</f>
        <v>0</v>
      </c>
      <c r="AE88" s="51">
        <f>IF(AQ88="7",BI88,0)</f>
        <v>0</v>
      </c>
      <c r="AF88" s="51">
        <f>IF(AQ88="2",BH88,0)</f>
        <v>0</v>
      </c>
      <c r="AG88" s="51">
        <f>IF(AQ88="2",BI88,0)</f>
        <v>0</v>
      </c>
      <c r="AH88" s="51">
        <f>IF(AQ88="0",BJ88,0)</f>
        <v>0</v>
      </c>
      <c r="AI88" s="35" t="s">
        <v>4</v>
      </c>
      <c r="AJ88" s="51">
        <f>IF(AN88=0,H88,0)</f>
        <v>0</v>
      </c>
      <c r="AK88" s="51">
        <f>IF(AN88=12,H88,0)</f>
        <v>0</v>
      </c>
      <c r="AL88" s="51">
        <f>IF(AN88=21,H88,0)</f>
        <v>0</v>
      </c>
      <c r="AN88" s="51">
        <v>12</v>
      </c>
      <c r="AO88" s="51">
        <f>G88*0</f>
        <v>0</v>
      </c>
      <c r="AP88" s="51">
        <f>G88*(1-0)</f>
        <v>0</v>
      </c>
      <c r="AQ88" s="53" t="s">
        <v>111</v>
      </c>
      <c r="AV88" s="51">
        <f>AW88+AX88</f>
        <v>0</v>
      </c>
      <c r="AW88" s="51">
        <f>F88*AO88</f>
        <v>0</v>
      </c>
      <c r="AX88" s="51">
        <f>F88*AP88</f>
        <v>0</v>
      </c>
      <c r="AY88" s="53" t="s">
        <v>269</v>
      </c>
      <c r="AZ88" s="53" t="s">
        <v>247</v>
      </c>
      <c r="BA88" s="35" t="s">
        <v>117</v>
      </c>
      <c r="BC88" s="51">
        <f>AW88+AX88</f>
        <v>0</v>
      </c>
      <c r="BD88" s="51">
        <f>G88/(100-BE88)*100</f>
        <v>0</v>
      </c>
      <c r="BE88" s="51">
        <v>0</v>
      </c>
      <c r="BF88" s="51">
        <f>88</f>
        <v>88</v>
      </c>
      <c r="BH88" s="51">
        <f>F88*AO88</f>
        <v>0</v>
      </c>
      <c r="BI88" s="51">
        <f>F88*AP88</f>
        <v>0</v>
      </c>
      <c r="BJ88" s="51">
        <f>F88*G88</f>
        <v>0</v>
      </c>
      <c r="BK88" s="51"/>
      <c r="BL88" s="51">
        <v>96</v>
      </c>
      <c r="BW88" s="51">
        <v>12</v>
      </c>
      <c r="BX88" s="3" t="s">
        <v>272</v>
      </c>
    </row>
    <row r="89" spans="1:76">
      <c r="A89" s="54"/>
      <c r="C89" s="55" t="s">
        <v>273</v>
      </c>
      <c r="D89" s="56" t="s">
        <v>4</v>
      </c>
      <c r="F89" s="57">
        <v>3.57</v>
      </c>
      <c r="J89" s="41"/>
    </row>
    <row r="90" spans="1:76">
      <c r="A90" s="1" t="s">
        <v>274</v>
      </c>
      <c r="B90" s="2" t="s">
        <v>275</v>
      </c>
      <c r="C90" s="75" t="s">
        <v>276</v>
      </c>
      <c r="D90" s="70"/>
      <c r="E90" s="2" t="s">
        <v>114</v>
      </c>
      <c r="F90" s="51">
        <v>1.89</v>
      </c>
      <c r="G90" s="52">
        <v>0</v>
      </c>
      <c r="H90" s="51">
        <f>F90*G90</f>
        <v>0</v>
      </c>
      <c r="J90" s="41"/>
      <c r="Z90" s="51">
        <f>IF(AQ90="5",BJ90,0)</f>
        <v>0</v>
      </c>
      <c r="AB90" s="51">
        <f>IF(AQ90="1",BH90,0)</f>
        <v>0</v>
      </c>
      <c r="AC90" s="51">
        <f>IF(AQ90="1",BI90,0)</f>
        <v>0</v>
      </c>
      <c r="AD90" s="51">
        <f>IF(AQ90="7",BH90,0)</f>
        <v>0</v>
      </c>
      <c r="AE90" s="51">
        <f>IF(AQ90="7",BI90,0)</f>
        <v>0</v>
      </c>
      <c r="AF90" s="51">
        <f>IF(AQ90="2",BH90,0)</f>
        <v>0</v>
      </c>
      <c r="AG90" s="51">
        <f>IF(AQ90="2",BI90,0)</f>
        <v>0</v>
      </c>
      <c r="AH90" s="51">
        <f>IF(AQ90="0",BJ90,0)</f>
        <v>0</v>
      </c>
      <c r="AI90" s="35" t="s">
        <v>4</v>
      </c>
      <c r="AJ90" s="51">
        <f>IF(AN90=0,H90,0)</f>
        <v>0</v>
      </c>
      <c r="AK90" s="51">
        <f>IF(AN90=12,H90,0)</f>
        <v>0</v>
      </c>
      <c r="AL90" s="51">
        <f>IF(AN90=21,H90,0)</f>
        <v>0</v>
      </c>
      <c r="AN90" s="51">
        <v>12</v>
      </c>
      <c r="AO90" s="51">
        <f>G90*0.073406192</f>
        <v>0</v>
      </c>
      <c r="AP90" s="51">
        <f>G90*(1-0.073406192)</f>
        <v>0</v>
      </c>
      <c r="AQ90" s="53" t="s">
        <v>111</v>
      </c>
      <c r="AV90" s="51">
        <f>AW90+AX90</f>
        <v>0</v>
      </c>
      <c r="AW90" s="51">
        <f>F90*AO90</f>
        <v>0</v>
      </c>
      <c r="AX90" s="51">
        <f>F90*AP90</f>
        <v>0</v>
      </c>
      <c r="AY90" s="53" t="s">
        <v>269</v>
      </c>
      <c r="AZ90" s="53" t="s">
        <v>247</v>
      </c>
      <c r="BA90" s="35" t="s">
        <v>117</v>
      </c>
      <c r="BC90" s="51">
        <f>AW90+AX90</f>
        <v>0</v>
      </c>
      <c r="BD90" s="51">
        <f>G90/(100-BE90)*100</f>
        <v>0</v>
      </c>
      <c r="BE90" s="51">
        <v>0</v>
      </c>
      <c r="BF90" s="51">
        <f>90</f>
        <v>90</v>
      </c>
      <c r="BH90" s="51">
        <f>F90*AO90</f>
        <v>0</v>
      </c>
      <c r="BI90" s="51">
        <f>F90*AP90</f>
        <v>0</v>
      </c>
      <c r="BJ90" s="51">
        <f>F90*G90</f>
        <v>0</v>
      </c>
      <c r="BK90" s="51"/>
      <c r="BL90" s="51">
        <v>96</v>
      </c>
      <c r="BW90" s="51">
        <v>12</v>
      </c>
      <c r="BX90" s="3" t="s">
        <v>276</v>
      </c>
    </row>
    <row r="91" spans="1:76">
      <c r="A91" s="54"/>
      <c r="C91" s="55" t="s">
        <v>277</v>
      </c>
      <c r="D91" s="56" t="s">
        <v>187</v>
      </c>
      <c r="F91" s="57">
        <v>1.89</v>
      </c>
      <c r="J91" s="41"/>
    </row>
    <row r="92" spans="1:76">
      <c r="A92" s="1" t="s">
        <v>278</v>
      </c>
      <c r="B92" s="2" t="s">
        <v>279</v>
      </c>
      <c r="C92" s="75" t="s">
        <v>280</v>
      </c>
      <c r="D92" s="70"/>
      <c r="E92" s="2" t="s">
        <v>262</v>
      </c>
      <c r="F92" s="51">
        <v>1</v>
      </c>
      <c r="G92" s="52">
        <v>0</v>
      </c>
      <c r="H92" s="51">
        <f>F92*G92</f>
        <v>0</v>
      </c>
      <c r="J92" s="41"/>
      <c r="Z92" s="51">
        <f>IF(AQ92="5",BJ92,0)</f>
        <v>0</v>
      </c>
      <c r="AB92" s="51">
        <f>IF(AQ92="1",BH92,0)</f>
        <v>0</v>
      </c>
      <c r="AC92" s="51">
        <f>IF(AQ92="1",BI92,0)</f>
        <v>0</v>
      </c>
      <c r="AD92" s="51">
        <f>IF(AQ92="7",BH92,0)</f>
        <v>0</v>
      </c>
      <c r="AE92" s="51">
        <f>IF(AQ92="7",BI92,0)</f>
        <v>0</v>
      </c>
      <c r="AF92" s="51">
        <f>IF(AQ92="2",BH92,0)</f>
        <v>0</v>
      </c>
      <c r="AG92" s="51">
        <f>IF(AQ92="2",BI92,0)</f>
        <v>0</v>
      </c>
      <c r="AH92" s="51">
        <f>IF(AQ92="0",BJ92,0)</f>
        <v>0</v>
      </c>
      <c r="AI92" s="35" t="s">
        <v>4</v>
      </c>
      <c r="AJ92" s="51">
        <f>IF(AN92=0,H92,0)</f>
        <v>0</v>
      </c>
      <c r="AK92" s="51">
        <f>IF(AN92=12,H92,0)</f>
        <v>0</v>
      </c>
      <c r="AL92" s="51">
        <f>IF(AN92=21,H92,0)</f>
        <v>0</v>
      </c>
      <c r="AN92" s="51">
        <v>12</v>
      </c>
      <c r="AO92" s="51">
        <f>G92*0.147197391</f>
        <v>0</v>
      </c>
      <c r="AP92" s="51">
        <f>G92*(1-0.147197391)</f>
        <v>0</v>
      </c>
      <c r="AQ92" s="53" t="s">
        <v>111</v>
      </c>
      <c r="AV92" s="51">
        <f>AW92+AX92</f>
        <v>0</v>
      </c>
      <c r="AW92" s="51">
        <f>F92*AO92</f>
        <v>0</v>
      </c>
      <c r="AX92" s="51">
        <f>F92*AP92</f>
        <v>0</v>
      </c>
      <c r="AY92" s="53" t="s">
        <v>269</v>
      </c>
      <c r="AZ92" s="53" t="s">
        <v>247</v>
      </c>
      <c r="BA92" s="35" t="s">
        <v>117</v>
      </c>
      <c r="BC92" s="51">
        <f>AW92+AX92</f>
        <v>0</v>
      </c>
      <c r="BD92" s="51">
        <f>G92/(100-BE92)*100</f>
        <v>0</v>
      </c>
      <c r="BE92" s="51">
        <v>0</v>
      </c>
      <c r="BF92" s="51">
        <f>92</f>
        <v>92</v>
      </c>
      <c r="BH92" s="51">
        <f>F92*AO92</f>
        <v>0</v>
      </c>
      <c r="BI92" s="51">
        <f>F92*AP92</f>
        <v>0</v>
      </c>
      <c r="BJ92" s="51">
        <f>F92*G92</f>
        <v>0</v>
      </c>
      <c r="BK92" s="51"/>
      <c r="BL92" s="51">
        <v>96</v>
      </c>
      <c r="BW92" s="51">
        <v>12</v>
      </c>
      <c r="BX92" s="3" t="s">
        <v>280</v>
      </c>
    </row>
    <row r="93" spans="1:76">
      <c r="A93" s="1" t="s">
        <v>281</v>
      </c>
      <c r="B93" s="2" t="s">
        <v>282</v>
      </c>
      <c r="C93" s="75" t="s">
        <v>283</v>
      </c>
      <c r="D93" s="70"/>
      <c r="E93" s="2" t="s">
        <v>114</v>
      </c>
      <c r="F93" s="51">
        <v>17.32</v>
      </c>
      <c r="G93" s="52">
        <v>0</v>
      </c>
      <c r="H93" s="51">
        <f>F93*G93</f>
        <v>0</v>
      </c>
      <c r="J93" s="41"/>
      <c r="Z93" s="51">
        <f>IF(AQ93="5",BJ93,0)</f>
        <v>0</v>
      </c>
      <c r="AB93" s="51">
        <f>IF(AQ93="1",BH93,0)</f>
        <v>0</v>
      </c>
      <c r="AC93" s="51">
        <f>IF(AQ93="1",BI93,0)</f>
        <v>0</v>
      </c>
      <c r="AD93" s="51">
        <f>IF(AQ93="7",BH93,0)</f>
        <v>0</v>
      </c>
      <c r="AE93" s="51">
        <f>IF(AQ93="7",BI93,0)</f>
        <v>0</v>
      </c>
      <c r="AF93" s="51">
        <f>IF(AQ93="2",BH93,0)</f>
        <v>0</v>
      </c>
      <c r="AG93" s="51">
        <f>IF(AQ93="2",BI93,0)</f>
        <v>0</v>
      </c>
      <c r="AH93" s="51">
        <f>IF(AQ93="0",BJ93,0)</f>
        <v>0</v>
      </c>
      <c r="AI93" s="35" t="s">
        <v>4</v>
      </c>
      <c r="AJ93" s="51">
        <f>IF(AN93=0,H93,0)</f>
        <v>0</v>
      </c>
      <c r="AK93" s="51">
        <f>IF(AN93=12,H93,0)</f>
        <v>0</v>
      </c>
      <c r="AL93" s="51">
        <f>IF(AN93=21,H93,0)</f>
        <v>0</v>
      </c>
      <c r="AN93" s="51">
        <v>12</v>
      </c>
      <c r="AO93" s="51">
        <f>G93*0</f>
        <v>0</v>
      </c>
      <c r="AP93" s="51">
        <f>G93*(1-0)</f>
        <v>0</v>
      </c>
      <c r="AQ93" s="53" t="s">
        <v>111</v>
      </c>
      <c r="AV93" s="51">
        <f>AW93+AX93</f>
        <v>0</v>
      </c>
      <c r="AW93" s="51">
        <f>F93*AO93</f>
        <v>0</v>
      </c>
      <c r="AX93" s="51">
        <f>F93*AP93</f>
        <v>0</v>
      </c>
      <c r="AY93" s="53" t="s">
        <v>269</v>
      </c>
      <c r="AZ93" s="53" t="s">
        <v>247</v>
      </c>
      <c r="BA93" s="35" t="s">
        <v>117</v>
      </c>
      <c r="BC93" s="51">
        <f>AW93+AX93</f>
        <v>0</v>
      </c>
      <c r="BD93" s="51">
        <f>G93/(100-BE93)*100</f>
        <v>0</v>
      </c>
      <c r="BE93" s="51">
        <v>0</v>
      </c>
      <c r="BF93" s="51">
        <f>93</f>
        <v>93</v>
      </c>
      <c r="BH93" s="51">
        <f>F93*AO93</f>
        <v>0</v>
      </c>
      <c r="BI93" s="51">
        <f>F93*AP93</f>
        <v>0</v>
      </c>
      <c r="BJ93" s="51">
        <f>F93*G93</f>
        <v>0</v>
      </c>
      <c r="BK93" s="51"/>
      <c r="BL93" s="51">
        <v>96</v>
      </c>
      <c r="BW93" s="51">
        <v>12</v>
      </c>
      <c r="BX93" s="3" t="s">
        <v>283</v>
      </c>
    </row>
    <row r="94" spans="1:76">
      <c r="A94" s="54"/>
      <c r="C94" s="55" t="s">
        <v>284</v>
      </c>
      <c r="D94" s="56" t="s">
        <v>285</v>
      </c>
      <c r="F94" s="57">
        <v>17.32</v>
      </c>
      <c r="J94" s="41"/>
    </row>
    <row r="95" spans="1:76">
      <c r="A95" s="1" t="s">
        <v>109</v>
      </c>
      <c r="B95" s="2" t="s">
        <v>286</v>
      </c>
      <c r="C95" s="75" t="s">
        <v>287</v>
      </c>
      <c r="D95" s="70"/>
      <c r="E95" s="2" t="s">
        <v>288</v>
      </c>
      <c r="F95" s="51">
        <v>0.89800000000000002</v>
      </c>
      <c r="G95" s="52">
        <v>0</v>
      </c>
      <c r="H95" s="51">
        <f>F95*G95</f>
        <v>0</v>
      </c>
      <c r="J95" s="41"/>
      <c r="Z95" s="51">
        <f>IF(AQ95="5",BJ95,0)</f>
        <v>0</v>
      </c>
      <c r="AB95" s="51">
        <f>IF(AQ95="1",BH95,0)</f>
        <v>0</v>
      </c>
      <c r="AC95" s="51">
        <f>IF(AQ95="1",BI95,0)</f>
        <v>0</v>
      </c>
      <c r="AD95" s="51">
        <f>IF(AQ95="7",BH95,0)</f>
        <v>0</v>
      </c>
      <c r="AE95" s="51">
        <f>IF(AQ95="7",BI95,0)</f>
        <v>0</v>
      </c>
      <c r="AF95" s="51">
        <f>IF(AQ95="2",BH95,0)</f>
        <v>0</v>
      </c>
      <c r="AG95" s="51">
        <f>IF(AQ95="2",BI95,0)</f>
        <v>0</v>
      </c>
      <c r="AH95" s="51">
        <f>IF(AQ95="0",BJ95,0)</f>
        <v>0</v>
      </c>
      <c r="AI95" s="35" t="s">
        <v>4</v>
      </c>
      <c r="AJ95" s="51">
        <f>IF(AN95=0,H95,0)</f>
        <v>0</v>
      </c>
      <c r="AK95" s="51">
        <f>IF(AN95=12,H95,0)</f>
        <v>0</v>
      </c>
      <c r="AL95" s="51">
        <f>IF(AN95=21,H95,0)</f>
        <v>0</v>
      </c>
      <c r="AN95" s="51">
        <v>12</v>
      </c>
      <c r="AO95" s="51">
        <f>G95*0</f>
        <v>0</v>
      </c>
      <c r="AP95" s="51">
        <f>G95*(1-0)</f>
        <v>0</v>
      </c>
      <c r="AQ95" s="53" t="s">
        <v>139</v>
      </c>
      <c r="AV95" s="51">
        <f>AW95+AX95</f>
        <v>0</v>
      </c>
      <c r="AW95" s="51">
        <f>F95*AO95</f>
        <v>0</v>
      </c>
      <c r="AX95" s="51">
        <f>F95*AP95</f>
        <v>0</v>
      </c>
      <c r="AY95" s="53" t="s">
        <v>269</v>
      </c>
      <c r="AZ95" s="53" t="s">
        <v>247</v>
      </c>
      <c r="BA95" s="35" t="s">
        <v>117</v>
      </c>
      <c r="BC95" s="51">
        <f>AW95+AX95</f>
        <v>0</v>
      </c>
      <c r="BD95" s="51">
        <f>G95/(100-BE95)*100</f>
        <v>0</v>
      </c>
      <c r="BE95" s="51">
        <v>0</v>
      </c>
      <c r="BF95" s="51">
        <f>95</f>
        <v>95</v>
      </c>
      <c r="BH95" s="51">
        <f>F95*AO95</f>
        <v>0</v>
      </c>
      <c r="BI95" s="51">
        <f>F95*AP95</f>
        <v>0</v>
      </c>
      <c r="BJ95" s="51">
        <f>F95*G95</f>
        <v>0</v>
      </c>
      <c r="BK95" s="51"/>
      <c r="BL95" s="51">
        <v>96</v>
      </c>
      <c r="BW95" s="51">
        <v>12</v>
      </c>
      <c r="BX95" s="3" t="s">
        <v>287</v>
      </c>
    </row>
    <row r="96" spans="1:76">
      <c r="A96" s="1" t="s">
        <v>289</v>
      </c>
      <c r="B96" s="2" t="s">
        <v>290</v>
      </c>
      <c r="C96" s="75" t="s">
        <v>291</v>
      </c>
      <c r="D96" s="70"/>
      <c r="E96" s="2" t="s">
        <v>288</v>
      </c>
      <c r="F96" s="51">
        <v>1.796</v>
      </c>
      <c r="G96" s="52">
        <v>0</v>
      </c>
      <c r="H96" s="51">
        <f>F96*G96</f>
        <v>0</v>
      </c>
      <c r="J96" s="41"/>
      <c r="Z96" s="51">
        <f>IF(AQ96="5",BJ96,0)</f>
        <v>0</v>
      </c>
      <c r="AB96" s="51">
        <f>IF(AQ96="1",BH96,0)</f>
        <v>0</v>
      </c>
      <c r="AC96" s="51">
        <f>IF(AQ96="1",BI96,0)</f>
        <v>0</v>
      </c>
      <c r="AD96" s="51">
        <f>IF(AQ96="7",BH96,0)</f>
        <v>0</v>
      </c>
      <c r="AE96" s="51">
        <f>IF(AQ96="7",BI96,0)</f>
        <v>0</v>
      </c>
      <c r="AF96" s="51">
        <f>IF(AQ96="2",BH96,0)</f>
        <v>0</v>
      </c>
      <c r="AG96" s="51">
        <f>IF(AQ96="2",BI96,0)</f>
        <v>0</v>
      </c>
      <c r="AH96" s="51">
        <f>IF(AQ96="0",BJ96,0)</f>
        <v>0</v>
      </c>
      <c r="AI96" s="35" t="s">
        <v>4</v>
      </c>
      <c r="AJ96" s="51">
        <f>IF(AN96=0,H96,0)</f>
        <v>0</v>
      </c>
      <c r="AK96" s="51">
        <f>IF(AN96=12,H96,0)</f>
        <v>0</v>
      </c>
      <c r="AL96" s="51">
        <f>IF(AN96=21,H96,0)</f>
        <v>0</v>
      </c>
      <c r="AN96" s="51">
        <v>12</v>
      </c>
      <c r="AO96" s="51">
        <f>G96*0</f>
        <v>0</v>
      </c>
      <c r="AP96" s="51">
        <f>G96*(1-0)</f>
        <v>0</v>
      </c>
      <c r="AQ96" s="53" t="s">
        <v>139</v>
      </c>
      <c r="AV96" s="51">
        <f>AW96+AX96</f>
        <v>0</v>
      </c>
      <c r="AW96" s="51">
        <f>F96*AO96</f>
        <v>0</v>
      </c>
      <c r="AX96" s="51">
        <f>F96*AP96</f>
        <v>0</v>
      </c>
      <c r="AY96" s="53" t="s">
        <v>269</v>
      </c>
      <c r="AZ96" s="53" t="s">
        <v>247</v>
      </c>
      <c r="BA96" s="35" t="s">
        <v>117</v>
      </c>
      <c r="BC96" s="51">
        <f>AW96+AX96</f>
        <v>0</v>
      </c>
      <c r="BD96" s="51">
        <f>G96/(100-BE96)*100</f>
        <v>0</v>
      </c>
      <c r="BE96" s="51">
        <v>0</v>
      </c>
      <c r="BF96" s="51">
        <f>96</f>
        <v>96</v>
      </c>
      <c r="BH96" s="51">
        <f>F96*AO96</f>
        <v>0</v>
      </c>
      <c r="BI96" s="51">
        <f>F96*AP96</f>
        <v>0</v>
      </c>
      <c r="BJ96" s="51">
        <f>F96*G96</f>
        <v>0</v>
      </c>
      <c r="BK96" s="51"/>
      <c r="BL96" s="51">
        <v>96</v>
      </c>
      <c r="BW96" s="51">
        <v>12</v>
      </c>
      <c r="BX96" s="3" t="s">
        <v>291</v>
      </c>
    </row>
    <row r="97" spans="1:76">
      <c r="A97" s="54"/>
      <c r="C97" s="55" t="s">
        <v>292</v>
      </c>
      <c r="D97" s="56" t="s">
        <v>4</v>
      </c>
      <c r="F97" s="57">
        <v>1.796</v>
      </c>
      <c r="J97" s="41"/>
    </row>
    <row r="98" spans="1:76">
      <c r="A98" s="1" t="s">
        <v>293</v>
      </c>
      <c r="B98" s="2" t="s">
        <v>294</v>
      </c>
      <c r="C98" s="75" t="s">
        <v>295</v>
      </c>
      <c r="D98" s="70"/>
      <c r="E98" s="2" t="s">
        <v>288</v>
      </c>
      <c r="F98" s="51">
        <v>0.89800000000000002</v>
      </c>
      <c r="G98" s="52">
        <v>0</v>
      </c>
      <c r="H98" s="51">
        <f>F98*G98</f>
        <v>0</v>
      </c>
      <c r="J98" s="41"/>
      <c r="Z98" s="51">
        <f>IF(AQ98="5",BJ98,0)</f>
        <v>0</v>
      </c>
      <c r="AB98" s="51">
        <f>IF(AQ98="1",BH98,0)</f>
        <v>0</v>
      </c>
      <c r="AC98" s="51">
        <f>IF(AQ98="1",BI98,0)</f>
        <v>0</v>
      </c>
      <c r="AD98" s="51">
        <f>IF(AQ98="7",BH98,0)</f>
        <v>0</v>
      </c>
      <c r="AE98" s="51">
        <f>IF(AQ98="7",BI98,0)</f>
        <v>0</v>
      </c>
      <c r="AF98" s="51">
        <f>IF(AQ98="2",BH98,0)</f>
        <v>0</v>
      </c>
      <c r="AG98" s="51">
        <f>IF(AQ98="2",BI98,0)</f>
        <v>0</v>
      </c>
      <c r="AH98" s="51">
        <f>IF(AQ98="0",BJ98,0)</f>
        <v>0</v>
      </c>
      <c r="AI98" s="35" t="s">
        <v>4</v>
      </c>
      <c r="AJ98" s="51">
        <f>IF(AN98=0,H98,0)</f>
        <v>0</v>
      </c>
      <c r="AK98" s="51">
        <f>IF(AN98=12,H98,0)</f>
        <v>0</v>
      </c>
      <c r="AL98" s="51">
        <f>IF(AN98=21,H98,0)</f>
        <v>0</v>
      </c>
      <c r="AN98" s="51">
        <v>12</v>
      </c>
      <c r="AO98" s="51">
        <f>G98*0</f>
        <v>0</v>
      </c>
      <c r="AP98" s="51">
        <f>G98*(1-0)</f>
        <v>0</v>
      </c>
      <c r="AQ98" s="53" t="s">
        <v>139</v>
      </c>
      <c r="AV98" s="51">
        <f>AW98+AX98</f>
        <v>0</v>
      </c>
      <c r="AW98" s="51">
        <f>F98*AO98</f>
        <v>0</v>
      </c>
      <c r="AX98" s="51">
        <f>F98*AP98</f>
        <v>0</v>
      </c>
      <c r="AY98" s="53" t="s">
        <v>269</v>
      </c>
      <c r="AZ98" s="53" t="s">
        <v>247</v>
      </c>
      <c r="BA98" s="35" t="s">
        <v>117</v>
      </c>
      <c r="BC98" s="51">
        <f>AW98+AX98</f>
        <v>0</v>
      </c>
      <c r="BD98" s="51">
        <f>G98/(100-BE98)*100</f>
        <v>0</v>
      </c>
      <c r="BE98" s="51">
        <v>0</v>
      </c>
      <c r="BF98" s="51">
        <f>98</f>
        <v>98</v>
      </c>
      <c r="BH98" s="51">
        <f>F98*AO98</f>
        <v>0</v>
      </c>
      <c r="BI98" s="51">
        <f>F98*AP98</f>
        <v>0</v>
      </c>
      <c r="BJ98" s="51">
        <f>F98*G98</f>
        <v>0</v>
      </c>
      <c r="BK98" s="51"/>
      <c r="BL98" s="51">
        <v>96</v>
      </c>
      <c r="BW98" s="51">
        <v>12</v>
      </c>
      <c r="BX98" s="3" t="s">
        <v>295</v>
      </c>
    </row>
    <row r="99" spans="1:76">
      <c r="A99" s="1" t="s">
        <v>296</v>
      </c>
      <c r="B99" s="2" t="s">
        <v>297</v>
      </c>
      <c r="C99" s="75" t="s">
        <v>298</v>
      </c>
      <c r="D99" s="70"/>
      <c r="E99" s="2" t="s">
        <v>288</v>
      </c>
      <c r="F99" s="51">
        <v>4.49</v>
      </c>
      <c r="G99" s="52">
        <v>0</v>
      </c>
      <c r="H99" s="51">
        <f>F99*G99</f>
        <v>0</v>
      </c>
      <c r="J99" s="41"/>
      <c r="Z99" s="51">
        <f>IF(AQ99="5",BJ99,0)</f>
        <v>0</v>
      </c>
      <c r="AB99" s="51">
        <f>IF(AQ99="1",BH99,0)</f>
        <v>0</v>
      </c>
      <c r="AC99" s="51">
        <f>IF(AQ99="1",BI99,0)</f>
        <v>0</v>
      </c>
      <c r="AD99" s="51">
        <f>IF(AQ99="7",BH99,0)</f>
        <v>0</v>
      </c>
      <c r="AE99" s="51">
        <f>IF(AQ99="7",BI99,0)</f>
        <v>0</v>
      </c>
      <c r="AF99" s="51">
        <f>IF(AQ99="2",BH99,0)</f>
        <v>0</v>
      </c>
      <c r="AG99" s="51">
        <f>IF(AQ99="2",BI99,0)</f>
        <v>0</v>
      </c>
      <c r="AH99" s="51">
        <f>IF(AQ99="0",BJ99,0)</f>
        <v>0</v>
      </c>
      <c r="AI99" s="35" t="s">
        <v>4</v>
      </c>
      <c r="AJ99" s="51">
        <f>IF(AN99=0,H99,0)</f>
        <v>0</v>
      </c>
      <c r="AK99" s="51">
        <f>IF(AN99=12,H99,0)</f>
        <v>0</v>
      </c>
      <c r="AL99" s="51">
        <f>IF(AN99=21,H99,0)</f>
        <v>0</v>
      </c>
      <c r="AN99" s="51">
        <v>12</v>
      </c>
      <c r="AO99" s="51">
        <f>G99*0</f>
        <v>0</v>
      </c>
      <c r="AP99" s="51">
        <f>G99*(1-0)</f>
        <v>0</v>
      </c>
      <c r="AQ99" s="53" t="s">
        <v>139</v>
      </c>
      <c r="AV99" s="51">
        <f>AW99+AX99</f>
        <v>0</v>
      </c>
      <c r="AW99" s="51">
        <f>F99*AO99</f>
        <v>0</v>
      </c>
      <c r="AX99" s="51">
        <f>F99*AP99</f>
        <v>0</v>
      </c>
      <c r="AY99" s="53" t="s">
        <v>269</v>
      </c>
      <c r="AZ99" s="53" t="s">
        <v>247</v>
      </c>
      <c r="BA99" s="35" t="s">
        <v>117</v>
      </c>
      <c r="BC99" s="51">
        <f>AW99+AX99</f>
        <v>0</v>
      </c>
      <c r="BD99" s="51">
        <f>G99/(100-BE99)*100</f>
        <v>0</v>
      </c>
      <c r="BE99" s="51">
        <v>0</v>
      </c>
      <c r="BF99" s="51">
        <f>99</f>
        <v>99</v>
      </c>
      <c r="BH99" s="51">
        <f>F99*AO99</f>
        <v>0</v>
      </c>
      <c r="BI99" s="51">
        <f>F99*AP99</f>
        <v>0</v>
      </c>
      <c r="BJ99" s="51">
        <f>F99*G99</f>
        <v>0</v>
      </c>
      <c r="BK99" s="51"/>
      <c r="BL99" s="51">
        <v>96</v>
      </c>
      <c r="BW99" s="51">
        <v>12</v>
      </c>
      <c r="BX99" s="3" t="s">
        <v>298</v>
      </c>
    </row>
    <row r="100" spans="1:76">
      <c r="A100" s="54"/>
      <c r="C100" s="55" t="s">
        <v>299</v>
      </c>
      <c r="D100" s="56" t="s">
        <v>4</v>
      </c>
      <c r="F100" s="57">
        <v>4.49</v>
      </c>
      <c r="J100" s="41"/>
    </row>
    <row r="101" spans="1:76">
      <c r="A101" s="1" t="s">
        <v>300</v>
      </c>
      <c r="B101" s="2" t="s">
        <v>301</v>
      </c>
      <c r="C101" s="75" t="s">
        <v>302</v>
      </c>
      <c r="D101" s="70"/>
      <c r="E101" s="2" t="s">
        <v>288</v>
      </c>
      <c r="F101" s="51">
        <v>0.89800000000000002</v>
      </c>
      <c r="G101" s="52">
        <v>0</v>
      </c>
      <c r="H101" s="51">
        <f>F101*G101</f>
        <v>0</v>
      </c>
      <c r="J101" s="41"/>
      <c r="Z101" s="51">
        <f>IF(AQ101="5",BJ101,0)</f>
        <v>0</v>
      </c>
      <c r="AB101" s="51">
        <f>IF(AQ101="1",BH101,0)</f>
        <v>0</v>
      </c>
      <c r="AC101" s="51">
        <f>IF(AQ101="1",BI101,0)</f>
        <v>0</v>
      </c>
      <c r="AD101" s="51">
        <f>IF(AQ101="7",BH101,0)</f>
        <v>0</v>
      </c>
      <c r="AE101" s="51">
        <f>IF(AQ101="7",BI101,0)</f>
        <v>0</v>
      </c>
      <c r="AF101" s="51">
        <f>IF(AQ101="2",BH101,0)</f>
        <v>0</v>
      </c>
      <c r="AG101" s="51">
        <f>IF(AQ101="2",BI101,0)</f>
        <v>0</v>
      </c>
      <c r="AH101" s="51">
        <f>IF(AQ101="0",BJ101,0)</f>
        <v>0</v>
      </c>
      <c r="AI101" s="35" t="s">
        <v>4</v>
      </c>
      <c r="AJ101" s="51">
        <f>IF(AN101=0,H101,0)</f>
        <v>0</v>
      </c>
      <c r="AK101" s="51">
        <f>IF(AN101=12,H101,0)</f>
        <v>0</v>
      </c>
      <c r="AL101" s="51">
        <f>IF(AN101=21,H101,0)</f>
        <v>0</v>
      </c>
      <c r="AN101" s="51">
        <v>12</v>
      </c>
      <c r="AO101" s="51">
        <f>G101*0</f>
        <v>0</v>
      </c>
      <c r="AP101" s="51">
        <f>G101*(1-0)</f>
        <v>0</v>
      </c>
      <c r="AQ101" s="53" t="s">
        <v>139</v>
      </c>
      <c r="AV101" s="51">
        <f>AW101+AX101</f>
        <v>0</v>
      </c>
      <c r="AW101" s="51">
        <f>F101*AO101</f>
        <v>0</v>
      </c>
      <c r="AX101" s="51">
        <f>F101*AP101</f>
        <v>0</v>
      </c>
      <c r="AY101" s="53" t="s">
        <v>269</v>
      </c>
      <c r="AZ101" s="53" t="s">
        <v>247</v>
      </c>
      <c r="BA101" s="35" t="s">
        <v>117</v>
      </c>
      <c r="BC101" s="51">
        <f>AW101+AX101</f>
        <v>0</v>
      </c>
      <c r="BD101" s="51">
        <f>G101/(100-BE101)*100</f>
        <v>0</v>
      </c>
      <c r="BE101" s="51">
        <v>0</v>
      </c>
      <c r="BF101" s="51">
        <f>101</f>
        <v>101</v>
      </c>
      <c r="BH101" s="51">
        <f>F101*AO101</f>
        <v>0</v>
      </c>
      <c r="BI101" s="51">
        <f>F101*AP101</f>
        <v>0</v>
      </c>
      <c r="BJ101" s="51">
        <f>F101*G101</f>
        <v>0</v>
      </c>
      <c r="BK101" s="51"/>
      <c r="BL101" s="51">
        <v>96</v>
      </c>
      <c r="BW101" s="51">
        <v>12</v>
      </c>
      <c r="BX101" s="3" t="s">
        <v>302</v>
      </c>
    </row>
    <row r="102" spans="1:76">
      <c r="A102" s="1" t="s">
        <v>303</v>
      </c>
      <c r="B102" s="2" t="s">
        <v>304</v>
      </c>
      <c r="C102" s="75" t="s">
        <v>305</v>
      </c>
      <c r="D102" s="70"/>
      <c r="E102" s="2" t="s">
        <v>288</v>
      </c>
      <c r="F102" s="51">
        <v>3.5920000000000001</v>
      </c>
      <c r="G102" s="52">
        <v>0</v>
      </c>
      <c r="H102" s="51">
        <f>F102*G102</f>
        <v>0</v>
      </c>
      <c r="J102" s="41"/>
      <c r="Z102" s="51">
        <f>IF(AQ102="5",BJ102,0)</f>
        <v>0</v>
      </c>
      <c r="AB102" s="51">
        <f>IF(AQ102="1",BH102,0)</f>
        <v>0</v>
      </c>
      <c r="AC102" s="51">
        <f>IF(AQ102="1",BI102,0)</f>
        <v>0</v>
      </c>
      <c r="AD102" s="51">
        <f>IF(AQ102="7",BH102,0)</f>
        <v>0</v>
      </c>
      <c r="AE102" s="51">
        <f>IF(AQ102="7",BI102,0)</f>
        <v>0</v>
      </c>
      <c r="AF102" s="51">
        <f>IF(AQ102="2",BH102,0)</f>
        <v>0</v>
      </c>
      <c r="AG102" s="51">
        <f>IF(AQ102="2",BI102,0)</f>
        <v>0</v>
      </c>
      <c r="AH102" s="51">
        <f>IF(AQ102="0",BJ102,0)</f>
        <v>0</v>
      </c>
      <c r="AI102" s="35" t="s">
        <v>4</v>
      </c>
      <c r="AJ102" s="51">
        <f>IF(AN102=0,H102,0)</f>
        <v>0</v>
      </c>
      <c r="AK102" s="51">
        <f>IF(AN102=12,H102,0)</f>
        <v>0</v>
      </c>
      <c r="AL102" s="51">
        <f>IF(AN102=21,H102,0)</f>
        <v>0</v>
      </c>
      <c r="AN102" s="51">
        <v>12</v>
      </c>
      <c r="AO102" s="51">
        <f>G102*0</f>
        <v>0</v>
      </c>
      <c r="AP102" s="51">
        <f>G102*(1-0)</f>
        <v>0</v>
      </c>
      <c r="AQ102" s="53" t="s">
        <v>139</v>
      </c>
      <c r="AV102" s="51">
        <f>AW102+AX102</f>
        <v>0</v>
      </c>
      <c r="AW102" s="51">
        <f>F102*AO102</f>
        <v>0</v>
      </c>
      <c r="AX102" s="51">
        <f>F102*AP102</f>
        <v>0</v>
      </c>
      <c r="AY102" s="53" t="s">
        <v>269</v>
      </c>
      <c r="AZ102" s="53" t="s">
        <v>247</v>
      </c>
      <c r="BA102" s="35" t="s">
        <v>117</v>
      </c>
      <c r="BC102" s="51">
        <f>AW102+AX102</f>
        <v>0</v>
      </c>
      <c r="BD102" s="51">
        <f>G102/(100-BE102)*100</f>
        <v>0</v>
      </c>
      <c r="BE102" s="51">
        <v>0</v>
      </c>
      <c r="BF102" s="51">
        <f>102</f>
        <v>102</v>
      </c>
      <c r="BH102" s="51">
        <f>F102*AO102</f>
        <v>0</v>
      </c>
      <c r="BI102" s="51">
        <f>F102*AP102</f>
        <v>0</v>
      </c>
      <c r="BJ102" s="51">
        <f>F102*G102</f>
        <v>0</v>
      </c>
      <c r="BK102" s="51"/>
      <c r="BL102" s="51">
        <v>96</v>
      </c>
      <c r="BW102" s="51">
        <v>12</v>
      </c>
      <c r="BX102" s="3" t="s">
        <v>305</v>
      </c>
    </row>
    <row r="103" spans="1:76">
      <c r="A103" s="54"/>
      <c r="C103" s="55" t="s">
        <v>306</v>
      </c>
      <c r="D103" s="56" t="s">
        <v>4</v>
      </c>
      <c r="F103" s="57">
        <v>3.5920000000000001</v>
      </c>
      <c r="J103" s="41"/>
    </row>
    <row r="104" spans="1:76">
      <c r="A104" s="1" t="s">
        <v>307</v>
      </c>
      <c r="B104" s="2" t="s">
        <v>308</v>
      </c>
      <c r="C104" s="75" t="s">
        <v>309</v>
      </c>
      <c r="D104" s="70"/>
      <c r="E104" s="2" t="s">
        <v>288</v>
      </c>
      <c r="F104" s="51">
        <v>0.82099999999999995</v>
      </c>
      <c r="G104" s="52">
        <v>0</v>
      </c>
      <c r="H104" s="51">
        <f>F104*G104</f>
        <v>0</v>
      </c>
      <c r="J104" s="41"/>
      <c r="Z104" s="51">
        <f>IF(AQ104="5",BJ104,0)</f>
        <v>0</v>
      </c>
      <c r="AB104" s="51">
        <f>IF(AQ104="1",BH104,0)</f>
        <v>0</v>
      </c>
      <c r="AC104" s="51">
        <f>IF(AQ104="1",BI104,0)</f>
        <v>0</v>
      </c>
      <c r="AD104" s="51">
        <f>IF(AQ104="7",BH104,0)</f>
        <v>0</v>
      </c>
      <c r="AE104" s="51">
        <f>IF(AQ104="7",BI104,0)</f>
        <v>0</v>
      </c>
      <c r="AF104" s="51">
        <f>IF(AQ104="2",BH104,0)</f>
        <v>0</v>
      </c>
      <c r="AG104" s="51">
        <f>IF(AQ104="2",BI104,0)</f>
        <v>0</v>
      </c>
      <c r="AH104" s="51">
        <f>IF(AQ104="0",BJ104,0)</f>
        <v>0</v>
      </c>
      <c r="AI104" s="35" t="s">
        <v>4</v>
      </c>
      <c r="AJ104" s="51">
        <f>IF(AN104=0,H104,0)</f>
        <v>0</v>
      </c>
      <c r="AK104" s="51">
        <f>IF(AN104=12,H104,0)</f>
        <v>0</v>
      </c>
      <c r="AL104" s="51">
        <f>IF(AN104=21,H104,0)</f>
        <v>0</v>
      </c>
      <c r="AN104" s="51">
        <v>12</v>
      </c>
      <c r="AO104" s="51">
        <f>G104*0</f>
        <v>0</v>
      </c>
      <c r="AP104" s="51">
        <f>G104*(1-0)</f>
        <v>0</v>
      </c>
      <c r="AQ104" s="53" t="s">
        <v>139</v>
      </c>
      <c r="AV104" s="51">
        <f>AW104+AX104</f>
        <v>0</v>
      </c>
      <c r="AW104" s="51">
        <f>F104*AO104</f>
        <v>0</v>
      </c>
      <c r="AX104" s="51">
        <f>F104*AP104</f>
        <v>0</v>
      </c>
      <c r="AY104" s="53" t="s">
        <v>269</v>
      </c>
      <c r="AZ104" s="53" t="s">
        <v>247</v>
      </c>
      <c r="BA104" s="35" t="s">
        <v>117</v>
      </c>
      <c r="BC104" s="51">
        <f>AW104+AX104</f>
        <v>0</v>
      </c>
      <c r="BD104" s="51">
        <f>G104/(100-BE104)*100</f>
        <v>0</v>
      </c>
      <c r="BE104" s="51">
        <v>0</v>
      </c>
      <c r="BF104" s="51">
        <f>104</f>
        <v>104</v>
      </c>
      <c r="BH104" s="51">
        <f>F104*AO104</f>
        <v>0</v>
      </c>
      <c r="BI104" s="51">
        <f>F104*AP104</f>
        <v>0</v>
      </c>
      <c r="BJ104" s="51">
        <f>F104*G104</f>
        <v>0</v>
      </c>
      <c r="BK104" s="51"/>
      <c r="BL104" s="51">
        <v>96</v>
      </c>
      <c r="BW104" s="51">
        <v>12</v>
      </c>
      <c r="BX104" s="3" t="s">
        <v>309</v>
      </c>
    </row>
    <row r="105" spans="1:76">
      <c r="A105" s="54"/>
      <c r="C105" s="55" t="s">
        <v>310</v>
      </c>
      <c r="D105" s="56" t="s">
        <v>4</v>
      </c>
      <c r="F105" s="57">
        <v>0.82099999999999995</v>
      </c>
      <c r="J105" s="41"/>
    </row>
    <row r="106" spans="1:76">
      <c r="A106" s="1" t="s">
        <v>311</v>
      </c>
      <c r="B106" s="2" t="s">
        <v>312</v>
      </c>
      <c r="C106" s="75" t="s">
        <v>313</v>
      </c>
      <c r="D106" s="70"/>
      <c r="E106" s="2" t="s">
        <v>288</v>
      </c>
      <c r="F106" s="51">
        <v>7.6999999999999999E-2</v>
      </c>
      <c r="G106" s="52">
        <v>0</v>
      </c>
      <c r="H106" s="51">
        <f>F106*G106</f>
        <v>0</v>
      </c>
      <c r="J106" s="41"/>
      <c r="Z106" s="51">
        <f>IF(AQ106="5",BJ106,0)</f>
        <v>0</v>
      </c>
      <c r="AB106" s="51">
        <f>IF(AQ106="1",BH106,0)</f>
        <v>0</v>
      </c>
      <c r="AC106" s="51">
        <f>IF(AQ106="1",BI106,0)</f>
        <v>0</v>
      </c>
      <c r="AD106" s="51">
        <f>IF(AQ106="7",BH106,0)</f>
        <v>0</v>
      </c>
      <c r="AE106" s="51">
        <f>IF(AQ106="7",BI106,0)</f>
        <v>0</v>
      </c>
      <c r="AF106" s="51">
        <f>IF(AQ106="2",BH106,0)</f>
        <v>0</v>
      </c>
      <c r="AG106" s="51">
        <f>IF(AQ106="2",BI106,0)</f>
        <v>0</v>
      </c>
      <c r="AH106" s="51">
        <f>IF(AQ106="0",BJ106,0)</f>
        <v>0</v>
      </c>
      <c r="AI106" s="35" t="s">
        <v>4</v>
      </c>
      <c r="AJ106" s="51">
        <f>IF(AN106=0,H106,0)</f>
        <v>0</v>
      </c>
      <c r="AK106" s="51">
        <f>IF(AN106=12,H106,0)</f>
        <v>0</v>
      </c>
      <c r="AL106" s="51">
        <f>IF(AN106=21,H106,0)</f>
        <v>0</v>
      </c>
      <c r="AN106" s="51">
        <v>12</v>
      </c>
      <c r="AO106" s="51">
        <f>G106*0</f>
        <v>0</v>
      </c>
      <c r="AP106" s="51">
        <f>G106*(1-0)</f>
        <v>0</v>
      </c>
      <c r="AQ106" s="53" t="s">
        <v>139</v>
      </c>
      <c r="AV106" s="51">
        <f>AW106+AX106</f>
        <v>0</v>
      </c>
      <c r="AW106" s="51">
        <f>F106*AO106</f>
        <v>0</v>
      </c>
      <c r="AX106" s="51">
        <f>F106*AP106</f>
        <v>0</v>
      </c>
      <c r="AY106" s="53" t="s">
        <v>269</v>
      </c>
      <c r="AZ106" s="53" t="s">
        <v>247</v>
      </c>
      <c r="BA106" s="35" t="s">
        <v>117</v>
      </c>
      <c r="BC106" s="51">
        <f>AW106+AX106</f>
        <v>0</v>
      </c>
      <c r="BD106" s="51">
        <f>G106/(100-BE106)*100</f>
        <v>0</v>
      </c>
      <c r="BE106" s="51">
        <v>0</v>
      </c>
      <c r="BF106" s="51">
        <f>106</f>
        <v>106</v>
      </c>
      <c r="BH106" s="51">
        <f>F106*AO106</f>
        <v>0</v>
      </c>
      <c r="BI106" s="51">
        <f>F106*AP106</f>
        <v>0</v>
      </c>
      <c r="BJ106" s="51">
        <f>F106*G106</f>
        <v>0</v>
      </c>
      <c r="BK106" s="51"/>
      <c r="BL106" s="51">
        <v>96</v>
      </c>
      <c r="BW106" s="51">
        <v>12</v>
      </c>
      <c r="BX106" s="3" t="s">
        <v>313</v>
      </c>
    </row>
    <row r="107" spans="1:76">
      <c r="A107" s="54"/>
      <c r="C107" s="55" t="s">
        <v>314</v>
      </c>
      <c r="D107" s="56" t="s">
        <v>315</v>
      </c>
      <c r="F107" s="57">
        <v>6.0999999999999999E-2</v>
      </c>
      <c r="J107" s="41"/>
    </row>
    <row r="108" spans="1:76">
      <c r="A108" s="54"/>
      <c r="C108" s="55" t="s">
        <v>316</v>
      </c>
      <c r="D108" s="56" t="s">
        <v>317</v>
      </c>
      <c r="F108" s="57">
        <v>1.6E-2</v>
      </c>
      <c r="J108" s="41"/>
    </row>
    <row r="109" spans="1:76">
      <c r="A109" s="47" t="s">
        <v>4</v>
      </c>
      <c r="B109" s="48" t="s">
        <v>318</v>
      </c>
      <c r="C109" s="150" t="s">
        <v>319</v>
      </c>
      <c r="D109" s="151"/>
      <c r="E109" s="49" t="s">
        <v>79</v>
      </c>
      <c r="F109" s="49" t="s">
        <v>79</v>
      </c>
      <c r="G109" s="50" t="s">
        <v>79</v>
      </c>
      <c r="H109" s="28">
        <f>SUM(H110:H110)</f>
        <v>0</v>
      </c>
      <c r="J109" s="41"/>
      <c r="AI109" s="35" t="s">
        <v>4</v>
      </c>
      <c r="AS109" s="28">
        <f>SUM(AJ110:AJ110)</f>
        <v>0</v>
      </c>
      <c r="AT109" s="28">
        <f>SUM(AK110:AK110)</f>
        <v>0</v>
      </c>
      <c r="AU109" s="28">
        <f>SUM(AL110:AL110)</f>
        <v>0</v>
      </c>
    </row>
    <row r="110" spans="1:76">
      <c r="A110" s="1" t="s">
        <v>320</v>
      </c>
      <c r="B110" s="2" t="s">
        <v>321</v>
      </c>
      <c r="C110" s="75" t="s">
        <v>322</v>
      </c>
      <c r="D110" s="70"/>
      <c r="E110" s="2" t="s">
        <v>288</v>
      </c>
      <c r="F110" s="51">
        <v>3.552</v>
      </c>
      <c r="G110" s="52">
        <v>0</v>
      </c>
      <c r="H110" s="51">
        <f>F110*G110</f>
        <v>0</v>
      </c>
      <c r="J110" s="41"/>
      <c r="Z110" s="51">
        <f>IF(AQ110="5",BJ110,0)</f>
        <v>0</v>
      </c>
      <c r="AB110" s="51">
        <f>IF(AQ110="1",BH110,0)</f>
        <v>0</v>
      </c>
      <c r="AC110" s="51">
        <f>IF(AQ110="1",BI110,0)</f>
        <v>0</v>
      </c>
      <c r="AD110" s="51">
        <f>IF(AQ110="7",BH110,0)</f>
        <v>0</v>
      </c>
      <c r="AE110" s="51">
        <f>IF(AQ110="7",BI110,0)</f>
        <v>0</v>
      </c>
      <c r="AF110" s="51">
        <f>IF(AQ110="2",BH110,0)</f>
        <v>0</v>
      </c>
      <c r="AG110" s="51">
        <f>IF(AQ110="2",BI110,0)</f>
        <v>0</v>
      </c>
      <c r="AH110" s="51">
        <f>IF(AQ110="0",BJ110,0)</f>
        <v>0</v>
      </c>
      <c r="AI110" s="35" t="s">
        <v>4</v>
      </c>
      <c r="AJ110" s="51">
        <f>IF(AN110=0,H110,0)</f>
        <v>0</v>
      </c>
      <c r="AK110" s="51">
        <f>IF(AN110=12,H110,0)</f>
        <v>0</v>
      </c>
      <c r="AL110" s="51">
        <f>IF(AN110=21,H110,0)</f>
        <v>0</v>
      </c>
      <c r="AN110" s="51">
        <v>12</v>
      </c>
      <c r="AO110" s="51">
        <f>G110*0</f>
        <v>0</v>
      </c>
      <c r="AP110" s="51">
        <f>G110*(1-0)</f>
        <v>0</v>
      </c>
      <c r="AQ110" s="53" t="s">
        <v>139</v>
      </c>
      <c r="AV110" s="51">
        <f>AW110+AX110</f>
        <v>0</v>
      </c>
      <c r="AW110" s="51">
        <f>F110*AO110</f>
        <v>0</v>
      </c>
      <c r="AX110" s="51">
        <f>F110*AP110</f>
        <v>0</v>
      </c>
      <c r="AY110" s="53" t="s">
        <v>323</v>
      </c>
      <c r="AZ110" s="53" t="s">
        <v>247</v>
      </c>
      <c r="BA110" s="35" t="s">
        <v>117</v>
      </c>
      <c r="BC110" s="51">
        <f>AW110+AX110</f>
        <v>0</v>
      </c>
      <c r="BD110" s="51">
        <f>G110/(100-BE110)*100</f>
        <v>0</v>
      </c>
      <c r="BE110" s="51">
        <v>0</v>
      </c>
      <c r="BF110" s="51">
        <f>110</f>
        <v>110</v>
      </c>
      <c r="BH110" s="51">
        <f>F110*AO110</f>
        <v>0</v>
      </c>
      <c r="BI110" s="51">
        <f>F110*AP110</f>
        <v>0</v>
      </c>
      <c r="BJ110" s="51">
        <f>F110*G110</f>
        <v>0</v>
      </c>
      <c r="BK110" s="51"/>
      <c r="BL110" s="51">
        <v>99</v>
      </c>
      <c r="BW110" s="51">
        <v>12</v>
      </c>
      <c r="BX110" s="3" t="s">
        <v>322</v>
      </c>
    </row>
    <row r="111" spans="1:76">
      <c r="A111" s="47" t="s">
        <v>4</v>
      </c>
      <c r="B111" s="48" t="s">
        <v>324</v>
      </c>
      <c r="C111" s="150" t="s">
        <v>325</v>
      </c>
      <c r="D111" s="151"/>
      <c r="E111" s="49" t="s">
        <v>79</v>
      </c>
      <c r="F111" s="49" t="s">
        <v>79</v>
      </c>
      <c r="G111" s="50" t="s">
        <v>79</v>
      </c>
      <c r="H111" s="28">
        <f>SUM(H112:H122)</f>
        <v>0</v>
      </c>
      <c r="J111" s="41"/>
      <c r="AI111" s="35" t="s">
        <v>4</v>
      </c>
      <c r="AS111" s="28">
        <f>SUM(AJ112:AJ122)</f>
        <v>0</v>
      </c>
      <c r="AT111" s="28">
        <f>SUM(AK112:AK122)</f>
        <v>0</v>
      </c>
      <c r="AU111" s="28">
        <f>SUM(AL112:AL122)</f>
        <v>0</v>
      </c>
    </row>
    <row r="112" spans="1:76">
      <c r="A112" s="1" t="s">
        <v>326</v>
      </c>
      <c r="B112" s="2" t="s">
        <v>327</v>
      </c>
      <c r="C112" s="75" t="s">
        <v>328</v>
      </c>
      <c r="D112" s="70"/>
      <c r="E112" s="2" t="s">
        <v>114</v>
      </c>
      <c r="F112" s="51">
        <v>11.97</v>
      </c>
      <c r="G112" s="52">
        <v>0</v>
      </c>
      <c r="H112" s="51">
        <f>F112*G112</f>
        <v>0</v>
      </c>
      <c r="J112" s="41"/>
      <c r="Z112" s="51">
        <f>IF(AQ112="5",BJ112,0)</f>
        <v>0</v>
      </c>
      <c r="AB112" s="51">
        <f>IF(AQ112="1",BH112,0)</f>
        <v>0</v>
      </c>
      <c r="AC112" s="51">
        <f>IF(AQ112="1",BI112,0)</f>
        <v>0</v>
      </c>
      <c r="AD112" s="51">
        <f>IF(AQ112="7",BH112,0)</f>
        <v>0</v>
      </c>
      <c r="AE112" s="51">
        <f>IF(AQ112="7",BI112,0)</f>
        <v>0</v>
      </c>
      <c r="AF112" s="51">
        <f>IF(AQ112="2",BH112,0)</f>
        <v>0</v>
      </c>
      <c r="AG112" s="51">
        <f>IF(AQ112="2",BI112,0)</f>
        <v>0</v>
      </c>
      <c r="AH112" s="51">
        <f>IF(AQ112="0",BJ112,0)</f>
        <v>0</v>
      </c>
      <c r="AI112" s="35" t="s">
        <v>4</v>
      </c>
      <c r="AJ112" s="51">
        <f>IF(AN112=0,H112,0)</f>
        <v>0</v>
      </c>
      <c r="AK112" s="51">
        <f>IF(AN112=12,H112,0)</f>
        <v>0</v>
      </c>
      <c r="AL112" s="51">
        <f>IF(AN112=21,H112,0)</f>
        <v>0</v>
      </c>
      <c r="AN112" s="51">
        <v>12</v>
      </c>
      <c r="AO112" s="51">
        <f>G112*0.338871894</f>
        <v>0</v>
      </c>
      <c r="AP112" s="51">
        <f>G112*(1-0.338871894)</f>
        <v>0</v>
      </c>
      <c r="AQ112" s="53" t="s">
        <v>151</v>
      </c>
      <c r="AV112" s="51">
        <f>AW112+AX112</f>
        <v>0</v>
      </c>
      <c r="AW112" s="51">
        <f>F112*AO112</f>
        <v>0</v>
      </c>
      <c r="AX112" s="51">
        <f>F112*AP112</f>
        <v>0</v>
      </c>
      <c r="AY112" s="53" t="s">
        <v>329</v>
      </c>
      <c r="AZ112" s="53" t="s">
        <v>330</v>
      </c>
      <c r="BA112" s="35" t="s">
        <v>117</v>
      </c>
      <c r="BC112" s="51">
        <f>AW112+AX112</f>
        <v>0</v>
      </c>
      <c r="BD112" s="51">
        <f>G112/(100-BE112)*100</f>
        <v>0</v>
      </c>
      <c r="BE112" s="51">
        <v>0</v>
      </c>
      <c r="BF112" s="51">
        <f>112</f>
        <v>112</v>
      </c>
      <c r="BH112" s="51">
        <f>F112*AO112</f>
        <v>0</v>
      </c>
      <c r="BI112" s="51">
        <f>F112*AP112</f>
        <v>0</v>
      </c>
      <c r="BJ112" s="51">
        <f>F112*G112</f>
        <v>0</v>
      </c>
      <c r="BK112" s="51"/>
      <c r="BL112" s="51">
        <v>711</v>
      </c>
      <c r="BW112" s="51">
        <v>12</v>
      </c>
      <c r="BX112" s="3" t="s">
        <v>328</v>
      </c>
    </row>
    <row r="113" spans="1:76">
      <c r="A113" s="1" t="s">
        <v>331</v>
      </c>
      <c r="B113" s="2" t="s">
        <v>332</v>
      </c>
      <c r="C113" s="75" t="s">
        <v>333</v>
      </c>
      <c r="D113" s="70"/>
      <c r="E113" s="2" t="s">
        <v>114</v>
      </c>
      <c r="F113" s="51">
        <v>11.94</v>
      </c>
      <c r="G113" s="52">
        <v>0</v>
      </c>
      <c r="H113" s="51">
        <f>F113*G113</f>
        <v>0</v>
      </c>
      <c r="J113" s="41"/>
      <c r="Z113" s="51">
        <f>IF(AQ113="5",BJ113,0)</f>
        <v>0</v>
      </c>
      <c r="AB113" s="51">
        <f>IF(AQ113="1",BH113,0)</f>
        <v>0</v>
      </c>
      <c r="AC113" s="51">
        <f>IF(AQ113="1",BI113,0)</f>
        <v>0</v>
      </c>
      <c r="AD113" s="51">
        <f>IF(AQ113="7",BH113,0)</f>
        <v>0</v>
      </c>
      <c r="AE113" s="51">
        <f>IF(AQ113="7",BI113,0)</f>
        <v>0</v>
      </c>
      <c r="AF113" s="51">
        <f>IF(AQ113="2",BH113,0)</f>
        <v>0</v>
      </c>
      <c r="AG113" s="51">
        <f>IF(AQ113="2",BI113,0)</f>
        <v>0</v>
      </c>
      <c r="AH113" s="51">
        <f>IF(AQ113="0",BJ113,0)</f>
        <v>0</v>
      </c>
      <c r="AI113" s="35" t="s">
        <v>4</v>
      </c>
      <c r="AJ113" s="51">
        <f>IF(AN113=0,H113,0)</f>
        <v>0</v>
      </c>
      <c r="AK113" s="51">
        <f>IF(AN113=12,H113,0)</f>
        <v>0</v>
      </c>
      <c r="AL113" s="51">
        <f>IF(AN113=21,H113,0)</f>
        <v>0</v>
      </c>
      <c r="AN113" s="51">
        <v>12</v>
      </c>
      <c r="AO113" s="51">
        <f>G113*0.661562021</f>
        <v>0</v>
      </c>
      <c r="AP113" s="51">
        <f>G113*(1-0.661562021)</f>
        <v>0</v>
      </c>
      <c r="AQ113" s="53" t="s">
        <v>151</v>
      </c>
      <c r="AV113" s="51">
        <f>AW113+AX113</f>
        <v>0</v>
      </c>
      <c r="AW113" s="51">
        <f>F113*AO113</f>
        <v>0</v>
      </c>
      <c r="AX113" s="51">
        <f>F113*AP113</f>
        <v>0</v>
      </c>
      <c r="AY113" s="53" t="s">
        <v>329</v>
      </c>
      <c r="AZ113" s="53" t="s">
        <v>330</v>
      </c>
      <c r="BA113" s="35" t="s">
        <v>117</v>
      </c>
      <c r="BC113" s="51">
        <f>AW113+AX113</f>
        <v>0</v>
      </c>
      <c r="BD113" s="51">
        <f>G113/(100-BE113)*100</f>
        <v>0</v>
      </c>
      <c r="BE113" s="51">
        <v>0</v>
      </c>
      <c r="BF113" s="51">
        <f>113</f>
        <v>113</v>
      </c>
      <c r="BH113" s="51">
        <f>F113*AO113</f>
        <v>0</v>
      </c>
      <c r="BI113" s="51">
        <f>F113*AP113</f>
        <v>0</v>
      </c>
      <c r="BJ113" s="51">
        <f>F113*G113</f>
        <v>0</v>
      </c>
      <c r="BK113" s="51"/>
      <c r="BL113" s="51">
        <v>711</v>
      </c>
      <c r="BW113" s="51">
        <v>12</v>
      </c>
      <c r="BX113" s="3" t="s">
        <v>333</v>
      </c>
    </row>
    <row r="114" spans="1:76" ht="13.5" customHeight="1">
      <c r="A114" s="54"/>
      <c r="B114" s="58" t="s">
        <v>131</v>
      </c>
      <c r="C114" s="152" t="s">
        <v>334</v>
      </c>
      <c r="D114" s="153"/>
      <c r="E114" s="153"/>
      <c r="F114" s="153"/>
      <c r="G114" s="154"/>
      <c r="H114" s="153"/>
      <c r="I114" s="153"/>
      <c r="J114" s="155"/>
    </row>
    <row r="115" spans="1:76">
      <c r="A115" s="54"/>
      <c r="C115" s="55" t="s">
        <v>273</v>
      </c>
      <c r="D115" s="56" t="s">
        <v>335</v>
      </c>
      <c r="F115" s="57">
        <v>3.57</v>
      </c>
      <c r="J115" s="41"/>
    </row>
    <row r="116" spans="1:76">
      <c r="A116" s="54"/>
      <c r="C116" s="55" t="s">
        <v>336</v>
      </c>
      <c r="D116" s="56" t="s">
        <v>337</v>
      </c>
      <c r="F116" s="57">
        <v>2.0699999999999998</v>
      </c>
      <c r="J116" s="41"/>
    </row>
    <row r="117" spans="1:76">
      <c r="A117" s="54"/>
      <c r="C117" s="55" t="s">
        <v>338</v>
      </c>
      <c r="D117" s="56" t="s">
        <v>339</v>
      </c>
      <c r="F117" s="57">
        <v>6.3</v>
      </c>
      <c r="J117" s="41"/>
    </row>
    <row r="118" spans="1:76">
      <c r="A118" s="1" t="s">
        <v>340</v>
      </c>
      <c r="B118" s="2" t="s">
        <v>341</v>
      </c>
      <c r="C118" s="75" t="s">
        <v>342</v>
      </c>
      <c r="D118" s="70"/>
      <c r="E118" s="2" t="s">
        <v>136</v>
      </c>
      <c r="F118" s="51">
        <v>11.1</v>
      </c>
      <c r="G118" s="52">
        <v>0</v>
      </c>
      <c r="H118" s="51">
        <f>F118*G118</f>
        <v>0</v>
      </c>
      <c r="J118" s="41"/>
      <c r="Z118" s="51">
        <f>IF(AQ118="5",BJ118,0)</f>
        <v>0</v>
      </c>
      <c r="AB118" s="51">
        <f>IF(AQ118="1",BH118,0)</f>
        <v>0</v>
      </c>
      <c r="AC118" s="51">
        <f>IF(AQ118="1",BI118,0)</f>
        <v>0</v>
      </c>
      <c r="AD118" s="51">
        <f>IF(AQ118="7",BH118,0)</f>
        <v>0</v>
      </c>
      <c r="AE118" s="51">
        <f>IF(AQ118="7",BI118,0)</f>
        <v>0</v>
      </c>
      <c r="AF118" s="51">
        <f>IF(AQ118="2",BH118,0)</f>
        <v>0</v>
      </c>
      <c r="AG118" s="51">
        <f>IF(AQ118="2",BI118,0)</f>
        <v>0</v>
      </c>
      <c r="AH118" s="51">
        <f>IF(AQ118="0",BJ118,0)</f>
        <v>0</v>
      </c>
      <c r="AI118" s="35" t="s">
        <v>4</v>
      </c>
      <c r="AJ118" s="51">
        <f>IF(AN118=0,H118,0)</f>
        <v>0</v>
      </c>
      <c r="AK118" s="51">
        <f>IF(AN118=12,H118,0)</f>
        <v>0</v>
      </c>
      <c r="AL118" s="51">
        <f>IF(AN118=21,H118,0)</f>
        <v>0</v>
      </c>
      <c r="AN118" s="51">
        <v>12</v>
      </c>
      <c r="AO118" s="51">
        <f>G118*0.688965517</f>
        <v>0</v>
      </c>
      <c r="AP118" s="51">
        <f>G118*(1-0.688965517)</f>
        <v>0</v>
      </c>
      <c r="AQ118" s="53" t="s">
        <v>151</v>
      </c>
      <c r="AV118" s="51">
        <f>AW118+AX118</f>
        <v>0</v>
      </c>
      <c r="AW118" s="51">
        <f>F118*AO118</f>
        <v>0</v>
      </c>
      <c r="AX118" s="51">
        <f>F118*AP118</f>
        <v>0</v>
      </c>
      <c r="AY118" s="53" t="s">
        <v>329</v>
      </c>
      <c r="AZ118" s="53" t="s">
        <v>330</v>
      </c>
      <c r="BA118" s="35" t="s">
        <v>117</v>
      </c>
      <c r="BC118" s="51">
        <f>AW118+AX118</f>
        <v>0</v>
      </c>
      <c r="BD118" s="51">
        <f>G118/(100-BE118)*100</f>
        <v>0</v>
      </c>
      <c r="BE118" s="51">
        <v>0</v>
      </c>
      <c r="BF118" s="51">
        <f>118</f>
        <v>118</v>
      </c>
      <c r="BH118" s="51">
        <f>F118*AO118</f>
        <v>0</v>
      </c>
      <c r="BI118" s="51">
        <f>F118*AP118</f>
        <v>0</v>
      </c>
      <c r="BJ118" s="51">
        <f>F118*G118</f>
        <v>0</v>
      </c>
      <c r="BK118" s="51"/>
      <c r="BL118" s="51">
        <v>711</v>
      </c>
      <c r="BW118" s="51">
        <v>12</v>
      </c>
      <c r="BX118" s="3" t="s">
        <v>342</v>
      </c>
    </row>
    <row r="119" spans="1:76" ht="13.5" customHeight="1">
      <c r="A119" s="54"/>
      <c r="B119" s="58" t="s">
        <v>131</v>
      </c>
      <c r="C119" s="152" t="s">
        <v>343</v>
      </c>
      <c r="D119" s="153"/>
      <c r="E119" s="153"/>
      <c r="F119" s="153"/>
      <c r="G119" s="154"/>
      <c r="H119" s="153"/>
      <c r="I119" s="153"/>
      <c r="J119" s="155"/>
    </row>
    <row r="120" spans="1:76">
      <c r="A120" s="54"/>
      <c r="C120" s="55" t="s">
        <v>344</v>
      </c>
      <c r="D120" s="56" t="s">
        <v>345</v>
      </c>
      <c r="F120" s="57">
        <v>6.9</v>
      </c>
      <c r="J120" s="41"/>
    </row>
    <row r="121" spans="1:76">
      <c r="A121" s="54"/>
      <c r="C121" s="55" t="s">
        <v>346</v>
      </c>
      <c r="D121" s="56" t="s">
        <v>347</v>
      </c>
      <c r="F121" s="57">
        <v>4.2</v>
      </c>
      <c r="J121" s="41"/>
    </row>
    <row r="122" spans="1:76">
      <c r="A122" s="1" t="s">
        <v>348</v>
      </c>
      <c r="B122" s="2" t="s">
        <v>349</v>
      </c>
      <c r="C122" s="75" t="s">
        <v>350</v>
      </c>
      <c r="D122" s="70"/>
      <c r="E122" s="2" t="s">
        <v>288</v>
      </c>
      <c r="F122" s="51">
        <v>4.5999999999999999E-2</v>
      </c>
      <c r="G122" s="52">
        <v>0</v>
      </c>
      <c r="H122" s="51">
        <f>F122*G122</f>
        <v>0</v>
      </c>
      <c r="J122" s="41"/>
      <c r="Z122" s="51">
        <f>IF(AQ122="5",BJ122,0)</f>
        <v>0</v>
      </c>
      <c r="AB122" s="51">
        <f>IF(AQ122="1",BH122,0)</f>
        <v>0</v>
      </c>
      <c r="AC122" s="51">
        <f>IF(AQ122="1",BI122,0)</f>
        <v>0</v>
      </c>
      <c r="AD122" s="51">
        <f>IF(AQ122="7",BH122,0)</f>
        <v>0</v>
      </c>
      <c r="AE122" s="51">
        <f>IF(AQ122="7",BI122,0)</f>
        <v>0</v>
      </c>
      <c r="AF122" s="51">
        <f>IF(AQ122="2",BH122,0)</f>
        <v>0</v>
      </c>
      <c r="AG122" s="51">
        <f>IF(AQ122="2",BI122,0)</f>
        <v>0</v>
      </c>
      <c r="AH122" s="51">
        <f>IF(AQ122="0",BJ122,0)</f>
        <v>0</v>
      </c>
      <c r="AI122" s="35" t="s">
        <v>4</v>
      </c>
      <c r="AJ122" s="51">
        <f>IF(AN122=0,H122,0)</f>
        <v>0</v>
      </c>
      <c r="AK122" s="51">
        <f>IF(AN122=12,H122,0)</f>
        <v>0</v>
      </c>
      <c r="AL122" s="51">
        <f>IF(AN122=21,H122,0)</f>
        <v>0</v>
      </c>
      <c r="AN122" s="51">
        <v>12</v>
      </c>
      <c r="AO122" s="51">
        <f>G122*0</f>
        <v>0</v>
      </c>
      <c r="AP122" s="51">
        <f>G122*(1-0)</f>
        <v>0</v>
      </c>
      <c r="AQ122" s="53" t="s">
        <v>139</v>
      </c>
      <c r="AV122" s="51">
        <f>AW122+AX122</f>
        <v>0</v>
      </c>
      <c r="AW122" s="51">
        <f>F122*AO122</f>
        <v>0</v>
      </c>
      <c r="AX122" s="51">
        <f>F122*AP122</f>
        <v>0</v>
      </c>
      <c r="AY122" s="53" t="s">
        <v>329</v>
      </c>
      <c r="AZ122" s="53" t="s">
        <v>330</v>
      </c>
      <c r="BA122" s="35" t="s">
        <v>117</v>
      </c>
      <c r="BC122" s="51">
        <f>AW122+AX122</f>
        <v>0</v>
      </c>
      <c r="BD122" s="51">
        <f>G122/(100-BE122)*100</f>
        <v>0</v>
      </c>
      <c r="BE122" s="51">
        <v>0</v>
      </c>
      <c r="BF122" s="51">
        <f>122</f>
        <v>122</v>
      </c>
      <c r="BH122" s="51">
        <f>F122*AO122</f>
        <v>0</v>
      </c>
      <c r="BI122" s="51">
        <f>F122*AP122</f>
        <v>0</v>
      </c>
      <c r="BJ122" s="51">
        <f>F122*G122</f>
        <v>0</v>
      </c>
      <c r="BK122" s="51"/>
      <c r="BL122" s="51">
        <v>711</v>
      </c>
      <c r="BW122" s="51">
        <v>12</v>
      </c>
      <c r="BX122" s="3" t="s">
        <v>350</v>
      </c>
    </row>
    <row r="123" spans="1:76">
      <c r="A123" s="47" t="s">
        <v>4</v>
      </c>
      <c r="B123" s="48" t="s">
        <v>351</v>
      </c>
      <c r="C123" s="150" t="s">
        <v>352</v>
      </c>
      <c r="D123" s="151"/>
      <c r="E123" s="49" t="s">
        <v>79</v>
      </c>
      <c r="F123" s="49" t="s">
        <v>79</v>
      </c>
      <c r="G123" s="50" t="s">
        <v>79</v>
      </c>
      <c r="H123" s="28">
        <f>SUM(H124:H133)</f>
        <v>0</v>
      </c>
      <c r="J123" s="41"/>
      <c r="AI123" s="35" t="s">
        <v>4</v>
      </c>
      <c r="AS123" s="28">
        <f>SUM(AJ124:AJ133)</f>
        <v>0</v>
      </c>
      <c r="AT123" s="28">
        <f>SUM(AK124:AK133)</f>
        <v>0</v>
      </c>
      <c r="AU123" s="28">
        <f>SUM(AL124:AL133)</f>
        <v>0</v>
      </c>
    </row>
    <row r="124" spans="1:76" ht="25.5">
      <c r="A124" s="1" t="s">
        <v>353</v>
      </c>
      <c r="B124" s="2" t="s">
        <v>354</v>
      </c>
      <c r="C124" s="75" t="s">
        <v>355</v>
      </c>
      <c r="D124" s="70"/>
      <c r="E124" s="2" t="s">
        <v>130</v>
      </c>
      <c r="F124" s="51">
        <v>1</v>
      </c>
      <c r="G124" s="52">
        <v>0</v>
      </c>
      <c r="H124" s="51">
        <f t="shared" ref="H124:H133" si="0">F124*G124</f>
        <v>0</v>
      </c>
      <c r="J124" s="41"/>
      <c r="Z124" s="51">
        <f t="shared" ref="Z124:Z133" si="1">IF(AQ124="5",BJ124,0)</f>
        <v>0</v>
      </c>
      <c r="AB124" s="51">
        <f t="shared" ref="AB124:AB133" si="2">IF(AQ124="1",BH124,0)</f>
        <v>0</v>
      </c>
      <c r="AC124" s="51">
        <f t="shared" ref="AC124:AC133" si="3">IF(AQ124="1",BI124,0)</f>
        <v>0</v>
      </c>
      <c r="AD124" s="51">
        <f t="shared" ref="AD124:AD133" si="4">IF(AQ124="7",BH124,0)</f>
        <v>0</v>
      </c>
      <c r="AE124" s="51">
        <f t="shared" ref="AE124:AE133" si="5">IF(AQ124="7",BI124,0)</f>
        <v>0</v>
      </c>
      <c r="AF124" s="51">
        <f t="shared" ref="AF124:AF133" si="6">IF(AQ124="2",BH124,0)</f>
        <v>0</v>
      </c>
      <c r="AG124" s="51">
        <f t="shared" ref="AG124:AG133" si="7">IF(AQ124="2",BI124,0)</f>
        <v>0</v>
      </c>
      <c r="AH124" s="51">
        <f t="shared" ref="AH124:AH133" si="8">IF(AQ124="0",BJ124,0)</f>
        <v>0</v>
      </c>
      <c r="AI124" s="35" t="s">
        <v>4</v>
      </c>
      <c r="AJ124" s="51">
        <f t="shared" ref="AJ124:AJ133" si="9">IF(AN124=0,H124,0)</f>
        <v>0</v>
      </c>
      <c r="AK124" s="51">
        <f t="shared" ref="AK124:AK133" si="10">IF(AN124=12,H124,0)</f>
        <v>0</v>
      </c>
      <c r="AL124" s="51">
        <f t="shared" ref="AL124:AL133" si="11">IF(AN124=21,H124,0)</f>
        <v>0</v>
      </c>
      <c r="AN124" s="51">
        <v>12</v>
      </c>
      <c r="AO124" s="51">
        <f>G124*0.809885787</f>
        <v>0</v>
      </c>
      <c r="AP124" s="51">
        <f>G124*(1-0.809885787)</f>
        <v>0</v>
      </c>
      <c r="AQ124" s="53" t="s">
        <v>151</v>
      </c>
      <c r="AV124" s="51">
        <f t="shared" ref="AV124:AV133" si="12">AW124+AX124</f>
        <v>0</v>
      </c>
      <c r="AW124" s="51">
        <f t="shared" ref="AW124:AW133" si="13">F124*AO124</f>
        <v>0</v>
      </c>
      <c r="AX124" s="51">
        <f t="shared" ref="AX124:AX133" si="14">F124*AP124</f>
        <v>0</v>
      </c>
      <c r="AY124" s="53" t="s">
        <v>356</v>
      </c>
      <c r="AZ124" s="53" t="s">
        <v>357</v>
      </c>
      <c r="BA124" s="35" t="s">
        <v>117</v>
      </c>
      <c r="BC124" s="51">
        <f t="shared" ref="BC124:BC133" si="15">AW124+AX124</f>
        <v>0</v>
      </c>
      <c r="BD124" s="51">
        <f t="shared" ref="BD124:BD133" si="16">G124/(100-BE124)*100</f>
        <v>0</v>
      </c>
      <c r="BE124" s="51">
        <v>0</v>
      </c>
      <c r="BF124" s="51">
        <f>124</f>
        <v>124</v>
      </c>
      <c r="BH124" s="51">
        <f t="shared" ref="BH124:BH133" si="17">F124*AO124</f>
        <v>0</v>
      </c>
      <c r="BI124" s="51">
        <f t="shared" ref="BI124:BI133" si="18">F124*AP124</f>
        <v>0</v>
      </c>
      <c r="BJ124" s="51">
        <f t="shared" ref="BJ124:BJ133" si="19">F124*G124</f>
        <v>0</v>
      </c>
      <c r="BK124" s="51"/>
      <c r="BL124" s="51">
        <v>721</v>
      </c>
      <c r="BW124" s="51">
        <v>12</v>
      </c>
      <c r="BX124" s="3" t="s">
        <v>355</v>
      </c>
    </row>
    <row r="125" spans="1:76">
      <c r="A125" s="1" t="s">
        <v>358</v>
      </c>
      <c r="B125" s="2" t="s">
        <v>359</v>
      </c>
      <c r="C125" s="75" t="s">
        <v>360</v>
      </c>
      <c r="D125" s="70"/>
      <c r="E125" s="2" t="s">
        <v>136</v>
      </c>
      <c r="F125" s="51">
        <v>6.1</v>
      </c>
      <c r="G125" s="52">
        <v>0</v>
      </c>
      <c r="H125" s="51">
        <f t="shared" si="0"/>
        <v>0</v>
      </c>
      <c r="J125" s="41"/>
      <c r="Z125" s="51">
        <f t="shared" si="1"/>
        <v>0</v>
      </c>
      <c r="AB125" s="51">
        <f t="shared" si="2"/>
        <v>0</v>
      </c>
      <c r="AC125" s="51">
        <f t="shared" si="3"/>
        <v>0</v>
      </c>
      <c r="AD125" s="51">
        <f t="shared" si="4"/>
        <v>0</v>
      </c>
      <c r="AE125" s="51">
        <f t="shared" si="5"/>
        <v>0</v>
      </c>
      <c r="AF125" s="51">
        <f t="shared" si="6"/>
        <v>0</v>
      </c>
      <c r="AG125" s="51">
        <f t="shared" si="7"/>
        <v>0</v>
      </c>
      <c r="AH125" s="51">
        <f t="shared" si="8"/>
        <v>0</v>
      </c>
      <c r="AI125" s="35" t="s">
        <v>4</v>
      </c>
      <c r="AJ125" s="51">
        <f t="shared" si="9"/>
        <v>0</v>
      </c>
      <c r="AK125" s="51">
        <f t="shared" si="10"/>
        <v>0</v>
      </c>
      <c r="AL125" s="51">
        <f t="shared" si="11"/>
        <v>0</v>
      </c>
      <c r="AN125" s="51">
        <v>12</v>
      </c>
      <c r="AO125" s="51">
        <f>G125*0.34058672</f>
        <v>0</v>
      </c>
      <c r="AP125" s="51">
        <f>G125*(1-0.34058672)</f>
        <v>0</v>
      </c>
      <c r="AQ125" s="53" t="s">
        <v>151</v>
      </c>
      <c r="AV125" s="51">
        <f t="shared" si="12"/>
        <v>0</v>
      </c>
      <c r="AW125" s="51">
        <f t="shared" si="13"/>
        <v>0</v>
      </c>
      <c r="AX125" s="51">
        <f t="shared" si="14"/>
        <v>0</v>
      </c>
      <c r="AY125" s="53" t="s">
        <v>356</v>
      </c>
      <c r="AZ125" s="53" t="s">
        <v>357</v>
      </c>
      <c r="BA125" s="35" t="s">
        <v>117</v>
      </c>
      <c r="BC125" s="51">
        <f t="shared" si="15"/>
        <v>0</v>
      </c>
      <c r="BD125" s="51">
        <f t="shared" si="16"/>
        <v>0</v>
      </c>
      <c r="BE125" s="51">
        <v>0</v>
      </c>
      <c r="BF125" s="51">
        <f>125</f>
        <v>125</v>
      </c>
      <c r="BH125" s="51">
        <f t="shared" si="17"/>
        <v>0</v>
      </c>
      <c r="BI125" s="51">
        <f t="shared" si="18"/>
        <v>0</v>
      </c>
      <c r="BJ125" s="51">
        <f t="shared" si="19"/>
        <v>0</v>
      </c>
      <c r="BK125" s="51"/>
      <c r="BL125" s="51">
        <v>721</v>
      </c>
      <c r="BW125" s="51">
        <v>12</v>
      </c>
      <c r="BX125" s="3" t="s">
        <v>360</v>
      </c>
    </row>
    <row r="126" spans="1:76">
      <c r="A126" s="1" t="s">
        <v>361</v>
      </c>
      <c r="B126" s="2" t="s">
        <v>362</v>
      </c>
      <c r="C126" s="75" t="s">
        <v>363</v>
      </c>
      <c r="D126" s="70"/>
      <c r="E126" s="2" t="s">
        <v>136</v>
      </c>
      <c r="F126" s="51">
        <v>0.5</v>
      </c>
      <c r="G126" s="52">
        <v>0</v>
      </c>
      <c r="H126" s="51">
        <f t="shared" si="0"/>
        <v>0</v>
      </c>
      <c r="J126" s="41"/>
      <c r="Z126" s="51">
        <f t="shared" si="1"/>
        <v>0</v>
      </c>
      <c r="AB126" s="51">
        <f t="shared" si="2"/>
        <v>0</v>
      </c>
      <c r="AC126" s="51">
        <f t="shared" si="3"/>
        <v>0</v>
      </c>
      <c r="AD126" s="51">
        <f t="shared" si="4"/>
        <v>0</v>
      </c>
      <c r="AE126" s="51">
        <f t="shared" si="5"/>
        <v>0</v>
      </c>
      <c r="AF126" s="51">
        <f t="shared" si="6"/>
        <v>0</v>
      </c>
      <c r="AG126" s="51">
        <f t="shared" si="7"/>
        <v>0</v>
      </c>
      <c r="AH126" s="51">
        <f t="shared" si="8"/>
        <v>0</v>
      </c>
      <c r="AI126" s="35" t="s">
        <v>4</v>
      </c>
      <c r="AJ126" s="51">
        <f t="shared" si="9"/>
        <v>0</v>
      </c>
      <c r="AK126" s="51">
        <f t="shared" si="10"/>
        <v>0</v>
      </c>
      <c r="AL126" s="51">
        <f t="shared" si="11"/>
        <v>0</v>
      </c>
      <c r="AN126" s="51">
        <v>12</v>
      </c>
      <c r="AO126" s="51">
        <f>G126*0.317436677</f>
        <v>0</v>
      </c>
      <c r="AP126" s="51">
        <f>G126*(1-0.317436677)</f>
        <v>0</v>
      </c>
      <c r="AQ126" s="53" t="s">
        <v>151</v>
      </c>
      <c r="AV126" s="51">
        <f t="shared" si="12"/>
        <v>0</v>
      </c>
      <c r="AW126" s="51">
        <f t="shared" si="13"/>
        <v>0</v>
      </c>
      <c r="AX126" s="51">
        <f t="shared" si="14"/>
        <v>0</v>
      </c>
      <c r="AY126" s="53" t="s">
        <v>356</v>
      </c>
      <c r="AZ126" s="53" t="s">
        <v>357</v>
      </c>
      <c r="BA126" s="35" t="s">
        <v>117</v>
      </c>
      <c r="BC126" s="51">
        <f t="shared" si="15"/>
        <v>0</v>
      </c>
      <c r="BD126" s="51">
        <f t="shared" si="16"/>
        <v>0</v>
      </c>
      <c r="BE126" s="51">
        <v>0</v>
      </c>
      <c r="BF126" s="51">
        <f>126</f>
        <v>126</v>
      </c>
      <c r="BH126" s="51">
        <f t="shared" si="17"/>
        <v>0</v>
      </c>
      <c r="BI126" s="51">
        <f t="shared" si="18"/>
        <v>0</v>
      </c>
      <c r="BJ126" s="51">
        <f t="shared" si="19"/>
        <v>0</v>
      </c>
      <c r="BK126" s="51"/>
      <c r="BL126" s="51">
        <v>721</v>
      </c>
      <c r="BW126" s="51">
        <v>12</v>
      </c>
      <c r="BX126" s="3" t="s">
        <v>363</v>
      </c>
    </row>
    <row r="127" spans="1:76">
      <c r="A127" s="1" t="s">
        <v>364</v>
      </c>
      <c r="B127" s="2" t="s">
        <v>365</v>
      </c>
      <c r="C127" s="75" t="s">
        <v>366</v>
      </c>
      <c r="D127" s="70"/>
      <c r="E127" s="2" t="s">
        <v>136</v>
      </c>
      <c r="F127" s="51">
        <v>0.2</v>
      </c>
      <c r="G127" s="52">
        <v>0</v>
      </c>
      <c r="H127" s="51">
        <f t="shared" si="0"/>
        <v>0</v>
      </c>
      <c r="J127" s="41"/>
      <c r="Z127" s="51">
        <f t="shared" si="1"/>
        <v>0</v>
      </c>
      <c r="AB127" s="51">
        <f t="shared" si="2"/>
        <v>0</v>
      </c>
      <c r="AC127" s="51">
        <f t="shared" si="3"/>
        <v>0</v>
      </c>
      <c r="AD127" s="51">
        <f t="shared" si="4"/>
        <v>0</v>
      </c>
      <c r="AE127" s="51">
        <f t="shared" si="5"/>
        <v>0</v>
      </c>
      <c r="AF127" s="51">
        <f t="shared" si="6"/>
        <v>0</v>
      </c>
      <c r="AG127" s="51">
        <f t="shared" si="7"/>
        <v>0</v>
      </c>
      <c r="AH127" s="51">
        <f t="shared" si="8"/>
        <v>0</v>
      </c>
      <c r="AI127" s="35" t="s">
        <v>4</v>
      </c>
      <c r="AJ127" s="51">
        <f t="shared" si="9"/>
        <v>0</v>
      </c>
      <c r="AK127" s="51">
        <f t="shared" si="10"/>
        <v>0</v>
      </c>
      <c r="AL127" s="51">
        <f t="shared" si="11"/>
        <v>0</v>
      </c>
      <c r="AN127" s="51">
        <v>12</v>
      </c>
      <c r="AO127" s="51">
        <f>G127*0.431778607</f>
        <v>0</v>
      </c>
      <c r="AP127" s="51">
        <f>G127*(1-0.431778607)</f>
        <v>0</v>
      </c>
      <c r="AQ127" s="53" t="s">
        <v>151</v>
      </c>
      <c r="AV127" s="51">
        <f t="shared" si="12"/>
        <v>0</v>
      </c>
      <c r="AW127" s="51">
        <f t="shared" si="13"/>
        <v>0</v>
      </c>
      <c r="AX127" s="51">
        <f t="shared" si="14"/>
        <v>0</v>
      </c>
      <c r="AY127" s="53" t="s">
        <v>356</v>
      </c>
      <c r="AZ127" s="53" t="s">
        <v>357</v>
      </c>
      <c r="BA127" s="35" t="s">
        <v>117</v>
      </c>
      <c r="BC127" s="51">
        <f t="shared" si="15"/>
        <v>0</v>
      </c>
      <c r="BD127" s="51">
        <f t="shared" si="16"/>
        <v>0</v>
      </c>
      <c r="BE127" s="51">
        <v>0</v>
      </c>
      <c r="BF127" s="51">
        <f>127</f>
        <v>127</v>
      </c>
      <c r="BH127" s="51">
        <f t="shared" si="17"/>
        <v>0</v>
      </c>
      <c r="BI127" s="51">
        <f t="shared" si="18"/>
        <v>0</v>
      </c>
      <c r="BJ127" s="51">
        <f t="shared" si="19"/>
        <v>0</v>
      </c>
      <c r="BK127" s="51"/>
      <c r="BL127" s="51">
        <v>721</v>
      </c>
      <c r="BW127" s="51">
        <v>12</v>
      </c>
      <c r="BX127" s="3" t="s">
        <v>366</v>
      </c>
    </row>
    <row r="128" spans="1:76">
      <c r="A128" s="1" t="s">
        <v>367</v>
      </c>
      <c r="B128" s="2" t="s">
        <v>368</v>
      </c>
      <c r="C128" s="75" t="s">
        <v>369</v>
      </c>
      <c r="D128" s="70"/>
      <c r="E128" s="2" t="s">
        <v>130</v>
      </c>
      <c r="F128" s="51">
        <v>4</v>
      </c>
      <c r="G128" s="52">
        <v>0</v>
      </c>
      <c r="H128" s="51">
        <f t="shared" si="0"/>
        <v>0</v>
      </c>
      <c r="J128" s="41"/>
      <c r="Z128" s="51">
        <f t="shared" si="1"/>
        <v>0</v>
      </c>
      <c r="AB128" s="51">
        <f t="shared" si="2"/>
        <v>0</v>
      </c>
      <c r="AC128" s="51">
        <f t="shared" si="3"/>
        <v>0</v>
      </c>
      <c r="AD128" s="51">
        <f t="shared" si="4"/>
        <v>0</v>
      </c>
      <c r="AE128" s="51">
        <f t="shared" si="5"/>
        <v>0</v>
      </c>
      <c r="AF128" s="51">
        <f t="shared" si="6"/>
        <v>0</v>
      </c>
      <c r="AG128" s="51">
        <f t="shared" si="7"/>
        <v>0</v>
      </c>
      <c r="AH128" s="51">
        <f t="shared" si="8"/>
        <v>0</v>
      </c>
      <c r="AI128" s="35" t="s">
        <v>4</v>
      </c>
      <c r="AJ128" s="51">
        <f t="shared" si="9"/>
        <v>0</v>
      </c>
      <c r="AK128" s="51">
        <f t="shared" si="10"/>
        <v>0</v>
      </c>
      <c r="AL128" s="51">
        <f t="shared" si="11"/>
        <v>0</v>
      </c>
      <c r="AN128" s="51">
        <v>12</v>
      </c>
      <c r="AO128" s="51">
        <f>G128*0</f>
        <v>0</v>
      </c>
      <c r="AP128" s="51">
        <f>G128*(1-0)</f>
        <v>0</v>
      </c>
      <c r="AQ128" s="53" t="s">
        <v>151</v>
      </c>
      <c r="AV128" s="51">
        <f t="shared" si="12"/>
        <v>0</v>
      </c>
      <c r="AW128" s="51">
        <f t="shared" si="13"/>
        <v>0</v>
      </c>
      <c r="AX128" s="51">
        <f t="shared" si="14"/>
        <v>0</v>
      </c>
      <c r="AY128" s="53" t="s">
        <v>356</v>
      </c>
      <c r="AZ128" s="53" t="s">
        <v>357</v>
      </c>
      <c r="BA128" s="35" t="s">
        <v>117</v>
      </c>
      <c r="BC128" s="51">
        <f t="shared" si="15"/>
        <v>0</v>
      </c>
      <c r="BD128" s="51">
        <f t="shared" si="16"/>
        <v>0</v>
      </c>
      <c r="BE128" s="51">
        <v>0</v>
      </c>
      <c r="BF128" s="51">
        <f>128</f>
        <v>128</v>
      </c>
      <c r="BH128" s="51">
        <f t="shared" si="17"/>
        <v>0</v>
      </c>
      <c r="BI128" s="51">
        <f t="shared" si="18"/>
        <v>0</v>
      </c>
      <c r="BJ128" s="51">
        <f t="shared" si="19"/>
        <v>0</v>
      </c>
      <c r="BK128" s="51"/>
      <c r="BL128" s="51">
        <v>721</v>
      </c>
      <c r="BW128" s="51">
        <v>12</v>
      </c>
      <c r="BX128" s="3" t="s">
        <v>369</v>
      </c>
    </row>
    <row r="129" spans="1:76">
      <c r="A129" s="1" t="s">
        <v>370</v>
      </c>
      <c r="B129" s="2" t="s">
        <v>371</v>
      </c>
      <c r="C129" s="75" t="s">
        <v>372</v>
      </c>
      <c r="D129" s="70"/>
      <c r="E129" s="2" t="s">
        <v>130</v>
      </c>
      <c r="F129" s="51">
        <v>1</v>
      </c>
      <c r="G129" s="52">
        <v>0</v>
      </c>
      <c r="H129" s="51">
        <f t="shared" si="0"/>
        <v>0</v>
      </c>
      <c r="J129" s="41"/>
      <c r="Z129" s="51">
        <f t="shared" si="1"/>
        <v>0</v>
      </c>
      <c r="AB129" s="51">
        <f t="shared" si="2"/>
        <v>0</v>
      </c>
      <c r="AC129" s="51">
        <f t="shared" si="3"/>
        <v>0</v>
      </c>
      <c r="AD129" s="51">
        <f t="shared" si="4"/>
        <v>0</v>
      </c>
      <c r="AE129" s="51">
        <f t="shared" si="5"/>
        <v>0</v>
      </c>
      <c r="AF129" s="51">
        <f t="shared" si="6"/>
        <v>0</v>
      </c>
      <c r="AG129" s="51">
        <f t="shared" si="7"/>
        <v>0</v>
      </c>
      <c r="AH129" s="51">
        <f t="shared" si="8"/>
        <v>0</v>
      </c>
      <c r="AI129" s="35" t="s">
        <v>4</v>
      </c>
      <c r="AJ129" s="51">
        <f t="shared" si="9"/>
        <v>0</v>
      </c>
      <c r="AK129" s="51">
        <f t="shared" si="10"/>
        <v>0</v>
      </c>
      <c r="AL129" s="51">
        <f t="shared" si="11"/>
        <v>0</v>
      </c>
      <c r="AN129" s="51">
        <v>12</v>
      </c>
      <c r="AO129" s="51">
        <f>G129*0</f>
        <v>0</v>
      </c>
      <c r="AP129" s="51">
        <f>G129*(1-0)</f>
        <v>0</v>
      </c>
      <c r="AQ129" s="53" t="s">
        <v>151</v>
      </c>
      <c r="AV129" s="51">
        <f t="shared" si="12"/>
        <v>0</v>
      </c>
      <c r="AW129" s="51">
        <f t="shared" si="13"/>
        <v>0</v>
      </c>
      <c r="AX129" s="51">
        <f t="shared" si="14"/>
        <v>0</v>
      </c>
      <c r="AY129" s="53" t="s">
        <v>356</v>
      </c>
      <c r="AZ129" s="53" t="s">
        <v>357</v>
      </c>
      <c r="BA129" s="35" t="s">
        <v>117</v>
      </c>
      <c r="BC129" s="51">
        <f t="shared" si="15"/>
        <v>0</v>
      </c>
      <c r="BD129" s="51">
        <f t="shared" si="16"/>
        <v>0</v>
      </c>
      <c r="BE129" s="51">
        <v>0</v>
      </c>
      <c r="BF129" s="51">
        <f>129</f>
        <v>129</v>
      </c>
      <c r="BH129" s="51">
        <f t="shared" si="17"/>
        <v>0</v>
      </c>
      <c r="BI129" s="51">
        <f t="shared" si="18"/>
        <v>0</v>
      </c>
      <c r="BJ129" s="51">
        <f t="shared" si="19"/>
        <v>0</v>
      </c>
      <c r="BK129" s="51"/>
      <c r="BL129" s="51">
        <v>721</v>
      </c>
      <c r="BW129" s="51">
        <v>12</v>
      </c>
      <c r="BX129" s="3" t="s">
        <v>372</v>
      </c>
    </row>
    <row r="130" spans="1:76">
      <c r="A130" s="1" t="s">
        <v>373</v>
      </c>
      <c r="B130" s="2" t="s">
        <v>374</v>
      </c>
      <c r="C130" s="75" t="s">
        <v>375</v>
      </c>
      <c r="D130" s="70"/>
      <c r="E130" s="2" t="s">
        <v>136</v>
      </c>
      <c r="F130" s="51">
        <v>6.9</v>
      </c>
      <c r="G130" s="52">
        <v>0</v>
      </c>
      <c r="H130" s="51">
        <f t="shared" si="0"/>
        <v>0</v>
      </c>
      <c r="J130" s="41"/>
      <c r="Z130" s="51">
        <f t="shared" si="1"/>
        <v>0</v>
      </c>
      <c r="AB130" s="51">
        <f t="shared" si="2"/>
        <v>0</v>
      </c>
      <c r="AC130" s="51">
        <f t="shared" si="3"/>
        <v>0</v>
      </c>
      <c r="AD130" s="51">
        <f t="shared" si="4"/>
        <v>0</v>
      </c>
      <c r="AE130" s="51">
        <f t="shared" si="5"/>
        <v>0</v>
      </c>
      <c r="AF130" s="51">
        <f t="shared" si="6"/>
        <v>0</v>
      </c>
      <c r="AG130" s="51">
        <f t="shared" si="7"/>
        <v>0</v>
      </c>
      <c r="AH130" s="51">
        <f t="shared" si="8"/>
        <v>0</v>
      </c>
      <c r="AI130" s="35" t="s">
        <v>4</v>
      </c>
      <c r="AJ130" s="51">
        <f t="shared" si="9"/>
        <v>0</v>
      </c>
      <c r="AK130" s="51">
        <f t="shared" si="10"/>
        <v>0</v>
      </c>
      <c r="AL130" s="51">
        <f t="shared" si="11"/>
        <v>0</v>
      </c>
      <c r="AN130" s="51">
        <v>12</v>
      </c>
      <c r="AO130" s="51">
        <f>G130*0</f>
        <v>0</v>
      </c>
      <c r="AP130" s="51">
        <f>G130*(1-0)</f>
        <v>0</v>
      </c>
      <c r="AQ130" s="53" t="s">
        <v>120</v>
      </c>
      <c r="AV130" s="51">
        <f t="shared" si="12"/>
        <v>0</v>
      </c>
      <c r="AW130" s="51">
        <f t="shared" si="13"/>
        <v>0</v>
      </c>
      <c r="AX130" s="51">
        <f t="shared" si="14"/>
        <v>0</v>
      </c>
      <c r="AY130" s="53" t="s">
        <v>356</v>
      </c>
      <c r="AZ130" s="53" t="s">
        <v>357</v>
      </c>
      <c r="BA130" s="35" t="s">
        <v>117</v>
      </c>
      <c r="BC130" s="51">
        <f t="shared" si="15"/>
        <v>0</v>
      </c>
      <c r="BD130" s="51">
        <f t="shared" si="16"/>
        <v>0</v>
      </c>
      <c r="BE130" s="51">
        <v>0</v>
      </c>
      <c r="BF130" s="51">
        <f>130</f>
        <v>130</v>
      </c>
      <c r="BH130" s="51">
        <f t="shared" si="17"/>
        <v>0</v>
      </c>
      <c r="BI130" s="51">
        <f t="shared" si="18"/>
        <v>0</v>
      </c>
      <c r="BJ130" s="51">
        <f t="shared" si="19"/>
        <v>0</v>
      </c>
      <c r="BK130" s="51"/>
      <c r="BL130" s="51">
        <v>721</v>
      </c>
      <c r="BW130" s="51">
        <v>12</v>
      </c>
      <c r="BX130" s="3" t="s">
        <v>375</v>
      </c>
    </row>
    <row r="131" spans="1:76">
      <c r="A131" s="1" t="s">
        <v>376</v>
      </c>
      <c r="B131" s="2" t="s">
        <v>377</v>
      </c>
      <c r="C131" s="75" t="s">
        <v>378</v>
      </c>
      <c r="D131" s="70"/>
      <c r="E131" s="2" t="s">
        <v>136</v>
      </c>
      <c r="F131" s="51">
        <v>6.9</v>
      </c>
      <c r="G131" s="52">
        <v>0</v>
      </c>
      <c r="H131" s="51">
        <f t="shared" si="0"/>
        <v>0</v>
      </c>
      <c r="J131" s="41"/>
      <c r="Z131" s="51">
        <f t="shared" si="1"/>
        <v>0</v>
      </c>
      <c r="AB131" s="51">
        <f t="shared" si="2"/>
        <v>0</v>
      </c>
      <c r="AC131" s="51">
        <f t="shared" si="3"/>
        <v>0</v>
      </c>
      <c r="AD131" s="51">
        <f t="shared" si="4"/>
        <v>0</v>
      </c>
      <c r="AE131" s="51">
        <f t="shared" si="5"/>
        <v>0</v>
      </c>
      <c r="AF131" s="51">
        <f t="shared" si="6"/>
        <v>0</v>
      </c>
      <c r="AG131" s="51">
        <f t="shared" si="7"/>
        <v>0</v>
      </c>
      <c r="AH131" s="51">
        <f t="shared" si="8"/>
        <v>0</v>
      </c>
      <c r="AI131" s="35" t="s">
        <v>4</v>
      </c>
      <c r="AJ131" s="51">
        <f t="shared" si="9"/>
        <v>0</v>
      </c>
      <c r="AK131" s="51">
        <f t="shared" si="10"/>
        <v>0</v>
      </c>
      <c r="AL131" s="51">
        <f t="shared" si="11"/>
        <v>0</v>
      </c>
      <c r="AN131" s="51">
        <v>12</v>
      </c>
      <c r="AO131" s="51">
        <f>G131*0.029225352</f>
        <v>0</v>
      </c>
      <c r="AP131" s="51">
        <f>G131*(1-0.029225352)</f>
        <v>0</v>
      </c>
      <c r="AQ131" s="53" t="s">
        <v>151</v>
      </c>
      <c r="AV131" s="51">
        <f t="shared" si="12"/>
        <v>0</v>
      </c>
      <c r="AW131" s="51">
        <f t="shared" si="13"/>
        <v>0</v>
      </c>
      <c r="AX131" s="51">
        <f t="shared" si="14"/>
        <v>0</v>
      </c>
      <c r="AY131" s="53" t="s">
        <v>356</v>
      </c>
      <c r="AZ131" s="53" t="s">
        <v>357</v>
      </c>
      <c r="BA131" s="35" t="s">
        <v>117</v>
      </c>
      <c r="BC131" s="51">
        <f t="shared" si="15"/>
        <v>0</v>
      </c>
      <c r="BD131" s="51">
        <f t="shared" si="16"/>
        <v>0</v>
      </c>
      <c r="BE131" s="51">
        <v>0</v>
      </c>
      <c r="BF131" s="51">
        <f>131</f>
        <v>131</v>
      </c>
      <c r="BH131" s="51">
        <f t="shared" si="17"/>
        <v>0</v>
      </c>
      <c r="BI131" s="51">
        <f t="shared" si="18"/>
        <v>0</v>
      </c>
      <c r="BJ131" s="51">
        <f t="shared" si="19"/>
        <v>0</v>
      </c>
      <c r="BK131" s="51"/>
      <c r="BL131" s="51">
        <v>721</v>
      </c>
      <c r="BW131" s="51">
        <v>12</v>
      </c>
      <c r="BX131" s="3" t="s">
        <v>378</v>
      </c>
    </row>
    <row r="132" spans="1:76">
      <c r="A132" s="1" t="s">
        <v>379</v>
      </c>
      <c r="B132" s="2" t="s">
        <v>380</v>
      </c>
      <c r="C132" s="75" t="s">
        <v>381</v>
      </c>
      <c r="D132" s="70"/>
      <c r="E132" s="2" t="s">
        <v>136</v>
      </c>
      <c r="F132" s="51">
        <v>0.5</v>
      </c>
      <c r="G132" s="52">
        <v>0</v>
      </c>
      <c r="H132" s="51">
        <f t="shared" si="0"/>
        <v>0</v>
      </c>
      <c r="J132" s="41"/>
      <c r="Z132" s="51">
        <f t="shared" si="1"/>
        <v>0</v>
      </c>
      <c r="AB132" s="51">
        <f t="shared" si="2"/>
        <v>0</v>
      </c>
      <c r="AC132" s="51">
        <f t="shared" si="3"/>
        <v>0</v>
      </c>
      <c r="AD132" s="51">
        <f t="shared" si="4"/>
        <v>0</v>
      </c>
      <c r="AE132" s="51">
        <f t="shared" si="5"/>
        <v>0</v>
      </c>
      <c r="AF132" s="51">
        <f t="shared" si="6"/>
        <v>0</v>
      </c>
      <c r="AG132" s="51">
        <f t="shared" si="7"/>
        <v>0</v>
      </c>
      <c r="AH132" s="51">
        <f t="shared" si="8"/>
        <v>0</v>
      </c>
      <c r="AI132" s="35" t="s">
        <v>4</v>
      </c>
      <c r="AJ132" s="51">
        <f t="shared" si="9"/>
        <v>0</v>
      </c>
      <c r="AK132" s="51">
        <f t="shared" si="10"/>
        <v>0</v>
      </c>
      <c r="AL132" s="51">
        <f t="shared" si="11"/>
        <v>0</v>
      </c>
      <c r="AN132" s="51">
        <v>12</v>
      </c>
      <c r="AO132" s="51">
        <f>G132*0.414294872</f>
        <v>0</v>
      </c>
      <c r="AP132" s="51">
        <f>G132*(1-0.414294872)</f>
        <v>0</v>
      </c>
      <c r="AQ132" s="53" t="s">
        <v>151</v>
      </c>
      <c r="AV132" s="51">
        <f t="shared" si="12"/>
        <v>0</v>
      </c>
      <c r="AW132" s="51">
        <f t="shared" si="13"/>
        <v>0</v>
      </c>
      <c r="AX132" s="51">
        <f t="shared" si="14"/>
        <v>0</v>
      </c>
      <c r="AY132" s="53" t="s">
        <v>356</v>
      </c>
      <c r="AZ132" s="53" t="s">
        <v>357</v>
      </c>
      <c r="BA132" s="35" t="s">
        <v>117</v>
      </c>
      <c r="BC132" s="51">
        <f t="shared" si="15"/>
        <v>0</v>
      </c>
      <c r="BD132" s="51">
        <f t="shared" si="16"/>
        <v>0</v>
      </c>
      <c r="BE132" s="51">
        <v>0</v>
      </c>
      <c r="BF132" s="51">
        <f>132</f>
        <v>132</v>
      </c>
      <c r="BH132" s="51">
        <f t="shared" si="17"/>
        <v>0</v>
      </c>
      <c r="BI132" s="51">
        <f t="shared" si="18"/>
        <v>0</v>
      </c>
      <c r="BJ132" s="51">
        <f t="shared" si="19"/>
        <v>0</v>
      </c>
      <c r="BK132" s="51"/>
      <c r="BL132" s="51">
        <v>721</v>
      </c>
      <c r="BW132" s="51">
        <v>12</v>
      </c>
      <c r="BX132" s="3" t="s">
        <v>381</v>
      </c>
    </row>
    <row r="133" spans="1:76">
      <c r="A133" s="1" t="s">
        <v>382</v>
      </c>
      <c r="B133" s="2" t="s">
        <v>383</v>
      </c>
      <c r="C133" s="75" t="s">
        <v>384</v>
      </c>
      <c r="D133" s="70"/>
      <c r="E133" s="2" t="s">
        <v>288</v>
      </c>
      <c r="F133" s="51">
        <v>0.05</v>
      </c>
      <c r="G133" s="52">
        <v>0</v>
      </c>
      <c r="H133" s="51">
        <f t="shared" si="0"/>
        <v>0</v>
      </c>
      <c r="J133" s="41"/>
      <c r="Z133" s="51">
        <f t="shared" si="1"/>
        <v>0</v>
      </c>
      <c r="AB133" s="51">
        <f t="shared" si="2"/>
        <v>0</v>
      </c>
      <c r="AC133" s="51">
        <f t="shared" si="3"/>
        <v>0</v>
      </c>
      <c r="AD133" s="51">
        <f t="shared" si="4"/>
        <v>0</v>
      </c>
      <c r="AE133" s="51">
        <f t="shared" si="5"/>
        <v>0</v>
      </c>
      <c r="AF133" s="51">
        <f t="shared" si="6"/>
        <v>0</v>
      </c>
      <c r="AG133" s="51">
        <f t="shared" si="7"/>
        <v>0</v>
      </c>
      <c r="AH133" s="51">
        <f t="shared" si="8"/>
        <v>0</v>
      </c>
      <c r="AI133" s="35" t="s">
        <v>4</v>
      </c>
      <c r="AJ133" s="51">
        <f t="shared" si="9"/>
        <v>0</v>
      </c>
      <c r="AK133" s="51">
        <f t="shared" si="10"/>
        <v>0</v>
      </c>
      <c r="AL133" s="51">
        <f t="shared" si="11"/>
        <v>0</v>
      </c>
      <c r="AN133" s="51">
        <v>12</v>
      </c>
      <c r="AO133" s="51">
        <f>G133*0</f>
        <v>0</v>
      </c>
      <c r="AP133" s="51">
        <f>G133*(1-0)</f>
        <v>0</v>
      </c>
      <c r="AQ133" s="53" t="s">
        <v>139</v>
      </c>
      <c r="AV133" s="51">
        <f t="shared" si="12"/>
        <v>0</v>
      </c>
      <c r="AW133" s="51">
        <f t="shared" si="13"/>
        <v>0</v>
      </c>
      <c r="AX133" s="51">
        <f t="shared" si="14"/>
        <v>0</v>
      </c>
      <c r="AY133" s="53" t="s">
        <v>356</v>
      </c>
      <c r="AZ133" s="53" t="s">
        <v>357</v>
      </c>
      <c r="BA133" s="35" t="s">
        <v>117</v>
      </c>
      <c r="BC133" s="51">
        <f t="shared" si="15"/>
        <v>0</v>
      </c>
      <c r="BD133" s="51">
        <f t="shared" si="16"/>
        <v>0</v>
      </c>
      <c r="BE133" s="51">
        <v>0</v>
      </c>
      <c r="BF133" s="51">
        <f>133</f>
        <v>133</v>
      </c>
      <c r="BH133" s="51">
        <f t="shared" si="17"/>
        <v>0</v>
      </c>
      <c r="BI133" s="51">
        <f t="shared" si="18"/>
        <v>0</v>
      </c>
      <c r="BJ133" s="51">
        <f t="shared" si="19"/>
        <v>0</v>
      </c>
      <c r="BK133" s="51"/>
      <c r="BL133" s="51">
        <v>721</v>
      </c>
      <c r="BW133" s="51">
        <v>12</v>
      </c>
      <c r="BX133" s="3" t="s">
        <v>384</v>
      </c>
    </row>
    <row r="134" spans="1:76">
      <c r="A134" s="47" t="s">
        <v>4</v>
      </c>
      <c r="B134" s="48" t="s">
        <v>385</v>
      </c>
      <c r="C134" s="150" t="s">
        <v>386</v>
      </c>
      <c r="D134" s="151"/>
      <c r="E134" s="49" t="s">
        <v>79</v>
      </c>
      <c r="F134" s="49" t="s">
        <v>79</v>
      </c>
      <c r="G134" s="50" t="s">
        <v>79</v>
      </c>
      <c r="H134" s="28">
        <f>SUM(H135:H146)</f>
        <v>0</v>
      </c>
      <c r="J134" s="41"/>
      <c r="AI134" s="35" t="s">
        <v>4</v>
      </c>
      <c r="AS134" s="28">
        <f>SUM(AJ135:AJ146)</f>
        <v>0</v>
      </c>
      <c r="AT134" s="28">
        <f>SUM(AK135:AK146)</f>
        <v>0</v>
      </c>
      <c r="AU134" s="28">
        <f>SUM(AL135:AL146)</f>
        <v>0</v>
      </c>
    </row>
    <row r="135" spans="1:76">
      <c r="A135" s="1" t="s">
        <v>387</v>
      </c>
      <c r="B135" s="2" t="s">
        <v>388</v>
      </c>
      <c r="C135" s="75" t="s">
        <v>389</v>
      </c>
      <c r="D135" s="70"/>
      <c r="E135" s="2" t="s">
        <v>136</v>
      </c>
      <c r="F135" s="51">
        <v>3</v>
      </c>
      <c r="G135" s="52">
        <v>0</v>
      </c>
      <c r="H135" s="51">
        <f t="shared" ref="H135:H141" si="20">F135*G135</f>
        <v>0</v>
      </c>
      <c r="J135" s="41"/>
      <c r="Z135" s="51">
        <f t="shared" ref="Z135:Z141" si="21">IF(AQ135="5",BJ135,0)</f>
        <v>0</v>
      </c>
      <c r="AB135" s="51">
        <f t="shared" ref="AB135:AB141" si="22">IF(AQ135="1",BH135,0)</f>
        <v>0</v>
      </c>
      <c r="AC135" s="51">
        <f t="shared" ref="AC135:AC141" si="23">IF(AQ135="1",BI135,0)</f>
        <v>0</v>
      </c>
      <c r="AD135" s="51">
        <f t="shared" ref="AD135:AD141" si="24">IF(AQ135="7",BH135,0)</f>
        <v>0</v>
      </c>
      <c r="AE135" s="51">
        <f t="shared" ref="AE135:AE141" si="25">IF(AQ135="7",BI135,0)</f>
        <v>0</v>
      </c>
      <c r="AF135" s="51">
        <f t="shared" ref="AF135:AF141" si="26">IF(AQ135="2",BH135,0)</f>
        <v>0</v>
      </c>
      <c r="AG135" s="51">
        <f t="shared" ref="AG135:AG141" si="27">IF(AQ135="2",BI135,0)</f>
        <v>0</v>
      </c>
      <c r="AH135" s="51">
        <f t="shared" ref="AH135:AH141" si="28">IF(AQ135="0",BJ135,0)</f>
        <v>0</v>
      </c>
      <c r="AI135" s="35" t="s">
        <v>4</v>
      </c>
      <c r="AJ135" s="51">
        <f t="shared" ref="AJ135:AJ141" si="29">IF(AN135=0,H135,0)</f>
        <v>0</v>
      </c>
      <c r="AK135" s="51">
        <f t="shared" ref="AK135:AK141" si="30">IF(AN135=12,H135,0)</f>
        <v>0</v>
      </c>
      <c r="AL135" s="51">
        <f t="shared" ref="AL135:AL141" si="31">IF(AN135=21,H135,0)</f>
        <v>0</v>
      </c>
      <c r="AN135" s="51">
        <v>12</v>
      </c>
      <c r="AO135" s="51">
        <f>G135*0</f>
        <v>0</v>
      </c>
      <c r="AP135" s="51">
        <f>G135*(1-0)</f>
        <v>0</v>
      </c>
      <c r="AQ135" s="53" t="s">
        <v>151</v>
      </c>
      <c r="AV135" s="51">
        <f t="shared" ref="AV135:AV141" si="32">AW135+AX135</f>
        <v>0</v>
      </c>
      <c r="AW135" s="51">
        <f t="shared" ref="AW135:AW141" si="33">F135*AO135</f>
        <v>0</v>
      </c>
      <c r="AX135" s="51">
        <f t="shared" ref="AX135:AX141" si="34">F135*AP135</f>
        <v>0</v>
      </c>
      <c r="AY135" s="53" t="s">
        <v>390</v>
      </c>
      <c r="AZ135" s="53" t="s">
        <v>357</v>
      </c>
      <c r="BA135" s="35" t="s">
        <v>117</v>
      </c>
      <c r="BC135" s="51">
        <f t="shared" ref="BC135:BC141" si="35">AW135+AX135</f>
        <v>0</v>
      </c>
      <c r="BD135" s="51">
        <f t="shared" ref="BD135:BD141" si="36">G135/(100-BE135)*100</f>
        <v>0</v>
      </c>
      <c r="BE135" s="51">
        <v>0</v>
      </c>
      <c r="BF135" s="51">
        <f>135</f>
        <v>135</v>
      </c>
      <c r="BH135" s="51">
        <f t="shared" ref="BH135:BH141" si="37">F135*AO135</f>
        <v>0</v>
      </c>
      <c r="BI135" s="51">
        <f t="shared" ref="BI135:BI141" si="38">F135*AP135</f>
        <v>0</v>
      </c>
      <c r="BJ135" s="51">
        <f t="shared" ref="BJ135:BJ141" si="39">F135*G135</f>
        <v>0</v>
      </c>
      <c r="BK135" s="51"/>
      <c r="BL135" s="51">
        <v>722</v>
      </c>
      <c r="BW135" s="51">
        <v>12</v>
      </c>
      <c r="BX135" s="3" t="s">
        <v>389</v>
      </c>
    </row>
    <row r="136" spans="1:76">
      <c r="A136" s="1" t="s">
        <v>391</v>
      </c>
      <c r="B136" s="2" t="s">
        <v>392</v>
      </c>
      <c r="C136" s="75" t="s">
        <v>393</v>
      </c>
      <c r="D136" s="70"/>
      <c r="E136" s="2" t="s">
        <v>130</v>
      </c>
      <c r="F136" s="51">
        <v>2</v>
      </c>
      <c r="G136" s="52">
        <v>0</v>
      </c>
      <c r="H136" s="51">
        <f t="shared" si="20"/>
        <v>0</v>
      </c>
      <c r="J136" s="41"/>
      <c r="Z136" s="51">
        <f t="shared" si="21"/>
        <v>0</v>
      </c>
      <c r="AB136" s="51">
        <f t="shared" si="22"/>
        <v>0</v>
      </c>
      <c r="AC136" s="51">
        <f t="shared" si="23"/>
        <v>0</v>
      </c>
      <c r="AD136" s="51">
        <f t="shared" si="24"/>
        <v>0</v>
      </c>
      <c r="AE136" s="51">
        <f t="shared" si="25"/>
        <v>0</v>
      </c>
      <c r="AF136" s="51">
        <f t="shared" si="26"/>
        <v>0</v>
      </c>
      <c r="AG136" s="51">
        <f t="shared" si="27"/>
        <v>0</v>
      </c>
      <c r="AH136" s="51">
        <f t="shared" si="28"/>
        <v>0</v>
      </c>
      <c r="AI136" s="35" t="s">
        <v>4</v>
      </c>
      <c r="AJ136" s="51">
        <f t="shared" si="29"/>
        <v>0</v>
      </c>
      <c r="AK136" s="51">
        <f t="shared" si="30"/>
        <v>0</v>
      </c>
      <c r="AL136" s="51">
        <f t="shared" si="31"/>
        <v>0</v>
      </c>
      <c r="AN136" s="51">
        <v>12</v>
      </c>
      <c r="AO136" s="51">
        <f>G136*0</f>
        <v>0</v>
      </c>
      <c r="AP136" s="51">
        <f>G136*(1-0)</f>
        <v>0</v>
      </c>
      <c r="AQ136" s="53" t="s">
        <v>151</v>
      </c>
      <c r="AV136" s="51">
        <f t="shared" si="32"/>
        <v>0</v>
      </c>
      <c r="AW136" s="51">
        <f t="shared" si="33"/>
        <v>0</v>
      </c>
      <c r="AX136" s="51">
        <f t="shared" si="34"/>
        <v>0</v>
      </c>
      <c r="AY136" s="53" t="s">
        <v>390</v>
      </c>
      <c r="AZ136" s="53" t="s">
        <v>357</v>
      </c>
      <c r="BA136" s="35" t="s">
        <v>117</v>
      </c>
      <c r="BC136" s="51">
        <f t="shared" si="35"/>
        <v>0</v>
      </c>
      <c r="BD136" s="51">
        <f t="shared" si="36"/>
        <v>0</v>
      </c>
      <c r="BE136" s="51">
        <v>0</v>
      </c>
      <c r="BF136" s="51">
        <f>136</f>
        <v>136</v>
      </c>
      <c r="BH136" s="51">
        <f t="shared" si="37"/>
        <v>0</v>
      </c>
      <c r="BI136" s="51">
        <f t="shared" si="38"/>
        <v>0</v>
      </c>
      <c r="BJ136" s="51">
        <f t="shared" si="39"/>
        <v>0</v>
      </c>
      <c r="BK136" s="51"/>
      <c r="BL136" s="51">
        <v>722</v>
      </c>
      <c r="BW136" s="51">
        <v>12</v>
      </c>
      <c r="BX136" s="3" t="s">
        <v>393</v>
      </c>
    </row>
    <row r="137" spans="1:76">
      <c r="A137" s="1" t="s">
        <v>394</v>
      </c>
      <c r="B137" s="2" t="s">
        <v>395</v>
      </c>
      <c r="C137" s="75" t="s">
        <v>396</v>
      </c>
      <c r="D137" s="70"/>
      <c r="E137" s="2" t="s">
        <v>130</v>
      </c>
      <c r="F137" s="51">
        <v>2</v>
      </c>
      <c r="G137" s="52">
        <v>0</v>
      </c>
      <c r="H137" s="51">
        <f t="shared" si="20"/>
        <v>0</v>
      </c>
      <c r="J137" s="41"/>
      <c r="Z137" s="51">
        <f t="shared" si="21"/>
        <v>0</v>
      </c>
      <c r="AB137" s="51">
        <f t="shared" si="22"/>
        <v>0</v>
      </c>
      <c r="AC137" s="51">
        <f t="shared" si="23"/>
        <v>0</v>
      </c>
      <c r="AD137" s="51">
        <f t="shared" si="24"/>
        <v>0</v>
      </c>
      <c r="AE137" s="51">
        <f t="shared" si="25"/>
        <v>0</v>
      </c>
      <c r="AF137" s="51">
        <f t="shared" si="26"/>
        <v>0</v>
      </c>
      <c r="AG137" s="51">
        <f t="shared" si="27"/>
        <v>0</v>
      </c>
      <c r="AH137" s="51">
        <f t="shared" si="28"/>
        <v>0</v>
      </c>
      <c r="AI137" s="35" t="s">
        <v>4</v>
      </c>
      <c r="AJ137" s="51">
        <f t="shared" si="29"/>
        <v>0</v>
      </c>
      <c r="AK137" s="51">
        <f t="shared" si="30"/>
        <v>0</v>
      </c>
      <c r="AL137" s="51">
        <f t="shared" si="31"/>
        <v>0</v>
      </c>
      <c r="AN137" s="51">
        <v>12</v>
      </c>
      <c r="AO137" s="51">
        <f>G137*0.035569217</f>
        <v>0</v>
      </c>
      <c r="AP137" s="51">
        <f>G137*(1-0.035569217)</f>
        <v>0</v>
      </c>
      <c r="AQ137" s="53" t="s">
        <v>151</v>
      </c>
      <c r="AV137" s="51">
        <f t="shared" si="32"/>
        <v>0</v>
      </c>
      <c r="AW137" s="51">
        <f t="shared" si="33"/>
        <v>0</v>
      </c>
      <c r="AX137" s="51">
        <f t="shared" si="34"/>
        <v>0</v>
      </c>
      <c r="AY137" s="53" t="s">
        <v>390</v>
      </c>
      <c r="AZ137" s="53" t="s">
        <v>357</v>
      </c>
      <c r="BA137" s="35" t="s">
        <v>117</v>
      </c>
      <c r="BC137" s="51">
        <f t="shared" si="35"/>
        <v>0</v>
      </c>
      <c r="BD137" s="51">
        <f t="shared" si="36"/>
        <v>0</v>
      </c>
      <c r="BE137" s="51">
        <v>0</v>
      </c>
      <c r="BF137" s="51">
        <f>137</f>
        <v>137</v>
      </c>
      <c r="BH137" s="51">
        <f t="shared" si="37"/>
        <v>0</v>
      </c>
      <c r="BI137" s="51">
        <f t="shared" si="38"/>
        <v>0</v>
      </c>
      <c r="BJ137" s="51">
        <f t="shared" si="39"/>
        <v>0</v>
      </c>
      <c r="BK137" s="51"/>
      <c r="BL137" s="51">
        <v>722</v>
      </c>
      <c r="BW137" s="51">
        <v>12</v>
      </c>
      <c r="BX137" s="3" t="s">
        <v>396</v>
      </c>
    </row>
    <row r="138" spans="1:76">
      <c r="A138" s="1" t="s">
        <v>397</v>
      </c>
      <c r="B138" s="2" t="s">
        <v>398</v>
      </c>
      <c r="C138" s="75" t="s">
        <v>399</v>
      </c>
      <c r="D138" s="70"/>
      <c r="E138" s="2" t="s">
        <v>136</v>
      </c>
      <c r="F138" s="51">
        <v>12.7</v>
      </c>
      <c r="G138" s="52">
        <v>0</v>
      </c>
      <c r="H138" s="51">
        <f t="shared" si="20"/>
        <v>0</v>
      </c>
      <c r="J138" s="41"/>
      <c r="Z138" s="51">
        <f t="shared" si="21"/>
        <v>0</v>
      </c>
      <c r="AB138" s="51">
        <f t="shared" si="22"/>
        <v>0</v>
      </c>
      <c r="AC138" s="51">
        <f t="shared" si="23"/>
        <v>0</v>
      </c>
      <c r="AD138" s="51">
        <f t="shared" si="24"/>
        <v>0</v>
      </c>
      <c r="AE138" s="51">
        <f t="shared" si="25"/>
        <v>0</v>
      </c>
      <c r="AF138" s="51">
        <f t="shared" si="26"/>
        <v>0</v>
      </c>
      <c r="AG138" s="51">
        <f t="shared" si="27"/>
        <v>0</v>
      </c>
      <c r="AH138" s="51">
        <f t="shared" si="28"/>
        <v>0</v>
      </c>
      <c r="AI138" s="35" t="s">
        <v>4</v>
      </c>
      <c r="AJ138" s="51">
        <f t="shared" si="29"/>
        <v>0</v>
      </c>
      <c r="AK138" s="51">
        <f t="shared" si="30"/>
        <v>0</v>
      </c>
      <c r="AL138" s="51">
        <f t="shared" si="31"/>
        <v>0</v>
      </c>
      <c r="AN138" s="51">
        <v>12</v>
      </c>
      <c r="AO138" s="51">
        <f>G138*0.343352381</f>
        <v>0</v>
      </c>
      <c r="AP138" s="51">
        <f>G138*(1-0.343352381)</f>
        <v>0</v>
      </c>
      <c r="AQ138" s="53" t="s">
        <v>151</v>
      </c>
      <c r="AV138" s="51">
        <f t="shared" si="32"/>
        <v>0</v>
      </c>
      <c r="AW138" s="51">
        <f t="shared" si="33"/>
        <v>0</v>
      </c>
      <c r="AX138" s="51">
        <f t="shared" si="34"/>
        <v>0</v>
      </c>
      <c r="AY138" s="53" t="s">
        <v>390</v>
      </c>
      <c r="AZ138" s="53" t="s">
        <v>357</v>
      </c>
      <c r="BA138" s="35" t="s">
        <v>117</v>
      </c>
      <c r="BC138" s="51">
        <f t="shared" si="35"/>
        <v>0</v>
      </c>
      <c r="BD138" s="51">
        <f t="shared" si="36"/>
        <v>0</v>
      </c>
      <c r="BE138" s="51">
        <v>0</v>
      </c>
      <c r="BF138" s="51">
        <f>138</f>
        <v>138</v>
      </c>
      <c r="BH138" s="51">
        <f t="shared" si="37"/>
        <v>0</v>
      </c>
      <c r="BI138" s="51">
        <f t="shared" si="38"/>
        <v>0</v>
      </c>
      <c r="BJ138" s="51">
        <f t="shared" si="39"/>
        <v>0</v>
      </c>
      <c r="BK138" s="51"/>
      <c r="BL138" s="51">
        <v>722</v>
      </c>
      <c r="BW138" s="51">
        <v>12</v>
      </c>
      <c r="BX138" s="3" t="s">
        <v>399</v>
      </c>
    </row>
    <row r="139" spans="1:76">
      <c r="A139" s="1" t="s">
        <v>143</v>
      </c>
      <c r="B139" s="2" t="s">
        <v>400</v>
      </c>
      <c r="C139" s="75" t="s">
        <v>401</v>
      </c>
      <c r="D139" s="70"/>
      <c r="E139" s="2" t="s">
        <v>130</v>
      </c>
      <c r="F139" s="51">
        <v>2</v>
      </c>
      <c r="G139" s="52">
        <v>0</v>
      </c>
      <c r="H139" s="51">
        <f t="shared" si="20"/>
        <v>0</v>
      </c>
      <c r="J139" s="41"/>
      <c r="Z139" s="51">
        <f t="shared" si="21"/>
        <v>0</v>
      </c>
      <c r="AB139" s="51">
        <f t="shared" si="22"/>
        <v>0</v>
      </c>
      <c r="AC139" s="51">
        <f t="shared" si="23"/>
        <v>0</v>
      </c>
      <c r="AD139" s="51">
        <f t="shared" si="24"/>
        <v>0</v>
      </c>
      <c r="AE139" s="51">
        <f t="shared" si="25"/>
        <v>0</v>
      </c>
      <c r="AF139" s="51">
        <f t="shared" si="26"/>
        <v>0</v>
      </c>
      <c r="AG139" s="51">
        <f t="shared" si="27"/>
        <v>0</v>
      </c>
      <c r="AH139" s="51">
        <f t="shared" si="28"/>
        <v>0</v>
      </c>
      <c r="AI139" s="35" t="s">
        <v>4</v>
      </c>
      <c r="AJ139" s="51">
        <f t="shared" si="29"/>
        <v>0</v>
      </c>
      <c r="AK139" s="51">
        <f t="shared" si="30"/>
        <v>0</v>
      </c>
      <c r="AL139" s="51">
        <f t="shared" si="31"/>
        <v>0</v>
      </c>
      <c r="AN139" s="51">
        <v>12</v>
      </c>
      <c r="AO139" s="51">
        <f>G139*0.52306338</f>
        <v>0</v>
      </c>
      <c r="AP139" s="51">
        <f>G139*(1-0.52306338)</f>
        <v>0</v>
      </c>
      <c r="AQ139" s="53" t="s">
        <v>151</v>
      </c>
      <c r="AV139" s="51">
        <f t="shared" si="32"/>
        <v>0</v>
      </c>
      <c r="AW139" s="51">
        <f t="shared" si="33"/>
        <v>0</v>
      </c>
      <c r="AX139" s="51">
        <f t="shared" si="34"/>
        <v>0</v>
      </c>
      <c r="AY139" s="53" t="s">
        <v>390</v>
      </c>
      <c r="AZ139" s="53" t="s">
        <v>357</v>
      </c>
      <c r="BA139" s="35" t="s">
        <v>117</v>
      </c>
      <c r="BC139" s="51">
        <f t="shared" si="35"/>
        <v>0</v>
      </c>
      <c r="BD139" s="51">
        <f t="shared" si="36"/>
        <v>0</v>
      </c>
      <c r="BE139" s="51">
        <v>0</v>
      </c>
      <c r="BF139" s="51">
        <f>139</f>
        <v>139</v>
      </c>
      <c r="BH139" s="51">
        <f t="shared" si="37"/>
        <v>0</v>
      </c>
      <c r="BI139" s="51">
        <f t="shared" si="38"/>
        <v>0</v>
      </c>
      <c r="BJ139" s="51">
        <f t="shared" si="39"/>
        <v>0</v>
      </c>
      <c r="BK139" s="51"/>
      <c r="BL139" s="51">
        <v>722</v>
      </c>
      <c r="BW139" s="51">
        <v>12</v>
      </c>
      <c r="BX139" s="3" t="s">
        <v>401</v>
      </c>
    </row>
    <row r="140" spans="1:76">
      <c r="A140" s="1" t="s">
        <v>402</v>
      </c>
      <c r="B140" s="2" t="s">
        <v>403</v>
      </c>
      <c r="C140" s="75" t="s">
        <v>404</v>
      </c>
      <c r="D140" s="70"/>
      <c r="E140" s="2" t="s">
        <v>405</v>
      </c>
      <c r="F140" s="51">
        <v>3</v>
      </c>
      <c r="G140" s="52">
        <v>0</v>
      </c>
      <c r="H140" s="51">
        <f t="shared" si="20"/>
        <v>0</v>
      </c>
      <c r="J140" s="41"/>
      <c r="Z140" s="51">
        <f t="shared" si="21"/>
        <v>0</v>
      </c>
      <c r="AB140" s="51">
        <f t="shared" si="22"/>
        <v>0</v>
      </c>
      <c r="AC140" s="51">
        <f t="shared" si="23"/>
        <v>0</v>
      </c>
      <c r="AD140" s="51">
        <f t="shared" si="24"/>
        <v>0</v>
      </c>
      <c r="AE140" s="51">
        <f t="shared" si="25"/>
        <v>0</v>
      </c>
      <c r="AF140" s="51">
        <f t="shared" si="26"/>
        <v>0</v>
      </c>
      <c r="AG140" s="51">
        <f t="shared" si="27"/>
        <v>0</v>
      </c>
      <c r="AH140" s="51">
        <f t="shared" si="28"/>
        <v>0</v>
      </c>
      <c r="AI140" s="35" t="s">
        <v>4</v>
      </c>
      <c r="AJ140" s="51">
        <f t="shared" si="29"/>
        <v>0</v>
      </c>
      <c r="AK140" s="51">
        <f t="shared" si="30"/>
        <v>0</v>
      </c>
      <c r="AL140" s="51">
        <f t="shared" si="31"/>
        <v>0</v>
      </c>
      <c r="AN140" s="51">
        <v>12</v>
      </c>
      <c r="AO140" s="51">
        <f>G140*0.529089317</f>
        <v>0</v>
      </c>
      <c r="AP140" s="51">
        <f>G140*(1-0.529089317)</f>
        <v>0</v>
      </c>
      <c r="AQ140" s="53" t="s">
        <v>151</v>
      </c>
      <c r="AV140" s="51">
        <f t="shared" si="32"/>
        <v>0</v>
      </c>
      <c r="AW140" s="51">
        <f t="shared" si="33"/>
        <v>0</v>
      </c>
      <c r="AX140" s="51">
        <f t="shared" si="34"/>
        <v>0</v>
      </c>
      <c r="AY140" s="53" t="s">
        <v>390</v>
      </c>
      <c r="AZ140" s="53" t="s">
        <v>357</v>
      </c>
      <c r="BA140" s="35" t="s">
        <v>117</v>
      </c>
      <c r="BC140" s="51">
        <f t="shared" si="35"/>
        <v>0</v>
      </c>
      <c r="BD140" s="51">
        <f t="shared" si="36"/>
        <v>0</v>
      </c>
      <c r="BE140" s="51">
        <v>0</v>
      </c>
      <c r="BF140" s="51">
        <f>140</f>
        <v>140</v>
      </c>
      <c r="BH140" s="51">
        <f t="shared" si="37"/>
        <v>0</v>
      </c>
      <c r="BI140" s="51">
        <f t="shared" si="38"/>
        <v>0</v>
      </c>
      <c r="BJ140" s="51">
        <f t="shared" si="39"/>
        <v>0</v>
      </c>
      <c r="BK140" s="51"/>
      <c r="BL140" s="51">
        <v>722</v>
      </c>
      <c r="BW140" s="51">
        <v>12</v>
      </c>
      <c r="BX140" s="3" t="s">
        <v>404</v>
      </c>
    </row>
    <row r="141" spans="1:76">
      <c r="A141" s="1" t="s">
        <v>207</v>
      </c>
      <c r="B141" s="2" t="s">
        <v>406</v>
      </c>
      <c r="C141" s="75" t="s">
        <v>407</v>
      </c>
      <c r="D141" s="70"/>
      <c r="E141" s="2" t="s">
        <v>136</v>
      </c>
      <c r="F141" s="51">
        <v>12.7</v>
      </c>
      <c r="G141" s="52">
        <v>0</v>
      </c>
      <c r="H141" s="51">
        <f t="shared" si="20"/>
        <v>0</v>
      </c>
      <c r="J141" s="41"/>
      <c r="Z141" s="51">
        <f t="shared" si="21"/>
        <v>0</v>
      </c>
      <c r="AB141" s="51">
        <f t="shared" si="22"/>
        <v>0</v>
      </c>
      <c r="AC141" s="51">
        <f t="shared" si="23"/>
        <v>0</v>
      </c>
      <c r="AD141" s="51">
        <f t="shared" si="24"/>
        <v>0</v>
      </c>
      <c r="AE141" s="51">
        <f t="shared" si="25"/>
        <v>0</v>
      </c>
      <c r="AF141" s="51">
        <f t="shared" si="26"/>
        <v>0</v>
      </c>
      <c r="AG141" s="51">
        <f t="shared" si="27"/>
        <v>0</v>
      </c>
      <c r="AH141" s="51">
        <f t="shared" si="28"/>
        <v>0</v>
      </c>
      <c r="AI141" s="35" t="s">
        <v>4</v>
      </c>
      <c r="AJ141" s="51">
        <f t="shared" si="29"/>
        <v>0</v>
      </c>
      <c r="AK141" s="51">
        <f t="shared" si="30"/>
        <v>0</v>
      </c>
      <c r="AL141" s="51">
        <f t="shared" si="31"/>
        <v>0</v>
      </c>
      <c r="AN141" s="51">
        <v>12</v>
      </c>
      <c r="AO141" s="51">
        <f>G141*0.451172433</f>
        <v>0</v>
      </c>
      <c r="AP141" s="51">
        <f>G141*(1-0.451172433)</f>
        <v>0</v>
      </c>
      <c r="AQ141" s="53" t="s">
        <v>151</v>
      </c>
      <c r="AV141" s="51">
        <f t="shared" si="32"/>
        <v>0</v>
      </c>
      <c r="AW141" s="51">
        <f t="shared" si="33"/>
        <v>0</v>
      </c>
      <c r="AX141" s="51">
        <f t="shared" si="34"/>
        <v>0</v>
      </c>
      <c r="AY141" s="53" t="s">
        <v>390</v>
      </c>
      <c r="AZ141" s="53" t="s">
        <v>357</v>
      </c>
      <c r="BA141" s="35" t="s">
        <v>117</v>
      </c>
      <c r="BC141" s="51">
        <f t="shared" si="35"/>
        <v>0</v>
      </c>
      <c r="BD141" s="51">
        <f t="shared" si="36"/>
        <v>0</v>
      </c>
      <c r="BE141" s="51">
        <v>0</v>
      </c>
      <c r="BF141" s="51">
        <f>141</f>
        <v>141</v>
      </c>
      <c r="BH141" s="51">
        <f t="shared" si="37"/>
        <v>0</v>
      </c>
      <c r="BI141" s="51">
        <f t="shared" si="38"/>
        <v>0</v>
      </c>
      <c r="BJ141" s="51">
        <f t="shared" si="39"/>
        <v>0</v>
      </c>
      <c r="BK141" s="51"/>
      <c r="BL141" s="51">
        <v>722</v>
      </c>
      <c r="BW141" s="51">
        <v>12</v>
      </c>
      <c r="BX141" s="3" t="s">
        <v>407</v>
      </c>
    </row>
    <row r="142" spans="1:76" ht="13.5" customHeight="1">
      <c r="A142" s="54"/>
      <c r="B142" s="58" t="s">
        <v>131</v>
      </c>
      <c r="C142" s="152" t="s">
        <v>408</v>
      </c>
      <c r="D142" s="153"/>
      <c r="E142" s="153"/>
      <c r="F142" s="153"/>
      <c r="G142" s="154"/>
      <c r="H142" s="153"/>
      <c r="I142" s="153"/>
      <c r="J142" s="155"/>
    </row>
    <row r="143" spans="1:76">
      <c r="A143" s="1" t="s">
        <v>223</v>
      </c>
      <c r="B143" s="2" t="s">
        <v>409</v>
      </c>
      <c r="C143" s="75" t="s">
        <v>410</v>
      </c>
      <c r="D143" s="70"/>
      <c r="E143" s="2" t="s">
        <v>130</v>
      </c>
      <c r="F143" s="51">
        <v>5</v>
      </c>
      <c r="G143" s="52">
        <v>0</v>
      </c>
      <c r="H143" s="51">
        <f>F143*G143</f>
        <v>0</v>
      </c>
      <c r="J143" s="41"/>
      <c r="Z143" s="51">
        <f>IF(AQ143="5",BJ143,0)</f>
        <v>0</v>
      </c>
      <c r="AB143" s="51">
        <f>IF(AQ143="1",BH143,0)</f>
        <v>0</v>
      </c>
      <c r="AC143" s="51">
        <f>IF(AQ143="1",BI143,0)</f>
        <v>0</v>
      </c>
      <c r="AD143" s="51">
        <f>IF(AQ143="7",BH143,0)</f>
        <v>0</v>
      </c>
      <c r="AE143" s="51">
        <f>IF(AQ143="7",BI143,0)</f>
        <v>0</v>
      </c>
      <c r="AF143" s="51">
        <f>IF(AQ143="2",BH143,0)</f>
        <v>0</v>
      </c>
      <c r="AG143" s="51">
        <f>IF(AQ143="2",BI143,0)</f>
        <v>0</v>
      </c>
      <c r="AH143" s="51">
        <f>IF(AQ143="0",BJ143,0)</f>
        <v>0</v>
      </c>
      <c r="AI143" s="35" t="s">
        <v>4</v>
      </c>
      <c r="AJ143" s="51">
        <f>IF(AN143=0,H143,0)</f>
        <v>0</v>
      </c>
      <c r="AK143" s="51">
        <f>IF(AN143=12,H143,0)</f>
        <v>0</v>
      </c>
      <c r="AL143" s="51">
        <f>IF(AN143=21,H143,0)</f>
        <v>0</v>
      </c>
      <c r="AN143" s="51">
        <v>12</v>
      </c>
      <c r="AO143" s="51">
        <f>G143*0</f>
        <v>0</v>
      </c>
      <c r="AP143" s="51">
        <f>G143*(1-0)</f>
        <v>0</v>
      </c>
      <c r="AQ143" s="53" t="s">
        <v>151</v>
      </c>
      <c r="AV143" s="51">
        <f>AW143+AX143</f>
        <v>0</v>
      </c>
      <c r="AW143" s="51">
        <f>F143*AO143</f>
        <v>0</v>
      </c>
      <c r="AX143" s="51">
        <f>F143*AP143</f>
        <v>0</v>
      </c>
      <c r="AY143" s="53" t="s">
        <v>390</v>
      </c>
      <c r="AZ143" s="53" t="s">
        <v>357</v>
      </c>
      <c r="BA143" s="35" t="s">
        <v>117</v>
      </c>
      <c r="BC143" s="51">
        <f>AW143+AX143</f>
        <v>0</v>
      </c>
      <c r="BD143" s="51">
        <f>G143/(100-BE143)*100</f>
        <v>0</v>
      </c>
      <c r="BE143" s="51">
        <v>0</v>
      </c>
      <c r="BF143" s="51">
        <f>143</f>
        <v>143</v>
      </c>
      <c r="BH143" s="51">
        <f>F143*AO143</f>
        <v>0</v>
      </c>
      <c r="BI143" s="51">
        <f>F143*AP143</f>
        <v>0</v>
      </c>
      <c r="BJ143" s="51">
        <f>F143*G143</f>
        <v>0</v>
      </c>
      <c r="BK143" s="51"/>
      <c r="BL143" s="51">
        <v>722</v>
      </c>
      <c r="BW143" s="51">
        <v>12</v>
      </c>
      <c r="BX143" s="3" t="s">
        <v>410</v>
      </c>
    </row>
    <row r="144" spans="1:76">
      <c r="A144" s="1" t="s">
        <v>411</v>
      </c>
      <c r="B144" s="2" t="s">
        <v>412</v>
      </c>
      <c r="C144" s="75" t="s">
        <v>413</v>
      </c>
      <c r="D144" s="70"/>
      <c r="E144" s="2" t="s">
        <v>136</v>
      </c>
      <c r="F144" s="51">
        <v>12.7</v>
      </c>
      <c r="G144" s="52">
        <v>0</v>
      </c>
      <c r="H144" s="51">
        <f>F144*G144</f>
        <v>0</v>
      </c>
      <c r="J144" s="41"/>
      <c r="Z144" s="51">
        <f>IF(AQ144="5",BJ144,0)</f>
        <v>0</v>
      </c>
      <c r="AB144" s="51">
        <f>IF(AQ144="1",BH144,0)</f>
        <v>0</v>
      </c>
      <c r="AC144" s="51">
        <f>IF(AQ144="1",BI144,0)</f>
        <v>0</v>
      </c>
      <c r="AD144" s="51">
        <f>IF(AQ144="7",BH144,0)</f>
        <v>0</v>
      </c>
      <c r="AE144" s="51">
        <f>IF(AQ144="7",BI144,0)</f>
        <v>0</v>
      </c>
      <c r="AF144" s="51">
        <f>IF(AQ144="2",BH144,0)</f>
        <v>0</v>
      </c>
      <c r="AG144" s="51">
        <f>IF(AQ144="2",BI144,0)</f>
        <v>0</v>
      </c>
      <c r="AH144" s="51">
        <f>IF(AQ144="0",BJ144,0)</f>
        <v>0</v>
      </c>
      <c r="AI144" s="35" t="s">
        <v>4</v>
      </c>
      <c r="AJ144" s="51">
        <f>IF(AN144=0,H144,0)</f>
        <v>0</v>
      </c>
      <c r="AK144" s="51">
        <f>IF(AN144=12,H144,0)</f>
        <v>0</v>
      </c>
      <c r="AL144" s="51">
        <f>IF(AN144=21,H144,0)</f>
        <v>0</v>
      </c>
      <c r="AN144" s="51">
        <v>12</v>
      </c>
      <c r="AO144" s="51">
        <f>G144*0.05464191</f>
        <v>0</v>
      </c>
      <c r="AP144" s="51">
        <f>G144*(1-0.05464191)</f>
        <v>0</v>
      </c>
      <c r="AQ144" s="53" t="s">
        <v>151</v>
      </c>
      <c r="AV144" s="51">
        <f>AW144+AX144</f>
        <v>0</v>
      </c>
      <c r="AW144" s="51">
        <f>F144*AO144</f>
        <v>0</v>
      </c>
      <c r="AX144" s="51">
        <f>F144*AP144</f>
        <v>0</v>
      </c>
      <c r="AY144" s="53" t="s">
        <v>390</v>
      </c>
      <c r="AZ144" s="53" t="s">
        <v>357</v>
      </c>
      <c r="BA144" s="35" t="s">
        <v>117</v>
      </c>
      <c r="BC144" s="51">
        <f>AW144+AX144</f>
        <v>0</v>
      </c>
      <c r="BD144" s="51">
        <f>G144/(100-BE144)*100</f>
        <v>0</v>
      </c>
      <c r="BE144" s="51">
        <v>0</v>
      </c>
      <c r="BF144" s="51">
        <f>144</f>
        <v>144</v>
      </c>
      <c r="BH144" s="51">
        <f>F144*AO144</f>
        <v>0</v>
      </c>
      <c r="BI144" s="51">
        <f>F144*AP144</f>
        <v>0</v>
      </c>
      <c r="BJ144" s="51">
        <f>F144*G144</f>
        <v>0</v>
      </c>
      <c r="BK144" s="51"/>
      <c r="BL144" s="51">
        <v>722</v>
      </c>
      <c r="BW144" s="51">
        <v>12</v>
      </c>
      <c r="BX144" s="3" t="s">
        <v>413</v>
      </c>
    </row>
    <row r="145" spans="1:76">
      <c r="A145" s="1" t="s">
        <v>414</v>
      </c>
      <c r="B145" s="2" t="s">
        <v>415</v>
      </c>
      <c r="C145" s="75" t="s">
        <v>416</v>
      </c>
      <c r="D145" s="70"/>
      <c r="E145" s="2" t="s">
        <v>136</v>
      </c>
      <c r="F145" s="51">
        <v>12.7</v>
      </c>
      <c r="G145" s="52">
        <v>0</v>
      </c>
      <c r="H145" s="51">
        <f>F145*G145</f>
        <v>0</v>
      </c>
      <c r="J145" s="41"/>
      <c r="Z145" s="51">
        <f>IF(AQ145="5",BJ145,0)</f>
        <v>0</v>
      </c>
      <c r="AB145" s="51">
        <f>IF(AQ145="1",BH145,0)</f>
        <v>0</v>
      </c>
      <c r="AC145" s="51">
        <f>IF(AQ145="1",BI145,0)</f>
        <v>0</v>
      </c>
      <c r="AD145" s="51">
        <f>IF(AQ145="7",BH145,0)</f>
        <v>0</v>
      </c>
      <c r="AE145" s="51">
        <f>IF(AQ145="7",BI145,0)</f>
        <v>0</v>
      </c>
      <c r="AF145" s="51">
        <f>IF(AQ145="2",BH145,0)</f>
        <v>0</v>
      </c>
      <c r="AG145" s="51">
        <f>IF(AQ145="2",BI145,0)</f>
        <v>0</v>
      </c>
      <c r="AH145" s="51">
        <f>IF(AQ145="0",BJ145,0)</f>
        <v>0</v>
      </c>
      <c r="AI145" s="35" t="s">
        <v>4</v>
      </c>
      <c r="AJ145" s="51">
        <f>IF(AN145=0,H145,0)</f>
        <v>0</v>
      </c>
      <c r="AK145" s="51">
        <f>IF(AN145=12,H145,0)</f>
        <v>0</v>
      </c>
      <c r="AL145" s="51">
        <f>IF(AN145=21,H145,0)</f>
        <v>0</v>
      </c>
      <c r="AN145" s="51">
        <v>12</v>
      </c>
      <c r="AO145" s="51">
        <f>G145*0.015294118</f>
        <v>0</v>
      </c>
      <c r="AP145" s="51">
        <f>G145*(1-0.015294118)</f>
        <v>0</v>
      </c>
      <c r="AQ145" s="53" t="s">
        <v>151</v>
      </c>
      <c r="AV145" s="51">
        <f>AW145+AX145</f>
        <v>0</v>
      </c>
      <c r="AW145" s="51">
        <f>F145*AO145</f>
        <v>0</v>
      </c>
      <c r="AX145" s="51">
        <f>F145*AP145</f>
        <v>0</v>
      </c>
      <c r="AY145" s="53" t="s">
        <v>390</v>
      </c>
      <c r="AZ145" s="53" t="s">
        <v>357</v>
      </c>
      <c r="BA145" s="35" t="s">
        <v>117</v>
      </c>
      <c r="BC145" s="51">
        <f>AW145+AX145</f>
        <v>0</v>
      </c>
      <c r="BD145" s="51">
        <f>G145/(100-BE145)*100</f>
        <v>0</v>
      </c>
      <c r="BE145" s="51">
        <v>0</v>
      </c>
      <c r="BF145" s="51">
        <f>145</f>
        <v>145</v>
      </c>
      <c r="BH145" s="51">
        <f>F145*AO145</f>
        <v>0</v>
      </c>
      <c r="BI145" s="51">
        <f>F145*AP145</f>
        <v>0</v>
      </c>
      <c r="BJ145" s="51">
        <f>F145*G145</f>
        <v>0</v>
      </c>
      <c r="BK145" s="51"/>
      <c r="BL145" s="51">
        <v>722</v>
      </c>
      <c r="BW145" s="51">
        <v>12</v>
      </c>
      <c r="BX145" s="3" t="s">
        <v>416</v>
      </c>
    </row>
    <row r="146" spans="1:76">
      <c r="A146" s="1" t="s">
        <v>417</v>
      </c>
      <c r="B146" s="2" t="s">
        <v>418</v>
      </c>
      <c r="C146" s="75" t="s">
        <v>419</v>
      </c>
      <c r="D146" s="70"/>
      <c r="E146" s="2" t="s">
        <v>288</v>
      </c>
      <c r="F146" s="51">
        <v>3.2000000000000001E-2</v>
      </c>
      <c r="G146" s="52">
        <v>0</v>
      </c>
      <c r="H146" s="51">
        <f>F146*G146</f>
        <v>0</v>
      </c>
      <c r="J146" s="41"/>
      <c r="Z146" s="51">
        <f>IF(AQ146="5",BJ146,0)</f>
        <v>0</v>
      </c>
      <c r="AB146" s="51">
        <f>IF(AQ146="1",BH146,0)</f>
        <v>0</v>
      </c>
      <c r="AC146" s="51">
        <f>IF(AQ146="1",BI146,0)</f>
        <v>0</v>
      </c>
      <c r="AD146" s="51">
        <f>IF(AQ146="7",BH146,0)</f>
        <v>0</v>
      </c>
      <c r="AE146" s="51">
        <f>IF(AQ146="7",BI146,0)</f>
        <v>0</v>
      </c>
      <c r="AF146" s="51">
        <f>IF(AQ146="2",BH146,0)</f>
        <v>0</v>
      </c>
      <c r="AG146" s="51">
        <f>IF(AQ146="2",BI146,0)</f>
        <v>0</v>
      </c>
      <c r="AH146" s="51">
        <f>IF(AQ146="0",BJ146,0)</f>
        <v>0</v>
      </c>
      <c r="AI146" s="35" t="s">
        <v>4</v>
      </c>
      <c r="AJ146" s="51">
        <f>IF(AN146=0,H146,0)</f>
        <v>0</v>
      </c>
      <c r="AK146" s="51">
        <f>IF(AN146=12,H146,0)</f>
        <v>0</v>
      </c>
      <c r="AL146" s="51">
        <f>IF(AN146=21,H146,0)</f>
        <v>0</v>
      </c>
      <c r="AN146" s="51">
        <v>12</v>
      </c>
      <c r="AO146" s="51">
        <f>G146*0</f>
        <v>0</v>
      </c>
      <c r="AP146" s="51">
        <f>G146*(1-0)</f>
        <v>0</v>
      </c>
      <c r="AQ146" s="53" t="s">
        <v>139</v>
      </c>
      <c r="AV146" s="51">
        <f>AW146+AX146</f>
        <v>0</v>
      </c>
      <c r="AW146" s="51">
        <f>F146*AO146</f>
        <v>0</v>
      </c>
      <c r="AX146" s="51">
        <f>F146*AP146</f>
        <v>0</v>
      </c>
      <c r="AY146" s="53" t="s">
        <v>390</v>
      </c>
      <c r="AZ146" s="53" t="s">
        <v>357</v>
      </c>
      <c r="BA146" s="35" t="s">
        <v>117</v>
      </c>
      <c r="BC146" s="51">
        <f>AW146+AX146</f>
        <v>0</v>
      </c>
      <c r="BD146" s="51">
        <f>G146/(100-BE146)*100</f>
        <v>0</v>
      </c>
      <c r="BE146" s="51">
        <v>0</v>
      </c>
      <c r="BF146" s="51">
        <f>146</f>
        <v>146</v>
      </c>
      <c r="BH146" s="51">
        <f>F146*AO146</f>
        <v>0</v>
      </c>
      <c r="BI146" s="51">
        <f>F146*AP146</f>
        <v>0</v>
      </c>
      <c r="BJ146" s="51">
        <f>F146*G146</f>
        <v>0</v>
      </c>
      <c r="BK146" s="51"/>
      <c r="BL146" s="51">
        <v>722</v>
      </c>
      <c r="BW146" s="51">
        <v>12</v>
      </c>
      <c r="BX146" s="3" t="s">
        <v>419</v>
      </c>
    </row>
    <row r="147" spans="1:76">
      <c r="A147" s="47" t="s">
        <v>4</v>
      </c>
      <c r="B147" s="48" t="s">
        <v>420</v>
      </c>
      <c r="C147" s="150" t="s">
        <v>421</v>
      </c>
      <c r="D147" s="151"/>
      <c r="E147" s="49" t="s">
        <v>79</v>
      </c>
      <c r="F147" s="49" t="s">
        <v>79</v>
      </c>
      <c r="G147" s="50" t="s">
        <v>79</v>
      </c>
      <c r="H147" s="28">
        <f>SUM(H148:H166)</f>
        <v>0</v>
      </c>
      <c r="J147" s="41"/>
      <c r="AI147" s="35" t="s">
        <v>4</v>
      </c>
      <c r="AS147" s="28">
        <f>SUM(AJ148:AJ166)</f>
        <v>0</v>
      </c>
      <c r="AT147" s="28">
        <f>SUM(AK148:AK166)</f>
        <v>0</v>
      </c>
      <c r="AU147" s="28">
        <f>SUM(AL148:AL166)</f>
        <v>0</v>
      </c>
    </row>
    <row r="148" spans="1:76">
      <c r="A148" s="1" t="s">
        <v>422</v>
      </c>
      <c r="B148" s="2" t="s">
        <v>423</v>
      </c>
      <c r="C148" s="75" t="s">
        <v>424</v>
      </c>
      <c r="D148" s="70"/>
      <c r="E148" s="2" t="s">
        <v>425</v>
      </c>
      <c r="F148" s="51">
        <v>1</v>
      </c>
      <c r="G148" s="52">
        <v>0</v>
      </c>
      <c r="H148" s="51">
        <f t="shared" ref="H148:H154" si="40">F148*G148</f>
        <v>0</v>
      </c>
      <c r="J148" s="41"/>
      <c r="Z148" s="51">
        <f t="shared" ref="Z148:Z154" si="41">IF(AQ148="5",BJ148,0)</f>
        <v>0</v>
      </c>
      <c r="AB148" s="51">
        <f t="shared" ref="AB148:AB154" si="42">IF(AQ148="1",BH148,0)</f>
        <v>0</v>
      </c>
      <c r="AC148" s="51">
        <f t="shared" ref="AC148:AC154" si="43">IF(AQ148="1",BI148,0)</f>
        <v>0</v>
      </c>
      <c r="AD148" s="51">
        <f t="shared" ref="AD148:AD154" si="44">IF(AQ148="7",BH148,0)</f>
        <v>0</v>
      </c>
      <c r="AE148" s="51">
        <f t="shared" ref="AE148:AE154" si="45">IF(AQ148="7",BI148,0)</f>
        <v>0</v>
      </c>
      <c r="AF148" s="51">
        <f t="shared" ref="AF148:AF154" si="46">IF(AQ148="2",BH148,0)</f>
        <v>0</v>
      </c>
      <c r="AG148" s="51">
        <f t="shared" ref="AG148:AG154" si="47">IF(AQ148="2",BI148,0)</f>
        <v>0</v>
      </c>
      <c r="AH148" s="51">
        <f t="shared" ref="AH148:AH154" si="48">IF(AQ148="0",BJ148,0)</f>
        <v>0</v>
      </c>
      <c r="AI148" s="35" t="s">
        <v>4</v>
      </c>
      <c r="AJ148" s="51">
        <f t="shared" ref="AJ148:AJ154" si="49">IF(AN148=0,H148,0)</f>
        <v>0</v>
      </c>
      <c r="AK148" s="51">
        <f t="shared" ref="AK148:AK154" si="50">IF(AN148=12,H148,0)</f>
        <v>0</v>
      </c>
      <c r="AL148" s="51">
        <f t="shared" ref="AL148:AL154" si="51">IF(AN148=21,H148,0)</f>
        <v>0</v>
      </c>
      <c r="AN148" s="51">
        <v>12</v>
      </c>
      <c r="AO148" s="51">
        <f>G148*0.154873047</f>
        <v>0</v>
      </c>
      <c r="AP148" s="51">
        <f>G148*(1-0.154873047)</f>
        <v>0</v>
      </c>
      <c r="AQ148" s="53" t="s">
        <v>151</v>
      </c>
      <c r="AV148" s="51">
        <f t="shared" ref="AV148:AV154" si="52">AW148+AX148</f>
        <v>0</v>
      </c>
      <c r="AW148" s="51">
        <f t="shared" ref="AW148:AW154" si="53">F148*AO148</f>
        <v>0</v>
      </c>
      <c r="AX148" s="51">
        <f t="shared" ref="AX148:AX154" si="54">F148*AP148</f>
        <v>0</v>
      </c>
      <c r="AY148" s="53" t="s">
        <v>426</v>
      </c>
      <c r="AZ148" s="53" t="s">
        <v>357</v>
      </c>
      <c r="BA148" s="35" t="s">
        <v>117</v>
      </c>
      <c r="BC148" s="51">
        <f t="shared" ref="BC148:BC154" si="55">AW148+AX148</f>
        <v>0</v>
      </c>
      <c r="BD148" s="51">
        <f t="shared" ref="BD148:BD154" si="56">G148/(100-BE148)*100</f>
        <v>0</v>
      </c>
      <c r="BE148" s="51">
        <v>0</v>
      </c>
      <c r="BF148" s="51">
        <f>148</f>
        <v>148</v>
      </c>
      <c r="BH148" s="51">
        <f t="shared" ref="BH148:BH154" si="57">F148*AO148</f>
        <v>0</v>
      </c>
      <c r="BI148" s="51">
        <f t="shared" ref="BI148:BI154" si="58">F148*AP148</f>
        <v>0</v>
      </c>
      <c r="BJ148" s="51">
        <f t="shared" ref="BJ148:BJ154" si="59">F148*G148</f>
        <v>0</v>
      </c>
      <c r="BK148" s="51"/>
      <c r="BL148" s="51">
        <v>725</v>
      </c>
      <c r="BW148" s="51">
        <v>12</v>
      </c>
      <c r="BX148" s="3" t="s">
        <v>424</v>
      </c>
    </row>
    <row r="149" spans="1:76">
      <c r="A149" s="1" t="s">
        <v>427</v>
      </c>
      <c r="B149" s="2" t="s">
        <v>428</v>
      </c>
      <c r="C149" s="75" t="s">
        <v>429</v>
      </c>
      <c r="D149" s="70"/>
      <c r="E149" s="2" t="s">
        <v>425</v>
      </c>
      <c r="F149" s="51">
        <v>1</v>
      </c>
      <c r="G149" s="52">
        <v>0</v>
      </c>
      <c r="H149" s="51">
        <f t="shared" si="40"/>
        <v>0</v>
      </c>
      <c r="J149" s="41"/>
      <c r="Z149" s="51">
        <f t="shared" si="41"/>
        <v>0</v>
      </c>
      <c r="AB149" s="51">
        <f t="shared" si="42"/>
        <v>0</v>
      </c>
      <c r="AC149" s="51">
        <f t="shared" si="43"/>
        <v>0</v>
      </c>
      <c r="AD149" s="51">
        <f t="shared" si="44"/>
        <v>0</v>
      </c>
      <c r="AE149" s="51">
        <f t="shared" si="45"/>
        <v>0</v>
      </c>
      <c r="AF149" s="51">
        <f t="shared" si="46"/>
        <v>0</v>
      </c>
      <c r="AG149" s="51">
        <f t="shared" si="47"/>
        <v>0</v>
      </c>
      <c r="AH149" s="51">
        <f t="shared" si="48"/>
        <v>0</v>
      </c>
      <c r="AI149" s="35" t="s">
        <v>4</v>
      </c>
      <c r="AJ149" s="51">
        <f t="shared" si="49"/>
        <v>0</v>
      </c>
      <c r="AK149" s="51">
        <f t="shared" si="50"/>
        <v>0</v>
      </c>
      <c r="AL149" s="51">
        <f t="shared" si="51"/>
        <v>0</v>
      </c>
      <c r="AN149" s="51">
        <v>12</v>
      </c>
      <c r="AO149" s="51">
        <f>G149*0.689555556</f>
        <v>0</v>
      </c>
      <c r="AP149" s="51">
        <f>G149*(1-0.689555556)</f>
        <v>0</v>
      </c>
      <c r="AQ149" s="53" t="s">
        <v>151</v>
      </c>
      <c r="AV149" s="51">
        <f t="shared" si="52"/>
        <v>0</v>
      </c>
      <c r="AW149" s="51">
        <f t="shared" si="53"/>
        <v>0</v>
      </c>
      <c r="AX149" s="51">
        <f t="shared" si="54"/>
        <v>0</v>
      </c>
      <c r="AY149" s="53" t="s">
        <v>426</v>
      </c>
      <c r="AZ149" s="53" t="s">
        <v>357</v>
      </c>
      <c r="BA149" s="35" t="s">
        <v>117</v>
      </c>
      <c r="BC149" s="51">
        <f t="shared" si="55"/>
        <v>0</v>
      </c>
      <c r="BD149" s="51">
        <f t="shared" si="56"/>
        <v>0</v>
      </c>
      <c r="BE149" s="51">
        <v>0</v>
      </c>
      <c r="BF149" s="51">
        <f>149</f>
        <v>149</v>
      </c>
      <c r="BH149" s="51">
        <f t="shared" si="57"/>
        <v>0</v>
      </c>
      <c r="BI149" s="51">
        <f t="shared" si="58"/>
        <v>0</v>
      </c>
      <c r="BJ149" s="51">
        <f t="shared" si="59"/>
        <v>0</v>
      </c>
      <c r="BK149" s="51"/>
      <c r="BL149" s="51">
        <v>725</v>
      </c>
      <c r="BW149" s="51">
        <v>12</v>
      </c>
      <c r="BX149" s="3" t="s">
        <v>429</v>
      </c>
    </row>
    <row r="150" spans="1:76">
      <c r="A150" s="1" t="s">
        <v>430</v>
      </c>
      <c r="B150" s="2" t="s">
        <v>431</v>
      </c>
      <c r="C150" s="75" t="s">
        <v>432</v>
      </c>
      <c r="D150" s="70"/>
      <c r="E150" s="2" t="s">
        <v>130</v>
      </c>
      <c r="F150" s="51">
        <v>1</v>
      </c>
      <c r="G150" s="52">
        <v>0</v>
      </c>
      <c r="H150" s="51">
        <f t="shared" si="40"/>
        <v>0</v>
      </c>
      <c r="J150" s="41"/>
      <c r="Z150" s="51">
        <f t="shared" si="41"/>
        <v>0</v>
      </c>
      <c r="AB150" s="51">
        <f t="shared" si="42"/>
        <v>0</v>
      </c>
      <c r="AC150" s="51">
        <f t="shared" si="43"/>
        <v>0</v>
      </c>
      <c r="AD150" s="51">
        <f t="shared" si="44"/>
        <v>0</v>
      </c>
      <c r="AE150" s="51">
        <f t="shared" si="45"/>
        <v>0</v>
      </c>
      <c r="AF150" s="51">
        <f t="shared" si="46"/>
        <v>0</v>
      </c>
      <c r="AG150" s="51">
        <f t="shared" si="47"/>
        <v>0</v>
      </c>
      <c r="AH150" s="51">
        <f t="shared" si="48"/>
        <v>0</v>
      </c>
      <c r="AI150" s="35" t="s">
        <v>4</v>
      </c>
      <c r="AJ150" s="51">
        <f t="shared" si="49"/>
        <v>0</v>
      </c>
      <c r="AK150" s="51">
        <f t="shared" si="50"/>
        <v>0</v>
      </c>
      <c r="AL150" s="51">
        <f t="shared" si="51"/>
        <v>0</v>
      </c>
      <c r="AN150" s="51">
        <v>12</v>
      </c>
      <c r="AO150" s="51">
        <f>G150*0.672366589</f>
        <v>0</v>
      </c>
      <c r="AP150" s="51">
        <f>G150*(1-0.672366589)</f>
        <v>0</v>
      </c>
      <c r="AQ150" s="53" t="s">
        <v>151</v>
      </c>
      <c r="AV150" s="51">
        <f t="shared" si="52"/>
        <v>0</v>
      </c>
      <c r="AW150" s="51">
        <f t="shared" si="53"/>
        <v>0</v>
      </c>
      <c r="AX150" s="51">
        <f t="shared" si="54"/>
        <v>0</v>
      </c>
      <c r="AY150" s="53" t="s">
        <v>426</v>
      </c>
      <c r="AZ150" s="53" t="s">
        <v>357</v>
      </c>
      <c r="BA150" s="35" t="s">
        <v>117</v>
      </c>
      <c r="BC150" s="51">
        <f t="shared" si="55"/>
        <v>0</v>
      </c>
      <c r="BD150" s="51">
        <f t="shared" si="56"/>
        <v>0</v>
      </c>
      <c r="BE150" s="51">
        <v>0</v>
      </c>
      <c r="BF150" s="51">
        <f>150</f>
        <v>150</v>
      </c>
      <c r="BH150" s="51">
        <f t="shared" si="57"/>
        <v>0</v>
      </c>
      <c r="BI150" s="51">
        <f t="shared" si="58"/>
        <v>0</v>
      </c>
      <c r="BJ150" s="51">
        <f t="shared" si="59"/>
        <v>0</v>
      </c>
      <c r="BK150" s="51"/>
      <c r="BL150" s="51">
        <v>725</v>
      </c>
      <c r="BW150" s="51">
        <v>12</v>
      </c>
      <c r="BX150" s="3" t="s">
        <v>432</v>
      </c>
    </row>
    <row r="151" spans="1:76">
      <c r="A151" s="1" t="s">
        <v>433</v>
      </c>
      <c r="B151" s="2" t="s">
        <v>434</v>
      </c>
      <c r="C151" s="75" t="s">
        <v>435</v>
      </c>
      <c r="D151" s="70"/>
      <c r="E151" s="2" t="s">
        <v>130</v>
      </c>
      <c r="F151" s="51">
        <v>1</v>
      </c>
      <c r="G151" s="52">
        <v>0</v>
      </c>
      <c r="H151" s="51">
        <f t="shared" si="40"/>
        <v>0</v>
      </c>
      <c r="J151" s="41"/>
      <c r="Z151" s="51">
        <f t="shared" si="41"/>
        <v>0</v>
      </c>
      <c r="AB151" s="51">
        <f t="shared" si="42"/>
        <v>0</v>
      </c>
      <c r="AC151" s="51">
        <f t="shared" si="43"/>
        <v>0</v>
      </c>
      <c r="AD151" s="51">
        <f t="shared" si="44"/>
        <v>0</v>
      </c>
      <c r="AE151" s="51">
        <f t="shared" si="45"/>
        <v>0</v>
      </c>
      <c r="AF151" s="51">
        <f t="shared" si="46"/>
        <v>0</v>
      </c>
      <c r="AG151" s="51">
        <f t="shared" si="47"/>
        <v>0</v>
      </c>
      <c r="AH151" s="51">
        <f t="shared" si="48"/>
        <v>0</v>
      </c>
      <c r="AI151" s="35" t="s">
        <v>4</v>
      </c>
      <c r="AJ151" s="51">
        <f t="shared" si="49"/>
        <v>0</v>
      </c>
      <c r="AK151" s="51">
        <f t="shared" si="50"/>
        <v>0</v>
      </c>
      <c r="AL151" s="51">
        <f t="shared" si="51"/>
        <v>0</v>
      </c>
      <c r="AN151" s="51">
        <v>12</v>
      </c>
      <c r="AO151" s="51">
        <f>G151*0.530083195</f>
        <v>0</v>
      </c>
      <c r="AP151" s="51">
        <f>G151*(1-0.530083195)</f>
        <v>0</v>
      </c>
      <c r="AQ151" s="53" t="s">
        <v>151</v>
      </c>
      <c r="AV151" s="51">
        <f t="shared" si="52"/>
        <v>0</v>
      </c>
      <c r="AW151" s="51">
        <f t="shared" si="53"/>
        <v>0</v>
      </c>
      <c r="AX151" s="51">
        <f t="shared" si="54"/>
        <v>0</v>
      </c>
      <c r="AY151" s="53" t="s">
        <v>426</v>
      </c>
      <c r="AZ151" s="53" t="s">
        <v>357</v>
      </c>
      <c r="BA151" s="35" t="s">
        <v>117</v>
      </c>
      <c r="BC151" s="51">
        <f t="shared" si="55"/>
        <v>0</v>
      </c>
      <c r="BD151" s="51">
        <f t="shared" si="56"/>
        <v>0</v>
      </c>
      <c r="BE151" s="51">
        <v>0</v>
      </c>
      <c r="BF151" s="51">
        <f>151</f>
        <v>151</v>
      </c>
      <c r="BH151" s="51">
        <f t="shared" si="57"/>
        <v>0</v>
      </c>
      <c r="BI151" s="51">
        <f t="shared" si="58"/>
        <v>0</v>
      </c>
      <c r="BJ151" s="51">
        <f t="shared" si="59"/>
        <v>0</v>
      </c>
      <c r="BK151" s="51"/>
      <c r="BL151" s="51">
        <v>725</v>
      </c>
      <c r="BW151" s="51">
        <v>12</v>
      </c>
      <c r="BX151" s="3" t="s">
        <v>435</v>
      </c>
    </row>
    <row r="152" spans="1:76">
      <c r="A152" s="1" t="s">
        <v>436</v>
      </c>
      <c r="B152" s="2" t="s">
        <v>437</v>
      </c>
      <c r="C152" s="75" t="s">
        <v>438</v>
      </c>
      <c r="D152" s="70"/>
      <c r="E152" s="2" t="s">
        <v>130</v>
      </c>
      <c r="F152" s="51">
        <v>2</v>
      </c>
      <c r="G152" s="52">
        <v>0</v>
      </c>
      <c r="H152" s="51">
        <f t="shared" si="40"/>
        <v>0</v>
      </c>
      <c r="J152" s="41"/>
      <c r="Z152" s="51">
        <f t="shared" si="41"/>
        <v>0</v>
      </c>
      <c r="AB152" s="51">
        <f t="shared" si="42"/>
        <v>0</v>
      </c>
      <c r="AC152" s="51">
        <f t="shared" si="43"/>
        <v>0</v>
      </c>
      <c r="AD152" s="51">
        <f t="shared" si="44"/>
        <v>0</v>
      </c>
      <c r="AE152" s="51">
        <f t="shared" si="45"/>
        <v>0</v>
      </c>
      <c r="AF152" s="51">
        <f t="shared" si="46"/>
        <v>0</v>
      </c>
      <c r="AG152" s="51">
        <f t="shared" si="47"/>
        <v>0</v>
      </c>
      <c r="AH152" s="51">
        <f t="shared" si="48"/>
        <v>0</v>
      </c>
      <c r="AI152" s="35" t="s">
        <v>4</v>
      </c>
      <c r="AJ152" s="51">
        <f t="shared" si="49"/>
        <v>0</v>
      </c>
      <c r="AK152" s="51">
        <f t="shared" si="50"/>
        <v>0</v>
      </c>
      <c r="AL152" s="51">
        <f t="shared" si="51"/>
        <v>0</v>
      </c>
      <c r="AN152" s="51">
        <v>12</v>
      </c>
      <c r="AO152" s="51">
        <f>G152*0.033347196</f>
        <v>0</v>
      </c>
      <c r="AP152" s="51">
        <f>G152*(1-0.033347196)</f>
        <v>0</v>
      </c>
      <c r="AQ152" s="53" t="s">
        <v>151</v>
      </c>
      <c r="AV152" s="51">
        <f t="shared" si="52"/>
        <v>0</v>
      </c>
      <c r="AW152" s="51">
        <f t="shared" si="53"/>
        <v>0</v>
      </c>
      <c r="AX152" s="51">
        <f t="shared" si="54"/>
        <v>0</v>
      </c>
      <c r="AY152" s="53" t="s">
        <v>426</v>
      </c>
      <c r="AZ152" s="53" t="s">
        <v>357</v>
      </c>
      <c r="BA152" s="35" t="s">
        <v>117</v>
      </c>
      <c r="BC152" s="51">
        <f t="shared" si="55"/>
        <v>0</v>
      </c>
      <c r="BD152" s="51">
        <f t="shared" si="56"/>
        <v>0</v>
      </c>
      <c r="BE152" s="51">
        <v>0</v>
      </c>
      <c r="BF152" s="51">
        <f>152</f>
        <v>152</v>
      </c>
      <c r="BH152" s="51">
        <f t="shared" si="57"/>
        <v>0</v>
      </c>
      <c r="BI152" s="51">
        <f t="shared" si="58"/>
        <v>0</v>
      </c>
      <c r="BJ152" s="51">
        <f t="shared" si="59"/>
        <v>0</v>
      </c>
      <c r="BK152" s="51"/>
      <c r="BL152" s="51">
        <v>725</v>
      </c>
      <c r="BW152" s="51">
        <v>12</v>
      </c>
      <c r="BX152" s="3" t="s">
        <v>438</v>
      </c>
    </row>
    <row r="153" spans="1:76">
      <c r="A153" s="1" t="s">
        <v>439</v>
      </c>
      <c r="B153" s="2" t="s">
        <v>440</v>
      </c>
      <c r="C153" s="75" t="s">
        <v>441</v>
      </c>
      <c r="D153" s="70"/>
      <c r="E153" s="2" t="s">
        <v>130</v>
      </c>
      <c r="F153" s="51">
        <v>1</v>
      </c>
      <c r="G153" s="52">
        <v>0</v>
      </c>
      <c r="H153" s="51">
        <f t="shared" si="40"/>
        <v>0</v>
      </c>
      <c r="J153" s="41"/>
      <c r="Z153" s="51">
        <f t="shared" si="41"/>
        <v>0</v>
      </c>
      <c r="AB153" s="51">
        <f t="shared" si="42"/>
        <v>0</v>
      </c>
      <c r="AC153" s="51">
        <f t="shared" si="43"/>
        <v>0</v>
      </c>
      <c r="AD153" s="51">
        <f t="shared" si="44"/>
        <v>0</v>
      </c>
      <c r="AE153" s="51">
        <f t="shared" si="45"/>
        <v>0</v>
      </c>
      <c r="AF153" s="51">
        <f t="shared" si="46"/>
        <v>0</v>
      </c>
      <c r="AG153" s="51">
        <f t="shared" si="47"/>
        <v>0</v>
      </c>
      <c r="AH153" s="51">
        <f t="shared" si="48"/>
        <v>0</v>
      </c>
      <c r="AI153" s="35" t="s">
        <v>4</v>
      </c>
      <c r="AJ153" s="51">
        <f t="shared" si="49"/>
        <v>0</v>
      </c>
      <c r="AK153" s="51">
        <f t="shared" si="50"/>
        <v>0</v>
      </c>
      <c r="AL153" s="51">
        <f t="shared" si="51"/>
        <v>0</v>
      </c>
      <c r="AN153" s="51">
        <v>12</v>
      </c>
      <c r="AO153" s="51">
        <f>G153*0.216601901</f>
        <v>0</v>
      </c>
      <c r="AP153" s="51">
        <f>G153*(1-0.216601901)</f>
        <v>0</v>
      </c>
      <c r="AQ153" s="53" t="s">
        <v>151</v>
      </c>
      <c r="AV153" s="51">
        <f t="shared" si="52"/>
        <v>0</v>
      </c>
      <c r="AW153" s="51">
        <f t="shared" si="53"/>
        <v>0</v>
      </c>
      <c r="AX153" s="51">
        <f t="shared" si="54"/>
        <v>0</v>
      </c>
      <c r="AY153" s="53" t="s">
        <v>426</v>
      </c>
      <c r="AZ153" s="53" t="s">
        <v>357</v>
      </c>
      <c r="BA153" s="35" t="s">
        <v>117</v>
      </c>
      <c r="BC153" s="51">
        <f t="shared" si="55"/>
        <v>0</v>
      </c>
      <c r="BD153" s="51">
        <f t="shared" si="56"/>
        <v>0</v>
      </c>
      <c r="BE153" s="51">
        <v>0</v>
      </c>
      <c r="BF153" s="51">
        <f>153</f>
        <v>153</v>
      </c>
      <c r="BH153" s="51">
        <f t="shared" si="57"/>
        <v>0</v>
      </c>
      <c r="BI153" s="51">
        <f t="shared" si="58"/>
        <v>0</v>
      </c>
      <c r="BJ153" s="51">
        <f t="shared" si="59"/>
        <v>0</v>
      </c>
      <c r="BK153" s="51"/>
      <c r="BL153" s="51">
        <v>725</v>
      </c>
      <c r="BW153" s="51">
        <v>12</v>
      </c>
      <c r="BX153" s="3" t="s">
        <v>441</v>
      </c>
    </row>
    <row r="154" spans="1:76">
      <c r="A154" s="1" t="s">
        <v>442</v>
      </c>
      <c r="B154" s="2" t="s">
        <v>443</v>
      </c>
      <c r="C154" s="75" t="s">
        <v>444</v>
      </c>
      <c r="D154" s="70"/>
      <c r="E154" s="2" t="s">
        <v>130</v>
      </c>
      <c r="F154" s="51">
        <v>1</v>
      </c>
      <c r="G154" s="52">
        <v>0</v>
      </c>
      <c r="H154" s="51">
        <f t="shared" si="40"/>
        <v>0</v>
      </c>
      <c r="J154" s="41"/>
      <c r="Z154" s="51">
        <f t="shared" si="41"/>
        <v>0</v>
      </c>
      <c r="AB154" s="51">
        <f t="shared" si="42"/>
        <v>0</v>
      </c>
      <c r="AC154" s="51">
        <f t="shared" si="43"/>
        <v>0</v>
      </c>
      <c r="AD154" s="51">
        <f t="shared" si="44"/>
        <v>0</v>
      </c>
      <c r="AE154" s="51">
        <f t="shared" si="45"/>
        <v>0</v>
      </c>
      <c r="AF154" s="51">
        <f t="shared" si="46"/>
        <v>0</v>
      </c>
      <c r="AG154" s="51">
        <f t="shared" si="47"/>
        <v>0</v>
      </c>
      <c r="AH154" s="51">
        <f t="shared" si="48"/>
        <v>0</v>
      </c>
      <c r="AI154" s="35" t="s">
        <v>4</v>
      </c>
      <c r="AJ154" s="51">
        <f t="shared" si="49"/>
        <v>0</v>
      </c>
      <c r="AK154" s="51">
        <f t="shared" si="50"/>
        <v>0</v>
      </c>
      <c r="AL154" s="51">
        <f t="shared" si="51"/>
        <v>0</v>
      </c>
      <c r="AN154" s="51">
        <v>12</v>
      </c>
      <c r="AO154" s="51">
        <f>G154*0.915036101</f>
        <v>0</v>
      </c>
      <c r="AP154" s="51">
        <f>G154*(1-0.915036101)</f>
        <v>0</v>
      </c>
      <c r="AQ154" s="53" t="s">
        <v>151</v>
      </c>
      <c r="AV154" s="51">
        <f t="shared" si="52"/>
        <v>0</v>
      </c>
      <c r="AW154" s="51">
        <f t="shared" si="53"/>
        <v>0</v>
      </c>
      <c r="AX154" s="51">
        <f t="shared" si="54"/>
        <v>0</v>
      </c>
      <c r="AY154" s="53" t="s">
        <v>426</v>
      </c>
      <c r="AZ154" s="53" t="s">
        <v>357</v>
      </c>
      <c r="BA154" s="35" t="s">
        <v>117</v>
      </c>
      <c r="BC154" s="51">
        <f t="shared" si="55"/>
        <v>0</v>
      </c>
      <c r="BD154" s="51">
        <f t="shared" si="56"/>
        <v>0</v>
      </c>
      <c r="BE154" s="51">
        <v>0</v>
      </c>
      <c r="BF154" s="51">
        <f>154</f>
        <v>154</v>
      </c>
      <c r="BH154" s="51">
        <f t="shared" si="57"/>
        <v>0</v>
      </c>
      <c r="BI154" s="51">
        <f t="shared" si="58"/>
        <v>0</v>
      </c>
      <c r="BJ154" s="51">
        <f t="shared" si="59"/>
        <v>0</v>
      </c>
      <c r="BK154" s="51"/>
      <c r="BL154" s="51">
        <v>725</v>
      </c>
      <c r="BW154" s="51">
        <v>12</v>
      </c>
      <c r="BX154" s="3" t="s">
        <v>444</v>
      </c>
    </row>
    <row r="155" spans="1:76" ht="13.5" customHeight="1">
      <c r="A155" s="54"/>
      <c r="B155" s="58" t="s">
        <v>131</v>
      </c>
      <c r="C155" s="152" t="s">
        <v>445</v>
      </c>
      <c r="D155" s="153"/>
      <c r="E155" s="153"/>
      <c r="F155" s="153"/>
      <c r="G155" s="154"/>
      <c r="H155" s="153"/>
      <c r="I155" s="153"/>
      <c r="J155" s="155"/>
    </row>
    <row r="156" spans="1:76">
      <c r="A156" s="1" t="s">
        <v>446</v>
      </c>
      <c r="B156" s="2" t="s">
        <v>447</v>
      </c>
      <c r="C156" s="75" t="s">
        <v>448</v>
      </c>
      <c r="D156" s="70"/>
      <c r="E156" s="2" t="s">
        <v>130</v>
      </c>
      <c r="F156" s="51">
        <v>1</v>
      </c>
      <c r="G156" s="52">
        <v>0</v>
      </c>
      <c r="H156" s="51">
        <f t="shared" ref="H156:H166" si="60">F156*G156</f>
        <v>0</v>
      </c>
      <c r="J156" s="41"/>
      <c r="Z156" s="51">
        <f t="shared" ref="Z156:Z166" si="61">IF(AQ156="5",BJ156,0)</f>
        <v>0</v>
      </c>
      <c r="AB156" s="51">
        <f t="shared" ref="AB156:AB166" si="62">IF(AQ156="1",BH156,0)</f>
        <v>0</v>
      </c>
      <c r="AC156" s="51">
        <f t="shared" ref="AC156:AC166" si="63">IF(AQ156="1",BI156,0)</f>
        <v>0</v>
      </c>
      <c r="AD156" s="51">
        <f t="shared" ref="AD156:AD166" si="64">IF(AQ156="7",BH156,0)</f>
        <v>0</v>
      </c>
      <c r="AE156" s="51">
        <f t="shared" ref="AE156:AE166" si="65">IF(AQ156="7",BI156,0)</f>
        <v>0</v>
      </c>
      <c r="AF156" s="51">
        <f t="shared" ref="AF156:AF166" si="66">IF(AQ156="2",BH156,0)</f>
        <v>0</v>
      </c>
      <c r="AG156" s="51">
        <f t="shared" ref="AG156:AG166" si="67">IF(AQ156="2",BI156,0)</f>
        <v>0</v>
      </c>
      <c r="AH156" s="51">
        <f t="shared" ref="AH156:AH166" si="68">IF(AQ156="0",BJ156,0)</f>
        <v>0</v>
      </c>
      <c r="AI156" s="35" t="s">
        <v>4</v>
      </c>
      <c r="AJ156" s="51">
        <f t="shared" ref="AJ156:AJ166" si="69">IF(AN156=0,H156,0)</f>
        <v>0</v>
      </c>
      <c r="AK156" s="51">
        <f t="shared" ref="AK156:AK166" si="70">IF(AN156=12,H156,0)</f>
        <v>0</v>
      </c>
      <c r="AL156" s="51">
        <f t="shared" ref="AL156:AL166" si="71">IF(AN156=21,H156,0)</f>
        <v>0</v>
      </c>
      <c r="AN156" s="51">
        <v>12</v>
      </c>
      <c r="AO156" s="51">
        <f>G156*0.828628641</f>
        <v>0</v>
      </c>
      <c r="AP156" s="51">
        <f>G156*(1-0.828628641)</f>
        <v>0</v>
      </c>
      <c r="AQ156" s="53" t="s">
        <v>151</v>
      </c>
      <c r="AV156" s="51">
        <f t="shared" ref="AV156:AV166" si="72">AW156+AX156</f>
        <v>0</v>
      </c>
      <c r="AW156" s="51">
        <f t="shared" ref="AW156:AW166" si="73">F156*AO156</f>
        <v>0</v>
      </c>
      <c r="AX156" s="51">
        <f t="shared" ref="AX156:AX166" si="74">F156*AP156</f>
        <v>0</v>
      </c>
      <c r="AY156" s="53" t="s">
        <v>426</v>
      </c>
      <c r="AZ156" s="53" t="s">
        <v>357</v>
      </c>
      <c r="BA156" s="35" t="s">
        <v>117</v>
      </c>
      <c r="BC156" s="51">
        <f t="shared" ref="BC156:BC166" si="75">AW156+AX156</f>
        <v>0</v>
      </c>
      <c r="BD156" s="51">
        <f t="shared" ref="BD156:BD166" si="76">G156/(100-BE156)*100</f>
        <v>0</v>
      </c>
      <c r="BE156" s="51">
        <v>0</v>
      </c>
      <c r="BF156" s="51">
        <f>156</f>
        <v>156</v>
      </c>
      <c r="BH156" s="51">
        <f t="shared" ref="BH156:BH166" si="77">F156*AO156</f>
        <v>0</v>
      </c>
      <c r="BI156" s="51">
        <f t="shared" ref="BI156:BI166" si="78">F156*AP156</f>
        <v>0</v>
      </c>
      <c r="BJ156" s="51">
        <f t="shared" ref="BJ156:BJ166" si="79">F156*G156</f>
        <v>0</v>
      </c>
      <c r="BK156" s="51"/>
      <c r="BL156" s="51">
        <v>725</v>
      </c>
      <c r="BW156" s="51">
        <v>12</v>
      </c>
      <c r="BX156" s="3" t="s">
        <v>448</v>
      </c>
    </row>
    <row r="157" spans="1:76">
      <c r="A157" s="1" t="s">
        <v>449</v>
      </c>
      <c r="B157" s="2" t="s">
        <v>450</v>
      </c>
      <c r="C157" s="75" t="s">
        <v>451</v>
      </c>
      <c r="D157" s="70"/>
      <c r="E157" s="2" t="s">
        <v>425</v>
      </c>
      <c r="F157" s="51">
        <v>4</v>
      </c>
      <c r="G157" s="52">
        <v>0</v>
      </c>
      <c r="H157" s="51">
        <f t="shared" si="60"/>
        <v>0</v>
      </c>
      <c r="J157" s="41"/>
      <c r="Z157" s="51">
        <f t="shared" si="61"/>
        <v>0</v>
      </c>
      <c r="AB157" s="51">
        <f t="shared" si="62"/>
        <v>0</v>
      </c>
      <c r="AC157" s="51">
        <f t="shared" si="63"/>
        <v>0</v>
      </c>
      <c r="AD157" s="51">
        <f t="shared" si="64"/>
        <v>0</v>
      </c>
      <c r="AE157" s="51">
        <f t="shared" si="65"/>
        <v>0</v>
      </c>
      <c r="AF157" s="51">
        <f t="shared" si="66"/>
        <v>0</v>
      </c>
      <c r="AG157" s="51">
        <f t="shared" si="67"/>
        <v>0</v>
      </c>
      <c r="AH157" s="51">
        <f t="shared" si="68"/>
        <v>0</v>
      </c>
      <c r="AI157" s="35" t="s">
        <v>4</v>
      </c>
      <c r="AJ157" s="51">
        <f t="shared" si="69"/>
        <v>0</v>
      </c>
      <c r="AK157" s="51">
        <f t="shared" si="70"/>
        <v>0</v>
      </c>
      <c r="AL157" s="51">
        <f t="shared" si="71"/>
        <v>0</v>
      </c>
      <c r="AN157" s="51">
        <v>12</v>
      </c>
      <c r="AO157" s="51">
        <f>G157*0.522710623</f>
        <v>0</v>
      </c>
      <c r="AP157" s="51">
        <f>G157*(1-0.522710623)</f>
        <v>0</v>
      </c>
      <c r="AQ157" s="53" t="s">
        <v>151</v>
      </c>
      <c r="AV157" s="51">
        <f t="shared" si="72"/>
        <v>0</v>
      </c>
      <c r="AW157" s="51">
        <f t="shared" si="73"/>
        <v>0</v>
      </c>
      <c r="AX157" s="51">
        <f t="shared" si="74"/>
        <v>0</v>
      </c>
      <c r="AY157" s="53" t="s">
        <v>426</v>
      </c>
      <c r="AZ157" s="53" t="s">
        <v>357</v>
      </c>
      <c r="BA157" s="35" t="s">
        <v>117</v>
      </c>
      <c r="BC157" s="51">
        <f t="shared" si="75"/>
        <v>0</v>
      </c>
      <c r="BD157" s="51">
        <f t="shared" si="76"/>
        <v>0</v>
      </c>
      <c r="BE157" s="51">
        <v>0</v>
      </c>
      <c r="BF157" s="51">
        <f>157</f>
        <v>157</v>
      </c>
      <c r="BH157" s="51">
        <f t="shared" si="77"/>
        <v>0</v>
      </c>
      <c r="BI157" s="51">
        <f t="shared" si="78"/>
        <v>0</v>
      </c>
      <c r="BJ157" s="51">
        <f t="shared" si="79"/>
        <v>0</v>
      </c>
      <c r="BK157" s="51"/>
      <c r="BL157" s="51">
        <v>725</v>
      </c>
      <c r="BW157" s="51">
        <v>12</v>
      </c>
      <c r="BX157" s="3" t="s">
        <v>451</v>
      </c>
    </row>
    <row r="158" spans="1:76">
      <c r="A158" s="1" t="s">
        <v>452</v>
      </c>
      <c r="B158" s="2" t="s">
        <v>453</v>
      </c>
      <c r="C158" s="75" t="s">
        <v>454</v>
      </c>
      <c r="D158" s="70"/>
      <c r="E158" s="2" t="s">
        <v>130</v>
      </c>
      <c r="F158" s="51">
        <v>2</v>
      </c>
      <c r="G158" s="52">
        <v>0</v>
      </c>
      <c r="H158" s="51">
        <f t="shared" si="60"/>
        <v>0</v>
      </c>
      <c r="J158" s="41"/>
      <c r="Z158" s="51">
        <f t="shared" si="61"/>
        <v>0</v>
      </c>
      <c r="AB158" s="51">
        <f t="shared" si="62"/>
        <v>0</v>
      </c>
      <c r="AC158" s="51">
        <f t="shared" si="63"/>
        <v>0</v>
      </c>
      <c r="AD158" s="51">
        <f t="shared" si="64"/>
        <v>0</v>
      </c>
      <c r="AE158" s="51">
        <f t="shared" si="65"/>
        <v>0</v>
      </c>
      <c r="AF158" s="51">
        <f t="shared" si="66"/>
        <v>0</v>
      </c>
      <c r="AG158" s="51">
        <f t="shared" si="67"/>
        <v>0</v>
      </c>
      <c r="AH158" s="51">
        <f t="shared" si="68"/>
        <v>0</v>
      </c>
      <c r="AI158" s="35" t="s">
        <v>4</v>
      </c>
      <c r="AJ158" s="51">
        <f t="shared" si="69"/>
        <v>0</v>
      </c>
      <c r="AK158" s="51">
        <f t="shared" si="70"/>
        <v>0</v>
      </c>
      <c r="AL158" s="51">
        <f t="shared" si="71"/>
        <v>0</v>
      </c>
      <c r="AN158" s="51">
        <v>12</v>
      </c>
      <c r="AO158" s="51">
        <f>G158*0.88622221</f>
        <v>0</v>
      </c>
      <c r="AP158" s="51">
        <f>G158*(1-0.88622221)</f>
        <v>0</v>
      </c>
      <c r="AQ158" s="53" t="s">
        <v>151</v>
      </c>
      <c r="AV158" s="51">
        <f t="shared" si="72"/>
        <v>0</v>
      </c>
      <c r="AW158" s="51">
        <f t="shared" si="73"/>
        <v>0</v>
      </c>
      <c r="AX158" s="51">
        <f t="shared" si="74"/>
        <v>0</v>
      </c>
      <c r="AY158" s="53" t="s">
        <v>426</v>
      </c>
      <c r="AZ158" s="53" t="s">
        <v>357</v>
      </c>
      <c r="BA158" s="35" t="s">
        <v>117</v>
      </c>
      <c r="BC158" s="51">
        <f t="shared" si="75"/>
        <v>0</v>
      </c>
      <c r="BD158" s="51">
        <f t="shared" si="76"/>
        <v>0</v>
      </c>
      <c r="BE158" s="51">
        <v>0</v>
      </c>
      <c r="BF158" s="51">
        <f>158</f>
        <v>158</v>
      </c>
      <c r="BH158" s="51">
        <f t="shared" si="77"/>
        <v>0</v>
      </c>
      <c r="BI158" s="51">
        <f t="shared" si="78"/>
        <v>0</v>
      </c>
      <c r="BJ158" s="51">
        <f t="shared" si="79"/>
        <v>0</v>
      </c>
      <c r="BK158" s="51"/>
      <c r="BL158" s="51">
        <v>725</v>
      </c>
      <c r="BW158" s="51">
        <v>12</v>
      </c>
      <c r="BX158" s="3" t="s">
        <v>454</v>
      </c>
    </row>
    <row r="159" spans="1:76">
      <c r="A159" s="1" t="s">
        <v>455</v>
      </c>
      <c r="B159" s="2" t="s">
        <v>456</v>
      </c>
      <c r="C159" s="75" t="s">
        <v>457</v>
      </c>
      <c r="D159" s="70"/>
      <c r="E159" s="2" t="s">
        <v>130</v>
      </c>
      <c r="F159" s="51">
        <v>1</v>
      </c>
      <c r="G159" s="52">
        <v>0</v>
      </c>
      <c r="H159" s="51">
        <f t="shared" si="60"/>
        <v>0</v>
      </c>
      <c r="J159" s="41"/>
      <c r="Z159" s="51">
        <f t="shared" si="61"/>
        <v>0</v>
      </c>
      <c r="AB159" s="51">
        <f t="shared" si="62"/>
        <v>0</v>
      </c>
      <c r="AC159" s="51">
        <f t="shared" si="63"/>
        <v>0</v>
      </c>
      <c r="AD159" s="51">
        <f t="shared" si="64"/>
        <v>0</v>
      </c>
      <c r="AE159" s="51">
        <f t="shared" si="65"/>
        <v>0</v>
      </c>
      <c r="AF159" s="51">
        <f t="shared" si="66"/>
        <v>0</v>
      </c>
      <c r="AG159" s="51">
        <f t="shared" si="67"/>
        <v>0</v>
      </c>
      <c r="AH159" s="51">
        <f t="shared" si="68"/>
        <v>0</v>
      </c>
      <c r="AI159" s="35" t="s">
        <v>4</v>
      </c>
      <c r="AJ159" s="51">
        <f t="shared" si="69"/>
        <v>0</v>
      </c>
      <c r="AK159" s="51">
        <f t="shared" si="70"/>
        <v>0</v>
      </c>
      <c r="AL159" s="51">
        <f t="shared" si="71"/>
        <v>0</v>
      </c>
      <c r="AN159" s="51">
        <v>12</v>
      </c>
      <c r="AO159" s="51">
        <f>G159*0.852864629</f>
        <v>0</v>
      </c>
      <c r="AP159" s="51">
        <f>G159*(1-0.852864629)</f>
        <v>0</v>
      </c>
      <c r="AQ159" s="53" t="s">
        <v>151</v>
      </c>
      <c r="AV159" s="51">
        <f t="shared" si="72"/>
        <v>0</v>
      </c>
      <c r="AW159" s="51">
        <f t="shared" si="73"/>
        <v>0</v>
      </c>
      <c r="AX159" s="51">
        <f t="shared" si="74"/>
        <v>0</v>
      </c>
      <c r="AY159" s="53" t="s">
        <v>426</v>
      </c>
      <c r="AZ159" s="53" t="s">
        <v>357</v>
      </c>
      <c r="BA159" s="35" t="s">
        <v>117</v>
      </c>
      <c r="BC159" s="51">
        <f t="shared" si="75"/>
        <v>0</v>
      </c>
      <c r="BD159" s="51">
        <f t="shared" si="76"/>
        <v>0</v>
      </c>
      <c r="BE159" s="51">
        <v>0</v>
      </c>
      <c r="BF159" s="51">
        <f>159</f>
        <v>159</v>
      </c>
      <c r="BH159" s="51">
        <f t="shared" si="77"/>
        <v>0</v>
      </c>
      <c r="BI159" s="51">
        <f t="shared" si="78"/>
        <v>0</v>
      </c>
      <c r="BJ159" s="51">
        <f t="shared" si="79"/>
        <v>0</v>
      </c>
      <c r="BK159" s="51"/>
      <c r="BL159" s="51">
        <v>725</v>
      </c>
      <c r="BW159" s="51">
        <v>12</v>
      </c>
      <c r="BX159" s="3" t="s">
        <v>457</v>
      </c>
    </row>
    <row r="160" spans="1:76">
      <c r="A160" s="1" t="s">
        <v>458</v>
      </c>
      <c r="B160" s="2" t="s">
        <v>459</v>
      </c>
      <c r="C160" s="75" t="s">
        <v>460</v>
      </c>
      <c r="D160" s="70"/>
      <c r="E160" s="2" t="s">
        <v>425</v>
      </c>
      <c r="F160" s="51">
        <v>1</v>
      </c>
      <c r="G160" s="52">
        <v>0</v>
      </c>
      <c r="H160" s="51">
        <f t="shared" si="60"/>
        <v>0</v>
      </c>
      <c r="J160" s="41"/>
      <c r="Z160" s="51">
        <f t="shared" si="61"/>
        <v>0</v>
      </c>
      <c r="AB160" s="51">
        <f t="shared" si="62"/>
        <v>0</v>
      </c>
      <c r="AC160" s="51">
        <f t="shared" si="63"/>
        <v>0</v>
      </c>
      <c r="AD160" s="51">
        <f t="shared" si="64"/>
        <v>0</v>
      </c>
      <c r="AE160" s="51">
        <f t="shared" si="65"/>
        <v>0</v>
      </c>
      <c r="AF160" s="51">
        <f t="shared" si="66"/>
        <v>0</v>
      </c>
      <c r="AG160" s="51">
        <f t="shared" si="67"/>
        <v>0</v>
      </c>
      <c r="AH160" s="51">
        <f t="shared" si="68"/>
        <v>0</v>
      </c>
      <c r="AI160" s="35" t="s">
        <v>4</v>
      </c>
      <c r="AJ160" s="51">
        <f t="shared" si="69"/>
        <v>0</v>
      </c>
      <c r="AK160" s="51">
        <f t="shared" si="70"/>
        <v>0</v>
      </c>
      <c r="AL160" s="51">
        <f t="shared" si="71"/>
        <v>0</v>
      </c>
      <c r="AN160" s="51">
        <v>12</v>
      </c>
      <c r="AO160" s="51">
        <f>G160*0.908404118</f>
        <v>0</v>
      </c>
      <c r="AP160" s="51">
        <f>G160*(1-0.908404118)</f>
        <v>0</v>
      </c>
      <c r="AQ160" s="53" t="s">
        <v>151</v>
      </c>
      <c r="AV160" s="51">
        <f t="shared" si="72"/>
        <v>0</v>
      </c>
      <c r="AW160" s="51">
        <f t="shared" si="73"/>
        <v>0</v>
      </c>
      <c r="AX160" s="51">
        <f t="shared" si="74"/>
        <v>0</v>
      </c>
      <c r="AY160" s="53" t="s">
        <v>426</v>
      </c>
      <c r="AZ160" s="53" t="s">
        <v>357</v>
      </c>
      <c r="BA160" s="35" t="s">
        <v>117</v>
      </c>
      <c r="BC160" s="51">
        <f t="shared" si="75"/>
        <v>0</v>
      </c>
      <c r="BD160" s="51">
        <f t="shared" si="76"/>
        <v>0</v>
      </c>
      <c r="BE160" s="51">
        <v>0</v>
      </c>
      <c r="BF160" s="51">
        <f>160</f>
        <v>160</v>
      </c>
      <c r="BH160" s="51">
        <f t="shared" si="77"/>
        <v>0</v>
      </c>
      <c r="BI160" s="51">
        <f t="shared" si="78"/>
        <v>0</v>
      </c>
      <c r="BJ160" s="51">
        <f t="shared" si="79"/>
        <v>0</v>
      </c>
      <c r="BK160" s="51"/>
      <c r="BL160" s="51">
        <v>725</v>
      </c>
      <c r="BW160" s="51">
        <v>12</v>
      </c>
      <c r="BX160" s="3" t="s">
        <v>460</v>
      </c>
    </row>
    <row r="161" spans="1:76">
      <c r="A161" s="1" t="s">
        <v>461</v>
      </c>
      <c r="B161" s="2" t="s">
        <v>462</v>
      </c>
      <c r="C161" s="75" t="s">
        <v>463</v>
      </c>
      <c r="D161" s="70"/>
      <c r="E161" s="2" t="s">
        <v>425</v>
      </c>
      <c r="F161" s="51">
        <v>1</v>
      </c>
      <c r="G161" s="52">
        <v>0</v>
      </c>
      <c r="H161" s="51">
        <f t="shared" si="60"/>
        <v>0</v>
      </c>
      <c r="J161" s="41"/>
      <c r="Z161" s="51">
        <f t="shared" si="61"/>
        <v>0</v>
      </c>
      <c r="AB161" s="51">
        <f t="shared" si="62"/>
        <v>0</v>
      </c>
      <c r="AC161" s="51">
        <f t="shared" si="63"/>
        <v>0</v>
      </c>
      <c r="AD161" s="51">
        <f t="shared" si="64"/>
        <v>0</v>
      </c>
      <c r="AE161" s="51">
        <f t="shared" si="65"/>
        <v>0</v>
      </c>
      <c r="AF161" s="51">
        <f t="shared" si="66"/>
        <v>0</v>
      </c>
      <c r="AG161" s="51">
        <f t="shared" si="67"/>
        <v>0</v>
      </c>
      <c r="AH161" s="51">
        <f t="shared" si="68"/>
        <v>0</v>
      </c>
      <c r="AI161" s="35" t="s">
        <v>4</v>
      </c>
      <c r="AJ161" s="51">
        <f t="shared" si="69"/>
        <v>0</v>
      </c>
      <c r="AK161" s="51">
        <f t="shared" si="70"/>
        <v>0</v>
      </c>
      <c r="AL161" s="51">
        <f t="shared" si="71"/>
        <v>0</v>
      </c>
      <c r="AN161" s="51">
        <v>12</v>
      </c>
      <c r="AO161" s="51">
        <f>G161*0.460774648</f>
        <v>0</v>
      </c>
      <c r="AP161" s="51">
        <f>G161*(1-0.460774648)</f>
        <v>0</v>
      </c>
      <c r="AQ161" s="53" t="s">
        <v>151</v>
      </c>
      <c r="AV161" s="51">
        <f t="shared" si="72"/>
        <v>0</v>
      </c>
      <c r="AW161" s="51">
        <f t="shared" si="73"/>
        <v>0</v>
      </c>
      <c r="AX161" s="51">
        <f t="shared" si="74"/>
        <v>0</v>
      </c>
      <c r="AY161" s="53" t="s">
        <v>426</v>
      </c>
      <c r="AZ161" s="53" t="s">
        <v>357</v>
      </c>
      <c r="BA161" s="35" t="s">
        <v>117</v>
      </c>
      <c r="BC161" s="51">
        <f t="shared" si="75"/>
        <v>0</v>
      </c>
      <c r="BD161" s="51">
        <f t="shared" si="76"/>
        <v>0</v>
      </c>
      <c r="BE161" s="51">
        <v>0</v>
      </c>
      <c r="BF161" s="51">
        <f>161</f>
        <v>161</v>
      </c>
      <c r="BH161" s="51">
        <f t="shared" si="77"/>
        <v>0</v>
      </c>
      <c r="BI161" s="51">
        <f t="shared" si="78"/>
        <v>0</v>
      </c>
      <c r="BJ161" s="51">
        <f t="shared" si="79"/>
        <v>0</v>
      </c>
      <c r="BK161" s="51"/>
      <c r="BL161" s="51">
        <v>725</v>
      </c>
      <c r="BW161" s="51">
        <v>12</v>
      </c>
      <c r="BX161" s="3" t="s">
        <v>463</v>
      </c>
    </row>
    <row r="162" spans="1:76">
      <c r="A162" s="1" t="s">
        <v>464</v>
      </c>
      <c r="B162" s="2" t="s">
        <v>465</v>
      </c>
      <c r="C162" s="75" t="s">
        <v>466</v>
      </c>
      <c r="D162" s="70"/>
      <c r="E162" s="2" t="s">
        <v>425</v>
      </c>
      <c r="F162" s="51">
        <v>1</v>
      </c>
      <c r="G162" s="52">
        <v>0</v>
      </c>
      <c r="H162" s="51">
        <f t="shared" si="60"/>
        <v>0</v>
      </c>
      <c r="J162" s="41"/>
      <c r="Z162" s="51">
        <f t="shared" si="61"/>
        <v>0</v>
      </c>
      <c r="AB162" s="51">
        <f t="shared" si="62"/>
        <v>0</v>
      </c>
      <c r="AC162" s="51">
        <f t="shared" si="63"/>
        <v>0</v>
      </c>
      <c r="AD162" s="51">
        <f t="shared" si="64"/>
        <v>0</v>
      </c>
      <c r="AE162" s="51">
        <f t="shared" si="65"/>
        <v>0</v>
      </c>
      <c r="AF162" s="51">
        <f t="shared" si="66"/>
        <v>0</v>
      </c>
      <c r="AG162" s="51">
        <f t="shared" si="67"/>
        <v>0</v>
      </c>
      <c r="AH162" s="51">
        <f t="shared" si="68"/>
        <v>0</v>
      </c>
      <c r="AI162" s="35" t="s">
        <v>4</v>
      </c>
      <c r="AJ162" s="51">
        <f t="shared" si="69"/>
        <v>0</v>
      </c>
      <c r="AK162" s="51">
        <f t="shared" si="70"/>
        <v>0</v>
      </c>
      <c r="AL162" s="51">
        <f t="shared" si="71"/>
        <v>0</v>
      </c>
      <c r="AN162" s="51">
        <v>12</v>
      </c>
      <c r="AO162" s="51">
        <f>G162*0.861823964</f>
        <v>0</v>
      </c>
      <c r="AP162" s="51">
        <f>G162*(1-0.861823964)</f>
        <v>0</v>
      </c>
      <c r="AQ162" s="53" t="s">
        <v>151</v>
      </c>
      <c r="AV162" s="51">
        <f t="shared" si="72"/>
        <v>0</v>
      </c>
      <c r="AW162" s="51">
        <f t="shared" si="73"/>
        <v>0</v>
      </c>
      <c r="AX162" s="51">
        <f t="shared" si="74"/>
        <v>0</v>
      </c>
      <c r="AY162" s="53" t="s">
        <v>426</v>
      </c>
      <c r="AZ162" s="53" t="s">
        <v>357</v>
      </c>
      <c r="BA162" s="35" t="s">
        <v>117</v>
      </c>
      <c r="BC162" s="51">
        <f t="shared" si="75"/>
        <v>0</v>
      </c>
      <c r="BD162" s="51">
        <f t="shared" si="76"/>
        <v>0</v>
      </c>
      <c r="BE162" s="51">
        <v>0</v>
      </c>
      <c r="BF162" s="51">
        <f>162</f>
        <v>162</v>
      </c>
      <c r="BH162" s="51">
        <f t="shared" si="77"/>
        <v>0</v>
      </c>
      <c r="BI162" s="51">
        <f t="shared" si="78"/>
        <v>0</v>
      </c>
      <c r="BJ162" s="51">
        <f t="shared" si="79"/>
        <v>0</v>
      </c>
      <c r="BK162" s="51"/>
      <c r="BL162" s="51">
        <v>725</v>
      </c>
      <c r="BW162" s="51">
        <v>12</v>
      </c>
      <c r="BX162" s="3" t="s">
        <v>466</v>
      </c>
    </row>
    <row r="163" spans="1:76">
      <c r="A163" s="1" t="s">
        <v>467</v>
      </c>
      <c r="B163" s="2" t="s">
        <v>468</v>
      </c>
      <c r="C163" s="75" t="s">
        <v>469</v>
      </c>
      <c r="D163" s="70"/>
      <c r="E163" s="2" t="s">
        <v>425</v>
      </c>
      <c r="F163" s="51">
        <v>2</v>
      </c>
      <c r="G163" s="52">
        <v>0</v>
      </c>
      <c r="H163" s="51">
        <f t="shared" si="60"/>
        <v>0</v>
      </c>
      <c r="J163" s="41"/>
      <c r="Z163" s="51">
        <f t="shared" si="61"/>
        <v>0</v>
      </c>
      <c r="AB163" s="51">
        <f t="shared" si="62"/>
        <v>0</v>
      </c>
      <c r="AC163" s="51">
        <f t="shared" si="63"/>
        <v>0</v>
      </c>
      <c r="AD163" s="51">
        <f t="shared" si="64"/>
        <v>0</v>
      </c>
      <c r="AE163" s="51">
        <f t="shared" si="65"/>
        <v>0</v>
      </c>
      <c r="AF163" s="51">
        <f t="shared" si="66"/>
        <v>0</v>
      </c>
      <c r="AG163" s="51">
        <f t="shared" si="67"/>
        <v>0</v>
      </c>
      <c r="AH163" s="51">
        <f t="shared" si="68"/>
        <v>0</v>
      </c>
      <c r="AI163" s="35" t="s">
        <v>4</v>
      </c>
      <c r="AJ163" s="51">
        <f t="shared" si="69"/>
        <v>0</v>
      </c>
      <c r="AK163" s="51">
        <f t="shared" si="70"/>
        <v>0</v>
      </c>
      <c r="AL163" s="51">
        <f t="shared" si="71"/>
        <v>0</v>
      </c>
      <c r="AN163" s="51">
        <v>12</v>
      </c>
      <c r="AO163" s="51">
        <f>G163*0.779230769</f>
        <v>0</v>
      </c>
      <c r="AP163" s="51">
        <f>G163*(1-0.779230769)</f>
        <v>0</v>
      </c>
      <c r="AQ163" s="53" t="s">
        <v>151</v>
      </c>
      <c r="AV163" s="51">
        <f t="shared" si="72"/>
        <v>0</v>
      </c>
      <c r="AW163" s="51">
        <f t="shared" si="73"/>
        <v>0</v>
      </c>
      <c r="AX163" s="51">
        <f t="shared" si="74"/>
        <v>0</v>
      </c>
      <c r="AY163" s="53" t="s">
        <v>426</v>
      </c>
      <c r="AZ163" s="53" t="s">
        <v>357</v>
      </c>
      <c r="BA163" s="35" t="s">
        <v>117</v>
      </c>
      <c r="BC163" s="51">
        <f t="shared" si="75"/>
        <v>0</v>
      </c>
      <c r="BD163" s="51">
        <f t="shared" si="76"/>
        <v>0</v>
      </c>
      <c r="BE163" s="51">
        <v>0</v>
      </c>
      <c r="BF163" s="51">
        <f>163</f>
        <v>163</v>
      </c>
      <c r="BH163" s="51">
        <f t="shared" si="77"/>
        <v>0</v>
      </c>
      <c r="BI163" s="51">
        <f t="shared" si="78"/>
        <v>0</v>
      </c>
      <c r="BJ163" s="51">
        <f t="shared" si="79"/>
        <v>0</v>
      </c>
      <c r="BK163" s="51"/>
      <c r="BL163" s="51">
        <v>725</v>
      </c>
      <c r="BW163" s="51">
        <v>12</v>
      </c>
      <c r="BX163" s="3" t="s">
        <v>469</v>
      </c>
    </row>
    <row r="164" spans="1:76">
      <c r="A164" s="1" t="s">
        <v>470</v>
      </c>
      <c r="B164" s="2" t="s">
        <v>471</v>
      </c>
      <c r="C164" s="75" t="s">
        <v>472</v>
      </c>
      <c r="D164" s="70"/>
      <c r="E164" s="2" t="s">
        <v>130</v>
      </c>
      <c r="F164" s="51">
        <v>1</v>
      </c>
      <c r="G164" s="52">
        <v>0</v>
      </c>
      <c r="H164" s="51">
        <f t="shared" si="60"/>
        <v>0</v>
      </c>
      <c r="J164" s="41"/>
      <c r="Z164" s="51">
        <f t="shared" si="61"/>
        <v>0</v>
      </c>
      <c r="AB164" s="51">
        <f t="shared" si="62"/>
        <v>0</v>
      </c>
      <c r="AC164" s="51">
        <f t="shared" si="63"/>
        <v>0</v>
      </c>
      <c r="AD164" s="51">
        <f t="shared" si="64"/>
        <v>0</v>
      </c>
      <c r="AE164" s="51">
        <f t="shared" si="65"/>
        <v>0</v>
      </c>
      <c r="AF164" s="51">
        <f t="shared" si="66"/>
        <v>0</v>
      </c>
      <c r="AG164" s="51">
        <f t="shared" si="67"/>
        <v>0</v>
      </c>
      <c r="AH164" s="51">
        <f t="shared" si="68"/>
        <v>0</v>
      </c>
      <c r="AI164" s="35" t="s">
        <v>4</v>
      </c>
      <c r="AJ164" s="51">
        <f t="shared" si="69"/>
        <v>0</v>
      </c>
      <c r="AK164" s="51">
        <f t="shared" si="70"/>
        <v>0</v>
      </c>
      <c r="AL164" s="51">
        <f t="shared" si="71"/>
        <v>0</v>
      </c>
      <c r="AN164" s="51">
        <v>12</v>
      </c>
      <c r="AO164" s="51">
        <f>G164*1</f>
        <v>0</v>
      </c>
      <c r="AP164" s="51">
        <f>G164*(1-1)</f>
        <v>0</v>
      </c>
      <c r="AQ164" s="53" t="s">
        <v>151</v>
      </c>
      <c r="AV164" s="51">
        <f t="shared" si="72"/>
        <v>0</v>
      </c>
      <c r="AW164" s="51">
        <f t="shared" si="73"/>
        <v>0</v>
      </c>
      <c r="AX164" s="51">
        <f t="shared" si="74"/>
        <v>0</v>
      </c>
      <c r="AY164" s="53" t="s">
        <v>426</v>
      </c>
      <c r="AZ164" s="53" t="s">
        <v>357</v>
      </c>
      <c r="BA164" s="35" t="s">
        <v>117</v>
      </c>
      <c r="BC164" s="51">
        <f t="shared" si="75"/>
        <v>0</v>
      </c>
      <c r="BD164" s="51">
        <f t="shared" si="76"/>
        <v>0</v>
      </c>
      <c r="BE164" s="51">
        <v>0</v>
      </c>
      <c r="BF164" s="51">
        <f>164</f>
        <v>164</v>
      </c>
      <c r="BH164" s="51">
        <f t="shared" si="77"/>
        <v>0</v>
      </c>
      <c r="BI164" s="51">
        <f t="shared" si="78"/>
        <v>0</v>
      </c>
      <c r="BJ164" s="51">
        <f t="shared" si="79"/>
        <v>0</v>
      </c>
      <c r="BK164" s="51"/>
      <c r="BL164" s="51">
        <v>725</v>
      </c>
      <c r="BW164" s="51">
        <v>12</v>
      </c>
      <c r="BX164" s="3" t="s">
        <v>472</v>
      </c>
    </row>
    <row r="165" spans="1:76">
      <c r="A165" s="1" t="s">
        <v>473</v>
      </c>
      <c r="B165" s="2" t="s">
        <v>474</v>
      </c>
      <c r="C165" s="75" t="s">
        <v>475</v>
      </c>
      <c r="D165" s="70"/>
      <c r="E165" s="2" t="s">
        <v>130</v>
      </c>
      <c r="F165" s="51">
        <v>1</v>
      </c>
      <c r="G165" s="52">
        <v>0</v>
      </c>
      <c r="H165" s="51">
        <f t="shared" si="60"/>
        <v>0</v>
      </c>
      <c r="J165" s="41"/>
      <c r="Z165" s="51">
        <f t="shared" si="61"/>
        <v>0</v>
      </c>
      <c r="AB165" s="51">
        <f t="shared" si="62"/>
        <v>0</v>
      </c>
      <c r="AC165" s="51">
        <f t="shared" si="63"/>
        <v>0</v>
      </c>
      <c r="AD165" s="51">
        <f t="shared" si="64"/>
        <v>0</v>
      </c>
      <c r="AE165" s="51">
        <f t="shared" si="65"/>
        <v>0</v>
      </c>
      <c r="AF165" s="51">
        <f t="shared" si="66"/>
        <v>0</v>
      </c>
      <c r="AG165" s="51">
        <f t="shared" si="67"/>
        <v>0</v>
      </c>
      <c r="AH165" s="51">
        <f t="shared" si="68"/>
        <v>0</v>
      </c>
      <c r="AI165" s="35" t="s">
        <v>4</v>
      </c>
      <c r="AJ165" s="51">
        <f t="shared" si="69"/>
        <v>0</v>
      </c>
      <c r="AK165" s="51">
        <f t="shared" si="70"/>
        <v>0</v>
      </c>
      <c r="AL165" s="51">
        <f t="shared" si="71"/>
        <v>0</v>
      </c>
      <c r="AN165" s="51">
        <v>12</v>
      </c>
      <c r="AO165" s="51">
        <f>G165*1</f>
        <v>0</v>
      </c>
      <c r="AP165" s="51">
        <f>G165*(1-1)</f>
        <v>0</v>
      </c>
      <c r="AQ165" s="53" t="s">
        <v>151</v>
      </c>
      <c r="AV165" s="51">
        <f t="shared" si="72"/>
        <v>0</v>
      </c>
      <c r="AW165" s="51">
        <f t="shared" si="73"/>
        <v>0</v>
      </c>
      <c r="AX165" s="51">
        <f t="shared" si="74"/>
        <v>0</v>
      </c>
      <c r="AY165" s="53" t="s">
        <v>426</v>
      </c>
      <c r="AZ165" s="53" t="s">
        <v>357</v>
      </c>
      <c r="BA165" s="35" t="s">
        <v>117</v>
      </c>
      <c r="BC165" s="51">
        <f t="shared" si="75"/>
        <v>0</v>
      </c>
      <c r="BD165" s="51">
        <f t="shared" si="76"/>
        <v>0</v>
      </c>
      <c r="BE165" s="51">
        <v>0</v>
      </c>
      <c r="BF165" s="51">
        <f>165</f>
        <v>165</v>
      </c>
      <c r="BH165" s="51">
        <f t="shared" si="77"/>
        <v>0</v>
      </c>
      <c r="BI165" s="51">
        <f t="shared" si="78"/>
        <v>0</v>
      </c>
      <c r="BJ165" s="51">
        <f t="shared" si="79"/>
        <v>0</v>
      </c>
      <c r="BK165" s="51"/>
      <c r="BL165" s="51">
        <v>725</v>
      </c>
      <c r="BW165" s="51">
        <v>12</v>
      </c>
      <c r="BX165" s="3" t="s">
        <v>475</v>
      </c>
    </row>
    <row r="166" spans="1:76">
      <c r="A166" s="1" t="s">
        <v>476</v>
      </c>
      <c r="B166" s="2" t="s">
        <v>477</v>
      </c>
      <c r="C166" s="75" t="s">
        <v>478</v>
      </c>
      <c r="D166" s="70"/>
      <c r="E166" s="2" t="s">
        <v>288</v>
      </c>
      <c r="F166" s="51">
        <v>0.3</v>
      </c>
      <c r="G166" s="52">
        <v>0</v>
      </c>
      <c r="H166" s="51">
        <f t="shared" si="60"/>
        <v>0</v>
      </c>
      <c r="J166" s="41"/>
      <c r="Z166" s="51">
        <f t="shared" si="61"/>
        <v>0</v>
      </c>
      <c r="AB166" s="51">
        <f t="shared" si="62"/>
        <v>0</v>
      </c>
      <c r="AC166" s="51">
        <f t="shared" si="63"/>
        <v>0</v>
      </c>
      <c r="AD166" s="51">
        <f t="shared" si="64"/>
        <v>0</v>
      </c>
      <c r="AE166" s="51">
        <f t="shared" si="65"/>
        <v>0</v>
      </c>
      <c r="AF166" s="51">
        <f t="shared" si="66"/>
        <v>0</v>
      </c>
      <c r="AG166" s="51">
        <f t="shared" si="67"/>
        <v>0</v>
      </c>
      <c r="AH166" s="51">
        <f t="shared" si="68"/>
        <v>0</v>
      </c>
      <c r="AI166" s="35" t="s">
        <v>4</v>
      </c>
      <c r="AJ166" s="51">
        <f t="shared" si="69"/>
        <v>0</v>
      </c>
      <c r="AK166" s="51">
        <f t="shared" si="70"/>
        <v>0</v>
      </c>
      <c r="AL166" s="51">
        <f t="shared" si="71"/>
        <v>0</v>
      </c>
      <c r="AN166" s="51">
        <v>12</v>
      </c>
      <c r="AO166" s="51">
        <f>G166*0</f>
        <v>0</v>
      </c>
      <c r="AP166" s="51">
        <f>G166*(1-0)</f>
        <v>0</v>
      </c>
      <c r="AQ166" s="53" t="s">
        <v>151</v>
      </c>
      <c r="AV166" s="51">
        <f t="shared" si="72"/>
        <v>0</v>
      </c>
      <c r="AW166" s="51">
        <f t="shared" si="73"/>
        <v>0</v>
      </c>
      <c r="AX166" s="51">
        <f t="shared" si="74"/>
        <v>0</v>
      </c>
      <c r="AY166" s="53" t="s">
        <v>426</v>
      </c>
      <c r="AZ166" s="53" t="s">
        <v>357</v>
      </c>
      <c r="BA166" s="35" t="s">
        <v>117</v>
      </c>
      <c r="BC166" s="51">
        <f t="shared" si="75"/>
        <v>0</v>
      </c>
      <c r="BD166" s="51">
        <f t="shared" si="76"/>
        <v>0</v>
      </c>
      <c r="BE166" s="51">
        <v>0</v>
      </c>
      <c r="BF166" s="51">
        <f>166</f>
        <v>166</v>
      </c>
      <c r="BH166" s="51">
        <f t="shared" si="77"/>
        <v>0</v>
      </c>
      <c r="BI166" s="51">
        <f t="shared" si="78"/>
        <v>0</v>
      </c>
      <c r="BJ166" s="51">
        <f t="shared" si="79"/>
        <v>0</v>
      </c>
      <c r="BK166" s="51"/>
      <c r="BL166" s="51">
        <v>725</v>
      </c>
      <c r="BW166" s="51">
        <v>12</v>
      </c>
      <c r="BX166" s="3" t="s">
        <v>478</v>
      </c>
    </row>
    <row r="167" spans="1:76">
      <c r="A167" s="47" t="s">
        <v>4</v>
      </c>
      <c r="B167" s="48" t="s">
        <v>479</v>
      </c>
      <c r="C167" s="150" t="s">
        <v>480</v>
      </c>
      <c r="D167" s="151"/>
      <c r="E167" s="49" t="s">
        <v>79</v>
      </c>
      <c r="F167" s="49" t="s">
        <v>79</v>
      </c>
      <c r="G167" s="50" t="s">
        <v>79</v>
      </c>
      <c r="H167" s="28">
        <f>SUM(H168:H170)</f>
        <v>0</v>
      </c>
      <c r="J167" s="41"/>
      <c r="AI167" s="35" t="s">
        <v>4</v>
      </c>
      <c r="AS167" s="28">
        <f>SUM(AJ168:AJ170)</f>
        <v>0</v>
      </c>
      <c r="AT167" s="28">
        <f>SUM(AK168:AK170)</f>
        <v>0</v>
      </c>
      <c r="AU167" s="28">
        <f>SUM(AL168:AL170)</f>
        <v>0</v>
      </c>
    </row>
    <row r="168" spans="1:76">
      <c r="A168" s="1" t="s">
        <v>481</v>
      </c>
      <c r="B168" s="2" t="s">
        <v>479</v>
      </c>
      <c r="C168" s="75" t="s">
        <v>482</v>
      </c>
      <c r="D168" s="70"/>
      <c r="E168" s="2" t="s">
        <v>425</v>
      </c>
      <c r="F168" s="51">
        <v>1</v>
      </c>
      <c r="G168" s="52">
        <v>0</v>
      </c>
      <c r="H168" s="51">
        <f>F168*G168</f>
        <v>0</v>
      </c>
      <c r="J168" s="41"/>
      <c r="Z168" s="51">
        <f>IF(AQ168="5",BJ168,0)</f>
        <v>0</v>
      </c>
      <c r="AB168" s="51">
        <f>IF(AQ168="1",BH168,0)</f>
        <v>0</v>
      </c>
      <c r="AC168" s="51">
        <f>IF(AQ168="1",BI168,0)</f>
        <v>0</v>
      </c>
      <c r="AD168" s="51">
        <f>IF(AQ168="7",BH168,0)</f>
        <v>0</v>
      </c>
      <c r="AE168" s="51">
        <f>IF(AQ168="7",BI168,0)</f>
        <v>0</v>
      </c>
      <c r="AF168" s="51">
        <f>IF(AQ168="2",BH168,0)</f>
        <v>0</v>
      </c>
      <c r="AG168" s="51">
        <f>IF(AQ168="2",BI168,0)</f>
        <v>0</v>
      </c>
      <c r="AH168" s="51">
        <f>IF(AQ168="0",BJ168,0)</f>
        <v>0</v>
      </c>
      <c r="AI168" s="35" t="s">
        <v>4</v>
      </c>
      <c r="AJ168" s="51">
        <f>IF(AN168=0,H168,0)</f>
        <v>0</v>
      </c>
      <c r="AK168" s="51">
        <f>IF(AN168=12,H168,0)</f>
        <v>0</v>
      </c>
      <c r="AL168" s="51">
        <f>IF(AN168=21,H168,0)</f>
        <v>0</v>
      </c>
      <c r="AN168" s="51">
        <v>12</v>
      </c>
      <c r="AO168" s="51">
        <f>G168*0</f>
        <v>0</v>
      </c>
      <c r="AP168" s="51">
        <f>G168*(1-0)</f>
        <v>0</v>
      </c>
      <c r="AQ168" s="53" t="s">
        <v>151</v>
      </c>
      <c r="AV168" s="51">
        <f>AW168+AX168</f>
        <v>0</v>
      </c>
      <c r="AW168" s="51">
        <f>F168*AO168</f>
        <v>0</v>
      </c>
      <c r="AX168" s="51">
        <f>F168*AP168</f>
        <v>0</v>
      </c>
      <c r="AY168" s="53" t="s">
        <v>483</v>
      </c>
      <c r="AZ168" s="53" t="s">
        <v>357</v>
      </c>
      <c r="BA168" s="35" t="s">
        <v>117</v>
      </c>
      <c r="BC168" s="51">
        <f>AW168+AX168</f>
        <v>0</v>
      </c>
      <c r="BD168" s="51">
        <f>G168/(100-BE168)*100</f>
        <v>0</v>
      </c>
      <c r="BE168" s="51">
        <v>0</v>
      </c>
      <c r="BF168" s="51">
        <f>168</f>
        <v>168</v>
      </c>
      <c r="BH168" s="51">
        <f>F168*AO168</f>
        <v>0</v>
      </c>
      <c r="BI168" s="51">
        <f>F168*AP168</f>
        <v>0</v>
      </c>
      <c r="BJ168" s="51">
        <f>F168*G168</f>
        <v>0</v>
      </c>
      <c r="BK168" s="51"/>
      <c r="BL168" s="51">
        <v>728</v>
      </c>
      <c r="BW168" s="51">
        <v>12</v>
      </c>
      <c r="BX168" s="3" t="s">
        <v>482</v>
      </c>
    </row>
    <row r="169" spans="1:76">
      <c r="A169" s="1" t="s">
        <v>484</v>
      </c>
      <c r="B169" s="2" t="s">
        <v>485</v>
      </c>
      <c r="C169" s="75" t="s">
        <v>486</v>
      </c>
      <c r="D169" s="70"/>
      <c r="E169" s="2" t="s">
        <v>130</v>
      </c>
      <c r="F169" s="51">
        <v>1</v>
      </c>
      <c r="G169" s="52">
        <v>0</v>
      </c>
      <c r="H169" s="51">
        <f>F169*G169</f>
        <v>0</v>
      </c>
      <c r="J169" s="41"/>
      <c r="Z169" s="51">
        <f>IF(AQ169="5",BJ169,0)</f>
        <v>0</v>
      </c>
      <c r="AB169" s="51">
        <f>IF(AQ169="1",BH169,0)</f>
        <v>0</v>
      </c>
      <c r="AC169" s="51">
        <f>IF(AQ169="1",BI169,0)</f>
        <v>0</v>
      </c>
      <c r="AD169" s="51">
        <f>IF(AQ169="7",BH169,0)</f>
        <v>0</v>
      </c>
      <c r="AE169" s="51">
        <f>IF(AQ169="7",BI169,0)</f>
        <v>0</v>
      </c>
      <c r="AF169" s="51">
        <f>IF(AQ169="2",BH169,0)</f>
        <v>0</v>
      </c>
      <c r="AG169" s="51">
        <f>IF(AQ169="2",BI169,0)</f>
        <v>0</v>
      </c>
      <c r="AH169" s="51">
        <f>IF(AQ169="0",BJ169,0)</f>
        <v>0</v>
      </c>
      <c r="AI169" s="35" t="s">
        <v>4</v>
      </c>
      <c r="AJ169" s="51">
        <f>IF(AN169=0,H169,0)</f>
        <v>0</v>
      </c>
      <c r="AK169" s="51">
        <f>IF(AN169=12,H169,0)</f>
        <v>0</v>
      </c>
      <c r="AL169" s="51">
        <f>IF(AN169=21,H169,0)</f>
        <v>0</v>
      </c>
      <c r="AN169" s="51">
        <v>12</v>
      </c>
      <c r="AO169" s="51">
        <f>G169*0</f>
        <v>0</v>
      </c>
      <c r="AP169" s="51">
        <f>G169*(1-0)</f>
        <v>0</v>
      </c>
      <c r="AQ169" s="53" t="s">
        <v>151</v>
      </c>
      <c r="AV169" s="51">
        <f>AW169+AX169</f>
        <v>0</v>
      </c>
      <c r="AW169" s="51">
        <f>F169*AO169</f>
        <v>0</v>
      </c>
      <c r="AX169" s="51">
        <f>F169*AP169</f>
        <v>0</v>
      </c>
      <c r="AY169" s="53" t="s">
        <v>483</v>
      </c>
      <c r="AZ169" s="53" t="s">
        <v>357</v>
      </c>
      <c r="BA169" s="35" t="s">
        <v>117</v>
      </c>
      <c r="BC169" s="51">
        <f>AW169+AX169</f>
        <v>0</v>
      </c>
      <c r="BD169" s="51">
        <f>G169/(100-BE169)*100</f>
        <v>0</v>
      </c>
      <c r="BE169" s="51">
        <v>0</v>
      </c>
      <c r="BF169" s="51">
        <f>169</f>
        <v>169</v>
      </c>
      <c r="BH169" s="51">
        <f>F169*AO169</f>
        <v>0</v>
      </c>
      <c r="BI169" s="51">
        <f>F169*AP169</f>
        <v>0</v>
      </c>
      <c r="BJ169" s="51">
        <f>F169*G169</f>
        <v>0</v>
      </c>
      <c r="BK169" s="51"/>
      <c r="BL169" s="51">
        <v>728</v>
      </c>
      <c r="BW169" s="51">
        <v>12</v>
      </c>
      <c r="BX169" s="3" t="s">
        <v>486</v>
      </c>
    </row>
    <row r="170" spans="1:76">
      <c r="A170" s="1" t="s">
        <v>487</v>
      </c>
      <c r="B170" s="2" t="s">
        <v>488</v>
      </c>
      <c r="C170" s="75" t="s">
        <v>489</v>
      </c>
      <c r="D170" s="70"/>
      <c r="E170" s="2" t="s">
        <v>130</v>
      </c>
      <c r="F170" s="51">
        <v>1</v>
      </c>
      <c r="G170" s="52">
        <v>0</v>
      </c>
      <c r="H170" s="51">
        <f>F170*G170</f>
        <v>0</v>
      </c>
      <c r="J170" s="41"/>
      <c r="Z170" s="51">
        <f>IF(AQ170="5",BJ170,0)</f>
        <v>0</v>
      </c>
      <c r="AB170" s="51">
        <f>IF(AQ170="1",BH170,0)</f>
        <v>0</v>
      </c>
      <c r="AC170" s="51">
        <f>IF(AQ170="1",BI170,0)</f>
        <v>0</v>
      </c>
      <c r="AD170" s="51">
        <f>IF(AQ170="7",BH170,0)</f>
        <v>0</v>
      </c>
      <c r="AE170" s="51">
        <f>IF(AQ170="7",BI170,0)</f>
        <v>0</v>
      </c>
      <c r="AF170" s="51">
        <f>IF(AQ170="2",BH170,0)</f>
        <v>0</v>
      </c>
      <c r="AG170" s="51">
        <f>IF(AQ170="2",BI170,0)</f>
        <v>0</v>
      </c>
      <c r="AH170" s="51">
        <f>IF(AQ170="0",BJ170,0)</f>
        <v>0</v>
      </c>
      <c r="AI170" s="35" t="s">
        <v>4</v>
      </c>
      <c r="AJ170" s="51">
        <f>IF(AN170=0,H170,0)</f>
        <v>0</v>
      </c>
      <c r="AK170" s="51">
        <f>IF(AN170=12,H170,0)</f>
        <v>0</v>
      </c>
      <c r="AL170" s="51">
        <f>IF(AN170=21,H170,0)</f>
        <v>0</v>
      </c>
      <c r="AN170" s="51">
        <v>12</v>
      </c>
      <c r="AO170" s="51">
        <f>G170*1</f>
        <v>0</v>
      </c>
      <c r="AP170" s="51">
        <f>G170*(1-1)</f>
        <v>0</v>
      </c>
      <c r="AQ170" s="53" t="s">
        <v>151</v>
      </c>
      <c r="AV170" s="51">
        <f>AW170+AX170</f>
        <v>0</v>
      </c>
      <c r="AW170" s="51">
        <f>F170*AO170</f>
        <v>0</v>
      </c>
      <c r="AX170" s="51">
        <f>F170*AP170</f>
        <v>0</v>
      </c>
      <c r="AY170" s="53" t="s">
        <v>483</v>
      </c>
      <c r="AZ170" s="53" t="s">
        <v>357</v>
      </c>
      <c r="BA170" s="35" t="s">
        <v>117</v>
      </c>
      <c r="BC170" s="51">
        <f>AW170+AX170</f>
        <v>0</v>
      </c>
      <c r="BD170" s="51">
        <f>G170/(100-BE170)*100</f>
        <v>0</v>
      </c>
      <c r="BE170" s="51">
        <v>0</v>
      </c>
      <c r="BF170" s="51">
        <f>170</f>
        <v>170</v>
      </c>
      <c r="BH170" s="51">
        <f>F170*AO170</f>
        <v>0</v>
      </c>
      <c r="BI170" s="51">
        <f>F170*AP170</f>
        <v>0</v>
      </c>
      <c r="BJ170" s="51">
        <f>F170*G170</f>
        <v>0</v>
      </c>
      <c r="BK170" s="51"/>
      <c r="BL170" s="51">
        <v>728</v>
      </c>
      <c r="BW170" s="51">
        <v>12</v>
      </c>
      <c r="BX170" s="3" t="s">
        <v>489</v>
      </c>
    </row>
    <row r="171" spans="1:76">
      <c r="A171" s="47" t="s">
        <v>4</v>
      </c>
      <c r="B171" s="48" t="s">
        <v>490</v>
      </c>
      <c r="C171" s="150" t="s">
        <v>491</v>
      </c>
      <c r="D171" s="151"/>
      <c r="E171" s="49" t="s">
        <v>79</v>
      </c>
      <c r="F171" s="49" t="s">
        <v>79</v>
      </c>
      <c r="G171" s="50" t="s">
        <v>79</v>
      </c>
      <c r="H171" s="28">
        <f>SUM(H172:H172)</f>
        <v>0</v>
      </c>
      <c r="J171" s="41"/>
      <c r="AI171" s="35" t="s">
        <v>4</v>
      </c>
      <c r="AS171" s="28">
        <f>SUM(AJ172:AJ172)</f>
        <v>0</v>
      </c>
      <c r="AT171" s="28">
        <f>SUM(AK172:AK172)</f>
        <v>0</v>
      </c>
      <c r="AU171" s="28">
        <f>SUM(AL172:AL172)</f>
        <v>0</v>
      </c>
    </row>
    <row r="172" spans="1:76">
      <c r="A172" s="1" t="s">
        <v>492</v>
      </c>
      <c r="B172" s="2" t="s">
        <v>493</v>
      </c>
      <c r="C172" s="75" t="s">
        <v>494</v>
      </c>
      <c r="D172" s="70"/>
      <c r="E172" s="2" t="s">
        <v>262</v>
      </c>
      <c r="F172" s="51">
        <v>1</v>
      </c>
      <c r="G172" s="52">
        <v>0</v>
      </c>
      <c r="H172" s="51">
        <f>F172*G172</f>
        <v>0</v>
      </c>
      <c r="J172" s="41"/>
      <c r="Z172" s="51">
        <f>IF(AQ172="5",BJ172,0)</f>
        <v>0</v>
      </c>
      <c r="AB172" s="51">
        <f>IF(AQ172="1",BH172,0)</f>
        <v>0</v>
      </c>
      <c r="AC172" s="51">
        <f>IF(AQ172="1",BI172,0)</f>
        <v>0</v>
      </c>
      <c r="AD172" s="51">
        <f>IF(AQ172="7",BH172,0)</f>
        <v>0</v>
      </c>
      <c r="AE172" s="51">
        <f>IF(AQ172="7",BI172,0)</f>
        <v>0</v>
      </c>
      <c r="AF172" s="51">
        <f>IF(AQ172="2",BH172,0)</f>
        <v>0</v>
      </c>
      <c r="AG172" s="51">
        <f>IF(AQ172="2",BI172,0)</f>
        <v>0</v>
      </c>
      <c r="AH172" s="51">
        <f>IF(AQ172="0",BJ172,0)</f>
        <v>0</v>
      </c>
      <c r="AI172" s="35" t="s">
        <v>4</v>
      </c>
      <c r="AJ172" s="51">
        <f>IF(AN172=0,H172,0)</f>
        <v>0</v>
      </c>
      <c r="AK172" s="51">
        <f>IF(AN172=12,H172,0)</f>
        <v>0</v>
      </c>
      <c r="AL172" s="51">
        <f>IF(AN172=21,H172,0)</f>
        <v>0</v>
      </c>
      <c r="AN172" s="51">
        <v>12</v>
      </c>
      <c r="AO172" s="51">
        <f>G172*0.3452</f>
        <v>0</v>
      </c>
      <c r="AP172" s="51">
        <f>G172*(1-0.3452)</f>
        <v>0</v>
      </c>
      <c r="AQ172" s="53" t="s">
        <v>151</v>
      </c>
      <c r="AV172" s="51">
        <f>AW172+AX172</f>
        <v>0</v>
      </c>
      <c r="AW172" s="51">
        <f>F172*AO172</f>
        <v>0</v>
      </c>
      <c r="AX172" s="51">
        <f>F172*AP172</f>
        <v>0</v>
      </c>
      <c r="AY172" s="53" t="s">
        <v>495</v>
      </c>
      <c r="AZ172" s="53" t="s">
        <v>496</v>
      </c>
      <c r="BA172" s="35" t="s">
        <v>117</v>
      </c>
      <c r="BC172" s="51">
        <f>AW172+AX172</f>
        <v>0</v>
      </c>
      <c r="BD172" s="51">
        <f>G172/(100-BE172)*100</f>
        <v>0</v>
      </c>
      <c r="BE172" s="51">
        <v>0</v>
      </c>
      <c r="BF172" s="51">
        <f>172</f>
        <v>172</v>
      </c>
      <c r="BH172" s="51">
        <f>F172*AO172</f>
        <v>0</v>
      </c>
      <c r="BI172" s="51">
        <f>F172*AP172</f>
        <v>0</v>
      </c>
      <c r="BJ172" s="51">
        <f>F172*G172</f>
        <v>0</v>
      </c>
      <c r="BK172" s="51"/>
      <c r="BL172" s="51">
        <v>735</v>
      </c>
      <c r="BW172" s="51">
        <v>12</v>
      </c>
      <c r="BX172" s="3" t="s">
        <v>494</v>
      </c>
    </row>
    <row r="173" spans="1:76">
      <c r="A173" s="47" t="s">
        <v>4</v>
      </c>
      <c r="B173" s="48" t="s">
        <v>497</v>
      </c>
      <c r="C173" s="150" t="s">
        <v>498</v>
      </c>
      <c r="D173" s="151"/>
      <c r="E173" s="49" t="s">
        <v>79</v>
      </c>
      <c r="F173" s="49" t="s">
        <v>79</v>
      </c>
      <c r="G173" s="50" t="s">
        <v>79</v>
      </c>
      <c r="H173" s="28">
        <f>SUM(H174:H188)</f>
        <v>0</v>
      </c>
      <c r="J173" s="41"/>
      <c r="AI173" s="35" t="s">
        <v>4</v>
      </c>
      <c r="AS173" s="28">
        <f>SUM(AJ174:AJ188)</f>
        <v>0</v>
      </c>
      <c r="AT173" s="28">
        <f>SUM(AK174:AK188)</f>
        <v>0</v>
      </c>
      <c r="AU173" s="28">
        <f>SUM(AL174:AL188)</f>
        <v>0</v>
      </c>
    </row>
    <row r="174" spans="1:76">
      <c r="A174" s="1" t="s">
        <v>499</v>
      </c>
      <c r="B174" s="2" t="s">
        <v>500</v>
      </c>
      <c r="C174" s="75" t="s">
        <v>501</v>
      </c>
      <c r="D174" s="70"/>
      <c r="E174" s="2" t="s">
        <v>130</v>
      </c>
      <c r="F174" s="51">
        <v>2</v>
      </c>
      <c r="G174" s="52">
        <v>0</v>
      </c>
      <c r="H174" s="51">
        <f>F174*G174</f>
        <v>0</v>
      </c>
      <c r="J174" s="41"/>
      <c r="Z174" s="51">
        <f>IF(AQ174="5",BJ174,0)</f>
        <v>0</v>
      </c>
      <c r="AB174" s="51">
        <f>IF(AQ174="1",BH174,0)</f>
        <v>0</v>
      </c>
      <c r="AC174" s="51">
        <f>IF(AQ174="1",BI174,0)</f>
        <v>0</v>
      </c>
      <c r="AD174" s="51">
        <f>IF(AQ174="7",BH174,0)</f>
        <v>0</v>
      </c>
      <c r="AE174" s="51">
        <f>IF(AQ174="7",BI174,0)</f>
        <v>0</v>
      </c>
      <c r="AF174" s="51">
        <f>IF(AQ174="2",BH174,0)</f>
        <v>0</v>
      </c>
      <c r="AG174" s="51">
        <f>IF(AQ174="2",BI174,0)</f>
        <v>0</v>
      </c>
      <c r="AH174" s="51">
        <f>IF(AQ174="0",BJ174,0)</f>
        <v>0</v>
      </c>
      <c r="AI174" s="35" t="s">
        <v>4</v>
      </c>
      <c r="AJ174" s="51">
        <f>IF(AN174=0,H174,0)</f>
        <v>0</v>
      </c>
      <c r="AK174" s="51">
        <f>IF(AN174=12,H174,0)</f>
        <v>0</v>
      </c>
      <c r="AL174" s="51">
        <f>IF(AN174=21,H174,0)</f>
        <v>0</v>
      </c>
      <c r="AN174" s="51">
        <v>12</v>
      </c>
      <c r="AO174" s="51">
        <f>G174*0</f>
        <v>0</v>
      </c>
      <c r="AP174" s="51">
        <f>G174*(1-0)</f>
        <v>0</v>
      </c>
      <c r="AQ174" s="53" t="s">
        <v>151</v>
      </c>
      <c r="AV174" s="51">
        <f>AW174+AX174</f>
        <v>0</v>
      </c>
      <c r="AW174" s="51">
        <f>F174*AO174</f>
        <v>0</v>
      </c>
      <c r="AX174" s="51">
        <f>F174*AP174</f>
        <v>0</v>
      </c>
      <c r="AY174" s="53" t="s">
        <v>502</v>
      </c>
      <c r="AZ174" s="53" t="s">
        <v>503</v>
      </c>
      <c r="BA174" s="35" t="s">
        <v>117</v>
      </c>
      <c r="BC174" s="51">
        <f>AW174+AX174</f>
        <v>0</v>
      </c>
      <c r="BD174" s="51">
        <f>G174/(100-BE174)*100</f>
        <v>0</v>
      </c>
      <c r="BE174" s="51">
        <v>0</v>
      </c>
      <c r="BF174" s="51">
        <f>174</f>
        <v>174</v>
      </c>
      <c r="BH174" s="51">
        <f>F174*AO174</f>
        <v>0</v>
      </c>
      <c r="BI174" s="51">
        <f>F174*AP174</f>
        <v>0</v>
      </c>
      <c r="BJ174" s="51">
        <f>F174*G174</f>
        <v>0</v>
      </c>
      <c r="BK174" s="51"/>
      <c r="BL174" s="51">
        <v>766</v>
      </c>
      <c r="BW174" s="51">
        <v>12</v>
      </c>
      <c r="BX174" s="3" t="s">
        <v>501</v>
      </c>
    </row>
    <row r="175" spans="1:76">
      <c r="A175" s="1" t="s">
        <v>504</v>
      </c>
      <c r="B175" s="2" t="s">
        <v>505</v>
      </c>
      <c r="C175" s="75" t="s">
        <v>506</v>
      </c>
      <c r="D175" s="70"/>
      <c r="E175" s="2" t="s">
        <v>130</v>
      </c>
      <c r="F175" s="51">
        <v>1</v>
      </c>
      <c r="G175" s="52">
        <v>0</v>
      </c>
      <c r="H175" s="51">
        <f>F175*G175</f>
        <v>0</v>
      </c>
      <c r="J175" s="41"/>
      <c r="Z175" s="51">
        <f>IF(AQ175="5",BJ175,0)</f>
        <v>0</v>
      </c>
      <c r="AB175" s="51">
        <f>IF(AQ175="1",BH175,0)</f>
        <v>0</v>
      </c>
      <c r="AC175" s="51">
        <f>IF(AQ175="1",BI175,0)</f>
        <v>0</v>
      </c>
      <c r="AD175" s="51">
        <f>IF(AQ175="7",BH175,0)</f>
        <v>0</v>
      </c>
      <c r="AE175" s="51">
        <f>IF(AQ175="7",BI175,0)</f>
        <v>0</v>
      </c>
      <c r="AF175" s="51">
        <f>IF(AQ175="2",BH175,0)</f>
        <v>0</v>
      </c>
      <c r="AG175" s="51">
        <f>IF(AQ175="2",BI175,0)</f>
        <v>0</v>
      </c>
      <c r="AH175" s="51">
        <f>IF(AQ175="0",BJ175,0)</f>
        <v>0</v>
      </c>
      <c r="AI175" s="35" t="s">
        <v>4</v>
      </c>
      <c r="AJ175" s="51">
        <f>IF(AN175=0,H175,0)</f>
        <v>0</v>
      </c>
      <c r="AK175" s="51">
        <f>IF(AN175=12,H175,0)</f>
        <v>0</v>
      </c>
      <c r="AL175" s="51">
        <f>IF(AN175=21,H175,0)</f>
        <v>0</v>
      </c>
      <c r="AN175" s="51">
        <v>12</v>
      </c>
      <c r="AO175" s="51">
        <f>G175*0</f>
        <v>0</v>
      </c>
      <c r="AP175" s="51">
        <f>G175*(1-0)</f>
        <v>0</v>
      </c>
      <c r="AQ175" s="53" t="s">
        <v>151</v>
      </c>
      <c r="AV175" s="51">
        <f>AW175+AX175</f>
        <v>0</v>
      </c>
      <c r="AW175" s="51">
        <f>F175*AO175</f>
        <v>0</v>
      </c>
      <c r="AX175" s="51">
        <f>F175*AP175</f>
        <v>0</v>
      </c>
      <c r="AY175" s="53" t="s">
        <v>502</v>
      </c>
      <c r="AZ175" s="53" t="s">
        <v>503</v>
      </c>
      <c r="BA175" s="35" t="s">
        <v>117</v>
      </c>
      <c r="BC175" s="51">
        <f>AW175+AX175</f>
        <v>0</v>
      </c>
      <c r="BD175" s="51">
        <f>G175/(100-BE175)*100</f>
        <v>0</v>
      </c>
      <c r="BE175" s="51">
        <v>0</v>
      </c>
      <c r="BF175" s="51">
        <f>175</f>
        <v>175</v>
      </c>
      <c r="BH175" s="51">
        <f>F175*AO175</f>
        <v>0</v>
      </c>
      <c r="BI175" s="51">
        <f>F175*AP175</f>
        <v>0</v>
      </c>
      <c r="BJ175" s="51">
        <f>F175*G175</f>
        <v>0</v>
      </c>
      <c r="BK175" s="51"/>
      <c r="BL175" s="51">
        <v>766</v>
      </c>
      <c r="BW175" s="51">
        <v>12</v>
      </c>
      <c r="BX175" s="3" t="s">
        <v>506</v>
      </c>
    </row>
    <row r="176" spans="1:76">
      <c r="A176" s="1" t="s">
        <v>507</v>
      </c>
      <c r="B176" s="2" t="s">
        <v>508</v>
      </c>
      <c r="C176" s="75" t="s">
        <v>509</v>
      </c>
      <c r="D176" s="70"/>
      <c r="E176" s="2" t="s">
        <v>130</v>
      </c>
      <c r="F176" s="51">
        <v>2</v>
      </c>
      <c r="G176" s="52">
        <v>0</v>
      </c>
      <c r="H176" s="51">
        <f>F176*G176</f>
        <v>0</v>
      </c>
      <c r="J176" s="41"/>
      <c r="Z176" s="51">
        <f>IF(AQ176="5",BJ176,0)</f>
        <v>0</v>
      </c>
      <c r="AB176" s="51">
        <f>IF(AQ176="1",BH176,0)</f>
        <v>0</v>
      </c>
      <c r="AC176" s="51">
        <f>IF(AQ176="1",BI176,0)</f>
        <v>0</v>
      </c>
      <c r="AD176" s="51">
        <f>IF(AQ176="7",BH176,0)</f>
        <v>0</v>
      </c>
      <c r="AE176" s="51">
        <f>IF(AQ176="7",BI176,0)</f>
        <v>0</v>
      </c>
      <c r="AF176" s="51">
        <f>IF(AQ176="2",BH176,0)</f>
        <v>0</v>
      </c>
      <c r="AG176" s="51">
        <f>IF(AQ176="2",BI176,0)</f>
        <v>0</v>
      </c>
      <c r="AH176" s="51">
        <f>IF(AQ176="0",BJ176,0)</f>
        <v>0</v>
      </c>
      <c r="AI176" s="35" t="s">
        <v>4</v>
      </c>
      <c r="AJ176" s="51">
        <f>IF(AN176=0,H176,0)</f>
        <v>0</v>
      </c>
      <c r="AK176" s="51">
        <f>IF(AN176=12,H176,0)</f>
        <v>0</v>
      </c>
      <c r="AL176" s="51">
        <f>IF(AN176=21,H176,0)</f>
        <v>0</v>
      </c>
      <c r="AN176" s="51">
        <v>12</v>
      </c>
      <c r="AO176" s="51">
        <f>G176*0</f>
        <v>0</v>
      </c>
      <c r="AP176" s="51">
        <f>G176*(1-0)</f>
        <v>0</v>
      </c>
      <c r="AQ176" s="53" t="s">
        <v>151</v>
      </c>
      <c r="AV176" s="51">
        <f>AW176+AX176</f>
        <v>0</v>
      </c>
      <c r="AW176" s="51">
        <f>F176*AO176</f>
        <v>0</v>
      </c>
      <c r="AX176" s="51">
        <f>F176*AP176</f>
        <v>0</v>
      </c>
      <c r="AY176" s="53" t="s">
        <v>502</v>
      </c>
      <c r="AZ176" s="53" t="s">
        <v>503</v>
      </c>
      <c r="BA176" s="35" t="s">
        <v>117</v>
      </c>
      <c r="BC176" s="51">
        <f>AW176+AX176</f>
        <v>0</v>
      </c>
      <c r="BD176" s="51">
        <f>G176/(100-BE176)*100</f>
        <v>0</v>
      </c>
      <c r="BE176" s="51">
        <v>0</v>
      </c>
      <c r="BF176" s="51">
        <f>176</f>
        <v>176</v>
      </c>
      <c r="BH176" s="51">
        <f>F176*AO176</f>
        <v>0</v>
      </c>
      <c r="BI176" s="51">
        <f>F176*AP176</f>
        <v>0</v>
      </c>
      <c r="BJ176" s="51">
        <f>F176*G176</f>
        <v>0</v>
      </c>
      <c r="BK176" s="51"/>
      <c r="BL176" s="51">
        <v>766</v>
      </c>
      <c r="BW176" s="51">
        <v>12</v>
      </c>
      <c r="BX176" s="3" t="s">
        <v>509</v>
      </c>
    </row>
    <row r="177" spans="1:76">
      <c r="A177" s="1" t="s">
        <v>510</v>
      </c>
      <c r="B177" s="2" t="s">
        <v>511</v>
      </c>
      <c r="C177" s="75" t="s">
        <v>512</v>
      </c>
      <c r="D177" s="70"/>
      <c r="E177" s="2" t="s">
        <v>130</v>
      </c>
      <c r="F177" s="51">
        <v>2</v>
      </c>
      <c r="G177" s="52">
        <v>0</v>
      </c>
      <c r="H177" s="51">
        <f>F177*G177</f>
        <v>0</v>
      </c>
      <c r="J177" s="41"/>
      <c r="Z177" s="51">
        <f>IF(AQ177="5",BJ177,0)</f>
        <v>0</v>
      </c>
      <c r="AB177" s="51">
        <f>IF(AQ177="1",BH177,0)</f>
        <v>0</v>
      </c>
      <c r="AC177" s="51">
        <f>IF(AQ177="1",BI177,0)</f>
        <v>0</v>
      </c>
      <c r="AD177" s="51">
        <f>IF(AQ177="7",BH177,0)</f>
        <v>0</v>
      </c>
      <c r="AE177" s="51">
        <f>IF(AQ177="7",BI177,0)</f>
        <v>0</v>
      </c>
      <c r="AF177" s="51">
        <f>IF(AQ177="2",BH177,0)</f>
        <v>0</v>
      </c>
      <c r="AG177" s="51">
        <f>IF(AQ177="2",BI177,0)</f>
        <v>0</v>
      </c>
      <c r="AH177" s="51">
        <f>IF(AQ177="0",BJ177,0)</f>
        <v>0</v>
      </c>
      <c r="AI177" s="35" t="s">
        <v>4</v>
      </c>
      <c r="AJ177" s="51">
        <f>IF(AN177=0,H177,0)</f>
        <v>0</v>
      </c>
      <c r="AK177" s="51">
        <f>IF(AN177=12,H177,0)</f>
        <v>0</v>
      </c>
      <c r="AL177" s="51">
        <f>IF(AN177=21,H177,0)</f>
        <v>0</v>
      </c>
      <c r="AN177" s="51">
        <v>12</v>
      </c>
      <c r="AO177" s="51">
        <f>G177*0</f>
        <v>0</v>
      </c>
      <c r="AP177" s="51">
        <f>G177*(1-0)</f>
        <v>0</v>
      </c>
      <c r="AQ177" s="53" t="s">
        <v>151</v>
      </c>
      <c r="AV177" s="51">
        <f>AW177+AX177</f>
        <v>0</v>
      </c>
      <c r="AW177" s="51">
        <f>F177*AO177</f>
        <v>0</v>
      </c>
      <c r="AX177" s="51">
        <f>F177*AP177</f>
        <v>0</v>
      </c>
      <c r="AY177" s="53" t="s">
        <v>502</v>
      </c>
      <c r="AZ177" s="53" t="s">
        <v>503</v>
      </c>
      <c r="BA177" s="35" t="s">
        <v>117</v>
      </c>
      <c r="BC177" s="51">
        <f>AW177+AX177</f>
        <v>0</v>
      </c>
      <c r="BD177" s="51">
        <f>G177/(100-BE177)*100</f>
        <v>0</v>
      </c>
      <c r="BE177" s="51">
        <v>0</v>
      </c>
      <c r="BF177" s="51">
        <f>177</f>
        <v>177</v>
      </c>
      <c r="BH177" s="51">
        <f>F177*AO177</f>
        <v>0</v>
      </c>
      <c r="BI177" s="51">
        <f>F177*AP177</f>
        <v>0</v>
      </c>
      <c r="BJ177" s="51">
        <f>F177*G177</f>
        <v>0</v>
      </c>
      <c r="BK177" s="51"/>
      <c r="BL177" s="51">
        <v>766</v>
      </c>
      <c r="BW177" s="51">
        <v>12</v>
      </c>
      <c r="BX177" s="3" t="s">
        <v>512</v>
      </c>
    </row>
    <row r="178" spans="1:76">
      <c r="A178" s="1" t="s">
        <v>513</v>
      </c>
      <c r="B178" s="2" t="s">
        <v>514</v>
      </c>
      <c r="C178" s="75" t="s">
        <v>515</v>
      </c>
      <c r="D178" s="70"/>
      <c r="E178" s="2" t="s">
        <v>130</v>
      </c>
      <c r="F178" s="51">
        <v>1</v>
      </c>
      <c r="G178" s="52">
        <v>0</v>
      </c>
      <c r="H178" s="51">
        <f>F178*G178</f>
        <v>0</v>
      </c>
      <c r="J178" s="41"/>
      <c r="Z178" s="51">
        <f>IF(AQ178="5",BJ178,0)</f>
        <v>0</v>
      </c>
      <c r="AB178" s="51">
        <f>IF(AQ178="1",BH178,0)</f>
        <v>0</v>
      </c>
      <c r="AC178" s="51">
        <f>IF(AQ178="1",BI178,0)</f>
        <v>0</v>
      </c>
      <c r="AD178" s="51">
        <f>IF(AQ178="7",BH178,0)</f>
        <v>0</v>
      </c>
      <c r="AE178" s="51">
        <f>IF(AQ178="7",BI178,0)</f>
        <v>0</v>
      </c>
      <c r="AF178" s="51">
        <f>IF(AQ178="2",BH178,0)</f>
        <v>0</v>
      </c>
      <c r="AG178" s="51">
        <f>IF(AQ178="2",BI178,0)</f>
        <v>0</v>
      </c>
      <c r="AH178" s="51">
        <f>IF(AQ178="0",BJ178,0)</f>
        <v>0</v>
      </c>
      <c r="AI178" s="35" t="s">
        <v>4</v>
      </c>
      <c r="AJ178" s="51">
        <f>IF(AN178=0,H178,0)</f>
        <v>0</v>
      </c>
      <c r="AK178" s="51">
        <f>IF(AN178=12,H178,0)</f>
        <v>0</v>
      </c>
      <c r="AL178" s="51">
        <f>IF(AN178=21,H178,0)</f>
        <v>0</v>
      </c>
      <c r="AN178" s="51">
        <v>12</v>
      </c>
      <c r="AO178" s="51">
        <f>G178*0</f>
        <v>0</v>
      </c>
      <c r="AP178" s="51">
        <f>G178*(1-0)</f>
        <v>0</v>
      </c>
      <c r="AQ178" s="53" t="s">
        <v>151</v>
      </c>
      <c r="AV178" s="51">
        <f>AW178+AX178</f>
        <v>0</v>
      </c>
      <c r="AW178" s="51">
        <f>F178*AO178</f>
        <v>0</v>
      </c>
      <c r="AX178" s="51">
        <f>F178*AP178</f>
        <v>0</v>
      </c>
      <c r="AY178" s="53" t="s">
        <v>502</v>
      </c>
      <c r="AZ178" s="53" t="s">
        <v>503</v>
      </c>
      <c r="BA178" s="35" t="s">
        <v>117</v>
      </c>
      <c r="BC178" s="51">
        <f>AW178+AX178</f>
        <v>0</v>
      </c>
      <c r="BD178" s="51">
        <f>G178/(100-BE178)*100</f>
        <v>0</v>
      </c>
      <c r="BE178" s="51">
        <v>0</v>
      </c>
      <c r="BF178" s="51">
        <f>178</f>
        <v>178</v>
      </c>
      <c r="BH178" s="51">
        <f>F178*AO178</f>
        <v>0</v>
      </c>
      <c r="BI178" s="51">
        <f>F178*AP178</f>
        <v>0</v>
      </c>
      <c r="BJ178" s="51">
        <f>F178*G178</f>
        <v>0</v>
      </c>
      <c r="BK178" s="51"/>
      <c r="BL178" s="51">
        <v>766</v>
      </c>
      <c r="BW178" s="51">
        <v>12</v>
      </c>
      <c r="BX178" s="3" t="s">
        <v>515</v>
      </c>
    </row>
    <row r="179" spans="1:76">
      <c r="A179" s="54"/>
      <c r="C179" s="55" t="s">
        <v>111</v>
      </c>
      <c r="D179" s="56" t="s">
        <v>236</v>
      </c>
      <c r="F179" s="57">
        <v>1</v>
      </c>
      <c r="J179" s="41"/>
    </row>
    <row r="180" spans="1:76">
      <c r="A180" s="1" t="s">
        <v>240</v>
      </c>
      <c r="B180" s="2" t="s">
        <v>516</v>
      </c>
      <c r="C180" s="75" t="s">
        <v>517</v>
      </c>
      <c r="D180" s="70"/>
      <c r="E180" s="2" t="s">
        <v>130</v>
      </c>
      <c r="F180" s="51">
        <v>1</v>
      </c>
      <c r="G180" s="52">
        <v>0</v>
      </c>
      <c r="H180" s="51">
        <f t="shared" ref="H180:H188" si="80">F180*G180</f>
        <v>0</v>
      </c>
      <c r="J180" s="41"/>
      <c r="Z180" s="51">
        <f t="shared" ref="Z180:Z188" si="81">IF(AQ180="5",BJ180,0)</f>
        <v>0</v>
      </c>
      <c r="AB180" s="51">
        <f t="shared" ref="AB180:AB188" si="82">IF(AQ180="1",BH180,0)</f>
        <v>0</v>
      </c>
      <c r="AC180" s="51">
        <f t="shared" ref="AC180:AC188" si="83">IF(AQ180="1",BI180,0)</f>
        <v>0</v>
      </c>
      <c r="AD180" s="51">
        <f t="shared" ref="AD180:AD188" si="84">IF(AQ180="7",BH180,0)</f>
        <v>0</v>
      </c>
      <c r="AE180" s="51">
        <f t="shared" ref="AE180:AE188" si="85">IF(AQ180="7",BI180,0)</f>
        <v>0</v>
      </c>
      <c r="AF180" s="51">
        <f t="shared" ref="AF180:AF188" si="86">IF(AQ180="2",BH180,0)</f>
        <v>0</v>
      </c>
      <c r="AG180" s="51">
        <f t="shared" ref="AG180:AG188" si="87">IF(AQ180="2",BI180,0)</f>
        <v>0</v>
      </c>
      <c r="AH180" s="51">
        <f t="shared" ref="AH180:AH188" si="88">IF(AQ180="0",BJ180,0)</f>
        <v>0</v>
      </c>
      <c r="AI180" s="35" t="s">
        <v>4</v>
      </c>
      <c r="AJ180" s="51">
        <f t="shared" ref="AJ180:AJ188" si="89">IF(AN180=0,H180,0)</f>
        <v>0</v>
      </c>
      <c r="AK180" s="51">
        <f t="shared" ref="AK180:AK188" si="90">IF(AN180=12,H180,0)</f>
        <v>0</v>
      </c>
      <c r="AL180" s="51">
        <f t="shared" ref="AL180:AL188" si="91">IF(AN180=21,H180,0)</f>
        <v>0</v>
      </c>
      <c r="AN180" s="51">
        <v>12</v>
      </c>
      <c r="AO180" s="51">
        <f>G180*1</f>
        <v>0</v>
      </c>
      <c r="AP180" s="51">
        <f>G180*(1-1)</f>
        <v>0</v>
      </c>
      <c r="AQ180" s="53" t="s">
        <v>151</v>
      </c>
      <c r="AV180" s="51">
        <f t="shared" ref="AV180:AV188" si="92">AW180+AX180</f>
        <v>0</v>
      </c>
      <c r="AW180" s="51">
        <f t="shared" ref="AW180:AW188" si="93">F180*AO180</f>
        <v>0</v>
      </c>
      <c r="AX180" s="51">
        <f t="shared" ref="AX180:AX188" si="94">F180*AP180</f>
        <v>0</v>
      </c>
      <c r="AY180" s="53" t="s">
        <v>502</v>
      </c>
      <c r="AZ180" s="53" t="s">
        <v>503</v>
      </c>
      <c r="BA180" s="35" t="s">
        <v>117</v>
      </c>
      <c r="BC180" s="51">
        <f t="shared" ref="BC180:BC188" si="95">AW180+AX180</f>
        <v>0</v>
      </c>
      <c r="BD180" s="51">
        <f t="shared" ref="BD180:BD188" si="96">G180/(100-BE180)*100</f>
        <v>0</v>
      </c>
      <c r="BE180" s="51">
        <v>0</v>
      </c>
      <c r="BF180" s="51">
        <f>180</f>
        <v>180</v>
      </c>
      <c r="BH180" s="51">
        <f t="shared" ref="BH180:BH188" si="97">F180*AO180</f>
        <v>0</v>
      </c>
      <c r="BI180" s="51">
        <f t="shared" ref="BI180:BI188" si="98">F180*AP180</f>
        <v>0</v>
      </c>
      <c r="BJ180" s="51">
        <f t="shared" ref="BJ180:BJ188" si="99">F180*G180</f>
        <v>0</v>
      </c>
      <c r="BK180" s="51"/>
      <c r="BL180" s="51">
        <v>766</v>
      </c>
      <c r="BW180" s="51">
        <v>12</v>
      </c>
      <c r="BX180" s="3" t="s">
        <v>517</v>
      </c>
    </row>
    <row r="181" spans="1:76" ht="25.5">
      <c r="A181" s="1" t="s">
        <v>264</v>
      </c>
      <c r="B181" s="2" t="s">
        <v>518</v>
      </c>
      <c r="C181" s="75" t="s">
        <v>519</v>
      </c>
      <c r="D181" s="70"/>
      <c r="E181" s="2" t="s">
        <v>130</v>
      </c>
      <c r="F181" s="51">
        <v>1</v>
      </c>
      <c r="G181" s="52">
        <v>0</v>
      </c>
      <c r="H181" s="51">
        <f t="shared" si="80"/>
        <v>0</v>
      </c>
      <c r="J181" s="41"/>
      <c r="Z181" s="51">
        <f t="shared" si="81"/>
        <v>0</v>
      </c>
      <c r="AB181" s="51">
        <f t="shared" si="82"/>
        <v>0</v>
      </c>
      <c r="AC181" s="51">
        <f t="shared" si="83"/>
        <v>0</v>
      </c>
      <c r="AD181" s="51">
        <f t="shared" si="84"/>
        <v>0</v>
      </c>
      <c r="AE181" s="51">
        <f t="shared" si="85"/>
        <v>0</v>
      </c>
      <c r="AF181" s="51">
        <f t="shared" si="86"/>
        <v>0</v>
      </c>
      <c r="AG181" s="51">
        <f t="shared" si="87"/>
        <v>0</v>
      </c>
      <c r="AH181" s="51">
        <f t="shared" si="88"/>
        <v>0</v>
      </c>
      <c r="AI181" s="35" t="s">
        <v>4</v>
      </c>
      <c r="AJ181" s="51">
        <f t="shared" si="89"/>
        <v>0</v>
      </c>
      <c r="AK181" s="51">
        <f t="shared" si="90"/>
        <v>0</v>
      </c>
      <c r="AL181" s="51">
        <f t="shared" si="91"/>
        <v>0</v>
      </c>
      <c r="AN181" s="51">
        <v>12</v>
      </c>
      <c r="AO181" s="51">
        <f>G181*1</f>
        <v>0</v>
      </c>
      <c r="AP181" s="51">
        <f>G181*(1-1)</f>
        <v>0</v>
      </c>
      <c r="AQ181" s="53" t="s">
        <v>151</v>
      </c>
      <c r="AV181" s="51">
        <f t="shared" si="92"/>
        <v>0</v>
      </c>
      <c r="AW181" s="51">
        <f t="shared" si="93"/>
        <v>0</v>
      </c>
      <c r="AX181" s="51">
        <f t="shared" si="94"/>
        <v>0</v>
      </c>
      <c r="AY181" s="53" t="s">
        <v>502</v>
      </c>
      <c r="AZ181" s="53" t="s">
        <v>503</v>
      </c>
      <c r="BA181" s="35" t="s">
        <v>117</v>
      </c>
      <c r="BC181" s="51">
        <f t="shared" si="95"/>
        <v>0</v>
      </c>
      <c r="BD181" s="51">
        <f t="shared" si="96"/>
        <v>0</v>
      </c>
      <c r="BE181" s="51">
        <v>0</v>
      </c>
      <c r="BF181" s="51">
        <f>181</f>
        <v>181</v>
      </c>
      <c r="BH181" s="51">
        <f t="shared" si="97"/>
        <v>0</v>
      </c>
      <c r="BI181" s="51">
        <f t="shared" si="98"/>
        <v>0</v>
      </c>
      <c r="BJ181" s="51">
        <f t="shared" si="99"/>
        <v>0</v>
      </c>
      <c r="BK181" s="51"/>
      <c r="BL181" s="51">
        <v>766</v>
      </c>
      <c r="BW181" s="51">
        <v>12</v>
      </c>
      <c r="BX181" s="3" t="s">
        <v>519</v>
      </c>
    </row>
    <row r="182" spans="1:76" ht="25.5">
      <c r="A182" s="1" t="s">
        <v>520</v>
      </c>
      <c r="B182" s="2" t="s">
        <v>521</v>
      </c>
      <c r="C182" s="75" t="s">
        <v>522</v>
      </c>
      <c r="D182" s="70"/>
      <c r="E182" s="2" t="s">
        <v>130</v>
      </c>
      <c r="F182" s="51">
        <v>1</v>
      </c>
      <c r="G182" s="52">
        <v>0</v>
      </c>
      <c r="H182" s="51">
        <f t="shared" si="80"/>
        <v>0</v>
      </c>
      <c r="J182" s="41"/>
      <c r="Z182" s="51">
        <f t="shared" si="81"/>
        <v>0</v>
      </c>
      <c r="AB182" s="51">
        <f t="shared" si="82"/>
        <v>0</v>
      </c>
      <c r="AC182" s="51">
        <f t="shared" si="83"/>
        <v>0</v>
      </c>
      <c r="AD182" s="51">
        <f t="shared" si="84"/>
        <v>0</v>
      </c>
      <c r="AE182" s="51">
        <f t="shared" si="85"/>
        <v>0</v>
      </c>
      <c r="AF182" s="51">
        <f t="shared" si="86"/>
        <v>0</v>
      </c>
      <c r="AG182" s="51">
        <f t="shared" si="87"/>
        <v>0</v>
      </c>
      <c r="AH182" s="51">
        <f t="shared" si="88"/>
        <v>0</v>
      </c>
      <c r="AI182" s="35" t="s">
        <v>4</v>
      </c>
      <c r="AJ182" s="51">
        <f t="shared" si="89"/>
        <v>0</v>
      </c>
      <c r="AK182" s="51">
        <f t="shared" si="90"/>
        <v>0</v>
      </c>
      <c r="AL182" s="51">
        <f t="shared" si="91"/>
        <v>0</v>
      </c>
      <c r="AN182" s="51">
        <v>12</v>
      </c>
      <c r="AO182" s="51">
        <f>G182*1</f>
        <v>0</v>
      </c>
      <c r="AP182" s="51">
        <f>G182*(1-1)</f>
        <v>0</v>
      </c>
      <c r="AQ182" s="53" t="s">
        <v>151</v>
      </c>
      <c r="AV182" s="51">
        <f t="shared" si="92"/>
        <v>0</v>
      </c>
      <c r="AW182" s="51">
        <f t="shared" si="93"/>
        <v>0</v>
      </c>
      <c r="AX182" s="51">
        <f t="shared" si="94"/>
        <v>0</v>
      </c>
      <c r="AY182" s="53" t="s">
        <v>502</v>
      </c>
      <c r="AZ182" s="53" t="s">
        <v>503</v>
      </c>
      <c r="BA182" s="35" t="s">
        <v>117</v>
      </c>
      <c r="BC182" s="51">
        <f t="shared" si="95"/>
        <v>0</v>
      </c>
      <c r="BD182" s="51">
        <f t="shared" si="96"/>
        <v>0</v>
      </c>
      <c r="BE182" s="51">
        <v>0</v>
      </c>
      <c r="BF182" s="51">
        <f>182</f>
        <v>182</v>
      </c>
      <c r="BH182" s="51">
        <f t="shared" si="97"/>
        <v>0</v>
      </c>
      <c r="BI182" s="51">
        <f t="shared" si="98"/>
        <v>0</v>
      </c>
      <c r="BJ182" s="51">
        <f t="shared" si="99"/>
        <v>0</v>
      </c>
      <c r="BK182" s="51"/>
      <c r="BL182" s="51">
        <v>766</v>
      </c>
      <c r="BW182" s="51">
        <v>12</v>
      </c>
      <c r="BX182" s="3" t="s">
        <v>522</v>
      </c>
    </row>
    <row r="183" spans="1:76">
      <c r="A183" s="1" t="s">
        <v>523</v>
      </c>
      <c r="B183" s="2" t="s">
        <v>524</v>
      </c>
      <c r="C183" s="75" t="s">
        <v>525</v>
      </c>
      <c r="D183" s="70"/>
      <c r="E183" s="2" t="s">
        <v>130</v>
      </c>
      <c r="F183" s="51">
        <v>1</v>
      </c>
      <c r="G183" s="52">
        <v>0</v>
      </c>
      <c r="H183" s="51">
        <f t="shared" si="80"/>
        <v>0</v>
      </c>
      <c r="J183" s="41"/>
      <c r="Z183" s="51">
        <f t="shared" si="81"/>
        <v>0</v>
      </c>
      <c r="AB183" s="51">
        <f t="shared" si="82"/>
        <v>0</v>
      </c>
      <c r="AC183" s="51">
        <f t="shared" si="83"/>
        <v>0</v>
      </c>
      <c r="AD183" s="51">
        <f t="shared" si="84"/>
        <v>0</v>
      </c>
      <c r="AE183" s="51">
        <f t="shared" si="85"/>
        <v>0</v>
      </c>
      <c r="AF183" s="51">
        <f t="shared" si="86"/>
        <v>0</v>
      </c>
      <c r="AG183" s="51">
        <f t="shared" si="87"/>
        <v>0</v>
      </c>
      <c r="AH183" s="51">
        <f t="shared" si="88"/>
        <v>0</v>
      </c>
      <c r="AI183" s="35" t="s">
        <v>4</v>
      </c>
      <c r="AJ183" s="51">
        <f t="shared" si="89"/>
        <v>0</v>
      </c>
      <c r="AK183" s="51">
        <f t="shared" si="90"/>
        <v>0</v>
      </c>
      <c r="AL183" s="51">
        <f t="shared" si="91"/>
        <v>0</v>
      </c>
      <c r="AN183" s="51">
        <v>12</v>
      </c>
      <c r="AO183" s="51">
        <f>G183*0</f>
        <v>0</v>
      </c>
      <c r="AP183" s="51">
        <f>G183*(1-0)</f>
        <v>0</v>
      </c>
      <c r="AQ183" s="53" t="s">
        <v>151</v>
      </c>
      <c r="AV183" s="51">
        <f t="shared" si="92"/>
        <v>0</v>
      </c>
      <c r="AW183" s="51">
        <f t="shared" si="93"/>
        <v>0</v>
      </c>
      <c r="AX183" s="51">
        <f t="shared" si="94"/>
        <v>0</v>
      </c>
      <c r="AY183" s="53" t="s">
        <v>502</v>
      </c>
      <c r="AZ183" s="53" t="s">
        <v>503</v>
      </c>
      <c r="BA183" s="35" t="s">
        <v>117</v>
      </c>
      <c r="BC183" s="51">
        <f t="shared" si="95"/>
        <v>0</v>
      </c>
      <c r="BD183" s="51">
        <f t="shared" si="96"/>
        <v>0</v>
      </c>
      <c r="BE183" s="51">
        <v>0</v>
      </c>
      <c r="BF183" s="51">
        <f>183</f>
        <v>183</v>
      </c>
      <c r="BH183" s="51">
        <f t="shared" si="97"/>
        <v>0</v>
      </c>
      <c r="BI183" s="51">
        <f t="shared" si="98"/>
        <v>0</v>
      </c>
      <c r="BJ183" s="51">
        <f t="shared" si="99"/>
        <v>0</v>
      </c>
      <c r="BK183" s="51"/>
      <c r="BL183" s="51">
        <v>766</v>
      </c>
      <c r="BW183" s="51">
        <v>12</v>
      </c>
      <c r="BX183" s="3" t="s">
        <v>525</v>
      </c>
    </row>
    <row r="184" spans="1:76">
      <c r="A184" s="1" t="s">
        <v>318</v>
      </c>
      <c r="B184" s="2" t="s">
        <v>526</v>
      </c>
      <c r="C184" s="75" t="s">
        <v>527</v>
      </c>
      <c r="D184" s="70"/>
      <c r="E184" s="2" t="s">
        <v>130</v>
      </c>
      <c r="F184" s="51">
        <v>1</v>
      </c>
      <c r="G184" s="52">
        <v>0</v>
      </c>
      <c r="H184" s="51">
        <f t="shared" si="80"/>
        <v>0</v>
      </c>
      <c r="J184" s="41"/>
      <c r="Z184" s="51">
        <f t="shared" si="81"/>
        <v>0</v>
      </c>
      <c r="AB184" s="51">
        <f t="shared" si="82"/>
        <v>0</v>
      </c>
      <c r="AC184" s="51">
        <f t="shared" si="83"/>
        <v>0</v>
      </c>
      <c r="AD184" s="51">
        <f t="shared" si="84"/>
        <v>0</v>
      </c>
      <c r="AE184" s="51">
        <f t="shared" si="85"/>
        <v>0</v>
      </c>
      <c r="AF184" s="51">
        <f t="shared" si="86"/>
        <v>0</v>
      </c>
      <c r="AG184" s="51">
        <f t="shared" si="87"/>
        <v>0</v>
      </c>
      <c r="AH184" s="51">
        <f t="shared" si="88"/>
        <v>0</v>
      </c>
      <c r="AI184" s="35" t="s">
        <v>4</v>
      </c>
      <c r="AJ184" s="51">
        <f t="shared" si="89"/>
        <v>0</v>
      </c>
      <c r="AK184" s="51">
        <f t="shared" si="90"/>
        <v>0</v>
      </c>
      <c r="AL184" s="51">
        <f t="shared" si="91"/>
        <v>0</v>
      </c>
      <c r="AN184" s="51">
        <v>12</v>
      </c>
      <c r="AO184" s="51">
        <f>G184*0</f>
        <v>0</v>
      </c>
      <c r="AP184" s="51">
        <f>G184*(1-0)</f>
        <v>0</v>
      </c>
      <c r="AQ184" s="53" t="s">
        <v>151</v>
      </c>
      <c r="AV184" s="51">
        <f t="shared" si="92"/>
        <v>0</v>
      </c>
      <c r="AW184" s="51">
        <f t="shared" si="93"/>
        <v>0</v>
      </c>
      <c r="AX184" s="51">
        <f t="shared" si="94"/>
        <v>0</v>
      </c>
      <c r="AY184" s="53" t="s">
        <v>502</v>
      </c>
      <c r="AZ184" s="53" t="s">
        <v>503</v>
      </c>
      <c r="BA184" s="35" t="s">
        <v>117</v>
      </c>
      <c r="BC184" s="51">
        <f t="shared" si="95"/>
        <v>0</v>
      </c>
      <c r="BD184" s="51">
        <f t="shared" si="96"/>
        <v>0</v>
      </c>
      <c r="BE184" s="51">
        <v>0</v>
      </c>
      <c r="BF184" s="51">
        <f>184</f>
        <v>184</v>
      </c>
      <c r="BH184" s="51">
        <f t="shared" si="97"/>
        <v>0</v>
      </c>
      <c r="BI184" s="51">
        <f t="shared" si="98"/>
        <v>0</v>
      </c>
      <c r="BJ184" s="51">
        <f t="shared" si="99"/>
        <v>0</v>
      </c>
      <c r="BK184" s="51"/>
      <c r="BL184" s="51">
        <v>766</v>
      </c>
      <c r="BW184" s="51">
        <v>12</v>
      </c>
      <c r="BX184" s="3" t="s">
        <v>527</v>
      </c>
    </row>
    <row r="185" spans="1:76">
      <c r="A185" s="1" t="s">
        <v>528</v>
      </c>
      <c r="B185" s="2" t="s">
        <v>529</v>
      </c>
      <c r="C185" s="75" t="s">
        <v>530</v>
      </c>
      <c r="D185" s="70"/>
      <c r="E185" s="2" t="s">
        <v>130</v>
      </c>
      <c r="F185" s="51">
        <v>1</v>
      </c>
      <c r="G185" s="52">
        <v>0</v>
      </c>
      <c r="H185" s="51">
        <f t="shared" si="80"/>
        <v>0</v>
      </c>
      <c r="J185" s="41"/>
      <c r="Z185" s="51">
        <f t="shared" si="81"/>
        <v>0</v>
      </c>
      <c r="AB185" s="51">
        <f t="shared" si="82"/>
        <v>0</v>
      </c>
      <c r="AC185" s="51">
        <f t="shared" si="83"/>
        <v>0</v>
      </c>
      <c r="AD185" s="51">
        <f t="shared" si="84"/>
        <v>0</v>
      </c>
      <c r="AE185" s="51">
        <f t="shared" si="85"/>
        <v>0</v>
      </c>
      <c r="AF185" s="51">
        <f t="shared" si="86"/>
        <v>0</v>
      </c>
      <c r="AG185" s="51">
        <f t="shared" si="87"/>
        <v>0</v>
      </c>
      <c r="AH185" s="51">
        <f t="shared" si="88"/>
        <v>0</v>
      </c>
      <c r="AI185" s="35" t="s">
        <v>4</v>
      </c>
      <c r="AJ185" s="51">
        <f t="shared" si="89"/>
        <v>0</v>
      </c>
      <c r="AK185" s="51">
        <f t="shared" si="90"/>
        <v>0</v>
      </c>
      <c r="AL185" s="51">
        <f t="shared" si="91"/>
        <v>0</v>
      </c>
      <c r="AN185" s="51">
        <v>12</v>
      </c>
      <c r="AO185" s="51">
        <f>G185*0.036979861</f>
        <v>0</v>
      </c>
      <c r="AP185" s="51">
        <f>G185*(1-0.036979861)</f>
        <v>0</v>
      </c>
      <c r="AQ185" s="53" t="s">
        <v>151</v>
      </c>
      <c r="AV185" s="51">
        <f t="shared" si="92"/>
        <v>0</v>
      </c>
      <c r="AW185" s="51">
        <f t="shared" si="93"/>
        <v>0</v>
      </c>
      <c r="AX185" s="51">
        <f t="shared" si="94"/>
        <v>0</v>
      </c>
      <c r="AY185" s="53" t="s">
        <v>502</v>
      </c>
      <c r="AZ185" s="53" t="s">
        <v>503</v>
      </c>
      <c r="BA185" s="35" t="s">
        <v>117</v>
      </c>
      <c r="BC185" s="51">
        <f t="shared" si="95"/>
        <v>0</v>
      </c>
      <c r="BD185" s="51">
        <f t="shared" si="96"/>
        <v>0</v>
      </c>
      <c r="BE185" s="51">
        <v>0</v>
      </c>
      <c r="BF185" s="51">
        <f>185</f>
        <v>185</v>
      </c>
      <c r="BH185" s="51">
        <f t="shared" si="97"/>
        <v>0</v>
      </c>
      <c r="BI185" s="51">
        <f t="shared" si="98"/>
        <v>0</v>
      </c>
      <c r="BJ185" s="51">
        <f t="shared" si="99"/>
        <v>0</v>
      </c>
      <c r="BK185" s="51"/>
      <c r="BL185" s="51">
        <v>766</v>
      </c>
      <c r="BW185" s="51">
        <v>12</v>
      </c>
      <c r="BX185" s="3" t="s">
        <v>530</v>
      </c>
    </row>
    <row r="186" spans="1:76">
      <c r="A186" s="1" t="s">
        <v>531</v>
      </c>
      <c r="B186" s="2" t="s">
        <v>532</v>
      </c>
      <c r="C186" s="75" t="s">
        <v>533</v>
      </c>
      <c r="D186" s="70"/>
      <c r="E186" s="2" t="s">
        <v>130</v>
      </c>
      <c r="F186" s="51">
        <v>1</v>
      </c>
      <c r="G186" s="52">
        <v>0</v>
      </c>
      <c r="H186" s="51">
        <f t="shared" si="80"/>
        <v>0</v>
      </c>
      <c r="J186" s="41"/>
      <c r="Z186" s="51">
        <f t="shared" si="81"/>
        <v>0</v>
      </c>
      <c r="AB186" s="51">
        <f t="shared" si="82"/>
        <v>0</v>
      </c>
      <c r="AC186" s="51">
        <f t="shared" si="83"/>
        <v>0</v>
      </c>
      <c r="AD186" s="51">
        <f t="shared" si="84"/>
        <v>0</v>
      </c>
      <c r="AE186" s="51">
        <f t="shared" si="85"/>
        <v>0</v>
      </c>
      <c r="AF186" s="51">
        <f t="shared" si="86"/>
        <v>0</v>
      </c>
      <c r="AG186" s="51">
        <f t="shared" si="87"/>
        <v>0</v>
      </c>
      <c r="AH186" s="51">
        <f t="shared" si="88"/>
        <v>0</v>
      </c>
      <c r="AI186" s="35" t="s">
        <v>4</v>
      </c>
      <c r="AJ186" s="51">
        <f t="shared" si="89"/>
        <v>0</v>
      </c>
      <c r="AK186" s="51">
        <f t="shared" si="90"/>
        <v>0</v>
      </c>
      <c r="AL186" s="51">
        <f t="shared" si="91"/>
        <v>0</v>
      </c>
      <c r="AN186" s="51">
        <v>12</v>
      </c>
      <c r="AO186" s="51">
        <f>G186*1</f>
        <v>0</v>
      </c>
      <c r="AP186" s="51">
        <f>G186*(1-1)</f>
        <v>0</v>
      </c>
      <c r="AQ186" s="53" t="s">
        <v>151</v>
      </c>
      <c r="AV186" s="51">
        <f t="shared" si="92"/>
        <v>0</v>
      </c>
      <c r="AW186" s="51">
        <f t="shared" si="93"/>
        <v>0</v>
      </c>
      <c r="AX186" s="51">
        <f t="shared" si="94"/>
        <v>0</v>
      </c>
      <c r="AY186" s="53" t="s">
        <v>502</v>
      </c>
      <c r="AZ186" s="53" t="s">
        <v>503</v>
      </c>
      <c r="BA186" s="35" t="s">
        <v>117</v>
      </c>
      <c r="BC186" s="51">
        <f t="shared" si="95"/>
        <v>0</v>
      </c>
      <c r="BD186" s="51">
        <f t="shared" si="96"/>
        <v>0</v>
      </c>
      <c r="BE186" s="51">
        <v>0</v>
      </c>
      <c r="BF186" s="51">
        <f>186</f>
        <v>186</v>
      </c>
      <c r="BH186" s="51">
        <f t="shared" si="97"/>
        <v>0</v>
      </c>
      <c r="BI186" s="51">
        <f t="shared" si="98"/>
        <v>0</v>
      </c>
      <c r="BJ186" s="51">
        <f t="shared" si="99"/>
        <v>0</v>
      </c>
      <c r="BK186" s="51"/>
      <c r="BL186" s="51">
        <v>766</v>
      </c>
      <c r="BW186" s="51">
        <v>12</v>
      </c>
      <c r="BX186" s="3" t="s">
        <v>533</v>
      </c>
    </row>
    <row r="187" spans="1:76">
      <c r="A187" s="1" t="s">
        <v>534</v>
      </c>
      <c r="B187" s="2" t="s">
        <v>535</v>
      </c>
      <c r="C187" s="75" t="s">
        <v>536</v>
      </c>
      <c r="D187" s="70"/>
      <c r="E187" s="2" t="s">
        <v>130</v>
      </c>
      <c r="F187" s="51">
        <v>1</v>
      </c>
      <c r="G187" s="52">
        <v>0</v>
      </c>
      <c r="H187" s="51">
        <f t="shared" si="80"/>
        <v>0</v>
      </c>
      <c r="J187" s="41"/>
      <c r="Z187" s="51">
        <f t="shared" si="81"/>
        <v>0</v>
      </c>
      <c r="AB187" s="51">
        <f t="shared" si="82"/>
        <v>0</v>
      </c>
      <c r="AC187" s="51">
        <f t="shared" si="83"/>
        <v>0</v>
      </c>
      <c r="AD187" s="51">
        <f t="shared" si="84"/>
        <v>0</v>
      </c>
      <c r="AE187" s="51">
        <f t="shared" si="85"/>
        <v>0</v>
      </c>
      <c r="AF187" s="51">
        <f t="shared" si="86"/>
        <v>0</v>
      </c>
      <c r="AG187" s="51">
        <f t="shared" si="87"/>
        <v>0</v>
      </c>
      <c r="AH187" s="51">
        <f t="shared" si="88"/>
        <v>0</v>
      </c>
      <c r="AI187" s="35" t="s">
        <v>4</v>
      </c>
      <c r="AJ187" s="51">
        <f t="shared" si="89"/>
        <v>0</v>
      </c>
      <c r="AK187" s="51">
        <f t="shared" si="90"/>
        <v>0</v>
      </c>
      <c r="AL187" s="51">
        <f t="shared" si="91"/>
        <v>0</v>
      </c>
      <c r="AN187" s="51">
        <v>12</v>
      </c>
      <c r="AO187" s="51">
        <f>G187*0</f>
        <v>0</v>
      </c>
      <c r="AP187" s="51">
        <f>G187*(1-0)</f>
        <v>0</v>
      </c>
      <c r="AQ187" s="53" t="s">
        <v>151</v>
      </c>
      <c r="AV187" s="51">
        <f t="shared" si="92"/>
        <v>0</v>
      </c>
      <c r="AW187" s="51">
        <f t="shared" si="93"/>
        <v>0</v>
      </c>
      <c r="AX187" s="51">
        <f t="shared" si="94"/>
        <v>0</v>
      </c>
      <c r="AY187" s="53" t="s">
        <v>502</v>
      </c>
      <c r="AZ187" s="53" t="s">
        <v>503</v>
      </c>
      <c r="BA187" s="35" t="s">
        <v>117</v>
      </c>
      <c r="BC187" s="51">
        <f t="shared" si="95"/>
        <v>0</v>
      </c>
      <c r="BD187" s="51">
        <f t="shared" si="96"/>
        <v>0</v>
      </c>
      <c r="BE187" s="51">
        <v>0</v>
      </c>
      <c r="BF187" s="51">
        <f>187</f>
        <v>187</v>
      </c>
      <c r="BH187" s="51">
        <f t="shared" si="97"/>
        <v>0</v>
      </c>
      <c r="BI187" s="51">
        <f t="shared" si="98"/>
        <v>0</v>
      </c>
      <c r="BJ187" s="51">
        <f t="shared" si="99"/>
        <v>0</v>
      </c>
      <c r="BK187" s="51"/>
      <c r="BL187" s="51">
        <v>766</v>
      </c>
      <c r="BW187" s="51">
        <v>12</v>
      </c>
      <c r="BX187" s="3" t="s">
        <v>536</v>
      </c>
    </row>
    <row r="188" spans="1:76">
      <c r="A188" s="1" t="s">
        <v>537</v>
      </c>
      <c r="B188" s="2" t="s">
        <v>538</v>
      </c>
      <c r="C188" s="75" t="s">
        <v>539</v>
      </c>
      <c r="D188" s="70"/>
      <c r="E188" s="2" t="s">
        <v>288</v>
      </c>
      <c r="F188" s="51">
        <v>0.45700000000000002</v>
      </c>
      <c r="G188" s="52">
        <v>0</v>
      </c>
      <c r="H188" s="51">
        <f t="shared" si="80"/>
        <v>0</v>
      </c>
      <c r="J188" s="41"/>
      <c r="Z188" s="51">
        <f t="shared" si="81"/>
        <v>0</v>
      </c>
      <c r="AB188" s="51">
        <f t="shared" si="82"/>
        <v>0</v>
      </c>
      <c r="AC188" s="51">
        <f t="shared" si="83"/>
        <v>0</v>
      </c>
      <c r="AD188" s="51">
        <f t="shared" si="84"/>
        <v>0</v>
      </c>
      <c r="AE188" s="51">
        <f t="shared" si="85"/>
        <v>0</v>
      </c>
      <c r="AF188" s="51">
        <f t="shared" si="86"/>
        <v>0</v>
      </c>
      <c r="AG188" s="51">
        <f t="shared" si="87"/>
        <v>0</v>
      </c>
      <c r="AH188" s="51">
        <f t="shared" si="88"/>
        <v>0</v>
      </c>
      <c r="AI188" s="35" t="s">
        <v>4</v>
      </c>
      <c r="AJ188" s="51">
        <f t="shared" si="89"/>
        <v>0</v>
      </c>
      <c r="AK188" s="51">
        <f t="shared" si="90"/>
        <v>0</v>
      </c>
      <c r="AL188" s="51">
        <f t="shared" si="91"/>
        <v>0</v>
      </c>
      <c r="AN188" s="51">
        <v>12</v>
      </c>
      <c r="AO188" s="51">
        <f>G188*0</f>
        <v>0</v>
      </c>
      <c r="AP188" s="51">
        <f>G188*(1-0)</f>
        <v>0</v>
      </c>
      <c r="AQ188" s="53" t="s">
        <v>139</v>
      </c>
      <c r="AV188" s="51">
        <f t="shared" si="92"/>
        <v>0</v>
      </c>
      <c r="AW188" s="51">
        <f t="shared" si="93"/>
        <v>0</v>
      </c>
      <c r="AX188" s="51">
        <f t="shared" si="94"/>
        <v>0</v>
      </c>
      <c r="AY188" s="53" t="s">
        <v>502</v>
      </c>
      <c r="AZ188" s="53" t="s">
        <v>503</v>
      </c>
      <c r="BA188" s="35" t="s">
        <v>117</v>
      </c>
      <c r="BC188" s="51">
        <f t="shared" si="95"/>
        <v>0</v>
      </c>
      <c r="BD188" s="51">
        <f t="shared" si="96"/>
        <v>0</v>
      </c>
      <c r="BE188" s="51">
        <v>0</v>
      </c>
      <c r="BF188" s="51">
        <f>188</f>
        <v>188</v>
      </c>
      <c r="BH188" s="51">
        <f t="shared" si="97"/>
        <v>0</v>
      </c>
      <c r="BI188" s="51">
        <f t="shared" si="98"/>
        <v>0</v>
      </c>
      <c r="BJ188" s="51">
        <f t="shared" si="99"/>
        <v>0</v>
      </c>
      <c r="BK188" s="51"/>
      <c r="BL188" s="51">
        <v>766</v>
      </c>
      <c r="BW188" s="51">
        <v>12</v>
      </c>
      <c r="BX188" s="3" t="s">
        <v>539</v>
      </c>
    </row>
    <row r="189" spans="1:76">
      <c r="A189" s="47" t="s">
        <v>4</v>
      </c>
      <c r="B189" s="48" t="s">
        <v>540</v>
      </c>
      <c r="C189" s="150" t="s">
        <v>541</v>
      </c>
      <c r="D189" s="151"/>
      <c r="E189" s="49" t="s">
        <v>79</v>
      </c>
      <c r="F189" s="49" t="s">
        <v>79</v>
      </c>
      <c r="G189" s="50" t="s">
        <v>79</v>
      </c>
      <c r="H189" s="28">
        <f>SUM(H190:H201)</f>
        <v>0</v>
      </c>
      <c r="J189" s="41"/>
      <c r="AI189" s="35" t="s">
        <v>4</v>
      </c>
      <c r="AS189" s="28">
        <f>SUM(AJ190:AJ201)</f>
        <v>0</v>
      </c>
      <c r="AT189" s="28">
        <f>SUM(AK190:AK201)</f>
        <v>0</v>
      </c>
      <c r="AU189" s="28">
        <f>SUM(AL190:AL201)</f>
        <v>0</v>
      </c>
    </row>
    <row r="190" spans="1:76">
      <c r="A190" s="1" t="s">
        <v>542</v>
      </c>
      <c r="B190" s="2" t="s">
        <v>543</v>
      </c>
      <c r="C190" s="75" t="s">
        <v>544</v>
      </c>
      <c r="D190" s="70"/>
      <c r="E190" s="2" t="s">
        <v>114</v>
      </c>
      <c r="F190" s="51">
        <v>3.57</v>
      </c>
      <c r="G190" s="52">
        <v>0</v>
      </c>
      <c r="H190" s="51">
        <f>F190*G190</f>
        <v>0</v>
      </c>
      <c r="J190" s="41"/>
      <c r="Z190" s="51">
        <f>IF(AQ190="5",BJ190,0)</f>
        <v>0</v>
      </c>
      <c r="AB190" s="51">
        <f>IF(AQ190="1",BH190,0)</f>
        <v>0</v>
      </c>
      <c r="AC190" s="51">
        <f>IF(AQ190="1",BI190,0)</f>
        <v>0</v>
      </c>
      <c r="AD190" s="51">
        <f>IF(AQ190="7",BH190,0)</f>
        <v>0</v>
      </c>
      <c r="AE190" s="51">
        <f>IF(AQ190="7",BI190,0)</f>
        <v>0</v>
      </c>
      <c r="AF190" s="51">
        <f>IF(AQ190="2",BH190,0)</f>
        <v>0</v>
      </c>
      <c r="AG190" s="51">
        <f>IF(AQ190="2",BI190,0)</f>
        <v>0</v>
      </c>
      <c r="AH190" s="51">
        <f>IF(AQ190="0",BJ190,0)</f>
        <v>0</v>
      </c>
      <c r="AI190" s="35" t="s">
        <v>4</v>
      </c>
      <c r="AJ190" s="51">
        <f>IF(AN190=0,H190,0)</f>
        <v>0</v>
      </c>
      <c r="AK190" s="51">
        <f>IF(AN190=12,H190,0)</f>
        <v>0</v>
      </c>
      <c r="AL190" s="51">
        <f>IF(AN190=21,H190,0)</f>
        <v>0</v>
      </c>
      <c r="AN190" s="51">
        <v>12</v>
      </c>
      <c r="AO190" s="51">
        <f>G190*0.472421605</f>
        <v>0</v>
      </c>
      <c r="AP190" s="51">
        <f>G190*(1-0.472421605)</f>
        <v>0</v>
      </c>
      <c r="AQ190" s="53" t="s">
        <v>151</v>
      </c>
      <c r="AV190" s="51">
        <f>AW190+AX190</f>
        <v>0</v>
      </c>
      <c r="AW190" s="51">
        <f>F190*AO190</f>
        <v>0</v>
      </c>
      <c r="AX190" s="51">
        <f>F190*AP190</f>
        <v>0</v>
      </c>
      <c r="AY190" s="53" t="s">
        <v>545</v>
      </c>
      <c r="AZ190" s="53" t="s">
        <v>546</v>
      </c>
      <c r="BA190" s="35" t="s">
        <v>117</v>
      </c>
      <c r="BC190" s="51">
        <f>AW190+AX190</f>
        <v>0</v>
      </c>
      <c r="BD190" s="51">
        <f>G190/(100-BE190)*100</f>
        <v>0</v>
      </c>
      <c r="BE190" s="51">
        <v>0</v>
      </c>
      <c r="BF190" s="51">
        <f>190</f>
        <v>190</v>
      </c>
      <c r="BH190" s="51">
        <f>F190*AO190</f>
        <v>0</v>
      </c>
      <c r="BI190" s="51">
        <f>F190*AP190</f>
        <v>0</v>
      </c>
      <c r="BJ190" s="51">
        <f>F190*G190</f>
        <v>0</v>
      </c>
      <c r="BK190" s="51"/>
      <c r="BL190" s="51">
        <v>771</v>
      </c>
      <c r="BW190" s="51">
        <v>12</v>
      </c>
      <c r="BX190" s="3" t="s">
        <v>544</v>
      </c>
    </row>
    <row r="191" spans="1:76">
      <c r="A191" s="1" t="s">
        <v>547</v>
      </c>
      <c r="B191" s="2" t="s">
        <v>548</v>
      </c>
      <c r="C191" s="75" t="s">
        <v>549</v>
      </c>
      <c r="D191" s="70"/>
      <c r="E191" s="2" t="s">
        <v>114</v>
      </c>
      <c r="F191" s="51">
        <v>3.57</v>
      </c>
      <c r="G191" s="52">
        <v>0</v>
      </c>
      <c r="H191" s="51">
        <f>F191*G191</f>
        <v>0</v>
      </c>
      <c r="J191" s="41"/>
      <c r="Z191" s="51">
        <f>IF(AQ191="5",BJ191,0)</f>
        <v>0</v>
      </c>
      <c r="AB191" s="51">
        <f>IF(AQ191="1",BH191,0)</f>
        <v>0</v>
      </c>
      <c r="AC191" s="51">
        <f>IF(AQ191="1",BI191,0)</f>
        <v>0</v>
      </c>
      <c r="AD191" s="51">
        <f>IF(AQ191="7",BH191,0)</f>
        <v>0</v>
      </c>
      <c r="AE191" s="51">
        <f>IF(AQ191="7",BI191,0)</f>
        <v>0</v>
      </c>
      <c r="AF191" s="51">
        <f>IF(AQ191="2",BH191,0)</f>
        <v>0</v>
      </c>
      <c r="AG191" s="51">
        <f>IF(AQ191="2",BI191,0)</f>
        <v>0</v>
      </c>
      <c r="AH191" s="51">
        <f>IF(AQ191="0",BJ191,0)</f>
        <v>0</v>
      </c>
      <c r="AI191" s="35" t="s">
        <v>4</v>
      </c>
      <c r="AJ191" s="51">
        <f>IF(AN191=0,H191,0)</f>
        <v>0</v>
      </c>
      <c r="AK191" s="51">
        <f>IF(AN191=12,H191,0)</f>
        <v>0</v>
      </c>
      <c r="AL191" s="51">
        <f>IF(AN191=21,H191,0)</f>
        <v>0</v>
      </c>
      <c r="AN191" s="51">
        <v>12</v>
      </c>
      <c r="AO191" s="51">
        <f>G191*0.245838926</f>
        <v>0</v>
      </c>
      <c r="AP191" s="51">
        <f>G191*(1-0.245838926)</f>
        <v>0</v>
      </c>
      <c r="AQ191" s="53" t="s">
        <v>151</v>
      </c>
      <c r="AV191" s="51">
        <f>AW191+AX191</f>
        <v>0</v>
      </c>
      <c r="AW191" s="51">
        <f>F191*AO191</f>
        <v>0</v>
      </c>
      <c r="AX191" s="51">
        <f>F191*AP191</f>
        <v>0</v>
      </c>
      <c r="AY191" s="53" t="s">
        <v>545</v>
      </c>
      <c r="AZ191" s="53" t="s">
        <v>546</v>
      </c>
      <c r="BA191" s="35" t="s">
        <v>117</v>
      </c>
      <c r="BC191" s="51">
        <f>AW191+AX191</f>
        <v>0</v>
      </c>
      <c r="BD191" s="51">
        <f>G191/(100-BE191)*100</f>
        <v>0</v>
      </c>
      <c r="BE191" s="51">
        <v>0</v>
      </c>
      <c r="BF191" s="51">
        <f>191</f>
        <v>191</v>
      </c>
      <c r="BH191" s="51">
        <f>F191*AO191</f>
        <v>0</v>
      </c>
      <c r="BI191" s="51">
        <f>F191*AP191</f>
        <v>0</v>
      </c>
      <c r="BJ191" s="51">
        <f>F191*G191</f>
        <v>0</v>
      </c>
      <c r="BK191" s="51"/>
      <c r="BL191" s="51">
        <v>771</v>
      </c>
      <c r="BW191" s="51">
        <v>12</v>
      </c>
      <c r="BX191" s="3" t="s">
        <v>549</v>
      </c>
    </row>
    <row r="192" spans="1:76">
      <c r="A192" s="54"/>
      <c r="C192" s="55" t="s">
        <v>550</v>
      </c>
      <c r="D192" s="56" t="s">
        <v>167</v>
      </c>
      <c r="F192" s="57">
        <v>3.57</v>
      </c>
      <c r="J192" s="41"/>
    </row>
    <row r="193" spans="1:76">
      <c r="A193" s="1" t="s">
        <v>551</v>
      </c>
      <c r="B193" s="2" t="s">
        <v>552</v>
      </c>
      <c r="C193" s="75" t="s">
        <v>553</v>
      </c>
      <c r="D193" s="70"/>
      <c r="E193" s="2" t="s">
        <v>114</v>
      </c>
      <c r="F193" s="51">
        <v>3.57</v>
      </c>
      <c r="G193" s="52">
        <v>0</v>
      </c>
      <c r="H193" s="51">
        <f>F193*G193</f>
        <v>0</v>
      </c>
      <c r="J193" s="41"/>
      <c r="Z193" s="51">
        <f>IF(AQ193="5",BJ193,0)</f>
        <v>0</v>
      </c>
      <c r="AB193" s="51">
        <f>IF(AQ193="1",BH193,0)</f>
        <v>0</v>
      </c>
      <c r="AC193" s="51">
        <f>IF(AQ193="1",BI193,0)</f>
        <v>0</v>
      </c>
      <c r="AD193" s="51">
        <f>IF(AQ193="7",BH193,0)</f>
        <v>0</v>
      </c>
      <c r="AE193" s="51">
        <f>IF(AQ193="7",BI193,0)</f>
        <v>0</v>
      </c>
      <c r="AF193" s="51">
        <f>IF(AQ193="2",BH193,0)</f>
        <v>0</v>
      </c>
      <c r="AG193" s="51">
        <f>IF(AQ193="2",BI193,0)</f>
        <v>0</v>
      </c>
      <c r="AH193" s="51">
        <f>IF(AQ193="0",BJ193,0)</f>
        <v>0</v>
      </c>
      <c r="AI193" s="35" t="s">
        <v>4</v>
      </c>
      <c r="AJ193" s="51">
        <f>IF(AN193=0,H193,0)</f>
        <v>0</v>
      </c>
      <c r="AK193" s="51">
        <f>IF(AN193=12,H193,0)</f>
        <v>0</v>
      </c>
      <c r="AL193" s="51">
        <f>IF(AN193=21,H193,0)</f>
        <v>0</v>
      </c>
      <c r="AN193" s="51">
        <v>12</v>
      </c>
      <c r="AO193" s="51">
        <f>G193*0</f>
        <v>0</v>
      </c>
      <c r="AP193" s="51">
        <f>G193*(1-0)</f>
        <v>0</v>
      </c>
      <c r="AQ193" s="53" t="s">
        <v>151</v>
      </c>
      <c r="AV193" s="51">
        <f>AW193+AX193</f>
        <v>0</v>
      </c>
      <c r="AW193" s="51">
        <f>F193*AO193</f>
        <v>0</v>
      </c>
      <c r="AX193" s="51">
        <f>F193*AP193</f>
        <v>0</v>
      </c>
      <c r="AY193" s="53" t="s">
        <v>545</v>
      </c>
      <c r="AZ193" s="53" t="s">
        <v>546</v>
      </c>
      <c r="BA193" s="35" t="s">
        <v>117</v>
      </c>
      <c r="BC193" s="51">
        <f>AW193+AX193</f>
        <v>0</v>
      </c>
      <c r="BD193" s="51">
        <f>G193/(100-BE193)*100</f>
        <v>0</v>
      </c>
      <c r="BE193" s="51">
        <v>0</v>
      </c>
      <c r="BF193" s="51">
        <f>193</f>
        <v>193</v>
      </c>
      <c r="BH193" s="51">
        <f>F193*AO193</f>
        <v>0</v>
      </c>
      <c r="BI193" s="51">
        <f>F193*AP193</f>
        <v>0</v>
      </c>
      <c r="BJ193" s="51">
        <f>F193*G193</f>
        <v>0</v>
      </c>
      <c r="BK193" s="51"/>
      <c r="BL193" s="51">
        <v>771</v>
      </c>
      <c r="BW193" s="51">
        <v>12</v>
      </c>
      <c r="BX193" s="3" t="s">
        <v>553</v>
      </c>
    </row>
    <row r="194" spans="1:76">
      <c r="A194" s="1" t="s">
        <v>554</v>
      </c>
      <c r="B194" s="2" t="s">
        <v>543</v>
      </c>
      <c r="C194" s="75" t="s">
        <v>544</v>
      </c>
      <c r="D194" s="70"/>
      <c r="E194" s="2" t="s">
        <v>114</v>
      </c>
      <c r="F194" s="51">
        <v>3.17</v>
      </c>
      <c r="G194" s="52">
        <v>0</v>
      </c>
      <c r="H194" s="51">
        <f>F194*G194</f>
        <v>0</v>
      </c>
      <c r="J194" s="41"/>
      <c r="Z194" s="51">
        <f>IF(AQ194="5",BJ194,0)</f>
        <v>0</v>
      </c>
      <c r="AB194" s="51">
        <f>IF(AQ194="1",BH194,0)</f>
        <v>0</v>
      </c>
      <c r="AC194" s="51">
        <f>IF(AQ194="1",BI194,0)</f>
        <v>0</v>
      </c>
      <c r="AD194" s="51">
        <f>IF(AQ194="7",BH194,0)</f>
        <v>0</v>
      </c>
      <c r="AE194" s="51">
        <f>IF(AQ194="7",BI194,0)</f>
        <v>0</v>
      </c>
      <c r="AF194" s="51">
        <f>IF(AQ194="2",BH194,0)</f>
        <v>0</v>
      </c>
      <c r="AG194" s="51">
        <f>IF(AQ194="2",BI194,0)</f>
        <v>0</v>
      </c>
      <c r="AH194" s="51">
        <f>IF(AQ194="0",BJ194,0)</f>
        <v>0</v>
      </c>
      <c r="AI194" s="35" t="s">
        <v>4</v>
      </c>
      <c r="AJ194" s="51">
        <f>IF(AN194=0,H194,0)</f>
        <v>0</v>
      </c>
      <c r="AK194" s="51">
        <f>IF(AN194=12,H194,0)</f>
        <v>0</v>
      </c>
      <c r="AL194" s="51">
        <f>IF(AN194=21,H194,0)</f>
        <v>0</v>
      </c>
      <c r="AN194" s="51">
        <v>12</v>
      </c>
      <c r="AO194" s="51">
        <f>G194*0.472420992</f>
        <v>0</v>
      </c>
      <c r="AP194" s="51">
        <f>G194*(1-0.472420992)</f>
        <v>0</v>
      </c>
      <c r="AQ194" s="53" t="s">
        <v>151</v>
      </c>
      <c r="AV194" s="51">
        <f>AW194+AX194</f>
        <v>0</v>
      </c>
      <c r="AW194" s="51">
        <f>F194*AO194</f>
        <v>0</v>
      </c>
      <c r="AX194" s="51">
        <f>F194*AP194</f>
        <v>0</v>
      </c>
      <c r="AY194" s="53" t="s">
        <v>545</v>
      </c>
      <c r="AZ194" s="53" t="s">
        <v>546</v>
      </c>
      <c r="BA194" s="35" t="s">
        <v>117</v>
      </c>
      <c r="BC194" s="51">
        <f>AW194+AX194</f>
        <v>0</v>
      </c>
      <c r="BD194" s="51">
        <f>G194/(100-BE194)*100</f>
        <v>0</v>
      </c>
      <c r="BE194" s="51">
        <v>0</v>
      </c>
      <c r="BF194" s="51">
        <f>194</f>
        <v>194</v>
      </c>
      <c r="BH194" s="51">
        <f>F194*AO194</f>
        <v>0</v>
      </c>
      <c r="BI194" s="51">
        <f>F194*AP194</f>
        <v>0</v>
      </c>
      <c r="BJ194" s="51">
        <f>F194*G194</f>
        <v>0</v>
      </c>
      <c r="BK194" s="51"/>
      <c r="BL194" s="51">
        <v>771</v>
      </c>
      <c r="BW194" s="51">
        <v>12</v>
      </c>
      <c r="BX194" s="3" t="s">
        <v>544</v>
      </c>
    </row>
    <row r="195" spans="1:76">
      <c r="A195" s="1" t="s">
        <v>555</v>
      </c>
      <c r="B195" s="2" t="s">
        <v>556</v>
      </c>
      <c r="C195" s="75" t="s">
        <v>557</v>
      </c>
      <c r="D195" s="70"/>
      <c r="E195" s="2" t="s">
        <v>114</v>
      </c>
      <c r="F195" s="51">
        <v>3.927</v>
      </c>
      <c r="G195" s="52">
        <v>0</v>
      </c>
      <c r="H195" s="51">
        <f>F195*G195</f>
        <v>0</v>
      </c>
      <c r="J195" s="41"/>
      <c r="Z195" s="51">
        <f>IF(AQ195="5",BJ195,0)</f>
        <v>0</v>
      </c>
      <c r="AB195" s="51">
        <f>IF(AQ195="1",BH195,0)</f>
        <v>0</v>
      </c>
      <c r="AC195" s="51">
        <f>IF(AQ195="1",BI195,0)</f>
        <v>0</v>
      </c>
      <c r="AD195" s="51">
        <f>IF(AQ195="7",BH195,0)</f>
        <v>0</v>
      </c>
      <c r="AE195" s="51">
        <f>IF(AQ195="7",BI195,0)</f>
        <v>0</v>
      </c>
      <c r="AF195" s="51">
        <f>IF(AQ195="2",BH195,0)</f>
        <v>0</v>
      </c>
      <c r="AG195" s="51">
        <f>IF(AQ195="2",BI195,0)</f>
        <v>0</v>
      </c>
      <c r="AH195" s="51">
        <f>IF(AQ195="0",BJ195,0)</f>
        <v>0</v>
      </c>
      <c r="AI195" s="35" t="s">
        <v>4</v>
      </c>
      <c r="AJ195" s="51">
        <f>IF(AN195=0,H195,0)</f>
        <v>0</v>
      </c>
      <c r="AK195" s="51">
        <f>IF(AN195=12,H195,0)</f>
        <v>0</v>
      </c>
      <c r="AL195" s="51">
        <f>IF(AN195=21,H195,0)</f>
        <v>0</v>
      </c>
      <c r="AN195" s="51">
        <v>12</v>
      </c>
      <c r="AO195" s="51">
        <f>G195*1</f>
        <v>0</v>
      </c>
      <c r="AP195" s="51">
        <f>G195*(1-1)</f>
        <v>0</v>
      </c>
      <c r="AQ195" s="53" t="s">
        <v>151</v>
      </c>
      <c r="AV195" s="51">
        <f>AW195+AX195</f>
        <v>0</v>
      </c>
      <c r="AW195" s="51">
        <f>F195*AO195</f>
        <v>0</v>
      </c>
      <c r="AX195" s="51">
        <f>F195*AP195</f>
        <v>0</v>
      </c>
      <c r="AY195" s="53" t="s">
        <v>545</v>
      </c>
      <c r="AZ195" s="53" t="s">
        <v>546</v>
      </c>
      <c r="BA195" s="35" t="s">
        <v>117</v>
      </c>
      <c r="BC195" s="51">
        <f>AW195+AX195</f>
        <v>0</v>
      </c>
      <c r="BD195" s="51">
        <f>G195/(100-BE195)*100</f>
        <v>0</v>
      </c>
      <c r="BE195" s="51">
        <v>0</v>
      </c>
      <c r="BF195" s="51">
        <f>195</f>
        <v>195</v>
      </c>
      <c r="BH195" s="51">
        <f>F195*AO195</f>
        <v>0</v>
      </c>
      <c r="BI195" s="51">
        <f>F195*AP195</f>
        <v>0</v>
      </c>
      <c r="BJ195" s="51">
        <f>F195*G195</f>
        <v>0</v>
      </c>
      <c r="BK195" s="51"/>
      <c r="BL195" s="51">
        <v>771</v>
      </c>
      <c r="BW195" s="51">
        <v>12</v>
      </c>
      <c r="BX195" s="3" t="s">
        <v>557</v>
      </c>
    </row>
    <row r="196" spans="1:76">
      <c r="A196" s="54"/>
      <c r="C196" s="55" t="s">
        <v>558</v>
      </c>
      <c r="D196" s="56" t="s">
        <v>4</v>
      </c>
      <c r="F196" s="57">
        <v>3.927</v>
      </c>
      <c r="J196" s="41"/>
    </row>
    <row r="197" spans="1:76">
      <c r="A197" s="1" t="s">
        <v>559</v>
      </c>
      <c r="B197" s="2" t="s">
        <v>560</v>
      </c>
      <c r="C197" s="75" t="s">
        <v>561</v>
      </c>
      <c r="D197" s="70"/>
      <c r="E197" s="2" t="s">
        <v>136</v>
      </c>
      <c r="F197" s="51">
        <v>18.100000000000001</v>
      </c>
      <c r="G197" s="52">
        <v>0</v>
      </c>
      <c r="H197" s="51">
        <f>F197*G197</f>
        <v>0</v>
      </c>
      <c r="J197" s="41"/>
      <c r="Z197" s="51">
        <f>IF(AQ197="5",BJ197,0)</f>
        <v>0</v>
      </c>
      <c r="AB197" s="51">
        <f>IF(AQ197="1",BH197,0)</f>
        <v>0</v>
      </c>
      <c r="AC197" s="51">
        <f>IF(AQ197="1",BI197,0)</f>
        <v>0</v>
      </c>
      <c r="AD197" s="51">
        <f>IF(AQ197="7",BH197,0)</f>
        <v>0</v>
      </c>
      <c r="AE197" s="51">
        <f>IF(AQ197="7",BI197,0)</f>
        <v>0</v>
      </c>
      <c r="AF197" s="51">
        <f>IF(AQ197="2",BH197,0)</f>
        <v>0</v>
      </c>
      <c r="AG197" s="51">
        <f>IF(AQ197="2",BI197,0)</f>
        <v>0</v>
      </c>
      <c r="AH197" s="51">
        <f>IF(AQ197="0",BJ197,0)</f>
        <v>0</v>
      </c>
      <c r="AI197" s="35" t="s">
        <v>4</v>
      </c>
      <c r="AJ197" s="51">
        <f>IF(AN197=0,H197,0)</f>
        <v>0</v>
      </c>
      <c r="AK197" s="51">
        <f>IF(AN197=12,H197,0)</f>
        <v>0</v>
      </c>
      <c r="AL197" s="51">
        <f>IF(AN197=21,H197,0)</f>
        <v>0</v>
      </c>
      <c r="AN197" s="51">
        <v>12</v>
      </c>
      <c r="AO197" s="51">
        <f>G197*0.495226131</f>
        <v>0</v>
      </c>
      <c r="AP197" s="51">
        <f>G197*(1-0.495226131)</f>
        <v>0</v>
      </c>
      <c r="AQ197" s="53" t="s">
        <v>151</v>
      </c>
      <c r="AV197" s="51">
        <f>AW197+AX197</f>
        <v>0</v>
      </c>
      <c r="AW197" s="51">
        <f>F197*AO197</f>
        <v>0</v>
      </c>
      <c r="AX197" s="51">
        <f>F197*AP197</f>
        <v>0</v>
      </c>
      <c r="AY197" s="53" t="s">
        <v>545</v>
      </c>
      <c r="AZ197" s="53" t="s">
        <v>546</v>
      </c>
      <c r="BA197" s="35" t="s">
        <v>117</v>
      </c>
      <c r="BC197" s="51">
        <f>AW197+AX197</f>
        <v>0</v>
      </c>
      <c r="BD197" s="51">
        <f>G197/(100-BE197)*100</f>
        <v>0</v>
      </c>
      <c r="BE197" s="51">
        <v>0</v>
      </c>
      <c r="BF197" s="51">
        <f>197</f>
        <v>197</v>
      </c>
      <c r="BH197" s="51">
        <f>F197*AO197</f>
        <v>0</v>
      </c>
      <c r="BI197" s="51">
        <f>F197*AP197</f>
        <v>0</v>
      </c>
      <c r="BJ197" s="51">
        <f>F197*G197</f>
        <v>0</v>
      </c>
      <c r="BK197" s="51"/>
      <c r="BL197" s="51">
        <v>771</v>
      </c>
      <c r="BW197" s="51">
        <v>12</v>
      </c>
      <c r="BX197" s="3" t="s">
        <v>561</v>
      </c>
    </row>
    <row r="198" spans="1:76">
      <c r="A198" s="54"/>
      <c r="C198" s="55" t="s">
        <v>562</v>
      </c>
      <c r="D198" s="56" t="s">
        <v>4</v>
      </c>
      <c r="F198" s="57">
        <v>7</v>
      </c>
      <c r="J198" s="41"/>
    </row>
    <row r="199" spans="1:76">
      <c r="A199" s="54"/>
      <c r="C199" s="55" t="s">
        <v>563</v>
      </c>
      <c r="D199" s="56" t="s">
        <v>564</v>
      </c>
      <c r="F199" s="57">
        <v>10.5</v>
      </c>
      <c r="J199" s="41"/>
    </row>
    <row r="200" spans="1:76">
      <c r="A200" s="54"/>
      <c r="C200" s="55" t="s">
        <v>565</v>
      </c>
      <c r="D200" s="56" t="s">
        <v>566</v>
      </c>
      <c r="F200" s="57">
        <v>0.6</v>
      </c>
      <c r="J200" s="41"/>
    </row>
    <row r="201" spans="1:76">
      <c r="A201" s="1" t="s">
        <v>567</v>
      </c>
      <c r="B201" s="2" t="s">
        <v>568</v>
      </c>
      <c r="C201" s="75" t="s">
        <v>569</v>
      </c>
      <c r="D201" s="70"/>
      <c r="E201" s="2" t="s">
        <v>288</v>
      </c>
      <c r="F201" s="51">
        <v>0.02</v>
      </c>
      <c r="G201" s="52">
        <v>0</v>
      </c>
      <c r="H201" s="51">
        <f>F201*G201</f>
        <v>0</v>
      </c>
      <c r="J201" s="41"/>
      <c r="Z201" s="51">
        <f>IF(AQ201="5",BJ201,0)</f>
        <v>0</v>
      </c>
      <c r="AB201" s="51">
        <f>IF(AQ201="1",BH201,0)</f>
        <v>0</v>
      </c>
      <c r="AC201" s="51">
        <f>IF(AQ201="1",BI201,0)</f>
        <v>0</v>
      </c>
      <c r="AD201" s="51">
        <f>IF(AQ201="7",BH201,0)</f>
        <v>0</v>
      </c>
      <c r="AE201" s="51">
        <f>IF(AQ201="7",BI201,0)</f>
        <v>0</v>
      </c>
      <c r="AF201" s="51">
        <f>IF(AQ201="2",BH201,0)</f>
        <v>0</v>
      </c>
      <c r="AG201" s="51">
        <f>IF(AQ201="2",BI201,0)</f>
        <v>0</v>
      </c>
      <c r="AH201" s="51">
        <f>IF(AQ201="0",BJ201,0)</f>
        <v>0</v>
      </c>
      <c r="AI201" s="35" t="s">
        <v>4</v>
      </c>
      <c r="AJ201" s="51">
        <f>IF(AN201=0,H201,0)</f>
        <v>0</v>
      </c>
      <c r="AK201" s="51">
        <f>IF(AN201=12,H201,0)</f>
        <v>0</v>
      </c>
      <c r="AL201" s="51">
        <f>IF(AN201=21,H201,0)</f>
        <v>0</v>
      </c>
      <c r="AN201" s="51">
        <v>12</v>
      </c>
      <c r="AO201" s="51">
        <f>G201*0</f>
        <v>0</v>
      </c>
      <c r="AP201" s="51">
        <f>G201*(1-0)</f>
        <v>0</v>
      </c>
      <c r="AQ201" s="53" t="s">
        <v>139</v>
      </c>
      <c r="AV201" s="51">
        <f>AW201+AX201</f>
        <v>0</v>
      </c>
      <c r="AW201" s="51">
        <f>F201*AO201</f>
        <v>0</v>
      </c>
      <c r="AX201" s="51">
        <f>F201*AP201</f>
        <v>0</v>
      </c>
      <c r="AY201" s="53" t="s">
        <v>545</v>
      </c>
      <c r="AZ201" s="53" t="s">
        <v>546</v>
      </c>
      <c r="BA201" s="35" t="s">
        <v>117</v>
      </c>
      <c r="BC201" s="51">
        <f>AW201+AX201</f>
        <v>0</v>
      </c>
      <c r="BD201" s="51">
        <f>G201/(100-BE201)*100</f>
        <v>0</v>
      </c>
      <c r="BE201" s="51">
        <v>0</v>
      </c>
      <c r="BF201" s="51">
        <f>201</f>
        <v>201</v>
      </c>
      <c r="BH201" s="51">
        <f>F201*AO201</f>
        <v>0</v>
      </c>
      <c r="BI201" s="51">
        <f>F201*AP201</f>
        <v>0</v>
      </c>
      <c r="BJ201" s="51">
        <f>F201*G201</f>
        <v>0</v>
      </c>
      <c r="BK201" s="51"/>
      <c r="BL201" s="51">
        <v>771</v>
      </c>
      <c r="BW201" s="51">
        <v>12</v>
      </c>
      <c r="BX201" s="3" t="s">
        <v>569</v>
      </c>
    </row>
    <row r="202" spans="1:76">
      <c r="A202" s="47" t="s">
        <v>4</v>
      </c>
      <c r="B202" s="48" t="s">
        <v>570</v>
      </c>
      <c r="C202" s="150" t="s">
        <v>571</v>
      </c>
      <c r="D202" s="151"/>
      <c r="E202" s="49" t="s">
        <v>79</v>
      </c>
      <c r="F202" s="49" t="s">
        <v>79</v>
      </c>
      <c r="G202" s="50" t="s">
        <v>79</v>
      </c>
      <c r="H202" s="28">
        <f>SUM(H203:H218)</f>
        <v>0</v>
      </c>
      <c r="J202" s="41"/>
      <c r="AI202" s="35" t="s">
        <v>4</v>
      </c>
      <c r="AS202" s="28">
        <f>SUM(AJ203:AJ218)</f>
        <v>0</v>
      </c>
      <c r="AT202" s="28">
        <f>SUM(AK203:AK218)</f>
        <v>0</v>
      </c>
      <c r="AU202" s="28">
        <f>SUM(AL203:AL218)</f>
        <v>0</v>
      </c>
    </row>
    <row r="203" spans="1:76">
      <c r="A203" s="1" t="s">
        <v>572</v>
      </c>
      <c r="B203" s="2" t="s">
        <v>573</v>
      </c>
      <c r="C203" s="75" t="s">
        <v>574</v>
      </c>
      <c r="D203" s="70"/>
      <c r="E203" s="2" t="s">
        <v>136</v>
      </c>
      <c r="F203" s="51">
        <v>20.32</v>
      </c>
      <c r="G203" s="52">
        <v>0</v>
      </c>
      <c r="H203" s="51">
        <f>F203*G203</f>
        <v>0</v>
      </c>
      <c r="J203" s="41"/>
      <c r="Z203" s="51">
        <f>IF(AQ203="5",BJ203,0)</f>
        <v>0</v>
      </c>
      <c r="AB203" s="51">
        <f>IF(AQ203="1",BH203,0)</f>
        <v>0</v>
      </c>
      <c r="AC203" s="51">
        <f>IF(AQ203="1",BI203,0)</f>
        <v>0</v>
      </c>
      <c r="AD203" s="51">
        <f>IF(AQ203="7",BH203,0)</f>
        <v>0</v>
      </c>
      <c r="AE203" s="51">
        <f>IF(AQ203="7",BI203,0)</f>
        <v>0</v>
      </c>
      <c r="AF203" s="51">
        <f>IF(AQ203="2",BH203,0)</f>
        <v>0</v>
      </c>
      <c r="AG203" s="51">
        <f>IF(AQ203="2",BI203,0)</f>
        <v>0</v>
      </c>
      <c r="AH203" s="51">
        <f>IF(AQ203="0",BJ203,0)</f>
        <v>0</v>
      </c>
      <c r="AI203" s="35" t="s">
        <v>4</v>
      </c>
      <c r="AJ203" s="51">
        <f>IF(AN203=0,H203,0)</f>
        <v>0</v>
      </c>
      <c r="AK203" s="51">
        <f>IF(AN203=12,H203,0)</f>
        <v>0</v>
      </c>
      <c r="AL203" s="51">
        <f>IF(AN203=21,H203,0)</f>
        <v>0</v>
      </c>
      <c r="AN203" s="51">
        <v>12</v>
      </c>
      <c r="AO203" s="51">
        <f>G203*0</f>
        <v>0</v>
      </c>
      <c r="AP203" s="51">
        <f>G203*(1-0)</f>
        <v>0</v>
      </c>
      <c r="AQ203" s="53" t="s">
        <v>151</v>
      </c>
      <c r="AV203" s="51">
        <f>AW203+AX203</f>
        <v>0</v>
      </c>
      <c r="AW203" s="51">
        <f>F203*AO203</f>
        <v>0</v>
      </c>
      <c r="AX203" s="51">
        <f>F203*AP203</f>
        <v>0</v>
      </c>
      <c r="AY203" s="53" t="s">
        <v>575</v>
      </c>
      <c r="AZ203" s="53" t="s">
        <v>546</v>
      </c>
      <c r="BA203" s="35" t="s">
        <v>117</v>
      </c>
      <c r="BC203" s="51">
        <f>AW203+AX203</f>
        <v>0</v>
      </c>
      <c r="BD203" s="51">
        <f>G203/(100-BE203)*100</f>
        <v>0</v>
      </c>
      <c r="BE203" s="51">
        <v>0</v>
      </c>
      <c r="BF203" s="51">
        <f>203</f>
        <v>203</v>
      </c>
      <c r="BH203" s="51">
        <f>F203*AO203</f>
        <v>0</v>
      </c>
      <c r="BI203" s="51">
        <f>F203*AP203</f>
        <v>0</v>
      </c>
      <c r="BJ203" s="51">
        <f>F203*G203</f>
        <v>0</v>
      </c>
      <c r="BK203" s="51"/>
      <c r="BL203" s="51">
        <v>776</v>
      </c>
      <c r="BW203" s="51">
        <v>12</v>
      </c>
      <c r="BX203" s="3" t="s">
        <v>574</v>
      </c>
    </row>
    <row r="204" spans="1:76">
      <c r="A204" s="54"/>
      <c r="C204" s="55" t="s">
        <v>576</v>
      </c>
      <c r="D204" s="56" t="s">
        <v>198</v>
      </c>
      <c r="F204" s="57">
        <v>15.02</v>
      </c>
      <c r="J204" s="41"/>
    </row>
    <row r="205" spans="1:76">
      <c r="A205" s="54"/>
      <c r="C205" s="55" t="s">
        <v>577</v>
      </c>
      <c r="D205" s="56" t="s">
        <v>578</v>
      </c>
      <c r="F205" s="57">
        <v>5.3</v>
      </c>
      <c r="J205" s="41"/>
    </row>
    <row r="206" spans="1:76">
      <c r="A206" s="1" t="s">
        <v>579</v>
      </c>
      <c r="B206" s="2" t="s">
        <v>580</v>
      </c>
      <c r="C206" s="75" t="s">
        <v>581</v>
      </c>
      <c r="D206" s="70"/>
      <c r="E206" s="2" t="s">
        <v>114</v>
      </c>
      <c r="F206" s="51">
        <v>17.32</v>
      </c>
      <c r="G206" s="52">
        <v>0</v>
      </c>
      <c r="H206" s="51">
        <f>F206*G206</f>
        <v>0</v>
      </c>
      <c r="J206" s="41"/>
      <c r="Z206" s="51">
        <f>IF(AQ206="5",BJ206,0)</f>
        <v>0</v>
      </c>
      <c r="AB206" s="51">
        <f>IF(AQ206="1",BH206,0)</f>
        <v>0</v>
      </c>
      <c r="AC206" s="51">
        <f>IF(AQ206="1",BI206,0)</f>
        <v>0</v>
      </c>
      <c r="AD206" s="51">
        <f>IF(AQ206="7",BH206,0)</f>
        <v>0</v>
      </c>
      <c r="AE206" s="51">
        <f>IF(AQ206="7",BI206,0)</f>
        <v>0</v>
      </c>
      <c r="AF206" s="51">
        <f>IF(AQ206="2",BH206,0)</f>
        <v>0</v>
      </c>
      <c r="AG206" s="51">
        <f>IF(AQ206="2",BI206,0)</f>
        <v>0</v>
      </c>
      <c r="AH206" s="51">
        <f>IF(AQ206="0",BJ206,0)</f>
        <v>0</v>
      </c>
      <c r="AI206" s="35" t="s">
        <v>4</v>
      </c>
      <c r="AJ206" s="51">
        <f>IF(AN206=0,H206,0)</f>
        <v>0</v>
      </c>
      <c r="AK206" s="51">
        <f>IF(AN206=12,H206,0)</f>
        <v>0</v>
      </c>
      <c r="AL206" s="51">
        <f>IF(AN206=21,H206,0)</f>
        <v>0</v>
      </c>
      <c r="AN206" s="51">
        <v>12</v>
      </c>
      <c r="AO206" s="51">
        <f>G206*0</f>
        <v>0</v>
      </c>
      <c r="AP206" s="51">
        <f>G206*(1-0)</f>
        <v>0</v>
      </c>
      <c r="AQ206" s="53" t="s">
        <v>151</v>
      </c>
      <c r="AV206" s="51">
        <f>AW206+AX206</f>
        <v>0</v>
      </c>
      <c r="AW206" s="51">
        <f>F206*AO206</f>
        <v>0</v>
      </c>
      <c r="AX206" s="51">
        <f>F206*AP206</f>
        <v>0</v>
      </c>
      <c r="AY206" s="53" t="s">
        <v>575</v>
      </c>
      <c r="AZ206" s="53" t="s">
        <v>546</v>
      </c>
      <c r="BA206" s="35" t="s">
        <v>117</v>
      </c>
      <c r="BC206" s="51">
        <f>AW206+AX206</f>
        <v>0</v>
      </c>
      <c r="BD206" s="51">
        <f>G206/(100-BE206)*100</f>
        <v>0</v>
      </c>
      <c r="BE206" s="51">
        <v>0</v>
      </c>
      <c r="BF206" s="51">
        <f>206</f>
        <v>206</v>
      </c>
      <c r="BH206" s="51">
        <f>F206*AO206</f>
        <v>0</v>
      </c>
      <c r="BI206" s="51">
        <f>F206*AP206</f>
        <v>0</v>
      </c>
      <c r="BJ206" s="51">
        <f>F206*G206</f>
        <v>0</v>
      </c>
      <c r="BK206" s="51"/>
      <c r="BL206" s="51">
        <v>776</v>
      </c>
      <c r="BW206" s="51">
        <v>12</v>
      </c>
      <c r="BX206" s="3" t="s">
        <v>581</v>
      </c>
    </row>
    <row r="207" spans="1:76">
      <c r="A207" s="54"/>
      <c r="C207" s="55" t="s">
        <v>582</v>
      </c>
      <c r="D207" s="56" t="s">
        <v>583</v>
      </c>
      <c r="F207" s="57">
        <v>14.2</v>
      </c>
      <c r="J207" s="41"/>
    </row>
    <row r="208" spans="1:76">
      <c r="A208" s="54"/>
      <c r="C208" s="55" t="s">
        <v>584</v>
      </c>
      <c r="D208" s="56" t="s">
        <v>578</v>
      </c>
      <c r="F208" s="57">
        <v>3.12</v>
      </c>
      <c r="J208" s="41"/>
    </row>
    <row r="209" spans="1:76">
      <c r="A209" s="1" t="s">
        <v>585</v>
      </c>
      <c r="B209" s="2" t="s">
        <v>586</v>
      </c>
      <c r="C209" s="75" t="s">
        <v>587</v>
      </c>
      <c r="D209" s="70"/>
      <c r="E209" s="2" t="s">
        <v>136</v>
      </c>
      <c r="F209" s="51">
        <v>18.34</v>
      </c>
      <c r="G209" s="52">
        <v>0</v>
      </c>
      <c r="H209" s="51">
        <f>F209*G209</f>
        <v>0</v>
      </c>
      <c r="J209" s="41"/>
      <c r="Z209" s="51">
        <f>IF(AQ209="5",BJ209,0)</f>
        <v>0</v>
      </c>
      <c r="AB209" s="51">
        <f>IF(AQ209="1",BH209,0)</f>
        <v>0</v>
      </c>
      <c r="AC209" s="51">
        <f>IF(AQ209="1",BI209,0)</f>
        <v>0</v>
      </c>
      <c r="AD209" s="51">
        <f>IF(AQ209="7",BH209,0)</f>
        <v>0</v>
      </c>
      <c r="AE209" s="51">
        <f>IF(AQ209="7",BI209,0)</f>
        <v>0</v>
      </c>
      <c r="AF209" s="51">
        <f>IF(AQ209="2",BH209,0)</f>
        <v>0</v>
      </c>
      <c r="AG209" s="51">
        <f>IF(AQ209="2",BI209,0)</f>
        <v>0</v>
      </c>
      <c r="AH209" s="51">
        <f>IF(AQ209="0",BJ209,0)</f>
        <v>0</v>
      </c>
      <c r="AI209" s="35" t="s">
        <v>4</v>
      </c>
      <c r="AJ209" s="51">
        <f>IF(AN209=0,H209,0)</f>
        <v>0</v>
      </c>
      <c r="AK209" s="51">
        <f>IF(AN209=12,H209,0)</f>
        <v>0</v>
      </c>
      <c r="AL209" s="51">
        <f>IF(AN209=21,H209,0)</f>
        <v>0</v>
      </c>
      <c r="AN209" s="51">
        <v>12</v>
      </c>
      <c r="AO209" s="51">
        <f>G209*0.357142857</f>
        <v>0</v>
      </c>
      <c r="AP209" s="51">
        <f>G209*(1-0.357142857)</f>
        <v>0</v>
      </c>
      <c r="AQ209" s="53" t="s">
        <v>151</v>
      </c>
      <c r="AV209" s="51">
        <f>AW209+AX209</f>
        <v>0</v>
      </c>
      <c r="AW209" s="51">
        <f>F209*AO209</f>
        <v>0</v>
      </c>
      <c r="AX209" s="51">
        <f>F209*AP209</f>
        <v>0</v>
      </c>
      <c r="AY209" s="53" t="s">
        <v>575</v>
      </c>
      <c r="AZ209" s="53" t="s">
        <v>546</v>
      </c>
      <c r="BA209" s="35" t="s">
        <v>117</v>
      </c>
      <c r="BC209" s="51">
        <f>AW209+AX209</f>
        <v>0</v>
      </c>
      <c r="BD209" s="51">
        <f>G209/(100-BE209)*100</f>
        <v>0</v>
      </c>
      <c r="BE209" s="51">
        <v>0</v>
      </c>
      <c r="BF209" s="51">
        <f>209</f>
        <v>209</v>
      </c>
      <c r="BH209" s="51">
        <f>F209*AO209</f>
        <v>0</v>
      </c>
      <c r="BI209" s="51">
        <f>F209*AP209</f>
        <v>0</v>
      </c>
      <c r="BJ209" s="51">
        <f>F209*G209</f>
        <v>0</v>
      </c>
      <c r="BK209" s="51"/>
      <c r="BL209" s="51">
        <v>776</v>
      </c>
      <c r="BW209" s="51">
        <v>12</v>
      </c>
      <c r="BX209" s="3" t="s">
        <v>587</v>
      </c>
    </row>
    <row r="210" spans="1:76" ht="13.5" customHeight="1">
      <c r="A210" s="54"/>
      <c r="B210" s="58" t="s">
        <v>131</v>
      </c>
      <c r="C210" s="152" t="s">
        <v>588</v>
      </c>
      <c r="D210" s="153"/>
      <c r="E210" s="153"/>
      <c r="F210" s="153"/>
      <c r="G210" s="154"/>
      <c r="H210" s="153"/>
      <c r="I210" s="153"/>
      <c r="J210" s="155"/>
    </row>
    <row r="211" spans="1:76">
      <c r="A211" s="54"/>
      <c r="C211" s="55" t="s">
        <v>589</v>
      </c>
      <c r="D211" s="56" t="s">
        <v>578</v>
      </c>
      <c r="F211" s="57">
        <v>3.62</v>
      </c>
      <c r="J211" s="41"/>
    </row>
    <row r="212" spans="1:76">
      <c r="A212" s="54"/>
      <c r="C212" s="55" t="s">
        <v>590</v>
      </c>
      <c r="D212" s="56" t="s">
        <v>169</v>
      </c>
      <c r="F212" s="57">
        <v>14.72</v>
      </c>
      <c r="J212" s="41"/>
    </row>
    <row r="213" spans="1:76">
      <c r="A213" s="1" t="s">
        <v>591</v>
      </c>
      <c r="B213" s="2" t="s">
        <v>592</v>
      </c>
      <c r="C213" s="75" t="s">
        <v>593</v>
      </c>
      <c r="D213" s="70"/>
      <c r="E213" s="2" t="s">
        <v>114</v>
      </c>
      <c r="F213" s="51">
        <v>17.079999999999998</v>
      </c>
      <c r="G213" s="52">
        <v>0</v>
      </c>
      <c r="H213" s="51">
        <f>F213*G213</f>
        <v>0</v>
      </c>
      <c r="J213" s="41"/>
      <c r="Z213" s="51">
        <f>IF(AQ213="5",BJ213,0)</f>
        <v>0</v>
      </c>
      <c r="AB213" s="51">
        <f>IF(AQ213="1",BH213,0)</f>
        <v>0</v>
      </c>
      <c r="AC213" s="51">
        <f>IF(AQ213="1",BI213,0)</f>
        <v>0</v>
      </c>
      <c r="AD213" s="51">
        <f>IF(AQ213="7",BH213,0)</f>
        <v>0</v>
      </c>
      <c r="AE213" s="51">
        <f>IF(AQ213="7",BI213,0)</f>
        <v>0</v>
      </c>
      <c r="AF213" s="51">
        <f>IF(AQ213="2",BH213,0)</f>
        <v>0</v>
      </c>
      <c r="AG213" s="51">
        <f>IF(AQ213="2",BI213,0)</f>
        <v>0</v>
      </c>
      <c r="AH213" s="51">
        <f>IF(AQ213="0",BJ213,0)</f>
        <v>0</v>
      </c>
      <c r="AI213" s="35" t="s">
        <v>4</v>
      </c>
      <c r="AJ213" s="51">
        <f>IF(AN213=0,H213,0)</f>
        <v>0</v>
      </c>
      <c r="AK213" s="51">
        <f>IF(AN213=12,H213,0)</f>
        <v>0</v>
      </c>
      <c r="AL213" s="51">
        <f>IF(AN213=21,H213,0)</f>
        <v>0</v>
      </c>
      <c r="AN213" s="51">
        <v>12</v>
      </c>
      <c r="AO213" s="51">
        <f>G213*0.207381317</f>
        <v>0</v>
      </c>
      <c r="AP213" s="51">
        <f>G213*(1-0.207381317)</f>
        <v>0</v>
      </c>
      <c r="AQ213" s="53" t="s">
        <v>151</v>
      </c>
      <c r="AV213" s="51">
        <f>AW213+AX213</f>
        <v>0</v>
      </c>
      <c r="AW213" s="51">
        <f>F213*AO213</f>
        <v>0</v>
      </c>
      <c r="AX213" s="51">
        <f>F213*AP213</f>
        <v>0</v>
      </c>
      <c r="AY213" s="53" t="s">
        <v>575</v>
      </c>
      <c r="AZ213" s="53" t="s">
        <v>546</v>
      </c>
      <c r="BA213" s="35" t="s">
        <v>117</v>
      </c>
      <c r="BC213" s="51">
        <f>AW213+AX213</f>
        <v>0</v>
      </c>
      <c r="BD213" s="51">
        <f>G213/(100-BE213)*100</f>
        <v>0</v>
      </c>
      <c r="BE213" s="51">
        <v>0</v>
      </c>
      <c r="BF213" s="51">
        <f>213</f>
        <v>213</v>
      </c>
      <c r="BH213" s="51">
        <f>F213*AO213</f>
        <v>0</v>
      </c>
      <c r="BI213" s="51">
        <f>F213*AP213</f>
        <v>0</v>
      </c>
      <c r="BJ213" s="51">
        <f>F213*G213</f>
        <v>0</v>
      </c>
      <c r="BK213" s="51"/>
      <c r="BL213" s="51">
        <v>776</v>
      </c>
      <c r="BW213" s="51">
        <v>12</v>
      </c>
      <c r="BX213" s="3" t="s">
        <v>593</v>
      </c>
    </row>
    <row r="214" spans="1:76">
      <c r="A214" s="54"/>
      <c r="C214" s="55" t="s">
        <v>594</v>
      </c>
      <c r="D214" s="56" t="s">
        <v>4</v>
      </c>
      <c r="F214" s="57">
        <v>17.079999999999998</v>
      </c>
      <c r="J214" s="41"/>
    </row>
    <row r="215" spans="1:76">
      <c r="A215" s="1" t="s">
        <v>595</v>
      </c>
      <c r="B215" s="2" t="s">
        <v>596</v>
      </c>
      <c r="C215" s="75" t="s">
        <v>597</v>
      </c>
      <c r="D215" s="70"/>
      <c r="E215" s="2" t="s">
        <v>114</v>
      </c>
      <c r="F215" s="51">
        <v>18.788</v>
      </c>
      <c r="G215" s="52">
        <v>0</v>
      </c>
      <c r="H215" s="51">
        <f>F215*G215</f>
        <v>0</v>
      </c>
      <c r="J215" s="41"/>
      <c r="Z215" s="51">
        <f>IF(AQ215="5",BJ215,0)</f>
        <v>0</v>
      </c>
      <c r="AB215" s="51">
        <f>IF(AQ215="1",BH215,0)</f>
        <v>0</v>
      </c>
      <c r="AC215" s="51">
        <f>IF(AQ215="1",BI215,0)</f>
        <v>0</v>
      </c>
      <c r="AD215" s="51">
        <f>IF(AQ215="7",BH215,0)</f>
        <v>0</v>
      </c>
      <c r="AE215" s="51">
        <f>IF(AQ215="7",BI215,0)</f>
        <v>0</v>
      </c>
      <c r="AF215" s="51">
        <f>IF(AQ215="2",BH215,0)</f>
        <v>0</v>
      </c>
      <c r="AG215" s="51">
        <f>IF(AQ215="2",BI215,0)</f>
        <v>0</v>
      </c>
      <c r="AH215" s="51">
        <f>IF(AQ215="0",BJ215,0)</f>
        <v>0</v>
      </c>
      <c r="AI215" s="35" t="s">
        <v>4</v>
      </c>
      <c r="AJ215" s="51">
        <f>IF(AN215=0,H215,0)</f>
        <v>0</v>
      </c>
      <c r="AK215" s="51">
        <f>IF(AN215=12,H215,0)</f>
        <v>0</v>
      </c>
      <c r="AL215" s="51">
        <f>IF(AN215=21,H215,0)</f>
        <v>0</v>
      </c>
      <c r="AN215" s="51">
        <v>12</v>
      </c>
      <c r="AO215" s="51">
        <f>G215*1</f>
        <v>0</v>
      </c>
      <c r="AP215" s="51">
        <f>G215*(1-1)</f>
        <v>0</v>
      </c>
      <c r="AQ215" s="53" t="s">
        <v>151</v>
      </c>
      <c r="AV215" s="51">
        <f>AW215+AX215</f>
        <v>0</v>
      </c>
      <c r="AW215" s="51">
        <f>F215*AO215</f>
        <v>0</v>
      </c>
      <c r="AX215" s="51">
        <f>F215*AP215</f>
        <v>0</v>
      </c>
      <c r="AY215" s="53" t="s">
        <v>575</v>
      </c>
      <c r="AZ215" s="53" t="s">
        <v>546</v>
      </c>
      <c r="BA215" s="35" t="s">
        <v>117</v>
      </c>
      <c r="BC215" s="51">
        <f>AW215+AX215</f>
        <v>0</v>
      </c>
      <c r="BD215" s="51">
        <f>G215/(100-BE215)*100</f>
        <v>0</v>
      </c>
      <c r="BE215" s="51">
        <v>0</v>
      </c>
      <c r="BF215" s="51">
        <f>215</f>
        <v>215</v>
      </c>
      <c r="BH215" s="51">
        <f>F215*AO215</f>
        <v>0</v>
      </c>
      <c r="BI215" s="51">
        <f>F215*AP215</f>
        <v>0</v>
      </c>
      <c r="BJ215" s="51">
        <f>F215*G215</f>
        <v>0</v>
      </c>
      <c r="BK215" s="51"/>
      <c r="BL215" s="51">
        <v>776</v>
      </c>
      <c r="BW215" s="51">
        <v>12</v>
      </c>
      <c r="BX215" s="3" t="s">
        <v>597</v>
      </c>
    </row>
    <row r="216" spans="1:76">
      <c r="A216" s="54"/>
      <c r="C216" s="55" t="s">
        <v>598</v>
      </c>
      <c r="D216" s="56" t="s">
        <v>4</v>
      </c>
      <c r="F216" s="57">
        <v>18.788</v>
      </c>
      <c r="J216" s="41"/>
    </row>
    <row r="217" spans="1:76">
      <c r="A217" s="1" t="s">
        <v>599</v>
      </c>
      <c r="B217" s="2" t="s">
        <v>600</v>
      </c>
      <c r="C217" s="75" t="s">
        <v>601</v>
      </c>
      <c r="D217" s="70"/>
      <c r="E217" s="2" t="s">
        <v>602</v>
      </c>
      <c r="F217" s="51">
        <v>1</v>
      </c>
      <c r="G217" s="52">
        <v>0</v>
      </c>
      <c r="H217" s="51">
        <f>F217*G217</f>
        <v>0</v>
      </c>
      <c r="J217" s="41"/>
      <c r="Z217" s="51">
        <f>IF(AQ217="5",BJ217,0)</f>
        <v>0</v>
      </c>
      <c r="AB217" s="51">
        <f>IF(AQ217="1",BH217,0)</f>
        <v>0</v>
      </c>
      <c r="AC217" s="51">
        <f>IF(AQ217="1",BI217,0)</f>
        <v>0</v>
      </c>
      <c r="AD217" s="51">
        <f>IF(AQ217="7",BH217,0)</f>
        <v>0</v>
      </c>
      <c r="AE217" s="51">
        <f>IF(AQ217="7",BI217,0)</f>
        <v>0</v>
      </c>
      <c r="AF217" s="51">
        <f>IF(AQ217="2",BH217,0)</f>
        <v>0</v>
      </c>
      <c r="AG217" s="51">
        <f>IF(AQ217="2",BI217,0)</f>
        <v>0</v>
      </c>
      <c r="AH217" s="51">
        <f>IF(AQ217="0",BJ217,0)</f>
        <v>0</v>
      </c>
      <c r="AI217" s="35" t="s">
        <v>4</v>
      </c>
      <c r="AJ217" s="51">
        <f>IF(AN217=0,H217,0)</f>
        <v>0</v>
      </c>
      <c r="AK217" s="51">
        <f>IF(AN217=12,H217,0)</f>
        <v>0</v>
      </c>
      <c r="AL217" s="51">
        <f>IF(AN217=21,H217,0)</f>
        <v>0</v>
      </c>
      <c r="AN217" s="51">
        <v>12</v>
      </c>
      <c r="AO217" s="51">
        <f>G217*0</f>
        <v>0</v>
      </c>
      <c r="AP217" s="51">
        <f>G217*(1-0)</f>
        <v>0</v>
      </c>
      <c r="AQ217" s="53" t="s">
        <v>151</v>
      </c>
      <c r="AV217" s="51">
        <f>AW217+AX217</f>
        <v>0</v>
      </c>
      <c r="AW217" s="51">
        <f>F217*AO217</f>
        <v>0</v>
      </c>
      <c r="AX217" s="51">
        <f>F217*AP217</f>
        <v>0</v>
      </c>
      <c r="AY217" s="53" t="s">
        <v>575</v>
      </c>
      <c r="AZ217" s="53" t="s">
        <v>546</v>
      </c>
      <c r="BA217" s="35" t="s">
        <v>117</v>
      </c>
      <c r="BC217" s="51">
        <f>AW217+AX217</f>
        <v>0</v>
      </c>
      <c r="BD217" s="51">
        <f>G217/(100-BE217)*100</f>
        <v>0</v>
      </c>
      <c r="BE217" s="51">
        <v>0</v>
      </c>
      <c r="BF217" s="51">
        <f>217</f>
        <v>217</v>
      </c>
      <c r="BH217" s="51">
        <f>F217*AO217</f>
        <v>0</v>
      </c>
      <c r="BI217" s="51">
        <f>F217*AP217</f>
        <v>0</v>
      </c>
      <c r="BJ217" s="51">
        <f>F217*G217</f>
        <v>0</v>
      </c>
      <c r="BK217" s="51"/>
      <c r="BL217" s="51">
        <v>776</v>
      </c>
      <c r="BW217" s="51">
        <v>12</v>
      </c>
      <c r="BX217" s="3" t="s">
        <v>601</v>
      </c>
    </row>
    <row r="218" spans="1:76">
      <c r="A218" s="1" t="s">
        <v>603</v>
      </c>
      <c r="B218" s="2" t="s">
        <v>604</v>
      </c>
      <c r="C218" s="75" t="s">
        <v>605</v>
      </c>
      <c r="D218" s="70"/>
      <c r="E218" s="2" t="s">
        <v>288</v>
      </c>
      <c r="F218" s="51">
        <v>0.105</v>
      </c>
      <c r="G218" s="52">
        <v>0</v>
      </c>
      <c r="H218" s="51">
        <f>F218*G218</f>
        <v>0</v>
      </c>
      <c r="J218" s="41"/>
      <c r="Z218" s="51">
        <f>IF(AQ218="5",BJ218,0)</f>
        <v>0</v>
      </c>
      <c r="AB218" s="51">
        <f>IF(AQ218="1",BH218,0)</f>
        <v>0</v>
      </c>
      <c r="AC218" s="51">
        <f>IF(AQ218="1",BI218,0)</f>
        <v>0</v>
      </c>
      <c r="AD218" s="51">
        <f>IF(AQ218="7",BH218,0)</f>
        <v>0</v>
      </c>
      <c r="AE218" s="51">
        <f>IF(AQ218="7",BI218,0)</f>
        <v>0</v>
      </c>
      <c r="AF218" s="51">
        <f>IF(AQ218="2",BH218,0)</f>
        <v>0</v>
      </c>
      <c r="AG218" s="51">
        <f>IF(AQ218="2",BI218,0)</f>
        <v>0</v>
      </c>
      <c r="AH218" s="51">
        <f>IF(AQ218="0",BJ218,0)</f>
        <v>0</v>
      </c>
      <c r="AI218" s="35" t="s">
        <v>4</v>
      </c>
      <c r="AJ218" s="51">
        <f>IF(AN218=0,H218,0)</f>
        <v>0</v>
      </c>
      <c r="AK218" s="51">
        <f>IF(AN218=12,H218,0)</f>
        <v>0</v>
      </c>
      <c r="AL218" s="51">
        <f>IF(AN218=21,H218,0)</f>
        <v>0</v>
      </c>
      <c r="AN218" s="51">
        <v>12</v>
      </c>
      <c r="AO218" s="51">
        <f>G218*0</f>
        <v>0</v>
      </c>
      <c r="AP218" s="51">
        <f>G218*(1-0)</f>
        <v>0</v>
      </c>
      <c r="AQ218" s="53" t="s">
        <v>139</v>
      </c>
      <c r="AV218" s="51">
        <f>AW218+AX218</f>
        <v>0</v>
      </c>
      <c r="AW218" s="51">
        <f>F218*AO218</f>
        <v>0</v>
      </c>
      <c r="AX218" s="51">
        <f>F218*AP218</f>
        <v>0</v>
      </c>
      <c r="AY218" s="53" t="s">
        <v>575</v>
      </c>
      <c r="AZ218" s="53" t="s">
        <v>546</v>
      </c>
      <c r="BA218" s="35" t="s">
        <v>117</v>
      </c>
      <c r="BC218" s="51">
        <f>AW218+AX218</f>
        <v>0</v>
      </c>
      <c r="BD218" s="51">
        <f>G218/(100-BE218)*100</f>
        <v>0</v>
      </c>
      <c r="BE218" s="51">
        <v>0</v>
      </c>
      <c r="BF218" s="51">
        <f>218</f>
        <v>218</v>
      </c>
      <c r="BH218" s="51">
        <f>F218*AO218</f>
        <v>0</v>
      </c>
      <c r="BI218" s="51">
        <f>F218*AP218</f>
        <v>0</v>
      </c>
      <c r="BJ218" s="51">
        <f>F218*G218</f>
        <v>0</v>
      </c>
      <c r="BK218" s="51"/>
      <c r="BL218" s="51">
        <v>776</v>
      </c>
      <c r="BW218" s="51">
        <v>12</v>
      </c>
      <c r="BX218" s="3" t="s">
        <v>605</v>
      </c>
    </row>
    <row r="219" spans="1:76">
      <c r="A219" s="47" t="s">
        <v>4</v>
      </c>
      <c r="B219" s="48" t="s">
        <v>606</v>
      </c>
      <c r="C219" s="150" t="s">
        <v>607</v>
      </c>
      <c r="D219" s="151"/>
      <c r="E219" s="49" t="s">
        <v>79</v>
      </c>
      <c r="F219" s="49" t="s">
        <v>79</v>
      </c>
      <c r="G219" s="50" t="s">
        <v>79</v>
      </c>
      <c r="H219" s="28">
        <f>SUM(H220:H232)</f>
        <v>0</v>
      </c>
      <c r="J219" s="41"/>
      <c r="AI219" s="35" t="s">
        <v>4</v>
      </c>
      <c r="AS219" s="28">
        <f>SUM(AJ220:AJ232)</f>
        <v>0</v>
      </c>
      <c r="AT219" s="28">
        <f>SUM(AK220:AK232)</f>
        <v>0</v>
      </c>
      <c r="AU219" s="28">
        <f>SUM(AL220:AL232)</f>
        <v>0</v>
      </c>
    </row>
    <row r="220" spans="1:76">
      <c r="A220" s="1" t="s">
        <v>608</v>
      </c>
      <c r="B220" s="2" t="s">
        <v>609</v>
      </c>
      <c r="C220" s="75" t="s">
        <v>610</v>
      </c>
      <c r="D220" s="70"/>
      <c r="E220" s="2" t="s">
        <v>114</v>
      </c>
      <c r="F220" s="51">
        <v>17.28</v>
      </c>
      <c r="G220" s="52">
        <v>0</v>
      </c>
      <c r="H220" s="51">
        <f>F220*G220</f>
        <v>0</v>
      </c>
      <c r="J220" s="41"/>
      <c r="Z220" s="51">
        <f>IF(AQ220="5",BJ220,0)</f>
        <v>0</v>
      </c>
      <c r="AB220" s="51">
        <f>IF(AQ220="1",BH220,0)</f>
        <v>0</v>
      </c>
      <c r="AC220" s="51">
        <f>IF(AQ220="1",BI220,0)</f>
        <v>0</v>
      </c>
      <c r="AD220" s="51">
        <f>IF(AQ220="7",BH220,0)</f>
        <v>0</v>
      </c>
      <c r="AE220" s="51">
        <f>IF(AQ220="7",BI220,0)</f>
        <v>0</v>
      </c>
      <c r="AF220" s="51">
        <f>IF(AQ220="2",BH220,0)</f>
        <v>0</v>
      </c>
      <c r="AG220" s="51">
        <f>IF(AQ220="2",BI220,0)</f>
        <v>0</v>
      </c>
      <c r="AH220" s="51">
        <f>IF(AQ220="0",BJ220,0)</f>
        <v>0</v>
      </c>
      <c r="AI220" s="35" t="s">
        <v>4</v>
      </c>
      <c r="AJ220" s="51">
        <f>IF(AN220=0,H220,0)</f>
        <v>0</v>
      </c>
      <c r="AK220" s="51">
        <f>IF(AN220=12,H220,0)</f>
        <v>0</v>
      </c>
      <c r="AL220" s="51">
        <f>IF(AN220=21,H220,0)</f>
        <v>0</v>
      </c>
      <c r="AN220" s="51">
        <v>12</v>
      </c>
      <c r="AO220" s="51">
        <f>G220*0.182075209</f>
        <v>0</v>
      </c>
      <c r="AP220" s="51">
        <f>G220*(1-0.182075209)</f>
        <v>0</v>
      </c>
      <c r="AQ220" s="53" t="s">
        <v>151</v>
      </c>
      <c r="AV220" s="51">
        <f>AW220+AX220</f>
        <v>0</v>
      </c>
      <c r="AW220" s="51">
        <f>F220*AO220</f>
        <v>0</v>
      </c>
      <c r="AX220" s="51">
        <f>F220*AP220</f>
        <v>0</v>
      </c>
      <c r="AY220" s="53" t="s">
        <v>611</v>
      </c>
      <c r="AZ220" s="53" t="s">
        <v>612</v>
      </c>
      <c r="BA220" s="35" t="s">
        <v>117</v>
      </c>
      <c r="BC220" s="51">
        <f>AW220+AX220</f>
        <v>0</v>
      </c>
      <c r="BD220" s="51">
        <f>G220/(100-BE220)*100</f>
        <v>0</v>
      </c>
      <c r="BE220" s="51">
        <v>0</v>
      </c>
      <c r="BF220" s="51">
        <f>220</f>
        <v>220</v>
      </c>
      <c r="BH220" s="51">
        <f>F220*AO220</f>
        <v>0</v>
      </c>
      <c r="BI220" s="51">
        <f>F220*AP220</f>
        <v>0</v>
      </c>
      <c r="BJ220" s="51">
        <f>F220*G220</f>
        <v>0</v>
      </c>
      <c r="BK220" s="51"/>
      <c r="BL220" s="51">
        <v>781</v>
      </c>
      <c r="BW220" s="51">
        <v>12</v>
      </c>
      <c r="BX220" s="3" t="s">
        <v>610</v>
      </c>
    </row>
    <row r="221" spans="1:76">
      <c r="A221" s="54"/>
      <c r="C221" s="55" t="s">
        <v>613</v>
      </c>
      <c r="D221" s="56" t="s">
        <v>167</v>
      </c>
      <c r="F221" s="57">
        <v>14.56</v>
      </c>
      <c r="J221" s="41"/>
    </row>
    <row r="222" spans="1:76">
      <c r="A222" s="54"/>
      <c r="C222" s="55" t="s">
        <v>614</v>
      </c>
      <c r="D222" s="56" t="s">
        <v>566</v>
      </c>
      <c r="F222" s="57">
        <v>2.04</v>
      </c>
      <c r="J222" s="41"/>
    </row>
    <row r="223" spans="1:76">
      <c r="A223" s="54"/>
      <c r="C223" s="55" t="s">
        <v>615</v>
      </c>
      <c r="D223" s="56" t="s">
        <v>4</v>
      </c>
      <c r="F223" s="57">
        <v>0.68</v>
      </c>
      <c r="J223" s="41"/>
    </row>
    <row r="224" spans="1:76">
      <c r="A224" s="1" t="s">
        <v>616</v>
      </c>
      <c r="B224" s="2" t="s">
        <v>617</v>
      </c>
      <c r="C224" s="75" t="s">
        <v>618</v>
      </c>
      <c r="D224" s="70"/>
      <c r="E224" s="2" t="s">
        <v>114</v>
      </c>
      <c r="F224" s="51">
        <v>2.72</v>
      </c>
      <c r="G224" s="52">
        <v>0</v>
      </c>
      <c r="H224" s="51">
        <f>F224*G224</f>
        <v>0</v>
      </c>
      <c r="J224" s="41"/>
      <c r="Z224" s="51">
        <f>IF(AQ224="5",BJ224,0)</f>
        <v>0</v>
      </c>
      <c r="AB224" s="51">
        <f>IF(AQ224="1",BH224,0)</f>
        <v>0</v>
      </c>
      <c r="AC224" s="51">
        <f>IF(AQ224="1",BI224,0)</f>
        <v>0</v>
      </c>
      <c r="AD224" s="51">
        <f>IF(AQ224="7",BH224,0)</f>
        <v>0</v>
      </c>
      <c r="AE224" s="51">
        <f>IF(AQ224="7",BI224,0)</f>
        <v>0</v>
      </c>
      <c r="AF224" s="51">
        <f>IF(AQ224="2",BH224,0)</f>
        <v>0</v>
      </c>
      <c r="AG224" s="51">
        <f>IF(AQ224="2",BI224,0)</f>
        <v>0</v>
      </c>
      <c r="AH224" s="51">
        <f>IF(AQ224="0",BJ224,0)</f>
        <v>0</v>
      </c>
      <c r="AI224" s="35" t="s">
        <v>4</v>
      </c>
      <c r="AJ224" s="51">
        <f>IF(AN224=0,H224,0)</f>
        <v>0</v>
      </c>
      <c r="AK224" s="51">
        <f>IF(AN224=12,H224,0)</f>
        <v>0</v>
      </c>
      <c r="AL224" s="51">
        <f>IF(AN224=21,H224,0)</f>
        <v>0</v>
      </c>
      <c r="AN224" s="51">
        <v>12</v>
      </c>
      <c r="AO224" s="51">
        <f>G224*0</f>
        <v>0</v>
      </c>
      <c r="AP224" s="51">
        <f>G224*(1-0)</f>
        <v>0</v>
      </c>
      <c r="AQ224" s="53" t="s">
        <v>151</v>
      </c>
      <c r="AV224" s="51">
        <f>AW224+AX224</f>
        <v>0</v>
      </c>
      <c r="AW224" s="51">
        <f>F224*AO224</f>
        <v>0</v>
      </c>
      <c r="AX224" s="51">
        <f>F224*AP224</f>
        <v>0</v>
      </c>
      <c r="AY224" s="53" t="s">
        <v>611</v>
      </c>
      <c r="AZ224" s="53" t="s">
        <v>612</v>
      </c>
      <c r="BA224" s="35" t="s">
        <v>117</v>
      </c>
      <c r="BC224" s="51">
        <f>AW224+AX224</f>
        <v>0</v>
      </c>
      <c r="BD224" s="51">
        <f>G224/(100-BE224)*100</f>
        <v>0</v>
      </c>
      <c r="BE224" s="51">
        <v>0</v>
      </c>
      <c r="BF224" s="51">
        <f>224</f>
        <v>224</v>
      </c>
      <c r="BH224" s="51">
        <f>F224*AO224</f>
        <v>0</v>
      </c>
      <c r="BI224" s="51">
        <f>F224*AP224</f>
        <v>0</v>
      </c>
      <c r="BJ224" s="51">
        <f>F224*G224</f>
        <v>0</v>
      </c>
      <c r="BK224" s="51"/>
      <c r="BL224" s="51">
        <v>781</v>
      </c>
      <c r="BW224" s="51">
        <v>12</v>
      </c>
      <c r="BX224" s="3" t="s">
        <v>618</v>
      </c>
    </row>
    <row r="225" spans="1:76">
      <c r="A225" s="1" t="s">
        <v>619</v>
      </c>
      <c r="B225" s="2" t="s">
        <v>620</v>
      </c>
      <c r="C225" s="75" t="s">
        <v>621</v>
      </c>
      <c r="D225" s="70"/>
      <c r="E225" s="2" t="s">
        <v>136</v>
      </c>
      <c r="F225" s="51">
        <v>10.5</v>
      </c>
      <c r="G225" s="52">
        <v>0</v>
      </c>
      <c r="H225" s="51">
        <f>F225*G225</f>
        <v>0</v>
      </c>
      <c r="J225" s="41"/>
      <c r="Z225" s="51">
        <f>IF(AQ225="5",BJ225,0)</f>
        <v>0</v>
      </c>
      <c r="AB225" s="51">
        <f>IF(AQ225="1",BH225,0)</f>
        <v>0</v>
      </c>
      <c r="AC225" s="51">
        <f>IF(AQ225="1",BI225,0)</f>
        <v>0</v>
      </c>
      <c r="AD225" s="51">
        <f>IF(AQ225="7",BH225,0)</f>
        <v>0</v>
      </c>
      <c r="AE225" s="51">
        <f>IF(AQ225="7",BI225,0)</f>
        <v>0</v>
      </c>
      <c r="AF225" s="51">
        <f>IF(AQ225="2",BH225,0)</f>
        <v>0</v>
      </c>
      <c r="AG225" s="51">
        <f>IF(AQ225="2",BI225,0)</f>
        <v>0</v>
      </c>
      <c r="AH225" s="51">
        <f>IF(AQ225="0",BJ225,0)</f>
        <v>0</v>
      </c>
      <c r="AI225" s="35" t="s">
        <v>4</v>
      </c>
      <c r="AJ225" s="51">
        <f>IF(AN225=0,H225,0)</f>
        <v>0</v>
      </c>
      <c r="AK225" s="51">
        <f>IF(AN225=12,H225,0)</f>
        <v>0</v>
      </c>
      <c r="AL225" s="51">
        <f>IF(AN225=21,H225,0)</f>
        <v>0</v>
      </c>
      <c r="AN225" s="51">
        <v>12</v>
      </c>
      <c r="AO225" s="51">
        <f>G225*0.05314554</f>
        <v>0</v>
      </c>
      <c r="AP225" s="51">
        <f>G225*(1-0.05314554)</f>
        <v>0</v>
      </c>
      <c r="AQ225" s="53" t="s">
        <v>151</v>
      </c>
      <c r="AV225" s="51">
        <f>AW225+AX225</f>
        <v>0</v>
      </c>
      <c r="AW225" s="51">
        <f>F225*AO225</f>
        <v>0</v>
      </c>
      <c r="AX225" s="51">
        <f>F225*AP225</f>
        <v>0</v>
      </c>
      <c r="AY225" s="53" t="s">
        <v>611</v>
      </c>
      <c r="AZ225" s="53" t="s">
        <v>612</v>
      </c>
      <c r="BA225" s="35" t="s">
        <v>117</v>
      </c>
      <c r="BC225" s="51">
        <f>AW225+AX225</f>
        <v>0</v>
      </c>
      <c r="BD225" s="51">
        <f>G225/(100-BE225)*100</f>
        <v>0</v>
      </c>
      <c r="BE225" s="51">
        <v>0</v>
      </c>
      <c r="BF225" s="51">
        <f>225</f>
        <v>225</v>
      </c>
      <c r="BH225" s="51">
        <f>F225*AO225</f>
        <v>0</v>
      </c>
      <c r="BI225" s="51">
        <f>F225*AP225</f>
        <v>0</v>
      </c>
      <c r="BJ225" s="51">
        <f>F225*G225</f>
        <v>0</v>
      </c>
      <c r="BK225" s="51"/>
      <c r="BL225" s="51">
        <v>781</v>
      </c>
      <c r="BW225" s="51">
        <v>12</v>
      </c>
      <c r="BX225" s="3" t="s">
        <v>621</v>
      </c>
    </row>
    <row r="226" spans="1:76">
      <c r="A226" s="54"/>
      <c r="C226" s="55" t="s">
        <v>622</v>
      </c>
      <c r="D226" s="56" t="s">
        <v>4</v>
      </c>
      <c r="F226" s="57">
        <v>10.5</v>
      </c>
      <c r="J226" s="41"/>
    </row>
    <row r="227" spans="1:76">
      <c r="A227" s="1" t="s">
        <v>623</v>
      </c>
      <c r="B227" s="2" t="s">
        <v>624</v>
      </c>
      <c r="C227" s="75" t="s">
        <v>625</v>
      </c>
      <c r="D227" s="70"/>
      <c r="E227" s="2" t="s">
        <v>130</v>
      </c>
      <c r="F227" s="51">
        <v>7</v>
      </c>
      <c r="G227" s="52">
        <v>0</v>
      </c>
      <c r="H227" s="51">
        <f>F227*G227</f>
        <v>0</v>
      </c>
      <c r="J227" s="41"/>
      <c r="Z227" s="51">
        <f>IF(AQ227="5",BJ227,0)</f>
        <v>0</v>
      </c>
      <c r="AB227" s="51">
        <f>IF(AQ227="1",BH227,0)</f>
        <v>0</v>
      </c>
      <c r="AC227" s="51">
        <f>IF(AQ227="1",BI227,0)</f>
        <v>0</v>
      </c>
      <c r="AD227" s="51">
        <f>IF(AQ227="7",BH227,0)</f>
        <v>0</v>
      </c>
      <c r="AE227" s="51">
        <f>IF(AQ227="7",BI227,0)</f>
        <v>0</v>
      </c>
      <c r="AF227" s="51">
        <f>IF(AQ227="2",BH227,0)</f>
        <v>0</v>
      </c>
      <c r="AG227" s="51">
        <f>IF(AQ227="2",BI227,0)</f>
        <v>0</v>
      </c>
      <c r="AH227" s="51">
        <f>IF(AQ227="0",BJ227,0)</f>
        <v>0</v>
      </c>
      <c r="AI227" s="35" t="s">
        <v>4</v>
      </c>
      <c r="AJ227" s="51">
        <f>IF(AN227=0,H227,0)</f>
        <v>0</v>
      </c>
      <c r="AK227" s="51">
        <f>IF(AN227=12,H227,0)</f>
        <v>0</v>
      </c>
      <c r="AL227" s="51">
        <f>IF(AN227=21,H227,0)</f>
        <v>0</v>
      </c>
      <c r="AN227" s="51">
        <v>12</v>
      </c>
      <c r="AO227" s="51">
        <f>G227*0.062462908</f>
        <v>0</v>
      </c>
      <c r="AP227" s="51">
        <f>G227*(1-0.062462908)</f>
        <v>0</v>
      </c>
      <c r="AQ227" s="53" t="s">
        <v>151</v>
      </c>
      <c r="AV227" s="51">
        <f>AW227+AX227</f>
        <v>0</v>
      </c>
      <c r="AW227" s="51">
        <f>F227*AO227</f>
        <v>0</v>
      </c>
      <c r="AX227" s="51">
        <f>F227*AP227</f>
        <v>0</v>
      </c>
      <c r="AY227" s="53" t="s">
        <v>611</v>
      </c>
      <c r="AZ227" s="53" t="s">
        <v>612</v>
      </c>
      <c r="BA227" s="35" t="s">
        <v>117</v>
      </c>
      <c r="BC227" s="51">
        <f>AW227+AX227</f>
        <v>0</v>
      </c>
      <c r="BD227" s="51">
        <f>G227/(100-BE227)*100</f>
        <v>0</v>
      </c>
      <c r="BE227" s="51">
        <v>0</v>
      </c>
      <c r="BF227" s="51">
        <f>227</f>
        <v>227</v>
      </c>
      <c r="BH227" s="51">
        <f>F227*AO227</f>
        <v>0</v>
      </c>
      <c r="BI227" s="51">
        <f>F227*AP227</f>
        <v>0</v>
      </c>
      <c r="BJ227" s="51">
        <f>F227*G227</f>
        <v>0</v>
      </c>
      <c r="BK227" s="51"/>
      <c r="BL227" s="51">
        <v>781</v>
      </c>
      <c r="BW227" s="51">
        <v>12</v>
      </c>
      <c r="BX227" s="3" t="s">
        <v>625</v>
      </c>
    </row>
    <row r="228" spans="1:76">
      <c r="A228" s="1" t="s">
        <v>626</v>
      </c>
      <c r="B228" s="2" t="s">
        <v>627</v>
      </c>
      <c r="C228" s="75" t="s">
        <v>628</v>
      </c>
      <c r="D228" s="70"/>
      <c r="E228" s="2" t="s">
        <v>114</v>
      </c>
      <c r="F228" s="51">
        <v>18.905999999999999</v>
      </c>
      <c r="G228" s="52">
        <v>0</v>
      </c>
      <c r="H228" s="51">
        <f>F228*G228</f>
        <v>0</v>
      </c>
      <c r="J228" s="41"/>
      <c r="Z228" s="51">
        <f>IF(AQ228="5",BJ228,0)</f>
        <v>0</v>
      </c>
      <c r="AB228" s="51">
        <f>IF(AQ228="1",BH228,0)</f>
        <v>0</v>
      </c>
      <c r="AC228" s="51">
        <f>IF(AQ228="1",BI228,0)</f>
        <v>0</v>
      </c>
      <c r="AD228" s="51">
        <f>IF(AQ228="7",BH228,0)</f>
        <v>0</v>
      </c>
      <c r="AE228" s="51">
        <f>IF(AQ228="7",BI228,0)</f>
        <v>0</v>
      </c>
      <c r="AF228" s="51">
        <f>IF(AQ228="2",BH228,0)</f>
        <v>0</v>
      </c>
      <c r="AG228" s="51">
        <f>IF(AQ228="2",BI228,0)</f>
        <v>0</v>
      </c>
      <c r="AH228" s="51">
        <f>IF(AQ228="0",BJ228,0)</f>
        <v>0</v>
      </c>
      <c r="AI228" s="35" t="s">
        <v>4</v>
      </c>
      <c r="AJ228" s="51">
        <f>IF(AN228=0,H228,0)</f>
        <v>0</v>
      </c>
      <c r="AK228" s="51">
        <f>IF(AN228=12,H228,0)</f>
        <v>0</v>
      </c>
      <c r="AL228" s="51">
        <f>IF(AN228=21,H228,0)</f>
        <v>0</v>
      </c>
      <c r="AN228" s="51">
        <v>12</v>
      </c>
      <c r="AO228" s="51">
        <f>G228*1</f>
        <v>0</v>
      </c>
      <c r="AP228" s="51">
        <f>G228*(1-1)</f>
        <v>0</v>
      </c>
      <c r="AQ228" s="53" t="s">
        <v>151</v>
      </c>
      <c r="AV228" s="51">
        <f>AW228+AX228</f>
        <v>0</v>
      </c>
      <c r="AW228" s="51">
        <f>F228*AO228</f>
        <v>0</v>
      </c>
      <c r="AX228" s="51">
        <f>F228*AP228</f>
        <v>0</v>
      </c>
      <c r="AY228" s="53" t="s">
        <v>611</v>
      </c>
      <c r="AZ228" s="53" t="s">
        <v>612</v>
      </c>
      <c r="BA228" s="35" t="s">
        <v>117</v>
      </c>
      <c r="BC228" s="51">
        <f>AW228+AX228</f>
        <v>0</v>
      </c>
      <c r="BD228" s="51">
        <f>G228/(100-BE228)*100</f>
        <v>0</v>
      </c>
      <c r="BE228" s="51">
        <v>0</v>
      </c>
      <c r="BF228" s="51">
        <f>228</f>
        <v>228</v>
      </c>
      <c r="BH228" s="51">
        <f>F228*AO228</f>
        <v>0</v>
      </c>
      <c r="BI228" s="51">
        <f>F228*AP228</f>
        <v>0</v>
      </c>
      <c r="BJ228" s="51">
        <f>F228*G228</f>
        <v>0</v>
      </c>
      <c r="BK228" s="51"/>
      <c r="BL228" s="51">
        <v>781</v>
      </c>
      <c r="BW228" s="51">
        <v>12</v>
      </c>
      <c r="BX228" s="3" t="s">
        <v>628</v>
      </c>
    </row>
    <row r="229" spans="1:76">
      <c r="A229" s="54"/>
      <c r="C229" s="55" t="s">
        <v>629</v>
      </c>
      <c r="D229" s="56" t="s">
        <v>4</v>
      </c>
      <c r="F229" s="57">
        <v>18.905999999999999</v>
      </c>
      <c r="J229" s="41"/>
    </row>
    <row r="230" spans="1:76">
      <c r="A230" s="1" t="s">
        <v>630</v>
      </c>
      <c r="B230" s="2" t="s">
        <v>631</v>
      </c>
      <c r="C230" s="75" t="s">
        <v>632</v>
      </c>
      <c r="D230" s="70"/>
      <c r="E230" s="2" t="s">
        <v>136</v>
      </c>
      <c r="F230" s="51">
        <v>2.1</v>
      </c>
      <c r="G230" s="52">
        <v>0</v>
      </c>
      <c r="H230" s="51">
        <f>F230*G230</f>
        <v>0</v>
      </c>
      <c r="J230" s="41"/>
      <c r="Z230" s="51">
        <f>IF(AQ230="5",BJ230,0)</f>
        <v>0</v>
      </c>
      <c r="AB230" s="51">
        <f>IF(AQ230="1",BH230,0)</f>
        <v>0</v>
      </c>
      <c r="AC230" s="51">
        <f>IF(AQ230="1",BI230,0)</f>
        <v>0</v>
      </c>
      <c r="AD230" s="51">
        <f>IF(AQ230="7",BH230,0)</f>
        <v>0</v>
      </c>
      <c r="AE230" s="51">
        <f>IF(AQ230="7",BI230,0)</f>
        <v>0</v>
      </c>
      <c r="AF230" s="51">
        <f>IF(AQ230="2",BH230,0)</f>
        <v>0</v>
      </c>
      <c r="AG230" s="51">
        <f>IF(AQ230="2",BI230,0)</f>
        <v>0</v>
      </c>
      <c r="AH230" s="51">
        <f>IF(AQ230="0",BJ230,0)</f>
        <v>0</v>
      </c>
      <c r="AI230" s="35" t="s">
        <v>4</v>
      </c>
      <c r="AJ230" s="51">
        <f>IF(AN230=0,H230,0)</f>
        <v>0</v>
      </c>
      <c r="AK230" s="51">
        <f>IF(AN230=12,H230,0)</f>
        <v>0</v>
      </c>
      <c r="AL230" s="51">
        <f>IF(AN230=21,H230,0)</f>
        <v>0</v>
      </c>
      <c r="AN230" s="51">
        <v>12</v>
      </c>
      <c r="AO230" s="51">
        <f>G230*0.894839695</f>
        <v>0</v>
      </c>
      <c r="AP230" s="51">
        <f>G230*(1-0.894839695)</f>
        <v>0</v>
      </c>
      <c r="AQ230" s="53" t="s">
        <v>151</v>
      </c>
      <c r="AV230" s="51">
        <f>AW230+AX230</f>
        <v>0</v>
      </c>
      <c r="AW230" s="51">
        <f>F230*AO230</f>
        <v>0</v>
      </c>
      <c r="AX230" s="51">
        <f>F230*AP230</f>
        <v>0</v>
      </c>
      <c r="AY230" s="53" t="s">
        <v>611</v>
      </c>
      <c r="AZ230" s="53" t="s">
        <v>612</v>
      </c>
      <c r="BA230" s="35" t="s">
        <v>117</v>
      </c>
      <c r="BC230" s="51">
        <f>AW230+AX230</f>
        <v>0</v>
      </c>
      <c r="BD230" s="51">
        <f>G230/(100-BE230)*100</f>
        <v>0</v>
      </c>
      <c r="BE230" s="51">
        <v>0</v>
      </c>
      <c r="BF230" s="51">
        <f>230</f>
        <v>230</v>
      </c>
      <c r="BH230" s="51">
        <f>F230*AO230</f>
        <v>0</v>
      </c>
      <c r="BI230" s="51">
        <f>F230*AP230</f>
        <v>0</v>
      </c>
      <c r="BJ230" s="51">
        <f>F230*G230</f>
        <v>0</v>
      </c>
      <c r="BK230" s="51"/>
      <c r="BL230" s="51">
        <v>781</v>
      </c>
      <c r="BW230" s="51">
        <v>12</v>
      </c>
      <c r="BX230" s="3" t="s">
        <v>632</v>
      </c>
    </row>
    <row r="231" spans="1:76" ht="13.5" customHeight="1">
      <c r="A231" s="54"/>
      <c r="B231" s="58" t="s">
        <v>131</v>
      </c>
      <c r="C231" s="152" t="s">
        <v>633</v>
      </c>
      <c r="D231" s="153"/>
      <c r="E231" s="153"/>
      <c r="F231" s="153"/>
      <c r="G231" s="154"/>
      <c r="H231" s="153"/>
      <c r="I231" s="153"/>
      <c r="J231" s="155"/>
    </row>
    <row r="232" spans="1:76">
      <c r="A232" s="1" t="s">
        <v>634</v>
      </c>
      <c r="B232" s="2" t="s">
        <v>635</v>
      </c>
      <c r="C232" s="75" t="s">
        <v>636</v>
      </c>
      <c r="D232" s="70"/>
      <c r="E232" s="2" t="s">
        <v>288</v>
      </c>
      <c r="F232" s="51">
        <v>0.317</v>
      </c>
      <c r="G232" s="52">
        <v>0</v>
      </c>
      <c r="H232" s="51">
        <f>F232*G232</f>
        <v>0</v>
      </c>
      <c r="J232" s="41"/>
      <c r="Z232" s="51">
        <f>IF(AQ232="5",BJ232,0)</f>
        <v>0</v>
      </c>
      <c r="AB232" s="51">
        <f>IF(AQ232="1",BH232,0)</f>
        <v>0</v>
      </c>
      <c r="AC232" s="51">
        <f>IF(AQ232="1",BI232,0)</f>
        <v>0</v>
      </c>
      <c r="AD232" s="51">
        <f>IF(AQ232="7",BH232,0)</f>
        <v>0</v>
      </c>
      <c r="AE232" s="51">
        <f>IF(AQ232="7",BI232,0)</f>
        <v>0</v>
      </c>
      <c r="AF232" s="51">
        <f>IF(AQ232="2",BH232,0)</f>
        <v>0</v>
      </c>
      <c r="AG232" s="51">
        <f>IF(AQ232="2",BI232,0)</f>
        <v>0</v>
      </c>
      <c r="AH232" s="51">
        <f>IF(AQ232="0",BJ232,0)</f>
        <v>0</v>
      </c>
      <c r="AI232" s="35" t="s">
        <v>4</v>
      </c>
      <c r="AJ232" s="51">
        <f>IF(AN232=0,H232,0)</f>
        <v>0</v>
      </c>
      <c r="AK232" s="51">
        <f>IF(AN232=12,H232,0)</f>
        <v>0</v>
      </c>
      <c r="AL232" s="51">
        <f>IF(AN232=21,H232,0)</f>
        <v>0</v>
      </c>
      <c r="AN232" s="51">
        <v>12</v>
      </c>
      <c r="AO232" s="51">
        <f>G232*0</f>
        <v>0</v>
      </c>
      <c r="AP232" s="51">
        <f>G232*(1-0)</f>
        <v>0</v>
      </c>
      <c r="AQ232" s="53" t="s">
        <v>139</v>
      </c>
      <c r="AV232" s="51">
        <f>AW232+AX232</f>
        <v>0</v>
      </c>
      <c r="AW232" s="51">
        <f>F232*AO232</f>
        <v>0</v>
      </c>
      <c r="AX232" s="51">
        <f>F232*AP232</f>
        <v>0</v>
      </c>
      <c r="AY232" s="53" t="s">
        <v>611</v>
      </c>
      <c r="AZ232" s="53" t="s">
        <v>612</v>
      </c>
      <c r="BA232" s="35" t="s">
        <v>117</v>
      </c>
      <c r="BC232" s="51">
        <f>AW232+AX232</f>
        <v>0</v>
      </c>
      <c r="BD232" s="51">
        <f>G232/(100-BE232)*100</f>
        <v>0</v>
      </c>
      <c r="BE232" s="51">
        <v>0</v>
      </c>
      <c r="BF232" s="51">
        <f>232</f>
        <v>232</v>
      </c>
      <c r="BH232" s="51">
        <f>F232*AO232</f>
        <v>0</v>
      </c>
      <c r="BI232" s="51">
        <f>F232*AP232</f>
        <v>0</v>
      </c>
      <c r="BJ232" s="51">
        <f>F232*G232</f>
        <v>0</v>
      </c>
      <c r="BK232" s="51"/>
      <c r="BL232" s="51">
        <v>781</v>
      </c>
      <c r="BW232" s="51">
        <v>12</v>
      </c>
      <c r="BX232" s="3" t="s">
        <v>636</v>
      </c>
    </row>
    <row r="233" spans="1:76">
      <c r="A233" s="47" t="s">
        <v>4</v>
      </c>
      <c r="B233" s="48" t="s">
        <v>637</v>
      </c>
      <c r="C233" s="150" t="s">
        <v>638</v>
      </c>
      <c r="D233" s="151"/>
      <c r="E233" s="49" t="s">
        <v>79</v>
      </c>
      <c r="F233" s="49" t="s">
        <v>79</v>
      </c>
      <c r="G233" s="50" t="s">
        <v>79</v>
      </c>
      <c r="H233" s="28">
        <f>SUM(H234:H238)</f>
        <v>0</v>
      </c>
      <c r="J233" s="41"/>
      <c r="AI233" s="35" t="s">
        <v>4</v>
      </c>
      <c r="AS233" s="28">
        <f>SUM(AJ234:AJ238)</f>
        <v>0</v>
      </c>
      <c r="AT233" s="28">
        <f>SUM(AK234:AK238)</f>
        <v>0</v>
      </c>
      <c r="AU233" s="28">
        <f>SUM(AL234:AL238)</f>
        <v>0</v>
      </c>
    </row>
    <row r="234" spans="1:76">
      <c r="A234" s="1" t="s">
        <v>639</v>
      </c>
      <c r="B234" s="2" t="s">
        <v>640</v>
      </c>
      <c r="C234" s="75" t="s">
        <v>641</v>
      </c>
      <c r="D234" s="70"/>
      <c r="E234" s="2" t="s">
        <v>602</v>
      </c>
      <c r="F234" s="51">
        <v>3</v>
      </c>
      <c r="G234" s="52">
        <v>0</v>
      </c>
      <c r="H234" s="51">
        <f>F234*G234</f>
        <v>0</v>
      </c>
      <c r="J234" s="41"/>
      <c r="Z234" s="51">
        <f>IF(AQ234="5",BJ234,0)</f>
        <v>0</v>
      </c>
      <c r="AB234" s="51">
        <f>IF(AQ234="1",BH234,0)</f>
        <v>0</v>
      </c>
      <c r="AC234" s="51">
        <f>IF(AQ234="1",BI234,0)</f>
        <v>0</v>
      </c>
      <c r="AD234" s="51">
        <f>IF(AQ234="7",BH234,0)</f>
        <v>0</v>
      </c>
      <c r="AE234" s="51">
        <f>IF(AQ234="7",BI234,0)</f>
        <v>0</v>
      </c>
      <c r="AF234" s="51">
        <f>IF(AQ234="2",BH234,0)</f>
        <v>0</v>
      </c>
      <c r="AG234" s="51">
        <f>IF(AQ234="2",BI234,0)</f>
        <v>0</v>
      </c>
      <c r="AH234" s="51">
        <f>IF(AQ234="0",BJ234,0)</f>
        <v>0</v>
      </c>
      <c r="AI234" s="35" t="s">
        <v>4</v>
      </c>
      <c r="AJ234" s="51">
        <f>IF(AN234=0,H234,0)</f>
        <v>0</v>
      </c>
      <c r="AK234" s="51">
        <f>IF(AN234=12,H234,0)</f>
        <v>0</v>
      </c>
      <c r="AL234" s="51">
        <f>IF(AN234=21,H234,0)</f>
        <v>0</v>
      </c>
      <c r="AN234" s="51">
        <v>12</v>
      </c>
      <c r="AO234" s="51">
        <f>G234*0.194314286</f>
        <v>0</v>
      </c>
      <c r="AP234" s="51">
        <f>G234*(1-0.194314286)</f>
        <v>0</v>
      </c>
      <c r="AQ234" s="53" t="s">
        <v>151</v>
      </c>
      <c r="AV234" s="51">
        <f>AW234+AX234</f>
        <v>0</v>
      </c>
      <c r="AW234" s="51">
        <f>F234*AO234</f>
        <v>0</v>
      </c>
      <c r="AX234" s="51">
        <f>F234*AP234</f>
        <v>0</v>
      </c>
      <c r="AY234" s="53" t="s">
        <v>642</v>
      </c>
      <c r="AZ234" s="53" t="s">
        <v>612</v>
      </c>
      <c r="BA234" s="35" t="s">
        <v>117</v>
      </c>
      <c r="BC234" s="51">
        <f>AW234+AX234</f>
        <v>0</v>
      </c>
      <c r="BD234" s="51">
        <f>G234/(100-BE234)*100</f>
        <v>0</v>
      </c>
      <c r="BE234" s="51">
        <v>0</v>
      </c>
      <c r="BF234" s="51">
        <f>234</f>
        <v>234</v>
      </c>
      <c r="BH234" s="51">
        <f>F234*AO234</f>
        <v>0</v>
      </c>
      <c r="BI234" s="51">
        <f>F234*AP234</f>
        <v>0</v>
      </c>
      <c r="BJ234" s="51">
        <f>F234*G234</f>
        <v>0</v>
      </c>
      <c r="BK234" s="51"/>
      <c r="BL234" s="51">
        <v>783</v>
      </c>
      <c r="BW234" s="51">
        <v>12</v>
      </c>
      <c r="BX234" s="3" t="s">
        <v>641</v>
      </c>
    </row>
    <row r="235" spans="1:76" ht="13.5" customHeight="1">
      <c r="A235" s="54"/>
      <c r="B235" s="58" t="s">
        <v>131</v>
      </c>
      <c r="C235" s="152" t="s">
        <v>643</v>
      </c>
      <c r="D235" s="153"/>
      <c r="E235" s="153"/>
      <c r="F235" s="153"/>
      <c r="G235" s="154"/>
      <c r="H235" s="153"/>
      <c r="I235" s="153"/>
      <c r="J235" s="155"/>
    </row>
    <row r="236" spans="1:76">
      <c r="A236" s="1" t="s">
        <v>644</v>
      </c>
      <c r="B236" s="2" t="s">
        <v>645</v>
      </c>
      <c r="C236" s="75" t="s">
        <v>646</v>
      </c>
      <c r="D236" s="70"/>
      <c r="E236" s="2" t="s">
        <v>114</v>
      </c>
      <c r="F236" s="51">
        <v>4</v>
      </c>
      <c r="G236" s="52">
        <v>0</v>
      </c>
      <c r="H236" s="51">
        <f>F236*G236</f>
        <v>0</v>
      </c>
      <c r="J236" s="41"/>
      <c r="Z236" s="51">
        <f>IF(AQ236="5",BJ236,0)</f>
        <v>0</v>
      </c>
      <c r="AB236" s="51">
        <f>IF(AQ236="1",BH236,0)</f>
        <v>0</v>
      </c>
      <c r="AC236" s="51">
        <f>IF(AQ236="1",BI236,0)</f>
        <v>0</v>
      </c>
      <c r="AD236" s="51">
        <f>IF(AQ236="7",BH236,0)</f>
        <v>0</v>
      </c>
      <c r="AE236" s="51">
        <f>IF(AQ236="7",BI236,0)</f>
        <v>0</v>
      </c>
      <c r="AF236" s="51">
        <f>IF(AQ236="2",BH236,0)</f>
        <v>0</v>
      </c>
      <c r="AG236" s="51">
        <f>IF(AQ236="2",BI236,0)</f>
        <v>0</v>
      </c>
      <c r="AH236" s="51">
        <f>IF(AQ236="0",BJ236,0)</f>
        <v>0</v>
      </c>
      <c r="AI236" s="35" t="s">
        <v>4</v>
      </c>
      <c r="AJ236" s="51">
        <f>IF(AN236=0,H236,0)</f>
        <v>0</v>
      </c>
      <c r="AK236" s="51">
        <f>IF(AN236=12,H236,0)</f>
        <v>0</v>
      </c>
      <c r="AL236" s="51">
        <f>IF(AN236=21,H236,0)</f>
        <v>0</v>
      </c>
      <c r="AN236" s="51">
        <v>12</v>
      </c>
      <c r="AO236" s="51">
        <f>G236*0.032470588</f>
        <v>0</v>
      </c>
      <c r="AP236" s="51">
        <f>G236*(1-0.032470588)</f>
        <v>0</v>
      </c>
      <c r="AQ236" s="53" t="s">
        <v>151</v>
      </c>
      <c r="AV236" s="51">
        <f>AW236+AX236</f>
        <v>0</v>
      </c>
      <c r="AW236" s="51">
        <f>F236*AO236</f>
        <v>0</v>
      </c>
      <c r="AX236" s="51">
        <f>F236*AP236</f>
        <v>0</v>
      </c>
      <c r="AY236" s="53" t="s">
        <v>642</v>
      </c>
      <c r="AZ236" s="53" t="s">
        <v>612</v>
      </c>
      <c r="BA236" s="35" t="s">
        <v>117</v>
      </c>
      <c r="BC236" s="51">
        <f>AW236+AX236</f>
        <v>0</v>
      </c>
      <c r="BD236" s="51">
        <f>G236/(100-BE236)*100</f>
        <v>0</v>
      </c>
      <c r="BE236" s="51">
        <v>0</v>
      </c>
      <c r="BF236" s="51">
        <f>236</f>
        <v>236</v>
      </c>
      <c r="BH236" s="51">
        <f>F236*AO236</f>
        <v>0</v>
      </c>
      <c r="BI236" s="51">
        <f>F236*AP236</f>
        <v>0</v>
      </c>
      <c r="BJ236" s="51">
        <f>F236*G236</f>
        <v>0</v>
      </c>
      <c r="BK236" s="51"/>
      <c r="BL236" s="51">
        <v>783</v>
      </c>
      <c r="BW236" s="51">
        <v>12</v>
      </c>
      <c r="BX236" s="3" t="s">
        <v>646</v>
      </c>
    </row>
    <row r="237" spans="1:76">
      <c r="A237" s="1" t="s">
        <v>647</v>
      </c>
      <c r="B237" s="2" t="s">
        <v>648</v>
      </c>
      <c r="C237" s="75" t="s">
        <v>649</v>
      </c>
      <c r="D237" s="70"/>
      <c r="E237" s="2" t="s">
        <v>602</v>
      </c>
      <c r="F237" s="51">
        <v>1</v>
      </c>
      <c r="G237" s="52">
        <v>0</v>
      </c>
      <c r="H237" s="51">
        <f>F237*G237</f>
        <v>0</v>
      </c>
      <c r="J237" s="41"/>
      <c r="Z237" s="51">
        <f>IF(AQ237="5",BJ237,0)</f>
        <v>0</v>
      </c>
      <c r="AB237" s="51">
        <f>IF(AQ237="1",BH237,0)</f>
        <v>0</v>
      </c>
      <c r="AC237" s="51">
        <f>IF(AQ237="1",BI237,0)</f>
        <v>0</v>
      </c>
      <c r="AD237" s="51">
        <f>IF(AQ237="7",BH237,0)</f>
        <v>0</v>
      </c>
      <c r="AE237" s="51">
        <f>IF(AQ237="7",BI237,0)</f>
        <v>0</v>
      </c>
      <c r="AF237" s="51">
        <f>IF(AQ237="2",BH237,0)</f>
        <v>0</v>
      </c>
      <c r="AG237" s="51">
        <f>IF(AQ237="2",BI237,0)</f>
        <v>0</v>
      </c>
      <c r="AH237" s="51">
        <f>IF(AQ237="0",BJ237,0)</f>
        <v>0</v>
      </c>
      <c r="AI237" s="35" t="s">
        <v>4</v>
      </c>
      <c r="AJ237" s="51">
        <f>IF(AN237=0,H237,0)</f>
        <v>0</v>
      </c>
      <c r="AK237" s="51">
        <f>IF(AN237=12,H237,0)</f>
        <v>0</v>
      </c>
      <c r="AL237" s="51">
        <f>IF(AN237=21,H237,0)</f>
        <v>0</v>
      </c>
      <c r="AN237" s="51">
        <v>12</v>
      </c>
      <c r="AO237" s="51">
        <f>G237*0.185328571</f>
        <v>0</v>
      </c>
      <c r="AP237" s="51">
        <f>G237*(1-0.185328571)</f>
        <v>0</v>
      </c>
      <c r="AQ237" s="53" t="s">
        <v>151</v>
      </c>
      <c r="AV237" s="51">
        <f>AW237+AX237</f>
        <v>0</v>
      </c>
      <c r="AW237" s="51">
        <f>F237*AO237</f>
        <v>0</v>
      </c>
      <c r="AX237" s="51">
        <f>F237*AP237</f>
        <v>0</v>
      </c>
      <c r="AY237" s="53" t="s">
        <v>642</v>
      </c>
      <c r="AZ237" s="53" t="s">
        <v>612</v>
      </c>
      <c r="BA237" s="35" t="s">
        <v>117</v>
      </c>
      <c r="BC237" s="51">
        <f>AW237+AX237</f>
        <v>0</v>
      </c>
      <c r="BD237" s="51">
        <f>G237/(100-BE237)*100</f>
        <v>0</v>
      </c>
      <c r="BE237" s="51">
        <v>0</v>
      </c>
      <c r="BF237" s="51">
        <f>237</f>
        <v>237</v>
      </c>
      <c r="BH237" s="51">
        <f>F237*AO237</f>
        <v>0</v>
      </c>
      <c r="BI237" s="51">
        <f>F237*AP237</f>
        <v>0</v>
      </c>
      <c r="BJ237" s="51">
        <f>F237*G237</f>
        <v>0</v>
      </c>
      <c r="BK237" s="51"/>
      <c r="BL237" s="51">
        <v>783</v>
      </c>
      <c r="BW237" s="51">
        <v>12</v>
      </c>
      <c r="BX237" s="3" t="s">
        <v>649</v>
      </c>
    </row>
    <row r="238" spans="1:76">
      <c r="A238" s="1" t="s">
        <v>650</v>
      </c>
      <c r="B238" s="2" t="s">
        <v>651</v>
      </c>
      <c r="C238" s="75" t="s">
        <v>652</v>
      </c>
      <c r="D238" s="70"/>
      <c r="E238" s="2" t="s">
        <v>114</v>
      </c>
      <c r="F238" s="51">
        <v>4</v>
      </c>
      <c r="G238" s="52">
        <v>0</v>
      </c>
      <c r="H238" s="51">
        <f>F238*G238</f>
        <v>0</v>
      </c>
      <c r="J238" s="41"/>
      <c r="Z238" s="51">
        <f>IF(AQ238="5",BJ238,0)</f>
        <v>0</v>
      </c>
      <c r="AB238" s="51">
        <f>IF(AQ238="1",BH238,0)</f>
        <v>0</v>
      </c>
      <c r="AC238" s="51">
        <f>IF(AQ238="1",BI238,0)</f>
        <v>0</v>
      </c>
      <c r="AD238" s="51">
        <f>IF(AQ238="7",BH238,0)</f>
        <v>0</v>
      </c>
      <c r="AE238" s="51">
        <f>IF(AQ238="7",BI238,0)</f>
        <v>0</v>
      </c>
      <c r="AF238" s="51">
        <f>IF(AQ238="2",BH238,0)</f>
        <v>0</v>
      </c>
      <c r="AG238" s="51">
        <f>IF(AQ238="2",BI238,0)</f>
        <v>0</v>
      </c>
      <c r="AH238" s="51">
        <f>IF(AQ238="0",BJ238,0)</f>
        <v>0</v>
      </c>
      <c r="AI238" s="35" t="s">
        <v>4</v>
      </c>
      <c r="AJ238" s="51">
        <f>IF(AN238=0,H238,0)</f>
        <v>0</v>
      </c>
      <c r="AK238" s="51">
        <f>IF(AN238=12,H238,0)</f>
        <v>0</v>
      </c>
      <c r="AL238" s="51">
        <f>IF(AN238=21,H238,0)</f>
        <v>0</v>
      </c>
      <c r="AN238" s="51">
        <v>12</v>
      </c>
      <c r="AO238" s="51">
        <f>G238*0.421268827</f>
        <v>0</v>
      </c>
      <c r="AP238" s="51">
        <f>G238*(1-0.421268827)</f>
        <v>0</v>
      </c>
      <c r="AQ238" s="53" t="s">
        <v>151</v>
      </c>
      <c r="AV238" s="51">
        <f>AW238+AX238</f>
        <v>0</v>
      </c>
      <c r="AW238" s="51">
        <f>F238*AO238</f>
        <v>0</v>
      </c>
      <c r="AX238" s="51">
        <f>F238*AP238</f>
        <v>0</v>
      </c>
      <c r="AY238" s="53" t="s">
        <v>642</v>
      </c>
      <c r="AZ238" s="53" t="s">
        <v>612</v>
      </c>
      <c r="BA238" s="35" t="s">
        <v>117</v>
      </c>
      <c r="BC238" s="51">
        <f>AW238+AX238</f>
        <v>0</v>
      </c>
      <c r="BD238" s="51">
        <f>G238/(100-BE238)*100</f>
        <v>0</v>
      </c>
      <c r="BE238" s="51">
        <v>0</v>
      </c>
      <c r="BF238" s="51">
        <f>238</f>
        <v>238</v>
      </c>
      <c r="BH238" s="51">
        <f>F238*AO238</f>
        <v>0</v>
      </c>
      <c r="BI238" s="51">
        <f>F238*AP238</f>
        <v>0</v>
      </c>
      <c r="BJ238" s="51">
        <f>F238*G238</f>
        <v>0</v>
      </c>
      <c r="BK238" s="51"/>
      <c r="BL238" s="51">
        <v>783</v>
      </c>
      <c r="BW238" s="51">
        <v>12</v>
      </c>
      <c r="BX238" s="3" t="s">
        <v>652</v>
      </c>
    </row>
    <row r="239" spans="1:76">
      <c r="A239" s="47" t="s">
        <v>4</v>
      </c>
      <c r="B239" s="48" t="s">
        <v>653</v>
      </c>
      <c r="C239" s="150" t="s">
        <v>654</v>
      </c>
      <c r="D239" s="151"/>
      <c r="E239" s="49" t="s">
        <v>79</v>
      </c>
      <c r="F239" s="49" t="s">
        <v>79</v>
      </c>
      <c r="G239" s="50" t="s">
        <v>79</v>
      </c>
      <c r="H239" s="28">
        <f>SUM(H240:H243)</f>
        <v>0</v>
      </c>
      <c r="J239" s="41"/>
      <c r="AI239" s="35" t="s">
        <v>4</v>
      </c>
      <c r="AS239" s="28">
        <f>SUM(AJ240:AJ243)</f>
        <v>0</v>
      </c>
      <c r="AT239" s="28">
        <f>SUM(AK240:AK243)</f>
        <v>0</v>
      </c>
      <c r="AU239" s="28">
        <f>SUM(AL240:AL243)</f>
        <v>0</v>
      </c>
    </row>
    <row r="240" spans="1:76">
      <c r="A240" s="1" t="s">
        <v>655</v>
      </c>
      <c r="B240" s="2" t="s">
        <v>656</v>
      </c>
      <c r="C240" s="75" t="s">
        <v>657</v>
      </c>
      <c r="D240" s="70"/>
      <c r="E240" s="2" t="s">
        <v>114</v>
      </c>
      <c r="F240" s="51">
        <v>44.962000000000003</v>
      </c>
      <c r="G240" s="52">
        <v>0</v>
      </c>
      <c r="H240" s="51">
        <f>F240*G240</f>
        <v>0</v>
      </c>
      <c r="J240" s="41"/>
      <c r="Z240" s="51">
        <f>IF(AQ240="5",BJ240,0)</f>
        <v>0</v>
      </c>
      <c r="AB240" s="51">
        <f>IF(AQ240="1",BH240,0)</f>
        <v>0</v>
      </c>
      <c r="AC240" s="51">
        <f>IF(AQ240="1",BI240,0)</f>
        <v>0</v>
      </c>
      <c r="AD240" s="51">
        <f>IF(AQ240="7",BH240,0)</f>
        <v>0</v>
      </c>
      <c r="AE240" s="51">
        <f>IF(AQ240="7",BI240,0)</f>
        <v>0</v>
      </c>
      <c r="AF240" s="51">
        <f>IF(AQ240="2",BH240,0)</f>
        <v>0</v>
      </c>
      <c r="AG240" s="51">
        <f>IF(AQ240="2",BI240,0)</f>
        <v>0</v>
      </c>
      <c r="AH240" s="51">
        <f>IF(AQ240="0",BJ240,0)</f>
        <v>0</v>
      </c>
      <c r="AI240" s="35" t="s">
        <v>4</v>
      </c>
      <c r="AJ240" s="51">
        <f>IF(AN240=0,H240,0)</f>
        <v>0</v>
      </c>
      <c r="AK240" s="51">
        <f>IF(AN240=12,H240,0)</f>
        <v>0</v>
      </c>
      <c r="AL240" s="51">
        <f>IF(AN240=21,H240,0)</f>
        <v>0</v>
      </c>
      <c r="AN240" s="51">
        <v>12</v>
      </c>
      <c r="AO240" s="51">
        <f>G240*0.002564102</f>
        <v>0</v>
      </c>
      <c r="AP240" s="51">
        <f>G240*(1-0.002564102)</f>
        <v>0</v>
      </c>
      <c r="AQ240" s="53" t="s">
        <v>151</v>
      </c>
      <c r="AV240" s="51">
        <f>AW240+AX240</f>
        <v>0</v>
      </c>
      <c r="AW240" s="51">
        <f>F240*AO240</f>
        <v>0</v>
      </c>
      <c r="AX240" s="51">
        <f>F240*AP240</f>
        <v>0</v>
      </c>
      <c r="AY240" s="53" t="s">
        <v>658</v>
      </c>
      <c r="AZ240" s="53" t="s">
        <v>612</v>
      </c>
      <c r="BA240" s="35" t="s">
        <v>117</v>
      </c>
      <c r="BC240" s="51">
        <f>AW240+AX240</f>
        <v>0</v>
      </c>
      <c r="BD240" s="51">
        <f>G240/(100-BE240)*100</f>
        <v>0</v>
      </c>
      <c r="BE240" s="51">
        <v>0</v>
      </c>
      <c r="BF240" s="51">
        <f>240</f>
        <v>240</v>
      </c>
      <c r="BH240" s="51">
        <f>F240*AO240</f>
        <v>0</v>
      </c>
      <c r="BI240" s="51">
        <f>F240*AP240</f>
        <v>0</v>
      </c>
      <c r="BJ240" s="51">
        <f>F240*G240</f>
        <v>0</v>
      </c>
      <c r="BK240" s="51"/>
      <c r="BL240" s="51">
        <v>784</v>
      </c>
      <c r="BW240" s="51">
        <v>12</v>
      </c>
      <c r="BX240" s="3" t="s">
        <v>657</v>
      </c>
    </row>
    <row r="241" spans="1:76">
      <c r="A241" s="54"/>
      <c r="C241" s="55" t="s">
        <v>659</v>
      </c>
      <c r="D241" s="56" t="s">
        <v>660</v>
      </c>
      <c r="F241" s="57">
        <v>44.962000000000003</v>
      </c>
      <c r="J241" s="41"/>
    </row>
    <row r="242" spans="1:76">
      <c r="A242" s="1" t="s">
        <v>661</v>
      </c>
      <c r="B242" s="2" t="s">
        <v>662</v>
      </c>
      <c r="C242" s="75" t="s">
        <v>663</v>
      </c>
      <c r="D242" s="70"/>
      <c r="E242" s="2" t="s">
        <v>114</v>
      </c>
      <c r="F242" s="51">
        <v>74</v>
      </c>
      <c r="G242" s="52">
        <v>0</v>
      </c>
      <c r="H242" s="51">
        <f>F242*G242</f>
        <v>0</v>
      </c>
      <c r="J242" s="41"/>
      <c r="Z242" s="51">
        <f>IF(AQ242="5",BJ242,0)</f>
        <v>0</v>
      </c>
      <c r="AB242" s="51">
        <f>IF(AQ242="1",BH242,0)</f>
        <v>0</v>
      </c>
      <c r="AC242" s="51">
        <f>IF(AQ242="1",BI242,0)</f>
        <v>0</v>
      </c>
      <c r="AD242" s="51">
        <f>IF(AQ242="7",BH242,0)</f>
        <v>0</v>
      </c>
      <c r="AE242" s="51">
        <f>IF(AQ242="7",BI242,0)</f>
        <v>0</v>
      </c>
      <c r="AF242" s="51">
        <f>IF(AQ242="2",BH242,0)</f>
        <v>0</v>
      </c>
      <c r="AG242" s="51">
        <f>IF(AQ242="2",BI242,0)</f>
        <v>0</v>
      </c>
      <c r="AH242" s="51">
        <f>IF(AQ242="0",BJ242,0)</f>
        <v>0</v>
      </c>
      <c r="AI242" s="35" t="s">
        <v>4</v>
      </c>
      <c r="AJ242" s="51">
        <f>IF(AN242=0,H242,0)</f>
        <v>0</v>
      </c>
      <c r="AK242" s="51">
        <f>IF(AN242=12,H242,0)</f>
        <v>0</v>
      </c>
      <c r="AL242" s="51">
        <f>IF(AN242=21,H242,0)</f>
        <v>0</v>
      </c>
      <c r="AN242" s="51">
        <v>12</v>
      </c>
      <c r="AO242" s="51">
        <f>G242*0.271311794</f>
        <v>0</v>
      </c>
      <c r="AP242" s="51">
        <f>G242*(1-0.271311794)</f>
        <v>0</v>
      </c>
      <c r="AQ242" s="53" t="s">
        <v>151</v>
      </c>
      <c r="AV242" s="51">
        <f>AW242+AX242</f>
        <v>0</v>
      </c>
      <c r="AW242" s="51">
        <f>F242*AO242</f>
        <v>0</v>
      </c>
      <c r="AX242" s="51">
        <f>F242*AP242</f>
        <v>0</v>
      </c>
      <c r="AY242" s="53" t="s">
        <v>658</v>
      </c>
      <c r="AZ242" s="53" t="s">
        <v>612</v>
      </c>
      <c r="BA242" s="35" t="s">
        <v>117</v>
      </c>
      <c r="BC242" s="51">
        <f>AW242+AX242</f>
        <v>0</v>
      </c>
      <c r="BD242" s="51">
        <f>G242/(100-BE242)*100</f>
        <v>0</v>
      </c>
      <c r="BE242" s="51">
        <v>0</v>
      </c>
      <c r="BF242" s="51">
        <f>242</f>
        <v>242</v>
      </c>
      <c r="BH242" s="51">
        <f>F242*AO242</f>
        <v>0</v>
      </c>
      <c r="BI242" s="51">
        <f>F242*AP242</f>
        <v>0</v>
      </c>
      <c r="BJ242" s="51">
        <f>F242*G242</f>
        <v>0</v>
      </c>
      <c r="BK242" s="51"/>
      <c r="BL242" s="51">
        <v>784</v>
      </c>
      <c r="BW242" s="51">
        <v>12</v>
      </c>
      <c r="BX242" s="3" t="s">
        <v>663</v>
      </c>
    </row>
    <row r="243" spans="1:76">
      <c r="A243" s="1" t="s">
        <v>664</v>
      </c>
      <c r="B243" s="2" t="s">
        <v>665</v>
      </c>
      <c r="C243" s="75" t="s">
        <v>666</v>
      </c>
      <c r="D243" s="70"/>
      <c r="E243" s="2" t="s">
        <v>114</v>
      </c>
      <c r="F243" s="51">
        <v>74</v>
      </c>
      <c r="G243" s="52">
        <v>0</v>
      </c>
      <c r="H243" s="51">
        <f>F243*G243</f>
        <v>0</v>
      </c>
      <c r="J243" s="41"/>
      <c r="Z243" s="51">
        <f>IF(AQ243="5",BJ243,0)</f>
        <v>0</v>
      </c>
      <c r="AB243" s="51">
        <f>IF(AQ243="1",BH243,0)</f>
        <v>0</v>
      </c>
      <c r="AC243" s="51">
        <f>IF(AQ243="1",BI243,0)</f>
        <v>0</v>
      </c>
      <c r="AD243" s="51">
        <f>IF(AQ243="7",BH243,0)</f>
        <v>0</v>
      </c>
      <c r="AE243" s="51">
        <f>IF(AQ243="7",BI243,0)</f>
        <v>0</v>
      </c>
      <c r="AF243" s="51">
        <f>IF(AQ243="2",BH243,0)</f>
        <v>0</v>
      </c>
      <c r="AG243" s="51">
        <f>IF(AQ243="2",BI243,0)</f>
        <v>0</v>
      </c>
      <c r="AH243" s="51">
        <f>IF(AQ243="0",BJ243,0)</f>
        <v>0</v>
      </c>
      <c r="AI243" s="35" t="s">
        <v>4</v>
      </c>
      <c r="AJ243" s="51">
        <f>IF(AN243=0,H243,0)</f>
        <v>0</v>
      </c>
      <c r="AK243" s="51">
        <f>IF(AN243=12,H243,0)</f>
        <v>0</v>
      </c>
      <c r="AL243" s="51">
        <f>IF(AN243=21,H243,0)</f>
        <v>0</v>
      </c>
      <c r="AN243" s="51">
        <v>12</v>
      </c>
      <c r="AO243" s="51">
        <f>G243*0.242142026</f>
        <v>0</v>
      </c>
      <c r="AP243" s="51">
        <f>G243*(1-0.242142026)</f>
        <v>0</v>
      </c>
      <c r="AQ243" s="53" t="s">
        <v>151</v>
      </c>
      <c r="AV243" s="51">
        <f>AW243+AX243</f>
        <v>0</v>
      </c>
      <c r="AW243" s="51">
        <f>F243*AO243</f>
        <v>0</v>
      </c>
      <c r="AX243" s="51">
        <f>F243*AP243</f>
        <v>0</v>
      </c>
      <c r="AY243" s="53" t="s">
        <v>658</v>
      </c>
      <c r="AZ243" s="53" t="s">
        <v>612</v>
      </c>
      <c r="BA243" s="35" t="s">
        <v>117</v>
      </c>
      <c r="BC243" s="51">
        <f>AW243+AX243</f>
        <v>0</v>
      </c>
      <c r="BD243" s="51">
        <f>G243/(100-BE243)*100</f>
        <v>0</v>
      </c>
      <c r="BE243" s="51">
        <v>0</v>
      </c>
      <c r="BF243" s="51">
        <f>243</f>
        <v>243</v>
      </c>
      <c r="BH243" s="51">
        <f>F243*AO243</f>
        <v>0</v>
      </c>
      <c r="BI243" s="51">
        <f>F243*AP243</f>
        <v>0</v>
      </c>
      <c r="BJ243" s="51">
        <f>F243*G243</f>
        <v>0</v>
      </c>
      <c r="BK243" s="51"/>
      <c r="BL243" s="51">
        <v>784</v>
      </c>
      <c r="BW243" s="51">
        <v>12</v>
      </c>
      <c r="BX243" s="3" t="s">
        <v>666</v>
      </c>
    </row>
    <row r="244" spans="1:76">
      <c r="A244" s="47" t="s">
        <v>4</v>
      </c>
      <c r="B244" s="48" t="s">
        <v>667</v>
      </c>
      <c r="C244" s="150" t="s">
        <v>668</v>
      </c>
      <c r="D244" s="151"/>
      <c r="E244" s="49" t="s">
        <v>79</v>
      </c>
      <c r="F244" s="49" t="s">
        <v>79</v>
      </c>
      <c r="G244" s="50" t="s">
        <v>79</v>
      </c>
      <c r="H244" s="28">
        <f>SUM(H245:H248)</f>
        <v>0</v>
      </c>
      <c r="J244" s="41"/>
      <c r="AI244" s="35" t="s">
        <v>4</v>
      </c>
      <c r="AS244" s="28">
        <f>SUM(AJ245:AJ248)</f>
        <v>0</v>
      </c>
      <c r="AT244" s="28">
        <f>SUM(AK245:AK248)</f>
        <v>0</v>
      </c>
      <c r="AU244" s="28">
        <f>SUM(AL245:AL248)</f>
        <v>0</v>
      </c>
    </row>
    <row r="245" spans="1:76">
      <c r="A245" s="1" t="s">
        <v>669</v>
      </c>
      <c r="B245" s="2" t="s">
        <v>670</v>
      </c>
      <c r="C245" s="75" t="s">
        <v>671</v>
      </c>
      <c r="D245" s="70"/>
      <c r="E245" s="2" t="s">
        <v>130</v>
      </c>
      <c r="F245" s="51">
        <v>1</v>
      </c>
      <c r="G245" s="52">
        <v>0</v>
      </c>
      <c r="H245" s="51">
        <f>F245*G245</f>
        <v>0</v>
      </c>
      <c r="J245" s="41"/>
      <c r="Z245" s="51">
        <f>IF(AQ245="5",BJ245,0)</f>
        <v>0</v>
      </c>
      <c r="AB245" s="51">
        <f>IF(AQ245="1",BH245,0)</f>
        <v>0</v>
      </c>
      <c r="AC245" s="51">
        <f>IF(AQ245="1",BI245,0)</f>
        <v>0</v>
      </c>
      <c r="AD245" s="51">
        <f>IF(AQ245="7",BH245,0)</f>
        <v>0</v>
      </c>
      <c r="AE245" s="51">
        <f>IF(AQ245="7",BI245,0)</f>
        <v>0</v>
      </c>
      <c r="AF245" s="51">
        <f>IF(AQ245="2",BH245,0)</f>
        <v>0</v>
      </c>
      <c r="AG245" s="51">
        <f>IF(AQ245="2",BI245,0)</f>
        <v>0</v>
      </c>
      <c r="AH245" s="51">
        <f>IF(AQ245="0",BJ245,0)</f>
        <v>0</v>
      </c>
      <c r="AI245" s="35" t="s">
        <v>4</v>
      </c>
      <c r="AJ245" s="51">
        <f>IF(AN245=0,H245,0)</f>
        <v>0</v>
      </c>
      <c r="AK245" s="51">
        <f>IF(AN245=12,H245,0)</f>
        <v>0</v>
      </c>
      <c r="AL245" s="51">
        <f>IF(AN245=21,H245,0)</f>
        <v>0</v>
      </c>
      <c r="AN245" s="51">
        <v>12</v>
      </c>
      <c r="AO245" s="51">
        <f>G245*0</f>
        <v>0</v>
      </c>
      <c r="AP245" s="51">
        <f>G245*(1-0)</f>
        <v>0</v>
      </c>
      <c r="AQ245" s="53" t="s">
        <v>120</v>
      </c>
      <c r="AV245" s="51">
        <f>AW245+AX245</f>
        <v>0</v>
      </c>
      <c r="AW245" s="51">
        <f>F245*AO245</f>
        <v>0</v>
      </c>
      <c r="AX245" s="51">
        <f>F245*AP245</f>
        <v>0</v>
      </c>
      <c r="AY245" s="53" t="s">
        <v>672</v>
      </c>
      <c r="AZ245" s="53" t="s">
        <v>247</v>
      </c>
      <c r="BA245" s="35" t="s">
        <v>117</v>
      </c>
      <c r="BC245" s="51">
        <f>AW245+AX245</f>
        <v>0</v>
      </c>
      <c r="BD245" s="51">
        <f>G245/(100-BE245)*100</f>
        <v>0</v>
      </c>
      <c r="BE245" s="51">
        <v>0</v>
      </c>
      <c r="BF245" s="51">
        <f>245</f>
        <v>245</v>
      </c>
      <c r="BH245" s="51">
        <f>F245*AO245</f>
        <v>0</v>
      </c>
      <c r="BI245" s="51">
        <f>F245*AP245</f>
        <v>0</v>
      </c>
      <c r="BJ245" s="51">
        <f>F245*G245</f>
        <v>0</v>
      </c>
      <c r="BK245" s="51"/>
      <c r="BL245" s="51"/>
      <c r="BW245" s="51">
        <v>12</v>
      </c>
      <c r="BX245" s="3" t="s">
        <v>671</v>
      </c>
    </row>
    <row r="246" spans="1:76">
      <c r="A246" s="1" t="s">
        <v>673</v>
      </c>
      <c r="B246" s="2" t="s">
        <v>674</v>
      </c>
      <c r="C246" s="75" t="s">
        <v>675</v>
      </c>
      <c r="D246" s="70"/>
      <c r="E246" s="2" t="s">
        <v>130</v>
      </c>
      <c r="F246" s="51">
        <v>1</v>
      </c>
      <c r="G246" s="52">
        <v>0</v>
      </c>
      <c r="H246" s="51">
        <f>F246*G246</f>
        <v>0</v>
      </c>
      <c r="J246" s="41"/>
      <c r="Z246" s="51">
        <f>IF(AQ246="5",BJ246,0)</f>
        <v>0</v>
      </c>
      <c r="AB246" s="51">
        <f>IF(AQ246="1",BH246,0)</f>
        <v>0</v>
      </c>
      <c r="AC246" s="51">
        <f>IF(AQ246="1",BI246,0)</f>
        <v>0</v>
      </c>
      <c r="AD246" s="51">
        <f>IF(AQ246="7",BH246,0)</f>
        <v>0</v>
      </c>
      <c r="AE246" s="51">
        <f>IF(AQ246="7",BI246,0)</f>
        <v>0</v>
      </c>
      <c r="AF246" s="51">
        <f>IF(AQ246="2",BH246,0)</f>
        <v>0</v>
      </c>
      <c r="AG246" s="51">
        <f>IF(AQ246="2",BI246,0)</f>
        <v>0</v>
      </c>
      <c r="AH246" s="51">
        <f>IF(AQ246="0",BJ246,0)</f>
        <v>0</v>
      </c>
      <c r="AI246" s="35" t="s">
        <v>4</v>
      </c>
      <c r="AJ246" s="51">
        <f>IF(AN246=0,H246,0)</f>
        <v>0</v>
      </c>
      <c r="AK246" s="51">
        <f>IF(AN246=12,H246,0)</f>
        <v>0</v>
      </c>
      <c r="AL246" s="51">
        <f>IF(AN246=21,H246,0)</f>
        <v>0</v>
      </c>
      <c r="AN246" s="51">
        <v>12</v>
      </c>
      <c r="AO246" s="51">
        <f>G246*0</f>
        <v>0</v>
      </c>
      <c r="AP246" s="51">
        <f>G246*(1-0)</f>
        <v>0</v>
      </c>
      <c r="AQ246" s="53" t="s">
        <v>120</v>
      </c>
      <c r="AV246" s="51">
        <f>AW246+AX246</f>
        <v>0</v>
      </c>
      <c r="AW246" s="51">
        <f>F246*AO246</f>
        <v>0</v>
      </c>
      <c r="AX246" s="51">
        <f>F246*AP246</f>
        <v>0</v>
      </c>
      <c r="AY246" s="53" t="s">
        <v>672</v>
      </c>
      <c r="AZ246" s="53" t="s">
        <v>247</v>
      </c>
      <c r="BA246" s="35" t="s">
        <v>117</v>
      </c>
      <c r="BC246" s="51">
        <f>AW246+AX246</f>
        <v>0</v>
      </c>
      <c r="BD246" s="51">
        <f>G246/(100-BE246)*100</f>
        <v>0</v>
      </c>
      <c r="BE246" s="51">
        <v>0</v>
      </c>
      <c r="BF246" s="51">
        <f>246</f>
        <v>246</v>
      </c>
      <c r="BH246" s="51">
        <f>F246*AO246</f>
        <v>0</v>
      </c>
      <c r="BI246" s="51">
        <f>F246*AP246</f>
        <v>0</v>
      </c>
      <c r="BJ246" s="51">
        <f>F246*G246</f>
        <v>0</v>
      </c>
      <c r="BK246" s="51"/>
      <c r="BL246" s="51"/>
      <c r="BW246" s="51">
        <v>12</v>
      </c>
      <c r="BX246" s="3" t="s">
        <v>675</v>
      </c>
    </row>
    <row r="247" spans="1:76">
      <c r="A247" s="1" t="s">
        <v>676</v>
      </c>
      <c r="B247" s="2" t="s">
        <v>677</v>
      </c>
      <c r="C247" s="75" t="s">
        <v>678</v>
      </c>
      <c r="D247" s="70"/>
      <c r="E247" s="2" t="s">
        <v>425</v>
      </c>
      <c r="F247" s="51">
        <v>1</v>
      </c>
      <c r="G247" s="52">
        <v>0</v>
      </c>
      <c r="H247" s="51">
        <f>F247*G247</f>
        <v>0</v>
      </c>
      <c r="J247" s="41"/>
      <c r="Z247" s="51">
        <f>IF(AQ247="5",BJ247,0)</f>
        <v>0</v>
      </c>
      <c r="AB247" s="51">
        <f>IF(AQ247="1",BH247,0)</f>
        <v>0</v>
      </c>
      <c r="AC247" s="51">
        <f>IF(AQ247="1",BI247,0)</f>
        <v>0</v>
      </c>
      <c r="AD247" s="51">
        <f>IF(AQ247="7",BH247,0)</f>
        <v>0</v>
      </c>
      <c r="AE247" s="51">
        <f>IF(AQ247="7",BI247,0)</f>
        <v>0</v>
      </c>
      <c r="AF247" s="51">
        <f>IF(AQ247="2",BH247,0)</f>
        <v>0</v>
      </c>
      <c r="AG247" s="51">
        <f>IF(AQ247="2",BI247,0)</f>
        <v>0</v>
      </c>
      <c r="AH247" s="51">
        <f>IF(AQ247="0",BJ247,0)</f>
        <v>0</v>
      </c>
      <c r="AI247" s="35" t="s">
        <v>4</v>
      </c>
      <c r="AJ247" s="51">
        <f>IF(AN247=0,H247,0)</f>
        <v>0</v>
      </c>
      <c r="AK247" s="51">
        <f>IF(AN247=12,H247,0)</f>
        <v>0</v>
      </c>
      <c r="AL247" s="51">
        <f>IF(AN247=21,H247,0)</f>
        <v>0</v>
      </c>
      <c r="AN247" s="51">
        <v>12</v>
      </c>
      <c r="AO247" s="51">
        <f>G247*0</f>
        <v>0</v>
      </c>
      <c r="AP247" s="51">
        <f>G247*(1-0)</f>
        <v>0</v>
      </c>
      <c r="AQ247" s="53" t="s">
        <v>120</v>
      </c>
      <c r="AV247" s="51">
        <f>AW247+AX247</f>
        <v>0</v>
      </c>
      <c r="AW247" s="51">
        <f>F247*AO247</f>
        <v>0</v>
      </c>
      <c r="AX247" s="51">
        <f>F247*AP247</f>
        <v>0</v>
      </c>
      <c r="AY247" s="53" t="s">
        <v>672</v>
      </c>
      <c r="AZ247" s="53" t="s">
        <v>247</v>
      </c>
      <c r="BA247" s="35" t="s">
        <v>117</v>
      </c>
      <c r="BC247" s="51">
        <f>AW247+AX247</f>
        <v>0</v>
      </c>
      <c r="BD247" s="51">
        <f>G247/(100-BE247)*100</f>
        <v>0</v>
      </c>
      <c r="BE247" s="51">
        <v>0</v>
      </c>
      <c r="BF247" s="51">
        <f>247</f>
        <v>247</v>
      </c>
      <c r="BH247" s="51">
        <f>F247*AO247</f>
        <v>0</v>
      </c>
      <c r="BI247" s="51">
        <f>F247*AP247</f>
        <v>0</v>
      </c>
      <c r="BJ247" s="51">
        <f>F247*G247</f>
        <v>0</v>
      </c>
      <c r="BK247" s="51"/>
      <c r="BL247" s="51"/>
      <c r="BW247" s="51">
        <v>12</v>
      </c>
      <c r="BX247" s="3" t="s">
        <v>678</v>
      </c>
    </row>
    <row r="248" spans="1:76">
      <c r="A248" s="1" t="s">
        <v>679</v>
      </c>
      <c r="B248" s="2" t="s">
        <v>680</v>
      </c>
      <c r="C248" s="75" t="s">
        <v>681</v>
      </c>
      <c r="D248" s="70"/>
      <c r="E248" s="2" t="s">
        <v>425</v>
      </c>
      <c r="F248" s="51">
        <v>1</v>
      </c>
      <c r="G248" s="52">
        <v>0</v>
      </c>
      <c r="H248" s="51">
        <f>F248*G248</f>
        <v>0</v>
      </c>
      <c r="J248" s="41"/>
      <c r="Z248" s="51">
        <f>IF(AQ248="5",BJ248,0)</f>
        <v>0</v>
      </c>
      <c r="AB248" s="51">
        <f>IF(AQ248="1",BH248,0)</f>
        <v>0</v>
      </c>
      <c r="AC248" s="51">
        <f>IF(AQ248="1",BI248,0)</f>
        <v>0</v>
      </c>
      <c r="AD248" s="51">
        <f>IF(AQ248="7",BH248,0)</f>
        <v>0</v>
      </c>
      <c r="AE248" s="51">
        <f>IF(AQ248="7",BI248,0)</f>
        <v>0</v>
      </c>
      <c r="AF248" s="51">
        <f>IF(AQ248="2",BH248,0)</f>
        <v>0</v>
      </c>
      <c r="AG248" s="51">
        <f>IF(AQ248="2",BI248,0)</f>
        <v>0</v>
      </c>
      <c r="AH248" s="51">
        <f>IF(AQ248="0",BJ248,0)</f>
        <v>0</v>
      </c>
      <c r="AI248" s="35" t="s">
        <v>4</v>
      </c>
      <c r="AJ248" s="51">
        <f>IF(AN248=0,H248,0)</f>
        <v>0</v>
      </c>
      <c r="AK248" s="51">
        <f>IF(AN248=12,H248,0)</f>
        <v>0</v>
      </c>
      <c r="AL248" s="51">
        <f>IF(AN248=21,H248,0)</f>
        <v>0</v>
      </c>
      <c r="AN248" s="51">
        <v>12</v>
      </c>
      <c r="AO248" s="51">
        <f>G248*0</f>
        <v>0</v>
      </c>
      <c r="AP248" s="51">
        <f>G248*(1-0)</f>
        <v>0</v>
      </c>
      <c r="AQ248" s="53" t="s">
        <v>120</v>
      </c>
      <c r="AV248" s="51">
        <f>AW248+AX248</f>
        <v>0</v>
      </c>
      <c r="AW248" s="51">
        <f>F248*AO248</f>
        <v>0</v>
      </c>
      <c r="AX248" s="51">
        <f>F248*AP248</f>
        <v>0</v>
      </c>
      <c r="AY248" s="53" t="s">
        <v>672</v>
      </c>
      <c r="AZ248" s="53" t="s">
        <v>247</v>
      </c>
      <c r="BA248" s="35" t="s">
        <v>117</v>
      </c>
      <c r="BC248" s="51">
        <f>AW248+AX248</f>
        <v>0</v>
      </c>
      <c r="BD248" s="51">
        <f>G248/(100-BE248)*100</f>
        <v>0</v>
      </c>
      <c r="BE248" s="51">
        <v>0</v>
      </c>
      <c r="BF248" s="51">
        <f>248</f>
        <v>248</v>
      </c>
      <c r="BH248" s="51">
        <f>F248*AO248</f>
        <v>0</v>
      </c>
      <c r="BI248" s="51">
        <f>F248*AP248</f>
        <v>0</v>
      </c>
      <c r="BJ248" s="51">
        <f>F248*G248</f>
        <v>0</v>
      </c>
      <c r="BK248" s="51"/>
      <c r="BL248" s="51"/>
      <c r="BW248" s="51">
        <v>12</v>
      </c>
      <c r="BX248" s="3" t="s">
        <v>681</v>
      </c>
    </row>
    <row r="249" spans="1:76">
      <c r="A249" s="47" t="s">
        <v>4</v>
      </c>
      <c r="B249" s="48" t="s">
        <v>682</v>
      </c>
      <c r="C249" s="150" t="s">
        <v>57</v>
      </c>
      <c r="D249" s="151"/>
      <c r="E249" s="49" t="s">
        <v>79</v>
      </c>
      <c r="F249" s="49" t="s">
        <v>79</v>
      </c>
      <c r="G249" s="50" t="s">
        <v>79</v>
      </c>
      <c r="H249" s="28">
        <f>H250+H252</f>
        <v>0</v>
      </c>
      <c r="J249" s="41"/>
      <c r="AI249" s="35" t="s">
        <v>4</v>
      </c>
    </row>
    <row r="250" spans="1:76">
      <c r="A250" s="47" t="s">
        <v>4</v>
      </c>
      <c r="B250" s="48" t="s">
        <v>683</v>
      </c>
      <c r="C250" s="150" t="s">
        <v>25</v>
      </c>
      <c r="D250" s="151"/>
      <c r="E250" s="49" t="s">
        <v>79</v>
      </c>
      <c r="F250" s="49" t="s">
        <v>79</v>
      </c>
      <c r="G250" s="50" t="s">
        <v>79</v>
      </c>
      <c r="H250" s="28">
        <f>SUM(H251:H251)</f>
        <v>0</v>
      </c>
      <c r="J250" s="41"/>
      <c r="AI250" s="35" t="s">
        <v>4</v>
      </c>
      <c r="AS250" s="28">
        <f>SUM(AJ251:AJ251)</f>
        <v>0</v>
      </c>
      <c r="AT250" s="28">
        <f>SUM(AK251:AK251)</f>
        <v>0</v>
      </c>
      <c r="AU250" s="28">
        <f>SUM(AL251:AL251)</f>
        <v>0</v>
      </c>
    </row>
    <row r="251" spans="1:76">
      <c r="A251" s="1" t="s">
        <v>684</v>
      </c>
      <c r="B251" s="2" t="s">
        <v>685</v>
      </c>
      <c r="C251" s="75" t="s">
        <v>25</v>
      </c>
      <c r="D251" s="70"/>
      <c r="E251" s="2" t="s">
        <v>686</v>
      </c>
      <c r="F251" s="51">
        <v>1</v>
      </c>
      <c r="G251" s="52">
        <v>0</v>
      </c>
      <c r="H251" s="51">
        <f>F251*G251</f>
        <v>0</v>
      </c>
      <c r="J251" s="41"/>
      <c r="Z251" s="51">
        <f>IF(AQ251="5",BJ251,0)</f>
        <v>0</v>
      </c>
      <c r="AB251" s="51">
        <f>IF(AQ251="1",BH251,0)</f>
        <v>0</v>
      </c>
      <c r="AC251" s="51">
        <f>IF(AQ251="1",BI251,0)</f>
        <v>0</v>
      </c>
      <c r="AD251" s="51">
        <f>IF(AQ251="7",BH251,0)</f>
        <v>0</v>
      </c>
      <c r="AE251" s="51">
        <f>IF(AQ251="7",BI251,0)</f>
        <v>0</v>
      </c>
      <c r="AF251" s="51">
        <f>IF(AQ251="2",BH251,0)</f>
        <v>0</v>
      </c>
      <c r="AG251" s="51">
        <f>IF(AQ251="2",BI251,0)</f>
        <v>0</v>
      </c>
      <c r="AH251" s="51">
        <f>IF(AQ251="0",BJ251,0)</f>
        <v>0</v>
      </c>
      <c r="AI251" s="35" t="s">
        <v>4</v>
      </c>
      <c r="AJ251" s="51">
        <f>IF(AN251=0,H251,0)</f>
        <v>0</v>
      </c>
      <c r="AK251" s="51">
        <f>IF(AN251=12,H251,0)</f>
        <v>0</v>
      </c>
      <c r="AL251" s="51">
        <f>IF(AN251=21,H251,0)</f>
        <v>0</v>
      </c>
      <c r="AN251" s="51">
        <v>12</v>
      </c>
      <c r="AO251" s="51">
        <f>G251*0</f>
        <v>0</v>
      </c>
      <c r="AP251" s="51">
        <f>G251*(1-0)</f>
        <v>0</v>
      </c>
      <c r="AQ251" s="53" t="s">
        <v>318</v>
      </c>
      <c r="AV251" s="51">
        <f>AW251+AX251</f>
        <v>0</v>
      </c>
      <c r="AW251" s="51">
        <f>F251*AO251</f>
        <v>0</v>
      </c>
      <c r="AX251" s="51">
        <f>F251*AP251</f>
        <v>0</v>
      </c>
      <c r="AY251" s="53" t="s">
        <v>687</v>
      </c>
      <c r="AZ251" s="53" t="s">
        <v>688</v>
      </c>
      <c r="BA251" s="35" t="s">
        <v>117</v>
      </c>
      <c r="BC251" s="51">
        <f>AW251+AX251</f>
        <v>0</v>
      </c>
      <c r="BD251" s="51">
        <f>G251/(100-BE251)*100</f>
        <v>0</v>
      </c>
      <c r="BE251" s="51">
        <v>0</v>
      </c>
      <c r="BF251" s="51">
        <f>251</f>
        <v>251</v>
      </c>
      <c r="BH251" s="51">
        <f>F251*AO251</f>
        <v>0</v>
      </c>
      <c r="BI251" s="51">
        <f>F251*AP251</f>
        <v>0</v>
      </c>
      <c r="BJ251" s="51">
        <f>F251*G251</f>
        <v>0</v>
      </c>
      <c r="BK251" s="51"/>
      <c r="BL251" s="51"/>
      <c r="BO251" s="51">
        <f>F251*G251</f>
        <v>0</v>
      </c>
      <c r="BW251" s="51">
        <v>12</v>
      </c>
      <c r="BX251" s="3" t="s">
        <v>25</v>
      </c>
    </row>
    <row r="252" spans="1:76">
      <c r="A252" s="47" t="s">
        <v>4</v>
      </c>
      <c r="B252" s="48" t="s">
        <v>689</v>
      </c>
      <c r="C252" s="150" t="s">
        <v>31</v>
      </c>
      <c r="D252" s="151"/>
      <c r="E252" s="49" t="s">
        <v>79</v>
      </c>
      <c r="F252" s="49" t="s">
        <v>79</v>
      </c>
      <c r="G252" s="50" t="s">
        <v>79</v>
      </c>
      <c r="H252" s="28">
        <f>SUM(H253:H253)</f>
        <v>0</v>
      </c>
      <c r="J252" s="41"/>
      <c r="AI252" s="35" t="s">
        <v>4</v>
      </c>
      <c r="AS252" s="28">
        <f>SUM(AJ253:AJ253)</f>
        <v>0</v>
      </c>
      <c r="AT252" s="28">
        <f>SUM(AK253:AK253)</f>
        <v>0</v>
      </c>
      <c r="AU252" s="28">
        <f>SUM(AL253:AL253)</f>
        <v>0</v>
      </c>
    </row>
    <row r="253" spans="1:76">
      <c r="A253" s="4" t="s">
        <v>690</v>
      </c>
      <c r="B253" s="5" t="s">
        <v>691</v>
      </c>
      <c r="C253" s="156" t="s">
        <v>692</v>
      </c>
      <c r="D253" s="73"/>
      <c r="E253" s="5" t="s">
        <v>686</v>
      </c>
      <c r="F253" s="59">
        <v>1</v>
      </c>
      <c r="G253" s="60">
        <v>0</v>
      </c>
      <c r="H253" s="59">
        <f>F253*G253</f>
        <v>0</v>
      </c>
      <c r="I253" s="61"/>
      <c r="J253" s="62"/>
      <c r="Z253" s="51">
        <f>IF(AQ253="5",BJ253,0)</f>
        <v>0</v>
      </c>
      <c r="AB253" s="51">
        <f>IF(AQ253="1",BH253,0)</f>
        <v>0</v>
      </c>
      <c r="AC253" s="51">
        <f>IF(AQ253="1",BI253,0)</f>
        <v>0</v>
      </c>
      <c r="AD253" s="51">
        <f>IF(AQ253="7",BH253,0)</f>
        <v>0</v>
      </c>
      <c r="AE253" s="51">
        <f>IF(AQ253="7",BI253,0)</f>
        <v>0</v>
      </c>
      <c r="AF253" s="51">
        <f>IF(AQ253="2",BH253,0)</f>
        <v>0</v>
      </c>
      <c r="AG253" s="51">
        <f>IF(AQ253="2",BI253,0)</f>
        <v>0</v>
      </c>
      <c r="AH253" s="51">
        <f>IF(AQ253="0",BJ253,0)</f>
        <v>0</v>
      </c>
      <c r="AI253" s="35" t="s">
        <v>4</v>
      </c>
      <c r="AJ253" s="51">
        <f>IF(AN253=0,H253,0)</f>
        <v>0</v>
      </c>
      <c r="AK253" s="51">
        <f>IF(AN253=12,H253,0)</f>
        <v>0</v>
      </c>
      <c r="AL253" s="51">
        <f>IF(AN253=21,H253,0)</f>
        <v>0</v>
      </c>
      <c r="AN253" s="51">
        <v>12</v>
      </c>
      <c r="AO253" s="51">
        <f>G253*0</f>
        <v>0</v>
      </c>
      <c r="AP253" s="51">
        <f>G253*(1-0)</f>
        <v>0</v>
      </c>
      <c r="AQ253" s="53" t="s">
        <v>318</v>
      </c>
      <c r="AV253" s="51">
        <f>AW253+AX253</f>
        <v>0</v>
      </c>
      <c r="AW253" s="51">
        <f>F253*AO253</f>
        <v>0</v>
      </c>
      <c r="AX253" s="51">
        <f>F253*AP253</f>
        <v>0</v>
      </c>
      <c r="AY253" s="53" t="s">
        <v>693</v>
      </c>
      <c r="AZ253" s="53" t="s">
        <v>688</v>
      </c>
      <c r="BA253" s="35" t="s">
        <v>117</v>
      </c>
      <c r="BC253" s="51">
        <f>AW253+AX253</f>
        <v>0</v>
      </c>
      <c r="BD253" s="51">
        <f>G253/(100-BE253)*100</f>
        <v>0</v>
      </c>
      <c r="BE253" s="51">
        <v>0</v>
      </c>
      <c r="BF253" s="51">
        <f>253</f>
        <v>253</v>
      </c>
      <c r="BH253" s="51">
        <f>F253*AO253</f>
        <v>0</v>
      </c>
      <c r="BI253" s="51">
        <f>F253*AP253</f>
        <v>0</v>
      </c>
      <c r="BJ253" s="51">
        <f>F253*G253</f>
        <v>0</v>
      </c>
      <c r="BK253" s="51"/>
      <c r="BL253" s="51"/>
      <c r="BR253" s="51">
        <f>F253*G253</f>
        <v>0</v>
      </c>
      <c r="BW253" s="51">
        <v>12</v>
      </c>
      <c r="BX253" s="3" t="s">
        <v>692</v>
      </c>
    </row>
    <row r="254" spans="1:76">
      <c r="H254" s="63">
        <f>H13+H26+H60+H67+H75+H84+H109+H111+H123+H134+H147+H167+H171+H173+H189+H202+H219+H233+H239+H244+H250+H252</f>
        <v>0</v>
      </c>
    </row>
    <row r="255" spans="1:76">
      <c r="A255" s="64" t="s">
        <v>56</v>
      </c>
    </row>
    <row r="256" spans="1:76" ht="12.75" customHeight="1">
      <c r="A256" s="75" t="s">
        <v>4</v>
      </c>
      <c r="B256" s="70"/>
      <c r="C256" s="70"/>
      <c r="D256" s="70"/>
      <c r="E256" s="70"/>
      <c r="F256" s="70"/>
      <c r="G256" s="70"/>
      <c r="H256" s="70"/>
      <c r="I256" s="70"/>
      <c r="J256" s="70"/>
    </row>
  </sheetData>
  <sheetProtection password="CF7A" sheet="1"/>
  <mergeCells count="204">
    <mergeCell ref="C252:D252"/>
    <mergeCell ref="C253:D253"/>
    <mergeCell ref="A256:J256"/>
    <mergeCell ref="C247:D247"/>
    <mergeCell ref="C248:D248"/>
    <mergeCell ref="C249:D249"/>
    <mergeCell ref="C250:D250"/>
    <mergeCell ref="C251:D251"/>
    <mergeCell ref="C242:D242"/>
    <mergeCell ref="C243:D243"/>
    <mergeCell ref="C244:D244"/>
    <mergeCell ref="C245:D245"/>
    <mergeCell ref="C246:D246"/>
    <mergeCell ref="C236:D236"/>
    <mergeCell ref="C237:D237"/>
    <mergeCell ref="C238:D238"/>
    <mergeCell ref="C239:D239"/>
    <mergeCell ref="C240:D240"/>
    <mergeCell ref="C231:J231"/>
    <mergeCell ref="C232:D232"/>
    <mergeCell ref="C233:D233"/>
    <mergeCell ref="C234:D234"/>
    <mergeCell ref="C235:J235"/>
    <mergeCell ref="C224:D224"/>
    <mergeCell ref="C225:D225"/>
    <mergeCell ref="C227:D227"/>
    <mergeCell ref="C228:D228"/>
    <mergeCell ref="C230:D230"/>
    <mergeCell ref="C215:D215"/>
    <mergeCell ref="C217:D217"/>
    <mergeCell ref="C218:D218"/>
    <mergeCell ref="C219:D219"/>
    <mergeCell ref="C220:D220"/>
    <mergeCell ref="C203:D203"/>
    <mergeCell ref="C206:D206"/>
    <mergeCell ref="C209:D209"/>
    <mergeCell ref="C210:J210"/>
    <mergeCell ref="C213:D213"/>
    <mergeCell ref="C194:D194"/>
    <mergeCell ref="C195:D195"/>
    <mergeCell ref="C197:D197"/>
    <mergeCell ref="C201:D201"/>
    <mergeCell ref="C202:D202"/>
    <mergeCell ref="C188:D188"/>
    <mergeCell ref="C189:D189"/>
    <mergeCell ref="C190:D190"/>
    <mergeCell ref="C191:D191"/>
    <mergeCell ref="C193:D193"/>
    <mergeCell ref="C183:D183"/>
    <mergeCell ref="C184:D184"/>
    <mergeCell ref="C185:D185"/>
    <mergeCell ref="C186:D186"/>
    <mergeCell ref="C187:D187"/>
    <mergeCell ref="C177:D177"/>
    <mergeCell ref="C178:D178"/>
    <mergeCell ref="C180:D180"/>
    <mergeCell ref="C181:D181"/>
    <mergeCell ref="C182:D182"/>
    <mergeCell ref="C172:D172"/>
    <mergeCell ref="C173:D173"/>
    <mergeCell ref="C174:D174"/>
    <mergeCell ref="C175:D175"/>
    <mergeCell ref="C176:D176"/>
    <mergeCell ref="C167:D167"/>
    <mergeCell ref="C168:D168"/>
    <mergeCell ref="C169:D169"/>
    <mergeCell ref="C170:D170"/>
    <mergeCell ref="C171:D171"/>
    <mergeCell ref="C162:D162"/>
    <mergeCell ref="C163:D163"/>
    <mergeCell ref="C164:D164"/>
    <mergeCell ref="C165:D165"/>
    <mergeCell ref="C166:D166"/>
    <mergeCell ref="C157:D157"/>
    <mergeCell ref="C158:D158"/>
    <mergeCell ref="C159:D159"/>
    <mergeCell ref="C160:D160"/>
    <mergeCell ref="C161:D161"/>
    <mergeCell ref="C152:D152"/>
    <mergeCell ref="C153:D153"/>
    <mergeCell ref="C154:D154"/>
    <mergeCell ref="C155:J155"/>
    <mergeCell ref="C156:D156"/>
    <mergeCell ref="C147:D147"/>
    <mergeCell ref="C148:D148"/>
    <mergeCell ref="C149:D149"/>
    <mergeCell ref="C150:D150"/>
    <mergeCell ref="C151:D151"/>
    <mergeCell ref="C142:J142"/>
    <mergeCell ref="C143:D143"/>
    <mergeCell ref="C144:D144"/>
    <mergeCell ref="C145:D145"/>
    <mergeCell ref="C146:D146"/>
    <mergeCell ref="C137:D137"/>
    <mergeCell ref="C138:D138"/>
    <mergeCell ref="C139:D139"/>
    <mergeCell ref="C140:D140"/>
    <mergeCell ref="C141:D141"/>
    <mergeCell ref="C132:D132"/>
    <mergeCell ref="C133:D133"/>
    <mergeCell ref="C134:D134"/>
    <mergeCell ref="C135:D135"/>
    <mergeCell ref="C136:D136"/>
    <mergeCell ref="C127:D127"/>
    <mergeCell ref="C128:D128"/>
    <mergeCell ref="C129:D129"/>
    <mergeCell ref="C130:D130"/>
    <mergeCell ref="C131:D131"/>
    <mergeCell ref="C122:D122"/>
    <mergeCell ref="C123:D123"/>
    <mergeCell ref="C124:D124"/>
    <mergeCell ref="C125:D125"/>
    <mergeCell ref="C126:D126"/>
    <mergeCell ref="C112:D112"/>
    <mergeCell ref="C113:D113"/>
    <mergeCell ref="C114:J114"/>
    <mergeCell ref="C118:D118"/>
    <mergeCell ref="C119:J119"/>
    <mergeCell ref="C104:D104"/>
    <mergeCell ref="C106:D106"/>
    <mergeCell ref="C109:D109"/>
    <mergeCell ref="C110:D110"/>
    <mergeCell ref="C111:D111"/>
    <mergeCell ref="C96:D96"/>
    <mergeCell ref="C98:D98"/>
    <mergeCell ref="C99:D99"/>
    <mergeCell ref="C101:D101"/>
    <mergeCell ref="C102:D102"/>
    <mergeCell ref="C88:D88"/>
    <mergeCell ref="C90:D90"/>
    <mergeCell ref="C92:D92"/>
    <mergeCell ref="C93:D93"/>
    <mergeCell ref="C95:D95"/>
    <mergeCell ref="C79:D79"/>
    <mergeCell ref="C81:D81"/>
    <mergeCell ref="C82:D82"/>
    <mergeCell ref="C84:D84"/>
    <mergeCell ref="C85:D85"/>
    <mergeCell ref="C74:D74"/>
    <mergeCell ref="C75:D75"/>
    <mergeCell ref="C76:D76"/>
    <mergeCell ref="C77:J77"/>
    <mergeCell ref="C78:D78"/>
    <mergeCell ref="C68:D68"/>
    <mergeCell ref="C69:J69"/>
    <mergeCell ref="C70:D70"/>
    <mergeCell ref="C71:J71"/>
    <mergeCell ref="C72:D72"/>
    <mergeCell ref="C61:D61"/>
    <mergeCell ref="C63:D63"/>
    <mergeCell ref="C64:J64"/>
    <mergeCell ref="C66:D66"/>
    <mergeCell ref="C67:D67"/>
    <mergeCell ref="C48:J48"/>
    <mergeCell ref="C53:D53"/>
    <mergeCell ref="C55:D55"/>
    <mergeCell ref="C56:J56"/>
    <mergeCell ref="C60:D60"/>
    <mergeCell ref="C38:D38"/>
    <mergeCell ref="C40:D40"/>
    <mergeCell ref="C44:D44"/>
    <mergeCell ref="C45:J45"/>
    <mergeCell ref="C47:D47"/>
    <mergeCell ref="C27:D27"/>
    <mergeCell ref="C29:D29"/>
    <mergeCell ref="C31:D31"/>
    <mergeCell ref="C32:D32"/>
    <mergeCell ref="C33:D33"/>
    <mergeCell ref="C19:D19"/>
    <mergeCell ref="C20:J20"/>
    <mergeCell ref="C21:D21"/>
    <mergeCell ref="C24:D24"/>
    <mergeCell ref="C26:D26"/>
    <mergeCell ref="C11:D11"/>
    <mergeCell ref="C12:D12"/>
    <mergeCell ref="C13:D13"/>
    <mergeCell ref="C14:D14"/>
    <mergeCell ref="C16:D16"/>
    <mergeCell ref="I2:J3"/>
    <mergeCell ref="I4:J5"/>
    <mergeCell ref="I6:J7"/>
    <mergeCell ref="I8:J9"/>
    <mergeCell ref="C10:D10"/>
    <mergeCell ref="C8:D9"/>
    <mergeCell ref="G2:G3"/>
    <mergeCell ref="G4:G5"/>
    <mergeCell ref="G6:G7"/>
    <mergeCell ref="G8:G9"/>
    <mergeCell ref="A1:J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Franta</cp:lastModifiedBy>
  <dcterms:created xsi:type="dcterms:W3CDTF">2021-06-10T20:06:38Z</dcterms:created>
  <dcterms:modified xsi:type="dcterms:W3CDTF">2025-02-11T14:58:41Z</dcterms:modified>
</cp:coreProperties>
</file>