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VORN!$I$45</definedName>
  </definedNames>
  <calcPr calcId="124519"/>
</workbook>
</file>

<file path=xl/calcChain.xml><?xml version="1.0" encoding="utf-8"?>
<calcChain xmlns="http://schemas.openxmlformats.org/spreadsheetml/2006/main">
  <c r="BR248" i="3"/>
  <c r="BJ248"/>
  <c r="BF248"/>
  <c r="BD248"/>
  <c r="AX248"/>
  <c r="AP248"/>
  <c r="BI248" s="1"/>
  <c r="AO248"/>
  <c r="AW248" s="1"/>
  <c r="AL248"/>
  <c r="AJ248"/>
  <c r="AH248"/>
  <c r="AG248"/>
  <c r="AF248"/>
  <c r="AE248"/>
  <c r="AD248"/>
  <c r="AC248"/>
  <c r="AB248"/>
  <c r="Z248"/>
  <c r="H248"/>
  <c r="AK248" s="1"/>
  <c r="AT247" s="1"/>
  <c r="AU247"/>
  <c r="AS247"/>
  <c r="BO246"/>
  <c r="BJ246"/>
  <c r="BH246"/>
  <c r="BF246"/>
  <c r="BD246"/>
  <c r="AX246"/>
  <c r="AP246"/>
  <c r="BI246" s="1"/>
  <c r="AO246"/>
  <c r="AW246" s="1"/>
  <c r="AL246"/>
  <c r="AJ246"/>
  <c r="AH246"/>
  <c r="AG246"/>
  <c r="AF246"/>
  <c r="AE246"/>
  <c r="AD246"/>
  <c r="AC246"/>
  <c r="AB246"/>
  <c r="Z246"/>
  <c r="H246"/>
  <c r="AK246" s="1"/>
  <c r="AT245" s="1"/>
  <c r="AU245"/>
  <c r="AS245"/>
  <c r="H245"/>
  <c r="BJ243"/>
  <c r="BH243"/>
  <c r="AF243" s="1"/>
  <c r="BF243"/>
  <c r="BD243"/>
  <c r="AX243"/>
  <c r="AP243"/>
  <c r="BI243" s="1"/>
  <c r="AG243" s="1"/>
  <c r="AO243"/>
  <c r="AW243" s="1"/>
  <c r="AL243"/>
  <c r="AJ243"/>
  <c r="AH243"/>
  <c r="AE243"/>
  <c r="AD243"/>
  <c r="AC243"/>
  <c r="AB243"/>
  <c r="Z243"/>
  <c r="H243"/>
  <c r="AK243" s="1"/>
  <c r="BJ242"/>
  <c r="BF242"/>
  <c r="BD242"/>
  <c r="AW242"/>
  <c r="AP242"/>
  <c r="AX242" s="1"/>
  <c r="AO242"/>
  <c r="BH242" s="1"/>
  <c r="AF242" s="1"/>
  <c r="AL242"/>
  <c r="AU238" s="1"/>
  <c r="AJ242"/>
  <c r="AH242"/>
  <c r="AE242"/>
  <c r="AD242"/>
  <c r="AC242"/>
  <c r="AB242"/>
  <c r="Z242"/>
  <c r="H242"/>
  <c r="AK242" s="1"/>
  <c r="BJ241"/>
  <c r="BF241"/>
  <c r="BD241"/>
  <c r="AW241"/>
  <c r="BC241" s="1"/>
  <c r="AV241"/>
  <c r="AP241"/>
  <c r="AX241" s="1"/>
  <c r="AO241"/>
  <c r="BH241" s="1"/>
  <c r="AL241"/>
  <c r="AK241"/>
  <c r="AJ241"/>
  <c r="AH241"/>
  <c r="AF241"/>
  <c r="AE241"/>
  <c r="AD241"/>
  <c r="AC241"/>
  <c r="AB241"/>
  <c r="Z241"/>
  <c r="H241"/>
  <c r="BJ240"/>
  <c r="BF240"/>
  <c r="BD240"/>
  <c r="AP240"/>
  <c r="AX240" s="1"/>
  <c r="AO240"/>
  <c r="AW240" s="1"/>
  <c r="AL240"/>
  <c r="AK240"/>
  <c r="AJ240"/>
  <c r="AS238" s="1"/>
  <c r="AH240"/>
  <c r="AE240"/>
  <c r="AD240"/>
  <c r="AC240"/>
  <c r="AB240"/>
  <c r="Z240"/>
  <c r="H240"/>
  <c r="BJ239"/>
  <c r="BH239"/>
  <c r="AF239" s="1"/>
  <c r="BF239"/>
  <c r="BD239"/>
  <c r="AX239"/>
  <c r="AP239"/>
  <c r="BI239" s="1"/>
  <c r="AG239" s="1"/>
  <c r="AO239"/>
  <c r="AW239" s="1"/>
  <c r="AL239"/>
  <c r="AJ239"/>
  <c r="AH239"/>
  <c r="AE239"/>
  <c r="AD239"/>
  <c r="AC239"/>
  <c r="AB239"/>
  <c r="Z239"/>
  <c r="H239"/>
  <c r="AK239" s="1"/>
  <c r="H238"/>
  <c r="BJ236"/>
  <c r="BF236"/>
  <c r="BD236"/>
  <c r="AX236"/>
  <c r="AW236"/>
  <c r="AP236"/>
  <c r="BI236" s="1"/>
  <c r="AE236" s="1"/>
  <c r="AO236"/>
  <c r="BH236" s="1"/>
  <c r="AD236" s="1"/>
  <c r="AL236"/>
  <c r="AU226" s="1"/>
  <c r="AJ236"/>
  <c r="AH236"/>
  <c r="AG236"/>
  <c r="AF236"/>
  <c r="AC236"/>
  <c r="AB236"/>
  <c r="Z236"/>
  <c r="H236"/>
  <c r="AK236" s="1"/>
  <c r="BJ235"/>
  <c r="BF235"/>
  <c r="BD235"/>
  <c r="AW235"/>
  <c r="BC235" s="1"/>
  <c r="AV235"/>
  <c r="AP235"/>
  <c r="AX235" s="1"/>
  <c r="AO235"/>
  <c r="BH235" s="1"/>
  <c r="AD235" s="1"/>
  <c r="AL235"/>
  <c r="AK235"/>
  <c r="AJ235"/>
  <c r="AH235"/>
  <c r="AG235"/>
  <c r="AF235"/>
  <c r="AC235"/>
  <c r="AB235"/>
  <c r="Z235"/>
  <c r="H235"/>
  <c r="BJ227"/>
  <c r="BF227"/>
  <c r="BD227"/>
  <c r="AP227"/>
  <c r="AX227" s="1"/>
  <c r="AO227"/>
  <c r="AW227" s="1"/>
  <c r="AV227" s="1"/>
  <c r="AL227"/>
  <c r="AK227"/>
  <c r="AJ227"/>
  <c r="AH227"/>
  <c r="AG227"/>
  <c r="AF227"/>
  <c r="AC227"/>
  <c r="AB227"/>
  <c r="Z227"/>
  <c r="H227"/>
  <c r="AS226"/>
  <c r="H226"/>
  <c r="BJ225"/>
  <c r="BF225"/>
  <c r="BD225"/>
  <c r="AX225"/>
  <c r="AP225"/>
  <c r="BI225" s="1"/>
  <c r="AE225" s="1"/>
  <c r="AO225"/>
  <c r="AW225" s="1"/>
  <c r="AL225"/>
  <c r="AJ225"/>
  <c r="AH225"/>
  <c r="AG225"/>
  <c r="AF225"/>
  <c r="AC225"/>
  <c r="AB225"/>
  <c r="Z225"/>
  <c r="H225"/>
  <c r="AK225" s="1"/>
  <c r="BJ224"/>
  <c r="BF224"/>
  <c r="BD224"/>
  <c r="AX224"/>
  <c r="AW224"/>
  <c r="AP224"/>
  <c r="BI224" s="1"/>
  <c r="AE224" s="1"/>
  <c r="AO224"/>
  <c r="BH224" s="1"/>
  <c r="AD224" s="1"/>
  <c r="AL224"/>
  <c r="AU221" s="1"/>
  <c r="AJ224"/>
  <c r="AH224"/>
  <c r="AG224"/>
  <c r="AF224"/>
  <c r="AC224"/>
  <c r="AB224"/>
  <c r="Z224"/>
  <c r="H224"/>
  <c r="H221" s="1"/>
  <c r="BJ222"/>
  <c r="BF222"/>
  <c r="BD222"/>
  <c r="AW222"/>
  <c r="AP222"/>
  <c r="AX222" s="1"/>
  <c r="AV222" s="1"/>
  <c r="AO222"/>
  <c r="BH222" s="1"/>
  <c r="AD222" s="1"/>
  <c r="AL222"/>
  <c r="AK222"/>
  <c r="AJ222"/>
  <c r="AH222"/>
  <c r="AG222"/>
  <c r="AF222"/>
  <c r="AC222"/>
  <c r="AB222"/>
  <c r="Z222"/>
  <c r="H222"/>
  <c r="AS221"/>
  <c r="BJ220"/>
  <c r="BF220"/>
  <c r="BD220"/>
  <c r="AP220"/>
  <c r="AX220" s="1"/>
  <c r="AO220"/>
  <c r="AW220" s="1"/>
  <c r="AV220" s="1"/>
  <c r="AL220"/>
  <c r="AK220"/>
  <c r="AJ220"/>
  <c r="AH220"/>
  <c r="AG220"/>
  <c r="AF220"/>
  <c r="AE220"/>
  <c r="AD220"/>
  <c r="AC220"/>
  <c r="AB220"/>
  <c r="Z220"/>
  <c r="H220"/>
  <c r="BJ218"/>
  <c r="BH218"/>
  <c r="BF218"/>
  <c r="BD218"/>
  <c r="AX218"/>
  <c r="AP218"/>
  <c r="BI218" s="1"/>
  <c r="AE218" s="1"/>
  <c r="AO218"/>
  <c r="AW218" s="1"/>
  <c r="AL218"/>
  <c r="AJ218"/>
  <c r="AH218"/>
  <c r="AG218"/>
  <c r="AF218"/>
  <c r="AD218"/>
  <c r="AC218"/>
  <c r="AB218"/>
  <c r="Z218"/>
  <c r="H218"/>
  <c r="AK218" s="1"/>
  <c r="BJ217"/>
  <c r="BF217"/>
  <c r="BD217"/>
  <c r="AX217"/>
  <c r="AW217"/>
  <c r="AP217"/>
  <c r="BI217" s="1"/>
  <c r="AE217" s="1"/>
  <c r="AO217"/>
  <c r="BH217" s="1"/>
  <c r="AD217" s="1"/>
  <c r="AL217"/>
  <c r="AJ217"/>
  <c r="AH217"/>
  <c r="AG217"/>
  <c r="AF217"/>
  <c r="AC217"/>
  <c r="AB217"/>
  <c r="Z217"/>
  <c r="H217"/>
  <c r="AK217" s="1"/>
  <c r="BJ215"/>
  <c r="BF215"/>
  <c r="BD215"/>
  <c r="AW215"/>
  <c r="BC215" s="1"/>
  <c r="AV215"/>
  <c r="AP215"/>
  <c r="AX215" s="1"/>
  <c r="AO215"/>
  <c r="BH215" s="1"/>
  <c r="AD215" s="1"/>
  <c r="AL215"/>
  <c r="AU208" s="1"/>
  <c r="AK215"/>
  <c r="AJ215"/>
  <c r="AH215"/>
  <c r="AG215"/>
  <c r="AF215"/>
  <c r="AC215"/>
  <c r="AB215"/>
  <c r="Z215"/>
  <c r="H215"/>
  <c r="BJ214"/>
  <c r="BF214"/>
  <c r="BD214"/>
  <c r="AP214"/>
  <c r="AX214" s="1"/>
  <c r="AO214"/>
  <c r="AW214" s="1"/>
  <c r="AL214"/>
  <c r="AK214"/>
  <c r="AJ214"/>
  <c r="AS208" s="1"/>
  <c r="AH214"/>
  <c r="AG214"/>
  <c r="AF214"/>
  <c r="AC214"/>
  <c r="AB214"/>
  <c r="Z214"/>
  <c r="H214"/>
  <c r="BJ209"/>
  <c r="BH209"/>
  <c r="BF209"/>
  <c r="BD209"/>
  <c r="AX209"/>
  <c r="AP209"/>
  <c r="BI209" s="1"/>
  <c r="AE209" s="1"/>
  <c r="AO209"/>
  <c r="AW209" s="1"/>
  <c r="AL209"/>
  <c r="AJ209"/>
  <c r="AH209"/>
  <c r="AG209"/>
  <c r="AF209"/>
  <c r="AD209"/>
  <c r="AC209"/>
  <c r="AB209"/>
  <c r="Z209"/>
  <c r="H209"/>
  <c r="AK209" s="1"/>
  <c r="AT208" s="1"/>
  <c r="BJ207"/>
  <c r="BF207"/>
  <c r="BD207"/>
  <c r="AX207"/>
  <c r="AW207"/>
  <c r="AP207"/>
  <c r="BI207" s="1"/>
  <c r="AO207"/>
  <c r="BH207" s="1"/>
  <c r="AL207"/>
  <c r="AJ207"/>
  <c r="AH207"/>
  <c r="AG207"/>
  <c r="AF207"/>
  <c r="AE207"/>
  <c r="AD207"/>
  <c r="AC207"/>
  <c r="AB207"/>
  <c r="Z207"/>
  <c r="H207"/>
  <c r="AK207" s="1"/>
  <c r="BJ205"/>
  <c r="BF205"/>
  <c r="BD205"/>
  <c r="AW205"/>
  <c r="BC205" s="1"/>
  <c r="AV205"/>
  <c r="AP205"/>
  <c r="AX205" s="1"/>
  <c r="AO205"/>
  <c r="BH205" s="1"/>
  <c r="AD205" s="1"/>
  <c r="AL205"/>
  <c r="AK205"/>
  <c r="AJ205"/>
  <c r="AH205"/>
  <c r="AG205"/>
  <c r="AF205"/>
  <c r="AC205"/>
  <c r="AB205"/>
  <c r="Z205"/>
  <c r="H205"/>
  <c r="BJ204"/>
  <c r="BF204"/>
  <c r="BD204"/>
  <c r="AP204"/>
  <c r="AX204" s="1"/>
  <c r="AO204"/>
  <c r="AW204" s="1"/>
  <c r="AV204" s="1"/>
  <c r="AL204"/>
  <c r="AK204"/>
  <c r="AJ204"/>
  <c r="AH204"/>
  <c r="AG204"/>
  <c r="AF204"/>
  <c r="AC204"/>
  <c r="AB204"/>
  <c r="Z204"/>
  <c r="H204"/>
  <c r="BJ203"/>
  <c r="BH203"/>
  <c r="BF203"/>
  <c r="BD203"/>
  <c r="AX203"/>
  <c r="AP203"/>
  <c r="BI203" s="1"/>
  <c r="AE203" s="1"/>
  <c r="AO203"/>
  <c r="AW203" s="1"/>
  <c r="AL203"/>
  <c r="AJ203"/>
  <c r="AH203"/>
  <c r="AG203"/>
  <c r="AF203"/>
  <c r="AD203"/>
  <c r="AC203"/>
  <c r="AB203"/>
  <c r="Z203"/>
  <c r="H203"/>
  <c r="AK203" s="1"/>
  <c r="BJ198"/>
  <c r="BF198"/>
  <c r="BD198"/>
  <c r="AX198"/>
  <c r="AW198"/>
  <c r="AP198"/>
  <c r="BI198" s="1"/>
  <c r="AE198" s="1"/>
  <c r="AO198"/>
  <c r="BH198" s="1"/>
  <c r="AD198" s="1"/>
  <c r="AL198"/>
  <c r="AJ198"/>
  <c r="AH198"/>
  <c r="AG198"/>
  <c r="AF198"/>
  <c r="AC198"/>
  <c r="AB198"/>
  <c r="Z198"/>
  <c r="H198"/>
  <c r="AK198" s="1"/>
  <c r="BJ194"/>
  <c r="BF194"/>
  <c r="BD194"/>
  <c r="AW194"/>
  <c r="BC194" s="1"/>
  <c r="AV194"/>
  <c r="AP194"/>
  <c r="AX194" s="1"/>
  <c r="AO194"/>
  <c r="BH194" s="1"/>
  <c r="AD194" s="1"/>
  <c r="AL194"/>
  <c r="AU189" s="1"/>
  <c r="AK194"/>
  <c r="AJ194"/>
  <c r="AH194"/>
  <c r="AG194"/>
  <c r="AF194"/>
  <c r="AC194"/>
  <c r="AB194"/>
  <c r="Z194"/>
  <c r="H194"/>
  <c r="BJ190"/>
  <c r="BF190"/>
  <c r="BD190"/>
  <c r="AP190"/>
  <c r="AX190" s="1"/>
  <c r="AO190"/>
  <c r="AW190" s="1"/>
  <c r="AV190" s="1"/>
  <c r="AL190"/>
  <c r="AK190"/>
  <c r="AJ190"/>
  <c r="AH190"/>
  <c r="AG190"/>
  <c r="AF190"/>
  <c r="AC190"/>
  <c r="AB190"/>
  <c r="Z190"/>
  <c r="H190"/>
  <c r="AS189"/>
  <c r="BJ188"/>
  <c r="BH188"/>
  <c r="BF188"/>
  <c r="BD188"/>
  <c r="AX188"/>
  <c r="AP188"/>
  <c r="BI188" s="1"/>
  <c r="AO188"/>
  <c r="AW188" s="1"/>
  <c r="AL188"/>
  <c r="AJ188"/>
  <c r="AH188"/>
  <c r="AG188"/>
  <c r="AF188"/>
  <c r="AE188"/>
  <c r="AD188"/>
  <c r="AC188"/>
  <c r="AB188"/>
  <c r="Z188"/>
  <c r="H188"/>
  <c r="AK188" s="1"/>
  <c r="BJ187"/>
  <c r="BF187"/>
  <c r="BD187"/>
  <c r="AX187"/>
  <c r="AW187"/>
  <c r="AP187"/>
  <c r="BI187" s="1"/>
  <c r="AE187" s="1"/>
  <c r="AO187"/>
  <c r="BH187" s="1"/>
  <c r="AD187" s="1"/>
  <c r="AL187"/>
  <c r="AJ187"/>
  <c r="AH187"/>
  <c r="AG187"/>
  <c r="AF187"/>
  <c r="AC187"/>
  <c r="AB187"/>
  <c r="Z187"/>
  <c r="H187"/>
  <c r="AK187" s="1"/>
  <c r="BJ183"/>
  <c r="BF183"/>
  <c r="BD183"/>
  <c r="AW183"/>
  <c r="AP183"/>
  <c r="AX183" s="1"/>
  <c r="AV183" s="1"/>
  <c r="AO183"/>
  <c r="BH183" s="1"/>
  <c r="AD183" s="1"/>
  <c r="AL183"/>
  <c r="AK183"/>
  <c r="AJ183"/>
  <c r="AH183"/>
  <c r="AG183"/>
  <c r="AF183"/>
  <c r="AC183"/>
  <c r="AB183"/>
  <c r="Z183"/>
  <c r="H183"/>
  <c r="BJ182"/>
  <c r="BF182"/>
  <c r="BD182"/>
  <c r="BC182"/>
  <c r="AP182"/>
  <c r="AX182" s="1"/>
  <c r="AO182"/>
  <c r="AW182" s="1"/>
  <c r="AL182"/>
  <c r="AK182"/>
  <c r="AJ182"/>
  <c r="AH182"/>
  <c r="AG182"/>
  <c r="AF182"/>
  <c r="AC182"/>
  <c r="AB182"/>
  <c r="Z182"/>
  <c r="H182"/>
  <c r="BJ180"/>
  <c r="BF180"/>
  <c r="BD180"/>
  <c r="AX180"/>
  <c r="AP180"/>
  <c r="BI180" s="1"/>
  <c r="AE180" s="1"/>
  <c r="AO180"/>
  <c r="AW180" s="1"/>
  <c r="AL180"/>
  <c r="AJ180"/>
  <c r="AH180"/>
  <c r="AG180"/>
  <c r="AF180"/>
  <c r="AC180"/>
  <c r="AB180"/>
  <c r="Z180"/>
  <c r="H180"/>
  <c r="AK180" s="1"/>
  <c r="BJ178"/>
  <c r="BF178"/>
  <c r="BD178"/>
  <c r="AX178"/>
  <c r="AW178"/>
  <c r="AP178"/>
  <c r="BI178" s="1"/>
  <c r="AE178" s="1"/>
  <c r="AO178"/>
  <c r="BH178" s="1"/>
  <c r="AD178" s="1"/>
  <c r="AL178"/>
  <c r="AU176" s="1"/>
  <c r="AJ178"/>
  <c r="AH178"/>
  <c r="AG178"/>
  <c r="AF178"/>
  <c r="AC178"/>
  <c r="AB178"/>
  <c r="Z178"/>
  <c r="H178"/>
  <c r="H176" s="1"/>
  <c r="BJ177"/>
  <c r="BF177"/>
  <c r="BD177"/>
  <c r="AW177"/>
  <c r="AP177"/>
  <c r="AX177" s="1"/>
  <c r="AV177" s="1"/>
  <c r="AO177"/>
  <c r="BH177" s="1"/>
  <c r="AD177" s="1"/>
  <c r="AL177"/>
  <c r="AK177"/>
  <c r="AJ177"/>
  <c r="AH177"/>
  <c r="AG177"/>
  <c r="AF177"/>
  <c r="AC177"/>
  <c r="AB177"/>
  <c r="Z177"/>
  <c r="H177"/>
  <c r="BJ175"/>
  <c r="BF175"/>
  <c r="BD175"/>
  <c r="BC175"/>
  <c r="AP175"/>
  <c r="AX175" s="1"/>
  <c r="AO175"/>
  <c r="AW175" s="1"/>
  <c r="AL175"/>
  <c r="AK175"/>
  <c r="AJ175"/>
  <c r="AH175"/>
  <c r="AG175"/>
  <c r="AF175"/>
  <c r="AE175"/>
  <c r="AD175"/>
  <c r="AC175"/>
  <c r="AB175"/>
  <c r="Z175"/>
  <c r="H175"/>
  <c r="BJ174"/>
  <c r="BH174"/>
  <c r="BF174"/>
  <c r="BD174"/>
  <c r="AX174"/>
  <c r="AP174"/>
  <c r="BI174" s="1"/>
  <c r="AE174" s="1"/>
  <c r="AO174"/>
  <c r="AW174" s="1"/>
  <c r="AL174"/>
  <c r="AJ174"/>
  <c r="AH174"/>
  <c r="AG174"/>
  <c r="AF174"/>
  <c r="AD174"/>
  <c r="AC174"/>
  <c r="AB174"/>
  <c r="Z174"/>
  <c r="H174"/>
  <c r="AK174" s="1"/>
  <c r="BJ173"/>
  <c r="BF173"/>
  <c r="BD173"/>
  <c r="AX173"/>
  <c r="AW173"/>
  <c r="AP173"/>
  <c r="BI173" s="1"/>
  <c r="AE173" s="1"/>
  <c r="AO173"/>
  <c r="BH173" s="1"/>
  <c r="AD173" s="1"/>
  <c r="AL173"/>
  <c r="AJ173"/>
  <c r="AH173"/>
  <c r="AG173"/>
  <c r="AF173"/>
  <c r="AC173"/>
  <c r="AB173"/>
  <c r="Z173"/>
  <c r="H173"/>
  <c r="AK173" s="1"/>
  <c r="BJ172"/>
  <c r="BF172"/>
  <c r="BD172"/>
  <c r="AW172"/>
  <c r="BC172" s="1"/>
  <c r="AV172"/>
  <c r="AP172"/>
  <c r="AX172" s="1"/>
  <c r="AO172"/>
  <c r="BH172" s="1"/>
  <c r="AD172" s="1"/>
  <c r="AL172"/>
  <c r="AK172"/>
  <c r="AJ172"/>
  <c r="AH172"/>
  <c r="AG172"/>
  <c r="AF172"/>
  <c r="AC172"/>
  <c r="AB172"/>
  <c r="Z172"/>
  <c r="H172"/>
  <c r="BJ170"/>
  <c r="BF170"/>
  <c r="BD170"/>
  <c r="AP170"/>
  <c r="AX170" s="1"/>
  <c r="AO170"/>
  <c r="AW170" s="1"/>
  <c r="AV170" s="1"/>
  <c r="AL170"/>
  <c r="AK170"/>
  <c r="AJ170"/>
  <c r="AH170"/>
  <c r="AG170"/>
  <c r="AF170"/>
  <c r="AC170"/>
  <c r="AB170"/>
  <c r="Z170"/>
  <c r="H170"/>
  <c r="BJ168"/>
  <c r="BH168"/>
  <c r="BF168"/>
  <c r="BD168"/>
  <c r="AX168"/>
  <c r="AP168"/>
  <c r="BI168" s="1"/>
  <c r="AE168" s="1"/>
  <c r="AO168"/>
  <c r="AW168" s="1"/>
  <c r="AL168"/>
  <c r="AJ168"/>
  <c r="AH168"/>
  <c r="AG168"/>
  <c r="AF168"/>
  <c r="AD168"/>
  <c r="AC168"/>
  <c r="AB168"/>
  <c r="Z168"/>
  <c r="H168"/>
  <c r="AK168" s="1"/>
  <c r="BJ167"/>
  <c r="BF167"/>
  <c r="BD167"/>
  <c r="AX167"/>
  <c r="AW167"/>
  <c r="AP167"/>
  <c r="BI167" s="1"/>
  <c r="AE167" s="1"/>
  <c r="AO167"/>
  <c r="BH167" s="1"/>
  <c r="AD167" s="1"/>
  <c r="AL167"/>
  <c r="AJ167"/>
  <c r="AH167"/>
  <c r="AG167"/>
  <c r="AF167"/>
  <c r="AC167"/>
  <c r="AB167"/>
  <c r="Z167"/>
  <c r="H167"/>
  <c r="AK167" s="1"/>
  <c r="BJ166"/>
  <c r="BF166"/>
  <c r="BD166"/>
  <c r="AW166"/>
  <c r="BC166" s="1"/>
  <c r="AV166"/>
  <c r="AP166"/>
  <c r="AX166" s="1"/>
  <c r="AO166"/>
  <c r="BH166" s="1"/>
  <c r="AD166" s="1"/>
  <c r="AL166"/>
  <c r="AK166"/>
  <c r="AJ166"/>
  <c r="AH166"/>
  <c r="AG166"/>
  <c r="AF166"/>
  <c r="AC166"/>
  <c r="AB166"/>
  <c r="Z166"/>
  <c r="H166"/>
  <c r="BJ165"/>
  <c r="BF165"/>
  <c r="BD165"/>
  <c r="AP165"/>
  <c r="AX165" s="1"/>
  <c r="AO165"/>
  <c r="AW165" s="1"/>
  <c r="AV165" s="1"/>
  <c r="AL165"/>
  <c r="AK165"/>
  <c r="AJ165"/>
  <c r="AH165"/>
  <c r="AG165"/>
  <c r="AF165"/>
  <c r="AC165"/>
  <c r="AB165"/>
  <c r="Z165"/>
  <c r="H165"/>
  <c r="BJ164"/>
  <c r="BH164"/>
  <c r="BF164"/>
  <c r="BD164"/>
  <c r="AX164"/>
  <c r="AP164"/>
  <c r="BI164" s="1"/>
  <c r="AE164" s="1"/>
  <c r="AO164"/>
  <c r="AW164" s="1"/>
  <c r="AL164"/>
  <c r="AJ164"/>
  <c r="AH164"/>
  <c r="AG164"/>
  <c r="AF164"/>
  <c r="AD164"/>
  <c r="AC164"/>
  <c r="AB164"/>
  <c r="Z164"/>
  <c r="H164"/>
  <c r="AK164" s="1"/>
  <c r="BJ163"/>
  <c r="BF163"/>
  <c r="BD163"/>
  <c r="AX163"/>
  <c r="AW163"/>
  <c r="AP163"/>
  <c r="BI163" s="1"/>
  <c r="AE163" s="1"/>
  <c r="AO163"/>
  <c r="BH163" s="1"/>
  <c r="AD163" s="1"/>
  <c r="AL163"/>
  <c r="AJ163"/>
  <c r="AH163"/>
  <c r="AG163"/>
  <c r="AF163"/>
  <c r="AC163"/>
  <c r="AB163"/>
  <c r="Z163"/>
  <c r="H163"/>
  <c r="AK163" s="1"/>
  <c r="BJ162"/>
  <c r="BF162"/>
  <c r="BD162"/>
  <c r="AW162"/>
  <c r="BC162" s="1"/>
  <c r="AV162"/>
  <c r="AP162"/>
  <c r="AX162" s="1"/>
  <c r="AO162"/>
  <c r="BH162" s="1"/>
  <c r="AD162" s="1"/>
  <c r="AL162"/>
  <c r="AU159" s="1"/>
  <c r="AK162"/>
  <c r="AJ162"/>
  <c r="AH162"/>
  <c r="AG162"/>
  <c r="AF162"/>
  <c r="AC162"/>
  <c r="AB162"/>
  <c r="Z162"/>
  <c r="H162"/>
  <c r="BJ161"/>
  <c r="BF161"/>
  <c r="BD161"/>
  <c r="AP161"/>
  <c r="AX161" s="1"/>
  <c r="AO161"/>
  <c r="AW161" s="1"/>
  <c r="AV161" s="1"/>
  <c r="AL161"/>
  <c r="AK161"/>
  <c r="AJ161"/>
  <c r="AS159" s="1"/>
  <c r="AH161"/>
  <c r="AG161"/>
  <c r="AF161"/>
  <c r="AC161"/>
  <c r="AB161"/>
  <c r="Z161"/>
  <c r="H161"/>
  <c r="BJ160"/>
  <c r="BH160"/>
  <c r="BF160"/>
  <c r="BD160"/>
  <c r="AX160"/>
  <c r="AP160"/>
  <c r="BI160" s="1"/>
  <c r="AE160" s="1"/>
  <c r="AO160"/>
  <c r="AW160" s="1"/>
  <c r="AL160"/>
  <c r="AJ160"/>
  <c r="AH160"/>
  <c r="AG160"/>
  <c r="AF160"/>
  <c r="AD160"/>
  <c r="AC160"/>
  <c r="AB160"/>
  <c r="Z160"/>
  <c r="H160"/>
  <c r="AK160" s="1"/>
  <c r="AT159" s="1"/>
  <c r="BJ158"/>
  <c r="BF158"/>
  <c r="BD158"/>
  <c r="AX158"/>
  <c r="AW158"/>
  <c r="AP158"/>
  <c r="BI158" s="1"/>
  <c r="AE158" s="1"/>
  <c r="AO158"/>
  <c r="BH158" s="1"/>
  <c r="AD158" s="1"/>
  <c r="AL158"/>
  <c r="AU156" s="1"/>
  <c r="AJ158"/>
  <c r="AH158"/>
  <c r="AG158"/>
  <c r="AF158"/>
  <c r="AC158"/>
  <c r="AB158"/>
  <c r="Z158"/>
  <c r="H158"/>
  <c r="H156" s="1"/>
  <c r="BJ157"/>
  <c r="BF157"/>
  <c r="BD157"/>
  <c r="AW157"/>
  <c r="BC157" s="1"/>
  <c r="AV157"/>
  <c r="AP157"/>
  <c r="AX157" s="1"/>
  <c r="AO157"/>
  <c r="BH157" s="1"/>
  <c r="AD157" s="1"/>
  <c r="AL157"/>
  <c r="AK157"/>
  <c r="AJ157"/>
  <c r="AH157"/>
  <c r="AG157"/>
  <c r="AF157"/>
  <c r="AC157"/>
  <c r="AB157"/>
  <c r="Z157"/>
  <c r="H157"/>
  <c r="AS156"/>
  <c r="BJ155"/>
  <c r="BF155"/>
  <c r="BD155"/>
  <c r="BC155"/>
  <c r="AP155"/>
  <c r="AX155" s="1"/>
  <c r="AO155"/>
  <c r="AW155" s="1"/>
  <c r="AL155"/>
  <c r="AK155"/>
  <c r="AJ155"/>
  <c r="AH155"/>
  <c r="AG155"/>
  <c r="AF155"/>
  <c r="AE155"/>
  <c r="AD155"/>
  <c r="AC155"/>
  <c r="AB155"/>
  <c r="Z155"/>
  <c r="H155"/>
  <c r="BJ154"/>
  <c r="BF154"/>
  <c r="BD154"/>
  <c r="AX154"/>
  <c r="AP154"/>
  <c r="BI154" s="1"/>
  <c r="AE154" s="1"/>
  <c r="AO154"/>
  <c r="AW154" s="1"/>
  <c r="AL154"/>
  <c r="AJ154"/>
  <c r="AH154"/>
  <c r="AG154"/>
  <c r="AF154"/>
  <c r="AC154"/>
  <c r="AB154"/>
  <c r="Z154"/>
  <c r="H154"/>
  <c r="AK154" s="1"/>
  <c r="BJ153"/>
  <c r="BF153"/>
  <c r="BD153"/>
  <c r="AX153"/>
  <c r="AW153"/>
  <c r="AP153"/>
  <c r="BI153" s="1"/>
  <c r="AE153" s="1"/>
  <c r="AO153"/>
  <c r="BH153" s="1"/>
  <c r="AD153" s="1"/>
  <c r="AL153"/>
  <c r="AJ153"/>
  <c r="AH153"/>
  <c r="AG153"/>
  <c r="AF153"/>
  <c r="AC153"/>
  <c r="AB153"/>
  <c r="Z153"/>
  <c r="H153"/>
  <c r="AK153" s="1"/>
  <c r="BJ152"/>
  <c r="BF152"/>
  <c r="BD152"/>
  <c r="AW152"/>
  <c r="BC152" s="1"/>
  <c r="AP152"/>
  <c r="AX152" s="1"/>
  <c r="AV152" s="1"/>
  <c r="AO152"/>
  <c r="BH152" s="1"/>
  <c r="AD152" s="1"/>
  <c r="AL152"/>
  <c r="AK152"/>
  <c r="AJ152"/>
  <c r="AH152"/>
  <c r="AG152"/>
  <c r="AF152"/>
  <c r="AC152"/>
  <c r="AB152"/>
  <c r="Z152"/>
  <c r="H152"/>
  <c r="BJ151"/>
  <c r="BF151"/>
  <c r="BD151"/>
  <c r="AP151"/>
  <c r="AX151" s="1"/>
  <c r="AO151"/>
  <c r="AW151" s="1"/>
  <c r="AV151" s="1"/>
  <c r="AL151"/>
  <c r="AK151"/>
  <c r="AJ151"/>
  <c r="AH151"/>
  <c r="AG151"/>
  <c r="AF151"/>
  <c r="AC151"/>
  <c r="AB151"/>
  <c r="Z151"/>
  <c r="H151"/>
  <c r="BJ150"/>
  <c r="BF150"/>
  <c r="BD150"/>
  <c r="AX150"/>
  <c r="AP150"/>
  <c r="BI150" s="1"/>
  <c r="AE150" s="1"/>
  <c r="AO150"/>
  <c r="AW150" s="1"/>
  <c r="AL150"/>
  <c r="AJ150"/>
  <c r="AH150"/>
  <c r="AG150"/>
  <c r="AF150"/>
  <c r="AC150"/>
  <c r="AB150"/>
  <c r="Z150"/>
  <c r="H150"/>
  <c r="AK150" s="1"/>
  <c r="BJ149"/>
  <c r="BF149"/>
  <c r="BD149"/>
  <c r="AX149"/>
  <c r="AW149"/>
  <c r="AP149"/>
  <c r="BI149" s="1"/>
  <c r="AE149" s="1"/>
  <c r="AO149"/>
  <c r="BH149" s="1"/>
  <c r="AD149" s="1"/>
  <c r="AL149"/>
  <c r="AJ149"/>
  <c r="AH149"/>
  <c r="AG149"/>
  <c r="AF149"/>
  <c r="AC149"/>
  <c r="AB149"/>
  <c r="Z149"/>
  <c r="H149"/>
  <c r="AK149" s="1"/>
  <c r="BJ148"/>
  <c r="BF148"/>
  <c r="BD148"/>
  <c r="AW148"/>
  <c r="BC148" s="1"/>
  <c r="AP148"/>
  <c r="AX148" s="1"/>
  <c r="AV148" s="1"/>
  <c r="AO148"/>
  <c r="BH148" s="1"/>
  <c r="AD148" s="1"/>
  <c r="AL148"/>
  <c r="AK148"/>
  <c r="AJ148"/>
  <c r="AH148"/>
  <c r="AG148"/>
  <c r="AF148"/>
  <c r="AC148"/>
  <c r="AB148"/>
  <c r="Z148"/>
  <c r="H148"/>
  <c r="BJ147"/>
  <c r="BF147"/>
  <c r="BD147"/>
  <c r="AP147"/>
  <c r="AX147" s="1"/>
  <c r="AO147"/>
  <c r="AW147" s="1"/>
  <c r="AV147" s="1"/>
  <c r="AL147"/>
  <c r="AK147"/>
  <c r="AJ147"/>
  <c r="AH147"/>
  <c r="AG147"/>
  <c r="AF147"/>
  <c r="AC147"/>
  <c r="AB147"/>
  <c r="Z147"/>
  <c r="H147"/>
  <c r="BJ146"/>
  <c r="BF146"/>
  <c r="BD146"/>
  <c r="AX146"/>
  <c r="AP146"/>
  <c r="BI146" s="1"/>
  <c r="AE146" s="1"/>
  <c r="AO146"/>
  <c r="AW146" s="1"/>
  <c r="AL146"/>
  <c r="AJ146"/>
  <c r="AH146"/>
  <c r="AG146"/>
  <c r="AF146"/>
  <c r="AC146"/>
  <c r="AB146"/>
  <c r="Z146"/>
  <c r="H146"/>
  <c r="AK146" s="1"/>
  <c r="BJ145"/>
  <c r="BF145"/>
  <c r="BD145"/>
  <c r="AX145"/>
  <c r="AW145"/>
  <c r="AP145"/>
  <c r="BI145" s="1"/>
  <c r="AE145" s="1"/>
  <c r="AO145"/>
  <c r="BH145" s="1"/>
  <c r="AD145" s="1"/>
  <c r="AL145"/>
  <c r="AJ145"/>
  <c r="AH145"/>
  <c r="AG145"/>
  <c r="AF145"/>
  <c r="AC145"/>
  <c r="AB145"/>
  <c r="Z145"/>
  <c r="H145"/>
  <c r="AK145" s="1"/>
  <c r="BJ144"/>
  <c r="BF144"/>
  <c r="BD144"/>
  <c r="AW144"/>
  <c r="BC144" s="1"/>
  <c r="AP144"/>
  <c r="AX144" s="1"/>
  <c r="AV144" s="1"/>
  <c r="AO144"/>
  <c r="BH144" s="1"/>
  <c r="AD144" s="1"/>
  <c r="AL144"/>
  <c r="AK144"/>
  <c r="AJ144"/>
  <c r="AH144"/>
  <c r="AG144"/>
  <c r="AF144"/>
  <c r="AC144"/>
  <c r="AB144"/>
  <c r="Z144"/>
  <c r="H144"/>
  <c r="BJ143"/>
  <c r="BF143"/>
  <c r="BD143"/>
  <c r="AP143"/>
  <c r="AX143" s="1"/>
  <c r="AO143"/>
  <c r="AW143" s="1"/>
  <c r="AV143" s="1"/>
  <c r="AL143"/>
  <c r="AK143"/>
  <c r="AJ143"/>
  <c r="AH143"/>
  <c r="AG143"/>
  <c r="AF143"/>
  <c r="AC143"/>
  <c r="AB143"/>
  <c r="Z143"/>
  <c r="H143"/>
  <c r="BJ142"/>
  <c r="BF142"/>
  <c r="BD142"/>
  <c r="AX142"/>
  <c r="AP142"/>
  <c r="BI142" s="1"/>
  <c r="AE142" s="1"/>
  <c r="AO142"/>
  <c r="AW142" s="1"/>
  <c r="AL142"/>
  <c r="AJ142"/>
  <c r="AH142"/>
  <c r="AG142"/>
  <c r="AF142"/>
  <c r="AC142"/>
  <c r="AB142"/>
  <c r="Z142"/>
  <c r="H142"/>
  <c r="AK142" s="1"/>
  <c r="BJ141"/>
  <c r="BF141"/>
  <c r="BD141"/>
  <c r="AX141"/>
  <c r="AW141"/>
  <c r="AP141"/>
  <c r="BI141" s="1"/>
  <c r="AE141" s="1"/>
  <c r="AO141"/>
  <c r="BH141" s="1"/>
  <c r="AD141" s="1"/>
  <c r="AL141"/>
  <c r="AJ141"/>
  <c r="AH141"/>
  <c r="AG141"/>
  <c r="AF141"/>
  <c r="AC141"/>
  <c r="AB141"/>
  <c r="Z141"/>
  <c r="H141"/>
  <c r="AK141" s="1"/>
  <c r="BJ140"/>
  <c r="BF140"/>
  <c r="BD140"/>
  <c r="AW140"/>
  <c r="BC140" s="1"/>
  <c r="AP140"/>
  <c r="AX140" s="1"/>
  <c r="AV140" s="1"/>
  <c r="AO140"/>
  <c r="BH140" s="1"/>
  <c r="AD140" s="1"/>
  <c r="AL140"/>
  <c r="AK140"/>
  <c r="AJ140"/>
  <c r="AH140"/>
  <c r="AG140"/>
  <c r="AF140"/>
  <c r="AC140"/>
  <c r="AB140"/>
  <c r="Z140"/>
  <c r="H140"/>
  <c r="BJ139"/>
  <c r="BF139"/>
  <c r="BD139"/>
  <c r="AP139"/>
  <c r="AX139" s="1"/>
  <c r="AO139"/>
  <c r="AW139" s="1"/>
  <c r="AV139" s="1"/>
  <c r="AL139"/>
  <c r="AK139"/>
  <c r="AJ139"/>
  <c r="AH139"/>
  <c r="AG139"/>
  <c r="AF139"/>
  <c r="AC139"/>
  <c r="AB139"/>
  <c r="Z139"/>
  <c r="H139"/>
  <c r="BJ138"/>
  <c r="BF138"/>
  <c r="BD138"/>
  <c r="AX138"/>
  <c r="AP138"/>
  <c r="BI138" s="1"/>
  <c r="AE138" s="1"/>
  <c r="AO138"/>
  <c r="AW138" s="1"/>
  <c r="AL138"/>
  <c r="AJ138"/>
  <c r="AH138"/>
  <c r="AG138"/>
  <c r="AF138"/>
  <c r="AC138"/>
  <c r="AB138"/>
  <c r="Z138"/>
  <c r="H138"/>
  <c r="AK138" s="1"/>
  <c r="BJ137"/>
  <c r="BF137"/>
  <c r="BD137"/>
  <c r="AX137"/>
  <c r="AW137"/>
  <c r="AP137"/>
  <c r="BI137" s="1"/>
  <c r="AE137" s="1"/>
  <c r="AO137"/>
  <c r="BH137" s="1"/>
  <c r="AD137" s="1"/>
  <c r="AL137"/>
  <c r="AJ137"/>
  <c r="AH137"/>
  <c r="AG137"/>
  <c r="AF137"/>
  <c r="AC137"/>
  <c r="AB137"/>
  <c r="Z137"/>
  <c r="H137"/>
  <c r="AK137" s="1"/>
  <c r="BJ135"/>
  <c r="BF135"/>
  <c r="BD135"/>
  <c r="AW135"/>
  <c r="BC135" s="1"/>
  <c r="AP135"/>
  <c r="AX135" s="1"/>
  <c r="AV135" s="1"/>
  <c r="AO135"/>
  <c r="BH135" s="1"/>
  <c r="AD135" s="1"/>
  <c r="AL135"/>
  <c r="AK135"/>
  <c r="AJ135"/>
  <c r="AH135"/>
  <c r="AG135"/>
  <c r="AF135"/>
  <c r="AC135"/>
  <c r="AB135"/>
  <c r="Z135"/>
  <c r="H135"/>
  <c r="BJ134"/>
  <c r="BF134"/>
  <c r="BD134"/>
  <c r="AP134"/>
  <c r="AX134" s="1"/>
  <c r="AO134"/>
  <c r="AW134" s="1"/>
  <c r="AV134" s="1"/>
  <c r="AL134"/>
  <c r="AK134"/>
  <c r="AJ134"/>
  <c r="AH134"/>
  <c r="AG134"/>
  <c r="AF134"/>
  <c r="AC134"/>
  <c r="AB134"/>
  <c r="Z134"/>
  <c r="H134"/>
  <c r="BJ133"/>
  <c r="BF133"/>
  <c r="BD133"/>
  <c r="AX133"/>
  <c r="AP133"/>
  <c r="BI133" s="1"/>
  <c r="AE133" s="1"/>
  <c r="AO133"/>
  <c r="AW133" s="1"/>
  <c r="AL133"/>
  <c r="AJ133"/>
  <c r="AH133"/>
  <c r="AG133"/>
  <c r="AF133"/>
  <c r="AC133"/>
  <c r="AB133"/>
  <c r="Z133"/>
  <c r="H133"/>
  <c r="AK133" s="1"/>
  <c r="BJ132"/>
  <c r="BF132"/>
  <c r="BD132"/>
  <c r="AX132"/>
  <c r="AW132"/>
  <c r="AP132"/>
  <c r="BI132" s="1"/>
  <c r="AE132" s="1"/>
  <c r="AO132"/>
  <c r="BH132" s="1"/>
  <c r="AD132" s="1"/>
  <c r="AL132"/>
  <c r="AJ132"/>
  <c r="AH132"/>
  <c r="AG132"/>
  <c r="AF132"/>
  <c r="AC132"/>
  <c r="AB132"/>
  <c r="Z132"/>
  <c r="H132"/>
  <c r="AK132" s="1"/>
  <c r="BJ131"/>
  <c r="BF131"/>
  <c r="BD131"/>
  <c r="AX131"/>
  <c r="AW131"/>
  <c r="BC131" s="1"/>
  <c r="AV131"/>
  <c r="AP131"/>
  <c r="BI131" s="1"/>
  <c r="AE131" s="1"/>
  <c r="AO131"/>
  <c r="BH131" s="1"/>
  <c r="AD131" s="1"/>
  <c r="AL131"/>
  <c r="AK131"/>
  <c r="AJ131"/>
  <c r="AH131"/>
  <c r="AG131"/>
  <c r="AF131"/>
  <c r="AC131"/>
  <c r="AB131"/>
  <c r="Z131"/>
  <c r="H131"/>
  <c r="BJ130"/>
  <c r="BI130"/>
  <c r="AE130" s="1"/>
  <c r="BF130"/>
  <c r="BD130"/>
  <c r="AW130"/>
  <c r="AP130"/>
  <c r="AX130" s="1"/>
  <c r="AV130" s="1"/>
  <c r="AO130"/>
  <c r="BH130" s="1"/>
  <c r="AD130" s="1"/>
  <c r="AL130"/>
  <c r="AK130"/>
  <c r="AJ130"/>
  <c r="AH130"/>
  <c r="AG130"/>
  <c r="AF130"/>
  <c r="AC130"/>
  <c r="AB130"/>
  <c r="Z130"/>
  <c r="H130"/>
  <c r="BJ129"/>
  <c r="BF129"/>
  <c r="BD129"/>
  <c r="AX129"/>
  <c r="AP129"/>
  <c r="BI129" s="1"/>
  <c r="AE129" s="1"/>
  <c r="AO129"/>
  <c r="AW129" s="1"/>
  <c r="AL129"/>
  <c r="AJ129"/>
  <c r="AS126" s="1"/>
  <c r="AH129"/>
  <c r="AG129"/>
  <c r="AF129"/>
  <c r="AC129"/>
  <c r="AB129"/>
  <c r="Z129"/>
  <c r="H129"/>
  <c r="AK129" s="1"/>
  <c r="BJ128"/>
  <c r="BF128"/>
  <c r="BD128"/>
  <c r="AX128"/>
  <c r="AW128"/>
  <c r="AP128"/>
  <c r="BI128" s="1"/>
  <c r="AE128" s="1"/>
  <c r="AO128"/>
  <c r="BH128" s="1"/>
  <c r="AD128" s="1"/>
  <c r="AL128"/>
  <c r="AJ128"/>
  <c r="AH128"/>
  <c r="AG128"/>
  <c r="AF128"/>
  <c r="AC128"/>
  <c r="AB128"/>
  <c r="Z128"/>
  <c r="H128"/>
  <c r="BJ127"/>
  <c r="BF127"/>
  <c r="BD127"/>
  <c r="AW127"/>
  <c r="AP127"/>
  <c r="AX127" s="1"/>
  <c r="AV127" s="1"/>
  <c r="AO127"/>
  <c r="BH127" s="1"/>
  <c r="AD127" s="1"/>
  <c r="AL127"/>
  <c r="AK127"/>
  <c r="AJ127"/>
  <c r="AH127"/>
  <c r="AG127"/>
  <c r="AF127"/>
  <c r="AC127"/>
  <c r="AB127"/>
  <c r="Z127"/>
  <c r="H127"/>
  <c r="BJ125"/>
  <c r="BF125"/>
  <c r="BD125"/>
  <c r="AP125"/>
  <c r="AX125" s="1"/>
  <c r="BC125" s="1"/>
  <c r="AO125"/>
  <c r="AW125" s="1"/>
  <c r="AL125"/>
  <c r="AK125"/>
  <c r="AJ125"/>
  <c r="AH125"/>
  <c r="AG125"/>
  <c r="AF125"/>
  <c r="AE125"/>
  <c r="AD125"/>
  <c r="AC125"/>
  <c r="AB125"/>
  <c r="Z125"/>
  <c r="H125"/>
  <c r="BJ124"/>
  <c r="BF124"/>
  <c r="BD124"/>
  <c r="AX124"/>
  <c r="AP124"/>
  <c r="BI124" s="1"/>
  <c r="AE124" s="1"/>
  <c r="AO124"/>
  <c r="AW124" s="1"/>
  <c r="AL124"/>
  <c r="AJ124"/>
  <c r="AH124"/>
  <c r="AG124"/>
  <c r="AF124"/>
  <c r="AC124"/>
  <c r="AB124"/>
  <c r="Z124"/>
  <c r="H124"/>
  <c r="AK124" s="1"/>
  <c r="BJ123"/>
  <c r="BF123"/>
  <c r="BD123"/>
  <c r="AX123"/>
  <c r="AW123"/>
  <c r="AP123"/>
  <c r="BI123" s="1"/>
  <c r="AE123" s="1"/>
  <c r="AO123"/>
  <c r="BH123" s="1"/>
  <c r="AD123" s="1"/>
  <c r="AL123"/>
  <c r="AJ123"/>
  <c r="AH123"/>
  <c r="AG123"/>
  <c r="AF123"/>
  <c r="AC123"/>
  <c r="AB123"/>
  <c r="Z123"/>
  <c r="H123"/>
  <c r="AK123" s="1"/>
  <c r="BJ122"/>
  <c r="BF122"/>
  <c r="BD122"/>
  <c r="AW122"/>
  <c r="BC122" s="1"/>
  <c r="AP122"/>
  <c r="AX122" s="1"/>
  <c r="AV122" s="1"/>
  <c r="AO122"/>
  <c r="BH122" s="1"/>
  <c r="AD122" s="1"/>
  <c r="AL122"/>
  <c r="AK122"/>
  <c r="AJ122"/>
  <c r="AH122"/>
  <c r="AG122"/>
  <c r="AF122"/>
  <c r="AC122"/>
  <c r="AB122"/>
  <c r="Z122"/>
  <c r="H122"/>
  <c r="BJ121"/>
  <c r="BF121"/>
  <c r="BD121"/>
  <c r="AP121"/>
  <c r="AX121" s="1"/>
  <c r="AO121"/>
  <c r="AW121" s="1"/>
  <c r="AV121" s="1"/>
  <c r="AL121"/>
  <c r="AK121"/>
  <c r="AJ121"/>
  <c r="AH121"/>
  <c r="AG121"/>
  <c r="AF121"/>
  <c r="AC121"/>
  <c r="AB121"/>
  <c r="Z121"/>
  <c r="H121"/>
  <c r="BJ120"/>
  <c r="BF120"/>
  <c r="BD120"/>
  <c r="AX120"/>
  <c r="AP120"/>
  <c r="BI120" s="1"/>
  <c r="AE120" s="1"/>
  <c r="AO120"/>
  <c r="AW120" s="1"/>
  <c r="AL120"/>
  <c r="AJ120"/>
  <c r="AH120"/>
  <c r="AG120"/>
  <c r="AF120"/>
  <c r="AC120"/>
  <c r="AB120"/>
  <c r="Z120"/>
  <c r="H120"/>
  <c r="AK120" s="1"/>
  <c r="BJ119"/>
  <c r="BF119"/>
  <c r="BD119"/>
  <c r="AX119"/>
  <c r="AW119"/>
  <c r="AP119"/>
  <c r="BI119" s="1"/>
  <c r="AE119" s="1"/>
  <c r="AO119"/>
  <c r="BH119" s="1"/>
  <c r="AD119" s="1"/>
  <c r="AL119"/>
  <c r="AJ119"/>
  <c r="AH119"/>
  <c r="AG119"/>
  <c r="AF119"/>
  <c r="AC119"/>
  <c r="AB119"/>
  <c r="Z119"/>
  <c r="H119"/>
  <c r="AK119" s="1"/>
  <c r="BJ118"/>
  <c r="BF118"/>
  <c r="BD118"/>
  <c r="AW118"/>
  <c r="BC118" s="1"/>
  <c r="AP118"/>
  <c r="AX118" s="1"/>
  <c r="AV118" s="1"/>
  <c r="AO118"/>
  <c r="BH118" s="1"/>
  <c r="AD118" s="1"/>
  <c r="AL118"/>
  <c r="AK118"/>
  <c r="AJ118"/>
  <c r="AH118"/>
  <c r="AG118"/>
  <c r="AF118"/>
  <c r="AC118"/>
  <c r="AB118"/>
  <c r="Z118"/>
  <c r="H118"/>
  <c r="BJ117"/>
  <c r="BF117"/>
  <c r="BD117"/>
  <c r="AP117"/>
  <c r="AX117" s="1"/>
  <c r="AO117"/>
  <c r="AW117" s="1"/>
  <c r="AV117" s="1"/>
  <c r="AL117"/>
  <c r="AK117"/>
  <c r="AJ117"/>
  <c r="AH117"/>
  <c r="AG117"/>
  <c r="AF117"/>
  <c r="AC117"/>
  <c r="AB117"/>
  <c r="Z117"/>
  <c r="H117"/>
  <c r="BJ116"/>
  <c r="BF116"/>
  <c r="BD116"/>
  <c r="AX116"/>
  <c r="AP116"/>
  <c r="BI116" s="1"/>
  <c r="AE116" s="1"/>
  <c r="AO116"/>
  <c r="AW116" s="1"/>
  <c r="AL116"/>
  <c r="AJ116"/>
  <c r="AS114" s="1"/>
  <c r="AH116"/>
  <c r="AG116"/>
  <c r="AF116"/>
  <c r="AC116"/>
  <c r="AB116"/>
  <c r="Z116"/>
  <c r="H116"/>
  <c r="BJ115"/>
  <c r="BF115"/>
  <c r="BD115"/>
  <c r="AX115"/>
  <c r="AW115"/>
  <c r="AP115"/>
  <c r="BI115" s="1"/>
  <c r="AE115" s="1"/>
  <c r="AO115"/>
  <c r="BH115" s="1"/>
  <c r="AD115" s="1"/>
  <c r="AL115"/>
  <c r="AU114" s="1"/>
  <c r="AJ115"/>
  <c r="AH115"/>
  <c r="AG115"/>
  <c r="AF115"/>
  <c r="AC115"/>
  <c r="AB115"/>
  <c r="Z115"/>
  <c r="H115"/>
  <c r="AK115" s="1"/>
  <c r="BJ113"/>
  <c r="Z113" s="1"/>
  <c r="BF113"/>
  <c r="BD113"/>
  <c r="AW113"/>
  <c r="AV113"/>
  <c r="AP113"/>
  <c r="AX113" s="1"/>
  <c r="AO113"/>
  <c r="BH113" s="1"/>
  <c r="AL113"/>
  <c r="AK113"/>
  <c r="AJ113"/>
  <c r="AH113"/>
  <c r="AG113"/>
  <c r="AF113"/>
  <c r="AE113"/>
  <c r="AD113"/>
  <c r="AC113"/>
  <c r="AB113"/>
  <c r="H113"/>
  <c r="BJ112"/>
  <c r="BF112"/>
  <c r="BD112"/>
  <c r="BC112"/>
  <c r="AP112"/>
  <c r="AX112" s="1"/>
  <c r="AO112"/>
  <c r="AW112" s="1"/>
  <c r="AV112" s="1"/>
  <c r="AL112"/>
  <c r="AK112"/>
  <c r="AJ112"/>
  <c r="AH112"/>
  <c r="AG112"/>
  <c r="AF112"/>
  <c r="AC112"/>
  <c r="AB112"/>
  <c r="Z112"/>
  <c r="H112"/>
  <c r="BJ111"/>
  <c r="BH111"/>
  <c r="AD111" s="1"/>
  <c r="BF111"/>
  <c r="BD111"/>
  <c r="AX111"/>
  <c r="AP111"/>
  <c r="BI111" s="1"/>
  <c r="AE111" s="1"/>
  <c r="AO111"/>
  <c r="AW111" s="1"/>
  <c r="AL111"/>
  <c r="AJ111"/>
  <c r="AH111"/>
  <c r="AG111"/>
  <c r="AF111"/>
  <c r="AC111"/>
  <c r="AB111"/>
  <c r="Z111"/>
  <c r="H111"/>
  <c r="AK111" s="1"/>
  <c r="BJ109"/>
  <c r="BF109"/>
  <c r="BD109"/>
  <c r="AX109"/>
  <c r="AP109"/>
  <c r="BI109" s="1"/>
  <c r="AG109" s="1"/>
  <c r="AO109"/>
  <c r="BH109" s="1"/>
  <c r="AF109" s="1"/>
  <c r="AL109"/>
  <c r="AJ109"/>
  <c r="AH109"/>
  <c r="AE109"/>
  <c r="AD109"/>
  <c r="AC109"/>
  <c r="AB109"/>
  <c r="Z109"/>
  <c r="H109"/>
  <c r="AK109" s="1"/>
  <c r="BJ108"/>
  <c r="BF108"/>
  <c r="BD108"/>
  <c r="AW108"/>
  <c r="BC108" s="1"/>
  <c r="AV108"/>
  <c r="AP108"/>
  <c r="AX108" s="1"/>
  <c r="AO108"/>
  <c r="BH108" s="1"/>
  <c r="AD108" s="1"/>
  <c r="AL108"/>
  <c r="AK108"/>
  <c r="AJ108"/>
  <c r="AH108"/>
  <c r="AG108"/>
  <c r="AF108"/>
  <c r="AC108"/>
  <c r="AB108"/>
  <c r="Z108"/>
  <c r="H108"/>
  <c r="BJ107"/>
  <c r="BI107"/>
  <c r="AE107" s="1"/>
  <c r="BF107"/>
  <c r="BD107"/>
  <c r="AP107"/>
  <c r="AX107" s="1"/>
  <c r="AO107"/>
  <c r="AW107" s="1"/>
  <c r="AV107" s="1"/>
  <c r="AL107"/>
  <c r="AK107"/>
  <c r="AJ107"/>
  <c r="AH107"/>
  <c r="AG107"/>
  <c r="AF107"/>
  <c r="AC107"/>
  <c r="AB107"/>
  <c r="Z107"/>
  <c r="H107"/>
  <c r="BJ106"/>
  <c r="BF106"/>
  <c r="BD106"/>
  <c r="AX106"/>
  <c r="AP106"/>
  <c r="BI106" s="1"/>
  <c r="AE106" s="1"/>
  <c r="AO106"/>
  <c r="AW106" s="1"/>
  <c r="AV106" s="1"/>
  <c r="AL106"/>
  <c r="AJ106"/>
  <c r="AH106"/>
  <c r="AG106"/>
  <c r="AF106"/>
  <c r="AC106"/>
  <c r="AB106"/>
  <c r="Z106"/>
  <c r="H106"/>
  <c r="AK106" s="1"/>
  <c r="BJ105"/>
  <c r="BF105"/>
  <c r="BD105"/>
  <c r="AX105"/>
  <c r="AP105"/>
  <c r="BI105" s="1"/>
  <c r="AE105" s="1"/>
  <c r="AO105"/>
  <c r="BH105" s="1"/>
  <c r="AD105" s="1"/>
  <c r="AL105"/>
  <c r="AJ105"/>
  <c r="AH105"/>
  <c r="AG105"/>
  <c r="AF105"/>
  <c r="AC105"/>
  <c r="AB105"/>
  <c r="Z105"/>
  <c r="H105"/>
  <c r="AK105" s="1"/>
  <c r="BJ104"/>
  <c r="BF104"/>
  <c r="BD104"/>
  <c r="AW104"/>
  <c r="AV104"/>
  <c r="AP104"/>
  <c r="AX104" s="1"/>
  <c r="AO104"/>
  <c r="BH104" s="1"/>
  <c r="AD104" s="1"/>
  <c r="AL104"/>
  <c r="AK104"/>
  <c r="AJ104"/>
  <c r="AH104"/>
  <c r="AG104"/>
  <c r="AF104"/>
  <c r="AC104"/>
  <c r="AB104"/>
  <c r="Z104"/>
  <c r="H104"/>
  <c r="BJ103"/>
  <c r="BI103"/>
  <c r="AE103" s="1"/>
  <c r="BF103"/>
  <c r="BD103"/>
  <c r="AV103"/>
  <c r="AP103"/>
  <c r="AX103" s="1"/>
  <c r="AO103"/>
  <c r="AW103" s="1"/>
  <c r="BC103" s="1"/>
  <c r="AL103"/>
  <c r="AK103"/>
  <c r="AJ103"/>
  <c r="AH103"/>
  <c r="AG103"/>
  <c r="AF103"/>
  <c r="AC103"/>
  <c r="AB103"/>
  <c r="Z103"/>
  <c r="H103"/>
  <c r="BJ102"/>
  <c r="BH102"/>
  <c r="AD102" s="1"/>
  <c r="BF102"/>
  <c r="BD102"/>
  <c r="AX102"/>
  <c r="AP102"/>
  <c r="BI102" s="1"/>
  <c r="AE102" s="1"/>
  <c r="AO102"/>
  <c r="AW102" s="1"/>
  <c r="AL102"/>
  <c r="AJ102"/>
  <c r="AS99" s="1"/>
  <c r="AH102"/>
  <c r="AG102"/>
  <c r="AF102"/>
  <c r="AC102"/>
  <c r="AB102"/>
  <c r="Z102"/>
  <c r="H102"/>
  <c r="AK102" s="1"/>
  <c r="BJ101"/>
  <c r="BF101"/>
  <c r="BD101"/>
  <c r="AX101"/>
  <c r="AP101"/>
  <c r="BI101" s="1"/>
  <c r="AE101" s="1"/>
  <c r="AO101"/>
  <c r="BH101" s="1"/>
  <c r="AD101" s="1"/>
  <c r="AL101"/>
  <c r="AU99" s="1"/>
  <c r="AJ101"/>
  <c r="AH101"/>
  <c r="AG101"/>
  <c r="AF101"/>
  <c r="AC101"/>
  <c r="AB101"/>
  <c r="Z101"/>
  <c r="H101"/>
  <c r="BJ100"/>
  <c r="BF100"/>
  <c r="BD100"/>
  <c r="AW100"/>
  <c r="AV100"/>
  <c r="AP100"/>
  <c r="AX100" s="1"/>
  <c r="AO100"/>
  <c r="BH100" s="1"/>
  <c r="AD100" s="1"/>
  <c r="AL100"/>
  <c r="AK100"/>
  <c r="AJ100"/>
  <c r="AH100"/>
  <c r="AG100"/>
  <c r="AF100"/>
  <c r="AC100"/>
  <c r="AB100"/>
  <c r="Z100"/>
  <c r="H100"/>
  <c r="BJ98"/>
  <c r="BI98"/>
  <c r="BF98"/>
  <c r="BD98"/>
  <c r="AV98"/>
  <c r="AP98"/>
  <c r="AX98" s="1"/>
  <c r="AO98"/>
  <c r="AW98" s="1"/>
  <c r="BC98" s="1"/>
  <c r="AL98"/>
  <c r="AK98"/>
  <c r="AJ98"/>
  <c r="AH98"/>
  <c r="AG98"/>
  <c r="AF98"/>
  <c r="AE98"/>
  <c r="AD98"/>
  <c r="AC98"/>
  <c r="AB98"/>
  <c r="Z98"/>
  <c r="H98"/>
  <c r="BJ94"/>
  <c r="BI94"/>
  <c r="AE94" s="1"/>
  <c r="BH94"/>
  <c r="BF94"/>
  <c r="BD94"/>
  <c r="AP94"/>
  <c r="AX94" s="1"/>
  <c r="BC94" s="1"/>
  <c r="AO94"/>
  <c r="AW94" s="1"/>
  <c r="AL94"/>
  <c r="AJ94"/>
  <c r="AS87" s="1"/>
  <c r="AH94"/>
  <c r="AG94"/>
  <c r="AF94"/>
  <c r="AD94"/>
  <c r="AC94"/>
  <c r="AB94"/>
  <c r="Z94"/>
  <c r="H94"/>
  <c r="AK94" s="1"/>
  <c r="BJ89"/>
  <c r="BH89"/>
  <c r="BF89"/>
  <c r="BD89"/>
  <c r="AX89"/>
  <c r="AW89"/>
  <c r="AP89"/>
  <c r="BI89" s="1"/>
  <c r="AE89" s="1"/>
  <c r="AO89"/>
  <c r="AL89"/>
  <c r="AJ89"/>
  <c r="AH89"/>
  <c r="AG89"/>
  <c r="AF89"/>
  <c r="AD89"/>
  <c r="AC89"/>
  <c r="AB89"/>
  <c r="Z89"/>
  <c r="H89"/>
  <c r="BJ88"/>
  <c r="BF88"/>
  <c r="BD88"/>
  <c r="AW88"/>
  <c r="BC88" s="1"/>
  <c r="AP88"/>
  <c r="AX88" s="1"/>
  <c r="AO88"/>
  <c r="BH88" s="1"/>
  <c r="AD88" s="1"/>
  <c r="AL88"/>
  <c r="AU87" s="1"/>
  <c r="AK88"/>
  <c r="AJ88"/>
  <c r="AH88"/>
  <c r="AG88"/>
  <c r="AF88"/>
  <c r="AC88"/>
  <c r="AB88"/>
  <c r="Z88"/>
  <c r="H88"/>
  <c r="BJ86"/>
  <c r="Z86" s="1"/>
  <c r="BF86"/>
  <c r="BD86"/>
  <c r="BC86"/>
  <c r="AP86"/>
  <c r="AX86" s="1"/>
  <c r="AV86" s="1"/>
  <c r="AO86"/>
  <c r="AW86" s="1"/>
  <c r="AL86"/>
  <c r="AK86"/>
  <c r="AJ86"/>
  <c r="AH86"/>
  <c r="AG86"/>
  <c r="AF86"/>
  <c r="AE86"/>
  <c r="AD86"/>
  <c r="AC86"/>
  <c r="AB86"/>
  <c r="H86"/>
  <c r="AU85"/>
  <c r="AT85"/>
  <c r="AS85"/>
  <c r="H85"/>
  <c r="BJ82"/>
  <c r="BI82"/>
  <c r="BF82"/>
  <c r="BD82"/>
  <c r="AX82"/>
  <c r="AP82"/>
  <c r="AO82"/>
  <c r="AW82" s="1"/>
  <c r="AV82" s="1"/>
  <c r="AL82"/>
  <c r="AJ82"/>
  <c r="AH82"/>
  <c r="AG82"/>
  <c r="AF82"/>
  <c r="AE82"/>
  <c r="AD82"/>
  <c r="AC82"/>
  <c r="AB82"/>
  <c r="Z82"/>
  <c r="H82"/>
  <c r="AK82" s="1"/>
  <c r="BJ80"/>
  <c r="BH80"/>
  <c r="BF80"/>
  <c r="BD80"/>
  <c r="AX80"/>
  <c r="AW80"/>
  <c r="AP80"/>
  <c r="BI80" s="1"/>
  <c r="AO80"/>
  <c r="AL80"/>
  <c r="AJ80"/>
  <c r="AH80"/>
  <c r="AG80"/>
  <c r="AF80"/>
  <c r="AE80"/>
  <c r="AD80"/>
  <c r="AC80"/>
  <c r="AB80"/>
  <c r="Z80"/>
  <c r="H80"/>
  <c r="AK80" s="1"/>
  <c r="BJ78"/>
  <c r="Z78" s="1"/>
  <c r="BF78"/>
  <c r="BD78"/>
  <c r="AW78"/>
  <c r="AP78"/>
  <c r="AX78" s="1"/>
  <c r="AO78"/>
  <c r="BH78" s="1"/>
  <c r="AL78"/>
  <c r="AK78"/>
  <c r="AJ78"/>
  <c r="AH78"/>
  <c r="AG78"/>
  <c r="AF78"/>
  <c r="AE78"/>
  <c r="AD78"/>
  <c r="AC78"/>
  <c r="AB78"/>
  <c r="H78"/>
  <c r="BJ77"/>
  <c r="BI77"/>
  <c r="BF77"/>
  <c r="BD77"/>
  <c r="AP77"/>
  <c r="AX77" s="1"/>
  <c r="AO77"/>
  <c r="AW77" s="1"/>
  <c r="AV77" s="1"/>
  <c r="AL77"/>
  <c r="AK77"/>
  <c r="AJ77"/>
  <c r="AH77"/>
  <c r="AG77"/>
  <c r="AF77"/>
  <c r="AE77"/>
  <c r="AD77"/>
  <c r="AC77"/>
  <c r="AB77"/>
  <c r="Z77"/>
  <c r="H77"/>
  <c r="BJ75"/>
  <c r="BH75"/>
  <c r="BF75"/>
  <c r="BD75"/>
  <c r="AP75"/>
  <c r="AX75" s="1"/>
  <c r="BC75" s="1"/>
  <c r="AO75"/>
  <c r="AW75" s="1"/>
  <c r="AL75"/>
  <c r="AJ75"/>
  <c r="AH75"/>
  <c r="AG75"/>
  <c r="AF75"/>
  <c r="AE75"/>
  <c r="AD75"/>
  <c r="AC75"/>
  <c r="AB75"/>
  <c r="Z75"/>
  <c r="H75"/>
  <c r="AK75" s="1"/>
  <c r="BJ74"/>
  <c r="Z74" s="1"/>
  <c r="BF74"/>
  <c r="BD74"/>
  <c r="AX74"/>
  <c r="AP74"/>
  <c r="BI74" s="1"/>
  <c r="AO74"/>
  <c r="AW74" s="1"/>
  <c r="AL74"/>
  <c r="AJ74"/>
  <c r="AH74"/>
  <c r="AG74"/>
  <c r="AF74"/>
  <c r="AE74"/>
  <c r="AD74"/>
  <c r="AC74"/>
  <c r="AB74"/>
  <c r="H74"/>
  <c r="AK74" s="1"/>
  <c r="BJ72"/>
  <c r="BF72"/>
  <c r="BD72"/>
  <c r="AW72"/>
  <c r="AP72"/>
  <c r="AX72" s="1"/>
  <c r="AO72"/>
  <c r="BH72" s="1"/>
  <c r="AL72"/>
  <c r="AJ72"/>
  <c r="AH72"/>
  <c r="AG72"/>
  <c r="AF72"/>
  <c r="AE72"/>
  <c r="AD72"/>
  <c r="AC72"/>
  <c r="AB72"/>
  <c r="Z72"/>
  <c r="H72"/>
  <c r="AK72" s="1"/>
  <c r="BJ71"/>
  <c r="Z71" s="1"/>
  <c r="BF71"/>
  <c r="BD71"/>
  <c r="AX71"/>
  <c r="AP71"/>
  <c r="BI71" s="1"/>
  <c r="AO71"/>
  <c r="AW71" s="1"/>
  <c r="AL71"/>
  <c r="AK71"/>
  <c r="AJ71"/>
  <c r="AH71"/>
  <c r="AG71"/>
  <c r="AF71"/>
  <c r="AE71"/>
  <c r="AD71"/>
  <c r="AC71"/>
  <c r="AB71"/>
  <c r="H71"/>
  <c r="BJ69"/>
  <c r="BF69"/>
  <c r="BD69"/>
  <c r="AW69"/>
  <c r="AP69"/>
  <c r="BI69" s="1"/>
  <c r="AC69" s="1"/>
  <c r="AO69"/>
  <c r="BH69" s="1"/>
  <c r="AB69" s="1"/>
  <c r="AL69"/>
  <c r="AJ69"/>
  <c r="AH69"/>
  <c r="AG69"/>
  <c r="AF69"/>
  <c r="AE69"/>
  <c r="AD69"/>
  <c r="Z69"/>
  <c r="H69"/>
  <c r="AK69" s="1"/>
  <c r="BJ67"/>
  <c r="BF67"/>
  <c r="BD67"/>
  <c r="AX67"/>
  <c r="AP67"/>
  <c r="BI67" s="1"/>
  <c r="AC67" s="1"/>
  <c r="AO67"/>
  <c r="AW67" s="1"/>
  <c r="AL67"/>
  <c r="AJ67"/>
  <c r="AH67"/>
  <c r="AG67"/>
  <c r="AF67"/>
  <c r="AE67"/>
  <c r="AD67"/>
  <c r="Z67"/>
  <c r="H67"/>
  <c r="AK67" s="1"/>
  <c r="BJ65"/>
  <c r="BF65"/>
  <c r="BD65"/>
  <c r="AW65"/>
  <c r="AP65"/>
  <c r="AX65" s="1"/>
  <c r="AO65"/>
  <c r="BH65" s="1"/>
  <c r="AB65" s="1"/>
  <c r="AL65"/>
  <c r="AU61" s="1"/>
  <c r="AJ65"/>
  <c r="AH65"/>
  <c r="AG65"/>
  <c r="AF65"/>
  <c r="AE65"/>
  <c r="AD65"/>
  <c r="Z65"/>
  <c r="H65"/>
  <c r="AK65" s="1"/>
  <c r="BJ63"/>
  <c r="BF63"/>
  <c r="BD63"/>
  <c r="AX63"/>
  <c r="AP63"/>
  <c r="BI63" s="1"/>
  <c r="AC63" s="1"/>
  <c r="AO63"/>
  <c r="AW63" s="1"/>
  <c r="AL63"/>
  <c r="AK63"/>
  <c r="AJ63"/>
  <c r="AH63"/>
  <c r="AG63"/>
  <c r="AF63"/>
  <c r="AE63"/>
  <c r="AD63"/>
  <c r="Z63"/>
  <c r="H63"/>
  <c r="H61" s="1"/>
  <c r="BJ62"/>
  <c r="BF62"/>
  <c r="BD62"/>
  <c r="AW62"/>
  <c r="AP62"/>
  <c r="BI62" s="1"/>
  <c r="AC62" s="1"/>
  <c r="AO62"/>
  <c r="BH62" s="1"/>
  <c r="AB62" s="1"/>
  <c r="AL62"/>
  <c r="AJ62"/>
  <c r="AH62"/>
  <c r="AG62"/>
  <c r="AF62"/>
  <c r="AE62"/>
  <c r="AD62"/>
  <c r="Z62"/>
  <c r="H62"/>
  <c r="AK62" s="1"/>
  <c r="AS61"/>
  <c r="BJ59"/>
  <c r="BF59"/>
  <c r="BD59"/>
  <c r="AX59"/>
  <c r="AP59"/>
  <c r="BI59" s="1"/>
  <c r="AC59" s="1"/>
  <c r="AO59"/>
  <c r="BH59" s="1"/>
  <c r="AB59" s="1"/>
  <c r="AL59"/>
  <c r="AJ59"/>
  <c r="AH59"/>
  <c r="AG59"/>
  <c r="AF59"/>
  <c r="AE59"/>
  <c r="AD59"/>
  <c r="Z59"/>
  <c r="H59"/>
  <c r="AK59" s="1"/>
  <c r="BJ57"/>
  <c r="BF57"/>
  <c r="BD57"/>
  <c r="AW57"/>
  <c r="BC57" s="1"/>
  <c r="AP57"/>
  <c r="AX57" s="1"/>
  <c r="AO57"/>
  <c r="BH57" s="1"/>
  <c r="AB57" s="1"/>
  <c r="AL57"/>
  <c r="AU53" s="1"/>
  <c r="AJ57"/>
  <c r="AH57"/>
  <c r="AG57"/>
  <c r="AF57"/>
  <c r="AE57"/>
  <c r="AD57"/>
  <c r="Z57"/>
  <c r="H57"/>
  <c r="AK57" s="1"/>
  <c r="BJ56"/>
  <c r="BF56"/>
  <c r="BD56"/>
  <c r="AX56"/>
  <c r="AP56"/>
  <c r="BI56" s="1"/>
  <c r="AC56" s="1"/>
  <c r="AO56"/>
  <c r="AW56" s="1"/>
  <c r="AL56"/>
  <c r="AK56"/>
  <c r="AJ56"/>
  <c r="AH56"/>
  <c r="AG56"/>
  <c r="AF56"/>
  <c r="AE56"/>
  <c r="AD56"/>
  <c r="Z56"/>
  <c r="H56"/>
  <c r="H53" s="1"/>
  <c r="BJ54"/>
  <c r="BF54"/>
  <c r="BD54"/>
  <c r="AW54"/>
  <c r="AP54"/>
  <c r="BI54" s="1"/>
  <c r="AC54" s="1"/>
  <c r="AO54"/>
  <c r="BH54" s="1"/>
  <c r="AB54" s="1"/>
  <c r="AL54"/>
  <c r="AJ54"/>
  <c r="AH54"/>
  <c r="AG54"/>
  <c r="AF54"/>
  <c r="AE54"/>
  <c r="AD54"/>
  <c r="Z54"/>
  <c r="H54"/>
  <c r="AK54" s="1"/>
  <c r="AS53"/>
  <c r="BJ52"/>
  <c r="BF52"/>
  <c r="BD52"/>
  <c r="AX52"/>
  <c r="AP52"/>
  <c r="BI52" s="1"/>
  <c r="AC52" s="1"/>
  <c r="AO52"/>
  <c r="AW52" s="1"/>
  <c r="AL52"/>
  <c r="AJ52"/>
  <c r="AH52"/>
  <c r="AG52"/>
  <c r="AF52"/>
  <c r="AE52"/>
  <c r="AD52"/>
  <c r="Z52"/>
  <c r="H52"/>
  <c r="AK52" s="1"/>
  <c r="BJ49"/>
  <c r="BF49"/>
  <c r="BD49"/>
  <c r="AW49"/>
  <c r="AP49"/>
  <c r="AX49" s="1"/>
  <c r="AO49"/>
  <c r="BH49" s="1"/>
  <c r="AB49" s="1"/>
  <c r="AL49"/>
  <c r="AU46" s="1"/>
  <c r="AJ49"/>
  <c r="AS46" s="1"/>
  <c r="AH49"/>
  <c r="AG49"/>
  <c r="AF49"/>
  <c r="AE49"/>
  <c r="AD49"/>
  <c r="Z49"/>
  <c r="H49"/>
  <c r="AK49" s="1"/>
  <c r="BJ47"/>
  <c r="BF47"/>
  <c r="BD47"/>
  <c r="AX47"/>
  <c r="AP47"/>
  <c r="BI47" s="1"/>
  <c r="AC47" s="1"/>
  <c r="AO47"/>
  <c r="AW47" s="1"/>
  <c r="AL47"/>
  <c r="AK47"/>
  <c r="AJ47"/>
  <c r="AH47"/>
  <c r="AG47"/>
  <c r="AF47"/>
  <c r="AE47"/>
  <c r="AD47"/>
  <c r="Z47"/>
  <c r="H47"/>
  <c r="BJ43"/>
  <c r="BF43"/>
  <c r="BD43"/>
  <c r="AW43"/>
  <c r="AP43"/>
  <c r="AX43" s="1"/>
  <c r="BC43" s="1"/>
  <c r="AO43"/>
  <c r="BH43" s="1"/>
  <c r="AB43" s="1"/>
  <c r="AL43"/>
  <c r="AJ43"/>
  <c r="AH43"/>
  <c r="AG43"/>
  <c r="AF43"/>
  <c r="AE43"/>
  <c r="AD43"/>
  <c r="Z43"/>
  <c r="H43"/>
  <c r="AK43" s="1"/>
  <c r="BJ41"/>
  <c r="BF41"/>
  <c r="BD41"/>
  <c r="AX41"/>
  <c r="AP41"/>
  <c r="BI41" s="1"/>
  <c r="AC41" s="1"/>
  <c r="AO41"/>
  <c r="BH41" s="1"/>
  <c r="AB41" s="1"/>
  <c r="AL41"/>
  <c r="AJ41"/>
  <c r="AH41"/>
  <c r="AG41"/>
  <c r="AF41"/>
  <c r="AE41"/>
  <c r="AD41"/>
  <c r="Z41"/>
  <c r="H41"/>
  <c r="AK41" s="1"/>
  <c r="BJ39"/>
  <c r="BF39"/>
  <c r="BD39"/>
  <c r="AW39"/>
  <c r="BC39" s="1"/>
  <c r="AP39"/>
  <c r="AX39" s="1"/>
  <c r="AO39"/>
  <c r="BH39" s="1"/>
  <c r="AB39" s="1"/>
  <c r="AL39"/>
  <c r="AJ39"/>
  <c r="AH39"/>
  <c r="AG39"/>
  <c r="AF39"/>
  <c r="AE39"/>
  <c r="AD39"/>
  <c r="Z39"/>
  <c r="H39"/>
  <c r="AK39" s="1"/>
  <c r="BJ38"/>
  <c r="BF38"/>
  <c r="BD38"/>
  <c r="AX38"/>
  <c r="AP38"/>
  <c r="BI38" s="1"/>
  <c r="AC38" s="1"/>
  <c r="AO38"/>
  <c r="AW38" s="1"/>
  <c r="AL38"/>
  <c r="AK38"/>
  <c r="AJ38"/>
  <c r="AH38"/>
  <c r="AG38"/>
  <c r="AF38"/>
  <c r="AE38"/>
  <c r="AD38"/>
  <c r="Z38"/>
  <c r="H38"/>
  <c r="BJ36"/>
  <c r="BF36"/>
  <c r="BD36"/>
  <c r="AW36"/>
  <c r="AP36"/>
  <c r="AX36" s="1"/>
  <c r="BC36" s="1"/>
  <c r="AO36"/>
  <c r="BH36" s="1"/>
  <c r="AB36" s="1"/>
  <c r="AL36"/>
  <c r="AJ36"/>
  <c r="AH36"/>
  <c r="AG36"/>
  <c r="AF36"/>
  <c r="AE36"/>
  <c r="AD36"/>
  <c r="Z36"/>
  <c r="H36"/>
  <c r="AK36" s="1"/>
  <c r="BJ31"/>
  <c r="BF31"/>
  <c r="BD31"/>
  <c r="AX31"/>
  <c r="AP31"/>
  <c r="BI31" s="1"/>
  <c r="AC31" s="1"/>
  <c r="AO31"/>
  <c r="BH31" s="1"/>
  <c r="AB31" s="1"/>
  <c r="AL31"/>
  <c r="AJ31"/>
  <c r="AH31"/>
  <c r="AG31"/>
  <c r="AF31"/>
  <c r="AE31"/>
  <c r="AD31"/>
  <c r="Z31"/>
  <c r="H31"/>
  <c r="AK31" s="1"/>
  <c r="BJ24"/>
  <c r="BF24"/>
  <c r="BD24"/>
  <c r="AW24"/>
  <c r="BC24" s="1"/>
  <c r="AP24"/>
  <c r="AX24" s="1"/>
  <c r="AO24"/>
  <c r="BH24" s="1"/>
  <c r="AB24" s="1"/>
  <c r="AL24"/>
  <c r="AJ24"/>
  <c r="AH24"/>
  <c r="AG24"/>
  <c r="AF24"/>
  <c r="AE24"/>
  <c r="AD24"/>
  <c r="Z24"/>
  <c r="H24"/>
  <c r="AK24" s="1"/>
  <c r="BJ23"/>
  <c r="BF23"/>
  <c r="BD23"/>
  <c r="AX23"/>
  <c r="AP23"/>
  <c r="BI23" s="1"/>
  <c r="AC23" s="1"/>
  <c r="AO23"/>
  <c r="AW23" s="1"/>
  <c r="AL23"/>
  <c r="AK23"/>
  <c r="AJ23"/>
  <c r="AH23"/>
  <c r="AG23"/>
  <c r="AF23"/>
  <c r="AE23"/>
  <c r="AD23"/>
  <c r="Z23"/>
  <c r="H23"/>
  <c r="BJ22"/>
  <c r="BF22"/>
  <c r="BD22"/>
  <c r="AW22"/>
  <c r="AP22"/>
  <c r="BI22" s="1"/>
  <c r="AC22" s="1"/>
  <c r="AO22"/>
  <c r="BH22" s="1"/>
  <c r="AB22" s="1"/>
  <c r="AL22"/>
  <c r="AJ22"/>
  <c r="AS17" s="1"/>
  <c r="AH22"/>
  <c r="AG22"/>
  <c r="AF22"/>
  <c r="AE22"/>
  <c r="AD22"/>
  <c r="Z22"/>
  <c r="H22"/>
  <c r="AK22" s="1"/>
  <c r="BJ20"/>
  <c r="BF20"/>
  <c r="BD20"/>
  <c r="AX20"/>
  <c r="AP20"/>
  <c r="BI20" s="1"/>
  <c r="AC20" s="1"/>
  <c r="AO20"/>
  <c r="BH20" s="1"/>
  <c r="AB20" s="1"/>
  <c r="AL20"/>
  <c r="AJ20"/>
  <c r="AH20"/>
  <c r="AG20"/>
  <c r="AF20"/>
  <c r="AE20"/>
  <c r="AD20"/>
  <c r="Z20"/>
  <c r="H20"/>
  <c r="H17" s="1"/>
  <c r="BJ18"/>
  <c r="BF18"/>
  <c r="BD18"/>
  <c r="AW18"/>
  <c r="BC18" s="1"/>
  <c r="AP18"/>
  <c r="AX18" s="1"/>
  <c r="AO18"/>
  <c r="BH18" s="1"/>
  <c r="AB18" s="1"/>
  <c r="AL18"/>
  <c r="C29" i="1" s="1"/>
  <c r="F29" s="1"/>
  <c r="AJ18" i="3"/>
  <c r="C27" i="1" s="1"/>
  <c r="AH18" i="3"/>
  <c r="AG18"/>
  <c r="AF18"/>
  <c r="AE18"/>
  <c r="AD18"/>
  <c r="Z18"/>
  <c r="H18"/>
  <c r="AK18" s="1"/>
  <c r="AU17"/>
  <c r="BJ14"/>
  <c r="BF14"/>
  <c r="BD14"/>
  <c r="AX14"/>
  <c r="AP14"/>
  <c r="BI14" s="1"/>
  <c r="AC14" s="1"/>
  <c r="AO14"/>
  <c r="AW14" s="1"/>
  <c r="AL14"/>
  <c r="AK14"/>
  <c r="AJ14"/>
  <c r="AH14"/>
  <c r="C20" i="1" s="1"/>
  <c r="AG14" i="3"/>
  <c r="AF14"/>
  <c r="AE14"/>
  <c r="AD14"/>
  <c r="Z14"/>
  <c r="H14"/>
  <c r="AU13"/>
  <c r="AT13"/>
  <c r="AS13"/>
  <c r="H13"/>
  <c r="AU1"/>
  <c r="AT1"/>
  <c r="AS1"/>
  <c r="I44" i="2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I45" s="1"/>
  <c r="I24" i="1" s="1"/>
  <c r="F35" i="2"/>
  <c r="I26"/>
  <c r="I25"/>
  <c r="I24"/>
  <c r="I23"/>
  <c r="I22"/>
  <c r="I15" i="1" s="1"/>
  <c r="I21" i="2"/>
  <c r="I27" s="1"/>
  <c r="I18"/>
  <c r="F29" s="1"/>
  <c r="I17"/>
  <c r="I16"/>
  <c r="I15"/>
  <c r="I10"/>
  <c r="F10"/>
  <c r="C10"/>
  <c r="F8"/>
  <c r="C8"/>
  <c r="F6"/>
  <c r="C6"/>
  <c r="F4"/>
  <c r="C4"/>
  <c r="F2"/>
  <c r="C2"/>
  <c r="F22" i="1"/>
  <c r="I19"/>
  <c r="I18"/>
  <c r="I17"/>
  <c r="I16"/>
  <c r="F16"/>
  <c r="F15"/>
  <c r="I14"/>
  <c r="F14"/>
  <c r="I10"/>
  <c r="F10"/>
  <c r="C10"/>
  <c r="F8"/>
  <c r="C8"/>
  <c r="F6"/>
  <c r="C6"/>
  <c r="F4"/>
  <c r="C4"/>
  <c r="F2"/>
  <c r="C2"/>
  <c r="BC47" i="3" l="1"/>
  <c r="AV47"/>
  <c r="BC38"/>
  <c r="AV38"/>
  <c r="AV23"/>
  <c r="BC23"/>
  <c r="BC52"/>
  <c r="AV52"/>
  <c r="AV56"/>
  <c r="BC56"/>
  <c r="BC67"/>
  <c r="AV67"/>
  <c r="AV71"/>
  <c r="BC71"/>
  <c r="I22" i="1"/>
  <c r="C21"/>
  <c r="AV43" i="3"/>
  <c r="AT46"/>
  <c r="AV62"/>
  <c r="AV14"/>
  <c r="BC14"/>
  <c r="AV63"/>
  <c r="BC63"/>
  <c r="BC74"/>
  <c r="AV74"/>
  <c r="AV54"/>
  <c r="AT61"/>
  <c r="C18" i="1"/>
  <c r="AV36" i="3"/>
  <c r="BC49"/>
  <c r="AT53"/>
  <c r="BC65"/>
  <c r="BC72"/>
  <c r="AT156"/>
  <c r="H87"/>
  <c r="AK89"/>
  <c r="AT87" s="1"/>
  <c r="H114"/>
  <c r="H12" s="1"/>
  <c r="AK116"/>
  <c r="AT114" s="1"/>
  <c r="BC225"/>
  <c r="AV225"/>
  <c r="BC242"/>
  <c r="AV242"/>
  <c r="BC248"/>
  <c r="AV248"/>
  <c r="BC80"/>
  <c r="AV80"/>
  <c r="BC115"/>
  <c r="AV115"/>
  <c r="BC119"/>
  <c r="AV119"/>
  <c r="BC123"/>
  <c r="AV123"/>
  <c r="BC132"/>
  <c r="AV132"/>
  <c r="BC137"/>
  <c r="AV137"/>
  <c r="BC141"/>
  <c r="AV141"/>
  <c r="BC145"/>
  <c r="AV145"/>
  <c r="BC149"/>
  <c r="AV149"/>
  <c r="BC153"/>
  <c r="AV153"/>
  <c r="BC163"/>
  <c r="AV163"/>
  <c r="BC167"/>
  <c r="AV167"/>
  <c r="BC173"/>
  <c r="AV173"/>
  <c r="BC198"/>
  <c r="AV198"/>
  <c r="BC236"/>
  <c r="AV236"/>
  <c r="BI36"/>
  <c r="AC36" s="1"/>
  <c r="BI43"/>
  <c r="AC43" s="1"/>
  <c r="BH52"/>
  <c r="AB52" s="1"/>
  <c r="BH67"/>
  <c r="AB67" s="1"/>
  <c r="BH74"/>
  <c r="BI214"/>
  <c r="AE214" s="1"/>
  <c r="BI240"/>
  <c r="AG240" s="1"/>
  <c r="C19" i="1" s="1"/>
  <c r="H244" i="3"/>
  <c r="AV18"/>
  <c r="AW20"/>
  <c r="AX22"/>
  <c r="BC22" s="1"/>
  <c r="AV24"/>
  <c r="AW31"/>
  <c r="AV39"/>
  <c r="AW41"/>
  <c r="AV49"/>
  <c r="AX54"/>
  <c r="BC54" s="1"/>
  <c r="AV57"/>
  <c r="AW59"/>
  <c r="AX62"/>
  <c r="BC62" s="1"/>
  <c r="AV65"/>
  <c r="AX69"/>
  <c r="BC69" s="1"/>
  <c r="AV72"/>
  <c r="AV75"/>
  <c r="BC77"/>
  <c r="BC82"/>
  <c r="BI86"/>
  <c r="AV88"/>
  <c r="BC104"/>
  <c r="AW105"/>
  <c r="BC106"/>
  <c r="BC107"/>
  <c r="BI112"/>
  <c r="AE112" s="1"/>
  <c r="BC113"/>
  <c r="BH116"/>
  <c r="AD116" s="1"/>
  <c r="BH120"/>
  <c r="AD120" s="1"/>
  <c r="BH124"/>
  <c r="AD124" s="1"/>
  <c r="BH133"/>
  <c r="AD133" s="1"/>
  <c r="BH138"/>
  <c r="AD138" s="1"/>
  <c r="BH142"/>
  <c r="AD142" s="1"/>
  <c r="BH146"/>
  <c r="AD146" s="1"/>
  <c r="BH150"/>
  <c r="AD150" s="1"/>
  <c r="BH154"/>
  <c r="AD154" s="1"/>
  <c r="H159"/>
  <c r="BI182"/>
  <c r="AE182" s="1"/>
  <c r="AT189"/>
  <c r="AV214"/>
  <c r="AT226"/>
  <c r="AV240"/>
  <c r="BC129"/>
  <c r="AV129"/>
  <c r="BC116"/>
  <c r="AV116"/>
  <c r="BC120"/>
  <c r="AV120"/>
  <c r="BC124"/>
  <c r="AV124"/>
  <c r="BC133"/>
  <c r="AV133"/>
  <c r="BC138"/>
  <c r="AV138"/>
  <c r="BC142"/>
  <c r="AV142"/>
  <c r="BC146"/>
  <c r="AV146"/>
  <c r="BC150"/>
  <c r="AV150"/>
  <c r="BC154"/>
  <c r="AV154"/>
  <c r="BC158"/>
  <c r="AV158"/>
  <c r="BC160"/>
  <c r="AV160"/>
  <c r="BC164"/>
  <c r="AV164"/>
  <c r="BC168"/>
  <c r="AV168"/>
  <c r="BC174"/>
  <c r="AV174"/>
  <c r="BC203"/>
  <c r="AV203"/>
  <c r="BC217"/>
  <c r="AV217"/>
  <c r="BC239"/>
  <c r="AV239"/>
  <c r="BC246"/>
  <c r="AV246"/>
  <c r="BH14"/>
  <c r="AB14" s="1"/>
  <c r="BH38"/>
  <c r="AB38" s="1"/>
  <c r="BI39"/>
  <c r="AC39" s="1"/>
  <c r="H46"/>
  <c r="H249" s="1"/>
  <c r="BH47"/>
  <c r="AB47" s="1"/>
  <c r="BI49"/>
  <c r="AC49" s="1"/>
  <c r="BH56"/>
  <c r="AB56" s="1"/>
  <c r="BI57"/>
  <c r="AC57" s="1"/>
  <c r="BH63"/>
  <c r="AB63" s="1"/>
  <c r="BI65"/>
  <c r="AC65" s="1"/>
  <c r="BH71"/>
  <c r="BI72"/>
  <c r="BI75"/>
  <c r="BC78"/>
  <c r="BH82"/>
  <c r="AV102"/>
  <c r="BH106"/>
  <c r="AD106" s="1"/>
  <c r="AV111"/>
  <c r="BC117"/>
  <c r="BC121"/>
  <c r="BI125"/>
  <c r="BC127"/>
  <c r="H126"/>
  <c r="AU126"/>
  <c r="BC134"/>
  <c r="BC139"/>
  <c r="BC143"/>
  <c r="BC147"/>
  <c r="BC151"/>
  <c r="BI155"/>
  <c r="BC161"/>
  <c r="BC165"/>
  <c r="BC170"/>
  <c r="BI175"/>
  <c r="BC177"/>
  <c r="AS176"/>
  <c r="AV182"/>
  <c r="BC183"/>
  <c r="BC190"/>
  <c r="BC204"/>
  <c r="H208"/>
  <c r="BC220"/>
  <c r="BC222"/>
  <c r="BC227"/>
  <c r="H247"/>
  <c r="BC89"/>
  <c r="AV89"/>
  <c r="BC180"/>
  <c r="AV180"/>
  <c r="H99"/>
  <c r="AK101"/>
  <c r="AT99" s="1"/>
  <c r="BC128"/>
  <c r="AV128"/>
  <c r="BC178"/>
  <c r="AV178"/>
  <c r="BC187"/>
  <c r="AV187"/>
  <c r="BC188"/>
  <c r="AV188"/>
  <c r="BC207"/>
  <c r="AV207"/>
  <c r="BC209"/>
  <c r="AV209"/>
  <c r="BC218"/>
  <c r="AV218"/>
  <c r="BC224"/>
  <c r="AV224"/>
  <c r="BC243"/>
  <c r="AV243"/>
  <c r="BI18"/>
  <c r="AC18" s="1"/>
  <c r="C15" i="1" s="1"/>
  <c r="AK20" i="3"/>
  <c r="C28" i="1" s="1"/>
  <c r="BH23" i="3"/>
  <c r="AB23" s="1"/>
  <c r="BI24"/>
  <c r="AC24" s="1"/>
  <c r="AV78"/>
  <c r="AV94"/>
  <c r="BC100"/>
  <c r="AW101"/>
  <c r="BC102"/>
  <c r="AW109"/>
  <c r="BC111"/>
  <c r="BI117"/>
  <c r="AE117" s="1"/>
  <c r="BI121"/>
  <c r="AE121" s="1"/>
  <c r="AV125"/>
  <c r="BH129"/>
  <c r="AD129" s="1"/>
  <c r="BC130"/>
  <c r="BI134"/>
  <c r="AE134" s="1"/>
  <c r="BI139"/>
  <c r="AE139" s="1"/>
  <c r="BI143"/>
  <c r="AE143" s="1"/>
  <c r="BI147"/>
  <c r="AE147" s="1"/>
  <c r="BI151"/>
  <c r="AE151" s="1"/>
  <c r="AV155"/>
  <c r="BI161"/>
  <c r="AE161" s="1"/>
  <c r="BI165"/>
  <c r="AE165" s="1"/>
  <c r="BI170"/>
  <c r="AE170" s="1"/>
  <c r="AV175"/>
  <c r="BH180"/>
  <c r="AD180" s="1"/>
  <c r="BI190"/>
  <c r="AE190" s="1"/>
  <c r="BI204"/>
  <c r="AE204" s="1"/>
  <c r="BC214"/>
  <c r="BI220"/>
  <c r="BH225"/>
  <c r="AD225" s="1"/>
  <c r="BI227"/>
  <c r="AE227" s="1"/>
  <c r="AT238"/>
  <c r="BC240"/>
  <c r="BH248"/>
  <c r="BH77"/>
  <c r="BI78"/>
  <c r="BH86"/>
  <c r="BI88"/>
  <c r="AE88" s="1"/>
  <c r="BH98"/>
  <c r="BI100"/>
  <c r="AE100" s="1"/>
  <c r="C17" i="1" s="1"/>
  <c r="BH103" i="3"/>
  <c r="AD103" s="1"/>
  <c r="C16" i="1" s="1"/>
  <c r="BI104" i="3"/>
  <c r="AE104" s="1"/>
  <c r="BH107"/>
  <c r="AD107" s="1"/>
  <c r="BI108"/>
  <c r="AE108" s="1"/>
  <c r="BH112"/>
  <c r="AD112" s="1"/>
  <c r="BI113"/>
  <c r="BH117"/>
  <c r="AD117" s="1"/>
  <c r="BI118"/>
  <c r="AE118" s="1"/>
  <c r="BH121"/>
  <c r="AD121" s="1"/>
  <c r="BI122"/>
  <c r="AE122" s="1"/>
  <c r="BH125"/>
  <c r="BI127"/>
  <c r="AE127" s="1"/>
  <c r="AK128"/>
  <c r="AT126" s="1"/>
  <c r="BH134"/>
  <c r="AD134" s="1"/>
  <c r="BI135"/>
  <c r="AE135" s="1"/>
  <c r="BH139"/>
  <c r="AD139" s="1"/>
  <c r="BI140"/>
  <c r="AE140" s="1"/>
  <c r="BH143"/>
  <c r="AD143" s="1"/>
  <c r="BI144"/>
  <c r="AE144" s="1"/>
  <c r="BH147"/>
  <c r="AD147" s="1"/>
  <c r="BI148"/>
  <c r="AE148" s="1"/>
  <c r="BH151"/>
  <c r="AD151" s="1"/>
  <c r="BI152"/>
  <c r="AE152" s="1"/>
  <c r="BH155"/>
  <c r="BI157"/>
  <c r="AE157" s="1"/>
  <c r="AK158"/>
  <c r="BH161"/>
  <c r="AD161" s="1"/>
  <c r="BI162"/>
  <c r="AE162" s="1"/>
  <c r="BH165"/>
  <c r="AD165" s="1"/>
  <c r="BI166"/>
  <c r="AE166" s="1"/>
  <c r="BH170"/>
  <c r="AD170" s="1"/>
  <c r="BI172"/>
  <c r="AE172" s="1"/>
  <c r="BH175"/>
  <c r="BI177"/>
  <c r="AE177" s="1"/>
  <c r="AK178"/>
  <c r="AT176" s="1"/>
  <c r="BH182"/>
  <c r="AD182" s="1"/>
  <c r="BI183"/>
  <c r="AE183" s="1"/>
  <c r="H189"/>
  <c r="BH190"/>
  <c r="AD190" s="1"/>
  <c r="BI194"/>
  <c r="AE194" s="1"/>
  <c r="BH204"/>
  <c r="AD204" s="1"/>
  <c r="BI205"/>
  <c r="AE205" s="1"/>
  <c r="BH214"/>
  <c r="AD214" s="1"/>
  <c r="BI215"/>
  <c r="AE215" s="1"/>
  <c r="BH220"/>
  <c r="BI222"/>
  <c r="AE222" s="1"/>
  <c r="AK224"/>
  <c r="AT221" s="1"/>
  <c r="BH227"/>
  <c r="AD227" s="1"/>
  <c r="BI235"/>
  <c r="AE235" s="1"/>
  <c r="BH240"/>
  <c r="AF240" s="1"/>
  <c r="BI241"/>
  <c r="AG241" s="1"/>
  <c r="BI242"/>
  <c r="AG242" s="1"/>
  <c r="F28" i="1" l="1"/>
  <c r="I28"/>
  <c r="BC105" i="3"/>
  <c r="AV105"/>
  <c r="BC20"/>
  <c r="AV20"/>
  <c r="BC109"/>
  <c r="AV109"/>
  <c r="BC41"/>
  <c r="AV41"/>
  <c r="C14" i="1"/>
  <c r="C22" s="1"/>
  <c r="AV69" i="3"/>
  <c r="AT17"/>
  <c r="BC59"/>
  <c r="AV59"/>
  <c r="BC101"/>
  <c r="AV101"/>
  <c r="BC31"/>
  <c r="AV31"/>
  <c r="AV22"/>
  <c r="I29" i="1" l="1"/>
</calcChain>
</file>

<file path=xl/sharedStrings.xml><?xml version="1.0" encoding="utf-8"?>
<sst xmlns="http://schemas.openxmlformats.org/spreadsheetml/2006/main" count="1942" uniqueCount="681">
  <si>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</si>
  <si>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</si>
  <si>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</si>
  <si>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</si>
  <si>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</si>
  <si>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</si>
  <si>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</si>
  <si>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</si>
  <si>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</si>
  <si>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</si>
  <si>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</si>
  <si>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</si>
  <si>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</si>
  <si>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</si>
  <si>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</si>
  <si>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</si>
  <si>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</si>
  <si>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</si>
  <si>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</si>
  <si>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</si>
  <si>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</si>
  <si>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</si>
  <si>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</si>
  <si>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</si>
  <si>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</si>
  <si>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</si>
  <si>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</si>
  <si>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</si>
  <si>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</si>
  <si>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</si>
  <si>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</si>
  <si>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</si>
  <si>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</si>
  <si>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</si>
  <si>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</si>
  <si>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</si>
  <si>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</si>
  <si>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</si>
  <si>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</si>
  <si>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</si>
  <si>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</si>
  <si>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</si>
  <si>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</si>
  <si>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</si>
  <si>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</si>
  <si>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</si>
  <si>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</si>
  <si>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</si>
  <si>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</si>
  <si>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</si>
  <si>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</si>
  <si>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</si>
  <si>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</si>
  <si>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</si>
  <si>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</si>
  <si>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</si>
  <si>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</si>
  <si>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 xml:space="preserve">Případné úpravy rozvodů elektroinstalace zajistí objednatel.
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</si>
  <si>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</si>
  <si>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</si>
  <si>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</si>
  <si>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</si>
  <si>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</si>
  <si>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</si>
  <si>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</si>
  <si>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</si>
  <si>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</si>
  <si>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</si>
  <si>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</si>
  <si>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</si>
  <si>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</si>
  <si>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</si>
  <si>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</si>
  <si>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</si>
  <si>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</si>
  <si>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</si>
  <si>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</si>
  <si>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</t>
  </si>
  <si>
    <t>130-2024 Revoluční 1825/11 byt č. 30</t>
  </si>
  <si>
    <t>Doba výstavby:</t>
  </si>
  <si>
    <t xml:space="preserve"> </t>
  </si>
  <si>
    <t> </t>
  </si>
  <si>
    <t>Stavební opravy bytu 1+1</t>
  </si>
  <si>
    <t>Zpracováno dne: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</si>
  <si>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</si>
  <si>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</si>
  <si>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</si>
  <si>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</si>
  <si>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</si>
  <si>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</si>
  <si>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</si>
  <si>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ISWORK</t>
  </si>
  <si>
    <t>GROUPCODE</t>
  </si>
  <si>
    <t>VATTAX</t>
  </si>
  <si>
    <t>Rozměry</t>
  </si>
  <si>
    <t>(Kč)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</si>
  <si>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</si>
  <si>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</si>
  <si>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</si>
  <si>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</si>
  <si>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</si>
  <si>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</si>
  <si>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</si>
  <si>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</si>
  <si>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</si>
  <si>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</si>
  <si>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</si>
  <si>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</si>
  <si>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</si>
  <si>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</si>
  <si>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31</t>
  </si>
  <si>
    <t>Zdi podpěrné a volné</t>
  </si>
  <si>
    <t>1</t>
  </si>
  <si>
    <t>310235251RT2</t>
  </si>
  <si>
    <t>Zazdívka otvorů pl.0,0225 m2 cihlami, tl.zdi 45 cm</t>
  </si>
  <si>
    <t>kus</t>
  </si>
  <si>
    <t>31_</t>
  </si>
  <si>
    <t>_3_</t>
  </si>
  <si>
    <t>_</t>
  </si>
  <si>
    <t>Varianta:</t>
  </si>
  <si>
    <t>s použitím suché maltové směsi</t>
  </si>
  <si>
    <t>2</t>
  </si>
  <si>
    <t>spižní otvory</t>
  </si>
  <si>
    <t>61</t>
  </si>
  <si>
    <t>Úprava povrchů vnitřní</t>
  </si>
  <si>
    <t>611421221R00</t>
  </si>
  <si>
    <t>Oprava váp.omítek stropů do 10% plochy - hladkých</t>
  </si>
  <si>
    <t>m2</t>
  </si>
  <si>
    <t>61_</t>
  </si>
  <si>
    <t>_6_</t>
  </si>
  <si>
    <t>2,96+2,6+8,66+14,53</t>
  </si>
  <si>
    <t>3</t>
  </si>
  <si>
    <t>620991111R00</t>
  </si>
  <si>
    <t>Zakrývání spár panelů páskou</t>
  </si>
  <si>
    <t>m</t>
  </si>
  <si>
    <t>5*5,965</t>
  </si>
  <si>
    <t>4</t>
  </si>
  <si>
    <t>601016191R00</t>
  </si>
  <si>
    <t>Penetrační nátěr stropů</t>
  </si>
  <si>
    <t>5</t>
  </si>
  <si>
    <t>611471411R00</t>
  </si>
  <si>
    <t>Úprava stropů aktivovaným štukem tl. 2 - 3 mm</t>
  </si>
  <si>
    <t>6</t>
  </si>
  <si>
    <t>602016191R00</t>
  </si>
  <si>
    <t>Penetrační nátěr stěn</t>
  </si>
  <si>
    <t>(1,795+1,65)*2*2,6-0,8*2*3</t>
  </si>
  <si>
    <t>stěny  chodba</t>
  </si>
  <si>
    <t>(0,9+0,9)*0,5+(0,675+1,65+1,575+0,75)*0,8</t>
  </si>
  <si>
    <t>koupelna</t>
  </si>
  <si>
    <t>(3,5*2,475)*2*2,6-1,5*1,35-0,8*2*2</t>
  </si>
  <si>
    <t>kuchyň</t>
  </si>
  <si>
    <t>(3,525+4,2)*2*2,6-0,8*2-1,5*1,35</t>
  </si>
  <si>
    <t>pokoj</t>
  </si>
  <si>
    <t>(1,5+1,35*2)*0,2*2</t>
  </si>
  <si>
    <t>ostění otvorů</t>
  </si>
  <si>
    <t>(0,9*2,2*2)*0,35</t>
  </si>
  <si>
    <t>7</t>
  </si>
  <si>
    <t>612421615R00</t>
  </si>
  <si>
    <t>Omítka vnitřní zdiva, MVC, hrubá zatřená</t>
  </si>
  <si>
    <t>(0,9+0,9)*2,1</t>
  </si>
  <si>
    <t>koupelna pod obklady</t>
  </si>
  <si>
    <t>(0,675+1,65+1,575+0,75)*1,8-0,8*1,8</t>
  </si>
  <si>
    <t>(0,6+2,475+0,6)*0,6</t>
  </si>
  <si>
    <t>kuchyň linka</t>
  </si>
  <si>
    <t>(0,2*1,45)*2</t>
  </si>
  <si>
    <t>8</t>
  </si>
  <si>
    <t>612403399R00</t>
  </si>
  <si>
    <t>Hrubá výplň rýh ve stěnách maltou</t>
  </si>
  <si>
    <t>10*0,1</t>
  </si>
  <si>
    <t>po instalacích</t>
  </si>
  <si>
    <t>9</t>
  </si>
  <si>
    <t>612421321R00</t>
  </si>
  <si>
    <t>Oprava vápen.omítek stěn do 30 % pl. - hladkých</t>
  </si>
  <si>
    <t>10</t>
  </si>
  <si>
    <t>612471411RT2</t>
  </si>
  <si>
    <t>Úprava vnitřních stěn aktivovaným štukem</t>
  </si>
  <si>
    <t>11</t>
  </si>
  <si>
    <t>610991111R00</t>
  </si>
  <si>
    <t>Zakrývání výplní vnitřních otvorů</t>
  </si>
  <si>
    <t>1,5*1,35*2</t>
  </si>
  <si>
    <t>okno</t>
  </si>
  <si>
    <t>12</t>
  </si>
  <si>
    <t>648991113RT2</t>
  </si>
  <si>
    <t>Osazení parapet.desek plast. a lamin. š.nad 20cm</t>
  </si>
  <si>
    <t>včetně dodávky plastové parapetní desky š. 250 mm</t>
  </si>
  <si>
    <t>1,5+1,5</t>
  </si>
  <si>
    <t>63</t>
  </si>
  <si>
    <t>Podlahy a podlahové konstrukce</t>
  </si>
  <si>
    <t>13</t>
  </si>
  <si>
    <t>632451441R00</t>
  </si>
  <si>
    <t>Doplnění potěru plochy do 1 m2, tl. 30 - 40 mm</t>
  </si>
  <si>
    <t>63_</t>
  </si>
  <si>
    <t>1,575*1,65</t>
  </si>
  <si>
    <t>14</t>
  </si>
  <si>
    <t>632411110RT2</t>
  </si>
  <si>
    <t>Samonivelační stěrka , ruční zpracování tl. 10 mm</t>
  </si>
  <si>
    <t>samonivelační polymercementová stěrka  30 MPa</t>
  </si>
  <si>
    <t>26,429</t>
  </si>
  <si>
    <t>m.č. 2 - 5</t>
  </si>
  <si>
    <t>15</t>
  </si>
  <si>
    <t>632411904R00</t>
  </si>
  <si>
    <t>Penetrace savých podkladů  0,25 l/m2</t>
  </si>
  <si>
    <t>95</t>
  </si>
  <si>
    <t>Různé dokončovací konstrukce a práce na pozemních stavbách</t>
  </si>
  <si>
    <t>16</t>
  </si>
  <si>
    <t>900      R01</t>
  </si>
  <si>
    <t>HZS - drobné nezměřitelné práce</t>
  </si>
  <si>
    <t>h</t>
  </si>
  <si>
    <t>95_</t>
  </si>
  <si>
    <t>_9_</t>
  </si>
  <si>
    <t>stavební dělník</t>
  </si>
  <si>
    <t>17</t>
  </si>
  <si>
    <t>952901111R00</t>
  </si>
  <si>
    <t>Vyčištění budov o výšce podlaží do 4 m</t>
  </si>
  <si>
    <t>18</t>
  </si>
  <si>
    <t>713582115RT2</t>
  </si>
  <si>
    <t>Revizní dvířka Promat do masivních stěn, 500 x 500 mm</t>
  </si>
  <si>
    <t>typ SP, požární odolnost EI 30</t>
  </si>
  <si>
    <t>19</t>
  </si>
  <si>
    <t>952902110RVV</t>
  </si>
  <si>
    <t>Zametání a vytírání v místnostech, chodbách, na  schodišti</t>
  </si>
  <si>
    <t>KPL.</t>
  </si>
  <si>
    <t xml:space="preserve"> v průběhu rekonstrukce</t>
  </si>
  <si>
    <t>96</t>
  </si>
  <si>
    <t>Bourání konstrukcí</t>
  </si>
  <si>
    <t>20</t>
  </si>
  <si>
    <t>968061125R00</t>
  </si>
  <si>
    <t>Vyvěšení dřevěných dveřních křídel pl. do 2 m2</t>
  </si>
  <si>
    <t>96_</t>
  </si>
  <si>
    <t>21</t>
  </si>
  <si>
    <t>965081713R00</t>
  </si>
  <si>
    <t>Bourání dlažeb keramických tl.10 mm, nad 1 m2</t>
  </si>
  <si>
    <t>1,575*1</t>
  </si>
  <si>
    <t>22</t>
  </si>
  <si>
    <t>965048515R00</t>
  </si>
  <si>
    <t>Broušení betonových povrchů do tl. 5 mm</t>
  </si>
  <si>
    <t>26,425</t>
  </si>
  <si>
    <t>stáv. místnosti, po odstranění PVC</t>
  </si>
  <si>
    <t>23</t>
  </si>
  <si>
    <t>968091001R00</t>
  </si>
  <si>
    <t>Bourání parapetů teracových š. do 30 cm tl.3 cm</t>
  </si>
  <si>
    <t>24</t>
  </si>
  <si>
    <t>978059521R00</t>
  </si>
  <si>
    <t>Odsekání vnitřních obkladů stěn do 2 m2</t>
  </si>
  <si>
    <t>(1,575+1,65)*2*1,8-0,8*1,8</t>
  </si>
  <si>
    <t>25</t>
  </si>
  <si>
    <t>979011111R00</t>
  </si>
  <si>
    <t>Svislá doprava suti a vybour. hmot za 2.NP a 1.PP</t>
  </si>
  <si>
    <t>t</t>
  </si>
  <si>
    <t>26</t>
  </si>
  <si>
    <t>979011121R00</t>
  </si>
  <si>
    <t>Příplatek za každé další podlaží</t>
  </si>
  <si>
    <t>1,724*2</t>
  </si>
  <si>
    <t>27</t>
  </si>
  <si>
    <t>979081111R00</t>
  </si>
  <si>
    <t>Odvoz suti a vybour. hmot na skládku do 1 km</t>
  </si>
  <si>
    <t>28</t>
  </si>
  <si>
    <t>979081121R00</t>
  </si>
  <si>
    <t>Příplatek k odvozu za každý další 1 km</t>
  </si>
  <si>
    <t>1,724*5</t>
  </si>
  <si>
    <t>29</t>
  </si>
  <si>
    <t>979082111R00</t>
  </si>
  <si>
    <t>Vnitrostaveništní doprava suti do 10 m</t>
  </si>
  <si>
    <t>30</t>
  </si>
  <si>
    <t>979082121R00</t>
  </si>
  <si>
    <t>Příplatek k vnitrost. dopravě suti za dalších 5 m</t>
  </si>
  <si>
    <t>1,724*4</t>
  </si>
  <si>
    <t>979990107R00</t>
  </si>
  <si>
    <t>Poplatek za uložení suti - směs betonu, cihel, dřeva, skupina odpadu 170904</t>
  </si>
  <si>
    <t>1,724-0,117</t>
  </si>
  <si>
    <t>32</t>
  </si>
  <si>
    <t>979990181R00</t>
  </si>
  <si>
    <t>Poplatek za uložení suti - PVC podlahová krytina, skupina odpadu 200307</t>
  </si>
  <si>
    <t>26,429*0,0035</t>
  </si>
  <si>
    <t>PVC</t>
  </si>
  <si>
    <t>30,29*0,0008</t>
  </si>
  <si>
    <t>sokl PVC</t>
  </si>
  <si>
    <t>99</t>
  </si>
  <si>
    <t>Staveništní přesun hmot</t>
  </si>
  <si>
    <t>33</t>
  </si>
  <si>
    <t>999281108R00</t>
  </si>
  <si>
    <t>Přesun hmot pro opravy a údržbu do výšky 12 m</t>
  </si>
  <si>
    <t>99_</t>
  </si>
  <si>
    <t>711</t>
  </si>
  <si>
    <t>Izolace proti vodě</t>
  </si>
  <si>
    <t>34</t>
  </si>
  <si>
    <t>711212000R00</t>
  </si>
  <si>
    <t>Penetrace podkladu pod hydroizolační hmoty, včetně dodávky</t>
  </si>
  <si>
    <t>711_</t>
  </si>
  <si>
    <t>_71_</t>
  </si>
  <si>
    <t>35</t>
  </si>
  <si>
    <t>711212002RT3</t>
  </si>
  <si>
    <t>Stěrka hydroizolační, vč. dodávky HI hmoty</t>
  </si>
  <si>
    <t>, tl. 2 mm</t>
  </si>
  <si>
    <t>koupelna podlaha</t>
  </si>
  <si>
    <t>(1,575+1,65)*2*0,3-0,8*0,3</t>
  </si>
  <si>
    <t>sokl</t>
  </si>
  <si>
    <t>(1+1)*2,1</t>
  </si>
  <si>
    <t>sprcha svisle</t>
  </si>
  <si>
    <t>36</t>
  </si>
  <si>
    <t>711212601RT2</t>
  </si>
  <si>
    <t>Utěsnění detailů při stěrkových hydroizolacích, těsnicí pás do spoje podlaha - stěna</t>
  </si>
  <si>
    <t xml:space="preserve"> šířka 100 mm</t>
  </si>
  <si>
    <t>(1,575+1,65)*2-0,8</t>
  </si>
  <si>
    <t>koupelna sokl</t>
  </si>
  <si>
    <t>2,1</t>
  </si>
  <si>
    <t>svisle sprcha</t>
  </si>
  <si>
    <t>37</t>
  </si>
  <si>
    <t>998711102R00</t>
  </si>
  <si>
    <t>Přesun hmot pro izolace proti vodě, výšky do 12 m</t>
  </si>
  <si>
    <t>721</t>
  </si>
  <si>
    <t>Vnitřní kanalizace</t>
  </si>
  <si>
    <t>38</t>
  </si>
  <si>
    <t>721140935R00</t>
  </si>
  <si>
    <t>Provedení opravy - přechod z plastových trub na litinu,DN 100 mm</t>
  </si>
  <si>
    <t>721_</t>
  </si>
  <si>
    <t>_72_</t>
  </si>
  <si>
    <t>39</t>
  </si>
  <si>
    <t>721140802R00</t>
  </si>
  <si>
    <t>Demontáž potrubí litinového do DN 100 mm</t>
  </si>
  <si>
    <t>40</t>
  </si>
  <si>
    <t>721171803R00</t>
  </si>
  <si>
    <t>Demontáž potrubí z PVC do D 75 mm</t>
  </si>
  <si>
    <t>41</t>
  </si>
  <si>
    <t>721176102R00</t>
  </si>
  <si>
    <t>Potrubí HT připojovací, D 40 x 1,8 mm</t>
  </si>
  <si>
    <t>42</t>
  </si>
  <si>
    <t>721176103R00</t>
  </si>
  <si>
    <t>Potrubí HT připojovací, D 50 x 1,8 mm</t>
  </si>
  <si>
    <t>43</t>
  </si>
  <si>
    <t>721176105R00</t>
  </si>
  <si>
    <t>Potrubí HT připojovací, D 110 x 2,7 mm</t>
  </si>
  <si>
    <t>44</t>
  </si>
  <si>
    <t>721176115R00</t>
  </si>
  <si>
    <t>Potrubí HT odpadní svislé, D 110 x 2,7 mm</t>
  </si>
  <si>
    <t>45</t>
  </si>
  <si>
    <t>721194104R00</t>
  </si>
  <si>
    <t>Vyvedení odpadních výpustek, D 40 x 1,8 mm</t>
  </si>
  <si>
    <t>46</t>
  </si>
  <si>
    <t>721194109R00</t>
  </si>
  <si>
    <t>Vyvedení odpadních výpustek, D 110 x 2,3 mm</t>
  </si>
  <si>
    <t>47</t>
  </si>
  <si>
    <t>230120046R00</t>
  </si>
  <si>
    <t>Čištění potrubí profukováním nebo proplach. DN 100</t>
  </si>
  <si>
    <t>1,9+3,2+1</t>
  </si>
  <si>
    <t>48</t>
  </si>
  <si>
    <t>721290111R00</t>
  </si>
  <si>
    <t>Zkouška těsnosti kanalizace vodou DN 125 mm</t>
  </si>
  <si>
    <t>49</t>
  </si>
  <si>
    <t>721176212R00</t>
  </si>
  <si>
    <t>Potrubí KG odpadní svislé, D 110 x 3,2 mm</t>
  </si>
  <si>
    <t>50</t>
  </si>
  <si>
    <t>998721102R00</t>
  </si>
  <si>
    <t>Přesun hmot pro vnitřní kanalizaci, výšky do 12 m</t>
  </si>
  <si>
    <t>722</t>
  </si>
  <si>
    <t>Vnitřní vodovod</t>
  </si>
  <si>
    <t>51</t>
  </si>
  <si>
    <t>722130801R00</t>
  </si>
  <si>
    <t>Demontáž potrubí ocelových závitových, DN 25 mm</t>
  </si>
  <si>
    <t>722_</t>
  </si>
  <si>
    <t>52</t>
  </si>
  <si>
    <t>722130913R00</t>
  </si>
  <si>
    <t>Oprava -  přeřezání ocelové trubky do DN 25 mm</t>
  </si>
  <si>
    <t>53</t>
  </si>
  <si>
    <t>722260921R00</t>
  </si>
  <si>
    <t>Zpětná montáž vodoměrů závitových G 1/2"</t>
  </si>
  <si>
    <t>54</t>
  </si>
  <si>
    <t>722172631R00</t>
  </si>
  <si>
    <t>Potrubí plastové PP-R Instaplast, bez zednických výpomocí, D 20 x 3,4 mm, PN 20</t>
  </si>
  <si>
    <t>55</t>
  </si>
  <si>
    <t>722220111R00</t>
  </si>
  <si>
    <t>Nástěnka K 247, pro výtokový ventil G 1/2"</t>
  </si>
  <si>
    <t>56</t>
  </si>
  <si>
    <t>722220121R00</t>
  </si>
  <si>
    <t>Nástěnka K 247, pro baterii G 1/2"</t>
  </si>
  <si>
    <t>pár</t>
  </si>
  <si>
    <t>57</t>
  </si>
  <si>
    <t>722181214RT8</t>
  </si>
  <si>
    <t>Izolace návleková   tl. stěny 20 mm</t>
  </si>
  <si>
    <t>58</t>
  </si>
  <si>
    <t>722190401R00</t>
  </si>
  <si>
    <t>Vyvedení a upevnění výpustek DN 15 mm</t>
  </si>
  <si>
    <t>59</t>
  </si>
  <si>
    <t>722290234R00</t>
  </si>
  <si>
    <t>Proplach a dezinfekce vodovodního potrubí DN 80 mm</t>
  </si>
  <si>
    <t>60</t>
  </si>
  <si>
    <t>722280106R00</t>
  </si>
  <si>
    <t>Tlaková zkouška vodovodního potrubí DN 32 mm</t>
  </si>
  <si>
    <t>998722102R00</t>
  </si>
  <si>
    <t>Přesun hmot pro vnitřní vodovod, výšky do 12 m</t>
  </si>
  <si>
    <t>725</t>
  </si>
  <si>
    <t>Zařizovací předměty</t>
  </si>
  <si>
    <t>62</t>
  </si>
  <si>
    <t>725110811R00</t>
  </si>
  <si>
    <t>Demontáž klozetů splachovacích</t>
  </si>
  <si>
    <t>soubor</t>
  </si>
  <si>
    <t>725_</t>
  </si>
  <si>
    <t>725210821R00</t>
  </si>
  <si>
    <t>Demontáž umyvadel bez výtokových armatur</t>
  </si>
  <si>
    <t>64</t>
  </si>
  <si>
    <t>725840850R00</t>
  </si>
  <si>
    <t>Demontáž baterie sprchové diferenciální G 3/4" x 1"</t>
  </si>
  <si>
    <t>65</t>
  </si>
  <si>
    <t>725820802R00</t>
  </si>
  <si>
    <t>Demontáž baterie stojánkové do 1 otvoru</t>
  </si>
  <si>
    <t>66</t>
  </si>
  <si>
    <t>725860811R00</t>
  </si>
  <si>
    <t>Demontáž uzávěrek zápachových jednoduchých</t>
  </si>
  <si>
    <t>67</t>
  </si>
  <si>
    <t>725240812R00</t>
  </si>
  <si>
    <t>Demontáž sprchových mís bez výtokových armatur</t>
  </si>
  <si>
    <t>68</t>
  </si>
  <si>
    <t>725820801R00</t>
  </si>
  <si>
    <t>Demontáž baterie nástěnné do G 3/4"</t>
  </si>
  <si>
    <t>69</t>
  </si>
  <si>
    <t>70</t>
  </si>
  <si>
    <t>725991811R00</t>
  </si>
  <si>
    <t>Demontáž konzol jednoduchých</t>
  </si>
  <si>
    <t>konzola na závěs do sprchy</t>
  </si>
  <si>
    <t>71</t>
  </si>
  <si>
    <t>725219401R00</t>
  </si>
  <si>
    <t>Montáž umyvadel na šrouby do zdiva</t>
  </si>
  <si>
    <t>72</t>
  </si>
  <si>
    <t>725017162R00</t>
  </si>
  <si>
    <t>Umyvadlo na šrouby   550 x 450 mm, bílé</t>
  </si>
  <si>
    <t>73</t>
  </si>
  <si>
    <t>725860213R00</t>
  </si>
  <si>
    <t>Sifon podomítkový umyvadlový HL 132, D32,  40 mm</t>
  </si>
  <si>
    <t>74</t>
  </si>
  <si>
    <t>725860107R00</t>
  </si>
  <si>
    <t>Uzávěrka zápachová umyvadlová T 1015, D 40 mm</t>
  </si>
  <si>
    <t>75</t>
  </si>
  <si>
    <t>725829301R00</t>
  </si>
  <si>
    <t>Montáž baterie nástěnná u umyvadla koupelna</t>
  </si>
  <si>
    <t>76</t>
  </si>
  <si>
    <t>725849201R00</t>
  </si>
  <si>
    <t>Montáž baterií sprchových, pevná výška</t>
  </si>
  <si>
    <t>77</t>
  </si>
  <si>
    <t>725860181RT1</t>
  </si>
  <si>
    <t>Sifon pračkový HL404.1, D 40/50 mm nerezový</t>
  </si>
  <si>
    <t>78</t>
  </si>
  <si>
    <t>725860222R00</t>
  </si>
  <si>
    <t>Sifon sprchový PP HL514SN, D 40/50 mm</t>
  </si>
  <si>
    <t>79</t>
  </si>
  <si>
    <t>725810402R00</t>
  </si>
  <si>
    <t>Ventil rohový bez přípojovací trubičky TE 66 G 1/2"</t>
  </si>
  <si>
    <t>80</t>
  </si>
  <si>
    <t>725249102R00</t>
  </si>
  <si>
    <t>Montáž sprchových mís a vaniček</t>
  </si>
  <si>
    <t>81</t>
  </si>
  <si>
    <t>725825111R00</t>
  </si>
  <si>
    <t>Baterie umyvadlová nástěnná ruční</t>
  </si>
  <si>
    <t>82</t>
  </si>
  <si>
    <t>725823114R00</t>
  </si>
  <si>
    <t>Baterie dřezová stojánková ruční, bez otvírání odpadu</t>
  </si>
  <si>
    <t>83</t>
  </si>
  <si>
    <t>725845111R00</t>
  </si>
  <si>
    <t>Baterie sprchová nástěnná ruční,</t>
  </si>
  <si>
    <t>84</t>
  </si>
  <si>
    <t>725814125R00</t>
  </si>
  <si>
    <t>Ventil pračkový  DN 20 mm</t>
  </si>
  <si>
    <t>85</t>
  </si>
  <si>
    <t>725119305R00</t>
  </si>
  <si>
    <t>Montáž klozetových mís kombinovaných</t>
  </si>
  <si>
    <t>86</t>
  </si>
  <si>
    <t>725013161R00</t>
  </si>
  <si>
    <t>Klozet kombi , nádrž s armaturou, odpad šikmý</t>
  </si>
  <si>
    <t>87</t>
  </si>
  <si>
    <t>55423038.A</t>
  </si>
  <si>
    <t>Sprchová vanička čtvrt kruh  900 x 900 mm  - dle vzorkování</t>
  </si>
  <si>
    <t>88</t>
  </si>
  <si>
    <t>55428097.A</t>
  </si>
  <si>
    <t>Sprchová zástěna čtvrtkruhový , 900 x 900 mm - dle vzorkování</t>
  </si>
  <si>
    <t>89</t>
  </si>
  <si>
    <t>998725102R00</t>
  </si>
  <si>
    <t>Přesun hmot pro zařizovací předměty, výšky do 12 m</t>
  </si>
  <si>
    <t>735</t>
  </si>
  <si>
    <t>Otopná tělesa</t>
  </si>
  <si>
    <t>90</t>
  </si>
  <si>
    <t>730. 1</t>
  </si>
  <si>
    <t>Demont a zpětná montáž radiatorů ÚT</t>
  </si>
  <si>
    <t>735_</t>
  </si>
  <si>
    <t>_73_</t>
  </si>
  <si>
    <t>91</t>
  </si>
  <si>
    <t>735. 2</t>
  </si>
  <si>
    <t>Dod + mont topný žebřík, vč. napojení, termoreg. hlavice - dle vzorkování</t>
  </si>
  <si>
    <t>766</t>
  </si>
  <si>
    <t>Konstrukce truhlářské</t>
  </si>
  <si>
    <t>92</t>
  </si>
  <si>
    <t>766662811R00</t>
  </si>
  <si>
    <t>Demontáž prahů dveří 1křídlových</t>
  </si>
  <si>
    <t>766_</t>
  </si>
  <si>
    <t>_76_</t>
  </si>
  <si>
    <t>93</t>
  </si>
  <si>
    <t>766812840R00</t>
  </si>
  <si>
    <t>Demontáž kuchyňských linek do 2,1 m</t>
  </si>
  <si>
    <t>94</t>
  </si>
  <si>
    <t>766825811R00</t>
  </si>
  <si>
    <t>Demontáž vestavěných skříní 1křídlových</t>
  </si>
  <si>
    <t>766825821R00</t>
  </si>
  <si>
    <t>Demontáž vestavěných skříní 2křídlových</t>
  </si>
  <si>
    <t>766661112R00</t>
  </si>
  <si>
    <t>Montáž dveří do zárubně,otevíravých 1kř.do 0,8 m</t>
  </si>
  <si>
    <t>97</t>
  </si>
  <si>
    <t>766812115R00</t>
  </si>
  <si>
    <t>Montáž kuchyňských linek dřevěných linek š.do 2,4m</t>
  </si>
  <si>
    <t>98</t>
  </si>
  <si>
    <t>766. 1</t>
  </si>
  <si>
    <t>Dodávka kuchyňská linka - dle schématu " kuchyně Brodská "</t>
  </si>
  <si>
    <t>766. 2</t>
  </si>
  <si>
    <t>Demontáž garnýže, vč. likvidace</t>
  </si>
  <si>
    <t>ks</t>
  </si>
  <si>
    <t>100</t>
  </si>
  <si>
    <t>766. 4</t>
  </si>
  <si>
    <t>Dod + mont zakování dveří 1křídlých kompletizovaných, bezpeč. kování klika - koule</t>
  </si>
  <si>
    <t>nové kování vstupní dveře</t>
  </si>
  <si>
    <t>101</t>
  </si>
  <si>
    <t>766695212R00</t>
  </si>
  <si>
    <t>Montáž prahů dveří jednokřídlových š. do 10 cm</t>
  </si>
  <si>
    <t>vstupní dveře</t>
  </si>
  <si>
    <t>102</t>
  </si>
  <si>
    <t>6116. 1</t>
  </si>
  <si>
    <t>Dveře vnitřní hladké 1 křídl. bílé, 2/3 sklo 800 x 1970 mm, CPL, DTD výplň, sklo bezpečnostní, kování, zámek - vše dle standarů</t>
  </si>
  <si>
    <t>103</t>
  </si>
  <si>
    <t>6116. 3</t>
  </si>
  <si>
    <t>Dveře vnitřní hladké 1 křídl. bílé, plné  800 x 1970 mm, CPL, DTD , kování, zámek - vše dle standarů</t>
  </si>
  <si>
    <t>104</t>
  </si>
  <si>
    <t>61187396</t>
  </si>
  <si>
    <t>Prah bukový dl. 800 mm, š. 100 mm, tl. 20 mm, dle standardů</t>
  </si>
  <si>
    <t>105</t>
  </si>
  <si>
    <t>998766102R00</t>
  </si>
  <si>
    <t>Přesun hmot pro truhlářské konstr., výšky do 12 m</t>
  </si>
  <si>
    <t>771</t>
  </si>
  <si>
    <t>Podlahy z dlaždic</t>
  </si>
  <si>
    <t>106</t>
  </si>
  <si>
    <t>771101210R00</t>
  </si>
  <si>
    <t>Penetrace podkladu pod dlažby</t>
  </si>
  <si>
    <t>771_</t>
  </si>
  <si>
    <t>_77_</t>
  </si>
  <si>
    <t>107</t>
  </si>
  <si>
    <t>771101116R00</t>
  </si>
  <si>
    <t>Vyrovnání podkladů samonivelační hmotou tloušťky do 30 mm</t>
  </si>
  <si>
    <t>2,6</t>
  </si>
  <si>
    <t>108</t>
  </si>
  <si>
    <t>771575109R00</t>
  </si>
  <si>
    <t>Montáž keramické dlažby, hladké, na tmel, 300 x 300 m</t>
  </si>
  <si>
    <t>109</t>
  </si>
  <si>
    <t>771579791R00</t>
  </si>
  <si>
    <t>Příplatek za plochu podlah keram. do 5 m2 jednotl.</t>
  </si>
  <si>
    <t>110</t>
  </si>
  <si>
    <t>771578011R00</t>
  </si>
  <si>
    <t>Spára podlaha - stěna, silikonem</t>
  </si>
  <si>
    <t>koupelna vodorovně</t>
  </si>
  <si>
    <t>4*2,1</t>
  </si>
  <si>
    <t>svisle</t>
  </si>
  <si>
    <t>0,6*2</t>
  </si>
  <si>
    <t>kuchyň. linka</t>
  </si>
  <si>
    <t>111</t>
  </si>
  <si>
    <t>59764231</t>
  </si>
  <si>
    <t>Dlažba protiskluzná 300 x 300 x 9 mm, dle vzorkování, dle standardů</t>
  </si>
  <si>
    <t>112</t>
  </si>
  <si>
    <t>998771102R00</t>
  </si>
  <si>
    <t>Přesun hmot pro podlahy z dlaždic, výšky do 12 m</t>
  </si>
  <si>
    <t>776</t>
  </si>
  <si>
    <t>Podlahy povlakové</t>
  </si>
  <si>
    <t>113</t>
  </si>
  <si>
    <t>776401800R00</t>
  </si>
  <si>
    <t>Demontáž soklíků nebo lišt, pryžových nebo z PVC</t>
  </si>
  <si>
    <t>776_</t>
  </si>
  <si>
    <t>(1,795+1,65)*2-0,8*3</t>
  </si>
  <si>
    <t>stávající chodba</t>
  </si>
  <si>
    <t>(3,525+4,2)*2-0,8</t>
  </si>
  <si>
    <t>(3,5+2,475)*2-0,8</t>
  </si>
  <si>
    <t>114</t>
  </si>
  <si>
    <t>776511810R00</t>
  </si>
  <si>
    <t>Odstranění PVC a koberců lepených bez podložky</t>
  </si>
  <si>
    <t>1,795*1,65</t>
  </si>
  <si>
    <t>3,525*4,2</t>
  </si>
  <si>
    <t>3,5*2,475</t>
  </si>
  <si>
    <t>115</t>
  </si>
  <si>
    <t>776421100RU1</t>
  </si>
  <si>
    <t>Lepení podlahových soklíků z PVC a vinylu</t>
  </si>
  <si>
    <t>včetně dodávky soklíku PVC</t>
  </si>
  <si>
    <t>chodba</t>
  </si>
  <si>
    <t>116</t>
  </si>
  <si>
    <t>776521200R00</t>
  </si>
  <si>
    <t>Lepení povlakových podlah z dílců PVC a CV (vinyl)</t>
  </si>
  <si>
    <t>117</t>
  </si>
  <si>
    <t>776. 1</t>
  </si>
  <si>
    <t>Provedení spoje PVC - dlažba bez přechodových lišt</t>
  </si>
  <si>
    <t>118</t>
  </si>
  <si>
    <t>2841</t>
  </si>
  <si>
    <t>Dodávka podlahovina PVC - dle Standardu a vzorkování</t>
  </si>
  <si>
    <t>26,429*1,1</t>
  </si>
  <si>
    <t>119</t>
  </si>
  <si>
    <t>998776102R00</t>
  </si>
  <si>
    <t>Přesun hmot pro podlahy povlakové, výšky do 12 m</t>
  </si>
  <si>
    <t>781</t>
  </si>
  <si>
    <t>Obklady (keramické)</t>
  </si>
  <si>
    <t>120</t>
  </si>
  <si>
    <t>781475115R00</t>
  </si>
  <si>
    <t>Obklad vnitřní stěn keramický, do tmele, 25x25 cm</t>
  </si>
  <si>
    <t>781_</t>
  </si>
  <si>
    <t>_78_</t>
  </si>
  <si>
    <t>(1+1)*0,3</t>
  </si>
  <si>
    <t>121</t>
  </si>
  <si>
    <t>781419711R00</t>
  </si>
  <si>
    <t>Příplatek k obkladu stěn za plochu do 10 m2 jedntl</t>
  </si>
  <si>
    <t>122</t>
  </si>
  <si>
    <t>781111111R00</t>
  </si>
  <si>
    <t>Řezání obkladaček diamantovým kotoučem</t>
  </si>
  <si>
    <t>3*1,8+2,1</t>
  </si>
  <si>
    <t>123</t>
  </si>
  <si>
    <t>781111116R00</t>
  </si>
  <si>
    <t>Otvor v obkladačce diamant.korunkou prům.do 90 mm</t>
  </si>
  <si>
    <t>124</t>
  </si>
  <si>
    <t>5978</t>
  </si>
  <si>
    <t>Obkládačka  200 x 250 mm, dle vzorkování</t>
  </si>
  <si>
    <t>13,555*1,1</t>
  </si>
  <si>
    <t>125</t>
  </si>
  <si>
    <t>998781102R00</t>
  </si>
  <si>
    <t>Přesun hmot pro obklady keramické, výšky do 12 m</t>
  </si>
  <si>
    <t>783</t>
  </si>
  <si>
    <t>Nátěry</t>
  </si>
  <si>
    <t>126</t>
  </si>
  <si>
    <t>783222100RV1</t>
  </si>
  <si>
    <t>Nátěr syntetický kovových konstrukcí dvojnásobný</t>
  </si>
  <si>
    <t>783_</t>
  </si>
  <si>
    <t>zárubně - dle standardů</t>
  </si>
  <si>
    <t>127</t>
  </si>
  <si>
    <t>7836</t>
  </si>
  <si>
    <t>Očištění radiátorů před nátěrem</t>
  </si>
  <si>
    <t>128</t>
  </si>
  <si>
    <t>783324140R00</t>
  </si>
  <si>
    <t>Nátěr syntetický litin. radiátorů 1x + 1x email</t>
  </si>
  <si>
    <t>784</t>
  </si>
  <si>
    <t>Malby</t>
  </si>
  <si>
    <t>129</t>
  </si>
  <si>
    <t>784402801R00</t>
  </si>
  <si>
    <t>Odstranění malby oškrábáním v místnosti H do 3,8 m</t>
  </si>
  <si>
    <t>784_</t>
  </si>
  <si>
    <t>strop</t>
  </si>
  <si>
    <t>(1,575+1,65)*2*0,5</t>
  </si>
  <si>
    <t>130</t>
  </si>
  <si>
    <t>784161401R00</t>
  </si>
  <si>
    <t>Penetrace podkladu nátěrem , 1 x</t>
  </si>
  <si>
    <t>131</t>
  </si>
  <si>
    <t>784165512R00</t>
  </si>
  <si>
    <t>Malba bílá, bez penetrace, 2 x - dle standardů</t>
  </si>
  <si>
    <t>29+98</t>
  </si>
  <si>
    <t>M21</t>
  </si>
  <si>
    <t>Elektromontáže</t>
  </si>
  <si>
    <t>132</t>
  </si>
  <si>
    <t>210. 1</t>
  </si>
  <si>
    <t>Montáž sporáku</t>
  </si>
  <si>
    <t>M21_</t>
  </si>
  <si>
    <t>133</t>
  </si>
  <si>
    <t>210. 2</t>
  </si>
  <si>
    <t>Sporák elektrický</t>
  </si>
  <si>
    <t>134</t>
  </si>
  <si>
    <t>210. 3</t>
  </si>
  <si>
    <t>Dod + montáž digestoře - recirkulační</t>
  </si>
  <si>
    <t>135</t>
  </si>
  <si>
    <t>210. 4</t>
  </si>
  <si>
    <t>D + M požární hlásič bateriový - životnost baterie min. 5 let</t>
  </si>
  <si>
    <t>136</t>
  </si>
  <si>
    <t>210. 5</t>
  </si>
  <si>
    <t>D + M doplnění 2 ks svítidel strop</t>
  </si>
  <si>
    <t>VORN</t>
  </si>
  <si>
    <t>03VRN</t>
  </si>
  <si>
    <t>137</t>
  </si>
  <si>
    <t>030001VRN</t>
  </si>
  <si>
    <t>Soubor</t>
  </si>
  <si>
    <t>03VRN_</t>
  </si>
  <si>
    <t>_Â _</t>
  </si>
  <si>
    <t>06VRN</t>
  </si>
  <si>
    <t>138</t>
  </si>
  <si>
    <t>065002VRN</t>
  </si>
  <si>
    <t>Mimostaveništní doprava</t>
  </si>
  <si>
    <t>06VRN_</t>
  </si>
  <si>
    <t>Případné úpravy rozvodů elektroinstalace zajistí objednatel.</t>
  </si>
</sst>
</file>

<file path=xl/styles.xml><?xml version="1.0" encoding="utf-8"?>
<styleSheet xmlns="http://schemas.openxmlformats.org/spreadsheetml/2006/main">
  <fonts count="15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sz val="10"/>
      <color rgb="FF400040"/>
      <name val="Arial"/>
      <charset val="238"/>
    </font>
    <font>
      <b/>
      <sz val="10"/>
      <color rgb="FF400040"/>
      <name val="Arial"/>
      <charset val="238"/>
    </font>
    <font>
      <i/>
      <sz val="10"/>
      <color rgb="FF000000"/>
      <name val="Arial"/>
      <charset val="238"/>
    </font>
    <font>
      <i/>
      <sz val="10"/>
      <color rgb="FF400040"/>
      <name val="Arial"/>
      <charset val="238"/>
    </font>
    <font>
      <i/>
      <sz val="10"/>
      <color rgb="FF0000FF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EAEAEA"/>
        <bgColor rgb="FFEAEAEA"/>
      </patternFill>
    </fill>
    <fill>
      <patternFill patternType="solid">
        <fgColor rgb="FFCCFFFF"/>
        <bgColor rgb="FFCCFFFF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56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center" vertical="center"/>
    </xf>
    <xf numFmtId="0" fontId="3" fillId="3" borderId="60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0" fillId="0" borderId="62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left" vertical="center"/>
    </xf>
    <xf numFmtId="0" fontId="3" fillId="3" borderId="64" xfId="0" applyNumberFormat="1" applyFont="1" applyFill="1" applyBorder="1" applyAlignment="1" applyProtection="1">
      <alignment horizontal="center" vertical="center"/>
      <protection locked="0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10" fillId="4" borderId="68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10" fillId="4" borderId="40" xfId="0" applyNumberFormat="1" applyFont="1" applyFill="1" applyBorder="1" applyAlignment="1" applyProtection="1">
      <alignment horizontal="left" vertical="center"/>
    </xf>
    <xf numFmtId="0" fontId="10" fillId="5" borderId="40" xfId="0" applyNumberFormat="1" applyFont="1" applyFill="1" applyBorder="1" applyAlignment="1" applyProtection="1">
      <alignment horizontal="left" vertical="center"/>
      <protection locked="0"/>
    </xf>
    <xf numFmtId="4" fontId="11" fillId="4" borderId="40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5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4" fontId="3" fillId="0" borderId="6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41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NumberFormat="1" applyFont="1" applyFill="1" applyBorder="1" applyAlignment="1" applyProtection="1">
      <alignment horizontal="left" vertical="center"/>
      <protection locked="0"/>
    </xf>
    <xf numFmtId="0" fontId="2" fillId="3" borderId="8" xfId="0" applyNumberFormat="1" applyFont="1" applyFill="1" applyBorder="1" applyAlignment="1" applyProtection="1">
      <alignment horizontal="left" vertical="center"/>
      <protection locked="0"/>
    </xf>
    <xf numFmtId="0" fontId="2" fillId="3" borderId="9" xfId="0" applyNumberFormat="1" applyFont="1" applyFill="1" applyBorder="1" applyAlignment="1" applyProtection="1">
      <alignment horizontal="left" vertical="center"/>
      <protection locked="0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 wrapText="1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3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6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130-2024 Revoluční 1825/11 byt č. 30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opravy bytu 1+1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138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2" spans="1:9" ht="23.25">
      <c r="A12" s="84" t="s">
        <v>15</v>
      </c>
      <c r="B12" s="84"/>
      <c r="C12" s="84"/>
      <c r="D12" s="84"/>
      <c r="E12" s="84"/>
      <c r="F12" s="84"/>
      <c r="G12" s="84"/>
      <c r="H12" s="84"/>
      <c r="I12" s="84"/>
    </row>
    <row r="13" spans="1:9" ht="26.25" customHeight="1">
      <c r="A13" s="6" t="s">
        <v>16</v>
      </c>
      <c r="B13" s="85" t="s">
        <v>17</v>
      </c>
      <c r="C13" s="86"/>
      <c r="D13" s="7" t="s">
        <v>18</v>
      </c>
      <c r="E13" s="85" t="s">
        <v>19</v>
      </c>
      <c r="F13" s="86"/>
      <c r="G13" s="7" t="s">
        <v>20</v>
      </c>
      <c r="H13" s="85" t="s">
        <v>21</v>
      </c>
      <c r="I13" s="86"/>
    </row>
    <row r="14" spans="1:9" ht="15.75">
      <c r="A14" s="8" t="s">
        <v>22</v>
      </c>
      <c r="B14" s="9" t="s">
        <v>23</v>
      </c>
      <c r="C14" s="10">
        <f>SUM('Stavební rozpočet'!AB12:AB248)</f>
        <v>0</v>
      </c>
      <c r="D14" s="93" t="s">
        <v>24</v>
      </c>
      <c r="E14" s="94"/>
      <c r="F14" s="10">
        <f>VORN!I15</f>
        <v>0</v>
      </c>
      <c r="G14" s="93" t="s">
        <v>25</v>
      </c>
      <c r="H14" s="94"/>
      <c r="I14" s="11">
        <f>VORN!I21</f>
        <v>0</v>
      </c>
    </row>
    <row r="15" spans="1:9" ht="15.75">
      <c r="A15" s="12" t="s">
        <v>4</v>
      </c>
      <c r="B15" s="9" t="s">
        <v>26</v>
      </c>
      <c r="C15" s="10">
        <f>SUM('Stavební rozpočet'!AC12:AC248)</f>
        <v>0</v>
      </c>
      <c r="D15" s="93" t="s">
        <v>27</v>
      </c>
      <c r="E15" s="94"/>
      <c r="F15" s="10">
        <f>VORN!I16</f>
        <v>0</v>
      </c>
      <c r="G15" s="93" t="s">
        <v>28</v>
      </c>
      <c r="H15" s="94"/>
      <c r="I15" s="11">
        <f>VORN!I22</f>
        <v>0</v>
      </c>
    </row>
    <row r="16" spans="1:9" ht="15.75">
      <c r="A16" s="8" t="s">
        <v>29</v>
      </c>
      <c r="B16" s="9" t="s">
        <v>23</v>
      </c>
      <c r="C16" s="10">
        <f>SUM('Stavební rozpočet'!AD12:AD248)</f>
        <v>0</v>
      </c>
      <c r="D16" s="93" t="s">
        <v>30</v>
      </c>
      <c r="E16" s="94"/>
      <c r="F16" s="10">
        <f>VORN!I17</f>
        <v>0</v>
      </c>
      <c r="G16" s="93" t="s">
        <v>31</v>
      </c>
      <c r="H16" s="94"/>
      <c r="I16" s="11">
        <f>VORN!I23</f>
        <v>0</v>
      </c>
    </row>
    <row r="17" spans="1:9" ht="15.75">
      <c r="A17" s="12" t="s">
        <v>4</v>
      </c>
      <c r="B17" s="9" t="s">
        <v>26</v>
      </c>
      <c r="C17" s="10">
        <f>SUM('Stavební rozpočet'!AE12:AE248)</f>
        <v>0</v>
      </c>
      <c r="D17" s="93" t="s">
        <v>4</v>
      </c>
      <c r="E17" s="94"/>
      <c r="F17" s="11" t="s">
        <v>4</v>
      </c>
      <c r="G17" s="93" t="s">
        <v>32</v>
      </c>
      <c r="H17" s="94"/>
      <c r="I17" s="11">
        <f>VORN!I24</f>
        <v>0</v>
      </c>
    </row>
    <row r="18" spans="1:9" ht="15.75">
      <c r="A18" s="8" t="s">
        <v>33</v>
      </c>
      <c r="B18" s="9" t="s">
        <v>23</v>
      </c>
      <c r="C18" s="10">
        <f>SUM('Stavební rozpočet'!AF12:AF248)</f>
        <v>0</v>
      </c>
      <c r="D18" s="93" t="s">
        <v>4</v>
      </c>
      <c r="E18" s="94"/>
      <c r="F18" s="11" t="s">
        <v>4</v>
      </c>
      <c r="G18" s="93" t="s">
        <v>34</v>
      </c>
      <c r="H18" s="94"/>
      <c r="I18" s="11">
        <f>VORN!I25</f>
        <v>0</v>
      </c>
    </row>
    <row r="19" spans="1:9" ht="15.75">
      <c r="A19" s="12" t="s">
        <v>4</v>
      </c>
      <c r="B19" s="9" t="s">
        <v>26</v>
      </c>
      <c r="C19" s="10">
        <f>SUM('Stavební rozpočet'!AG12:AG248)</f>
        <v>0</v>
      </c>
      <c r="D19" s="93" t="s">
        <v>4</v>
      </c>
      <c r="E19" s="94"/>
      <c r="F19" s="11" t="s">
        <v>4</v>
      </c>
      <c r="G19" s="93" t="s">
        <v>35</v>
      </c>
      <c r="H19" s="94"/>
      <c r="I19" s="11">
        <f>VORN!I26</f>
        <v>0</v>
      </c>
    </row>
    <row r="20" spans="1:9" ht="15.75">
      <c r="A20" s="87" t="s">
        <v>36</v>
      </c>
      <c r="B20" s="88"/>
      <c r="C20" s="10">
        <f>SUM('Stavební rozpočet'!AH12:AH248)</f>
        <v>0</v>
      </c>
      <c r="D20" s="93" t="s">
        <v>4</v>
      </c>
      <c r="E20" s="94"/>
      <c r="F20" s="11" t="s">
        <v>4</v>
      </c>
      <c r="G20" s="93" t="s">
        <v>4</v>
      </c>
      <c r="H20" s="94"/>
      <c r="I20" s="11" t="s">
        <v>4</v>
      </c>
    </row>
    <row r="21" spans="1:9" ht="15.75">
      <c r="A21" s="89" t="s">
        <v>37</v>
      </c>
      <c r="B21" s="90"/>
      <c r="C21" s="13">
        <f>SUM('Stavební rozpočet'!Z12:Z248)</f>
        <v>0</v>
      </c>
      <c r="D21" s="95" t="s">
        <v>4</v>
      </c>
      <c r="E21" s="96"/>
      <c r="F21" s="14" t="s">
        <v>4</v>
      </c>
      <c r="G21" s="95" t="s">
        <v>4</v>
      </c>
      <c r="H21" s="96"/>
      <c r="I21" s="14" t="s">
        <v>4</v>
      </c>
    </row>
    <row r="22" spans="1:9" ht="16.5" customHeight="1">
      <c r="A22" s="91" t="s">
        <v>38</v>
      </c>
      <c r="B22" s="92"/>
      <c r="C22" s="15">
        <f>SUM(C14:C21)</f>
        <v>0</v>
      </c>
      <c r="D22" s="97" t="s">
        <v>39</v>
      </c>
      <c r="E22" s="92"/>
      <c r="F22" s="15">
        <f>SUM(F14:F21)</f>
        <v>0</v>
      </c>
      <c r="G22" s="97" t="s">
        <v>40</v>
      </c>
      <c r="H22" s="92"/>
      <c r="I22" s="15">
        <f>SUM(I14:I21)</f>
        <v>0</v>
      </c>
    </row>
    <row r="23" spans="1:9" ht="15.75">
      <c r="D23" s="87" t="s">
        <v>41</v>
      </c>
      <c r="E23" s="88"/>
      <c r="F23" s="16">
        <v>0</v>
      </c>
      <c r="G23" s="98" t="s">
        <v>42</v>
      </c>
      <c r="H23" s="88"/>
      <c r="I23" s="10">
        <v>0</v>
      </c>
    </row>
    <row r="24" spans="1:9" ht="15.75">
      <c r="G24" s="87" t="s">
        <v>43</v>
      </c>
      <c r="H24" s="88"/>
      <c r="I24" s="13">
        <f>vorn_sum</f>
        <v>0</v>
      </c>
    </row>
    <row r="25" spans="1:9" ht="15.75">
      <c r="G25" s="87" t="s">
        <v>44</v>
      </c>
      <c r="H25" s="88"/>
      <c r="I25" s="15">
        <v>0</v>
      </c>
    </row>
    <row r="27" spans="1:9" ht="15.75">
      <c r="A27" s="99" t="s">
        <v>45</v>
      </c>
      <c r="B27" s="100"/>
      <c r="C27" s="17">
        <f>SUM('Stavební rozpočet'!AJ12:AJ248)</f>
        <v>0</v>
      </c>
    </row>
    <row r="28" spans="1:9" ht="15.75">
      <c r="A28" s="101" t="s">
        <v>46</v>
      </c>
      <c r="B28" s="102"/>
      <c r="C28" s="18">
        <f>SUM('Stavební rozpočet'!AK12:AK248)</f>
        <v>0</v>
      </c>
      <c r="D28" s="103" t="s">
        <v>47</v>
      </c>
      <c r="E28" s="100"/>
      <c r="F28" s="17">
        <f>ROUND(C28*(12/100),2)</f>
        <v>0</v>
      </c>
      <c r="G28" s="103" t="s">
        <v>48</v>
      </c>
      <c r="H28" s="100"/>
      <c r="I28" s="17">
        <f>SUM(C27:C29)</f>
        <v>0</v>
      </c>
    </row>
    <row r="29" spans="1:9" ht="15.75">
      <c r="A29" s="101" t="s">
        <v>49</v>
      </c>
      <c r="B29" s="102"/>
      <c r="C29" s="18">
        <f>SUM('Stavební rozpočet'!AL12:AL248)</f>
        <v>0</v>
      </c>
      <c r="D29" s="104" t="s">
        <v>50</v>
      </c>
      <c r="E29" s="102"/>
      <c r="F29" s="18">
        <f>ROUND(C29*(21/100),2)</f>
        <v>0</v>
      </c>
      <c r="G29" s="104" t="s">
        <v>51</v>
      </c>
      <c r="H29" s="102"/>
      <c r="I29" s="18">
        <f>ROUND(SUM(F28:F29)+I28,0)</f>
        <v>0</v>
      </c>
    </row>
    <row r="31" spans="1:9">
      <c r="A31" s="105" t="s">
        <v>52</v>
      </c>
      <c r="B31" s="106"/>
      <c r="C31" s="107"/>
      <c r="D31" s="114" t="s">
        <v>53</v>
      </c>
      <c r="E31" s="106"/>
      <c r="F31" s="107"/>
      <c r="G31" s="114" t="s">
        <v>54</v>
      </c>
      <c r="H31" s="106"/>
      <c r="I31" s="107"/>
    </row>
    <row r="32" spans="1:9">
      <c r="A32" s="108" t="s">
        <v>4</v>
      </c>
      <c r="B32" s="109"/>
      <c r="C32" s="110"/>
      <c r="D32" s="115" t="s">
        <v>4</v>
      </c>
      <c r="E32" s="109"/>
      <c r="F32" s="110"/>
      <c r="G32" s="115" t="s">
        <v>4</v>
      </c>
      <c r="H32" s="109"/>
      <c r="I32" s="110"/>
    </row>
    <row r="33" spans="1:9">
      <c r="A33" s="108" t="s">
        <v>4</v>
      </c>
      <c r="B33" s="109"/>
      <c r="C33" s="110"/>
      <c r="D33" s="115" t="s">
        <v>4</v>
      </c>
      <c r="E33" s="109"/>
      <c r="F33" s="110"/>
      <c r="G33" s="115" t="s">
        <v>4</v>
      </c>
      <c r="H33" s="109"/>
      <c r="I33" s="110"/>
    </row>
    <row r="34" spans="1:9">
      <c r="A34" s="108" t="s">
        <v>4</v>
      </c>
      <c r="B34" s="109"/>
      <c r="C34" s="110"/>
      <c r="D34" s="115" t="s">
        <v>4</v>
      </c>
      <c r="E34" s="109"/>
      <c r="F34" s="110"/>
      <c r="G34" s="115" t="s">
        <v>4</v>
      </c>
      <c r="H34" s="109"/>
      <c r="I34" s="110"/>
    </row>
    <row r="35" spans="1:9">
      <c r="A35" s="111" t="s">
        <v>55</v>
      </c>
      <c r="B35" s="112"/>
      <c r="C35" s="113"/>
      <c r="D35" s="116" t="s">
        <v>55</v>
      </c>
      <c r="E35" s="112"/>
      <c r="F35" s="113"/>
      <c r="G35" s="116" t="s">
        <v>55</v>
      </c>
      <c r="H35" s="112"/>
      <c r="I35" s="113"/>
    </row>
    <row r="36" spans="1:9">
      <c r="A36" s="19" t="s">
        <v>56</v>
      </c>
    </row>
    <row r="37" spans="1:9" ht="13.5" customHeight="1">
      <c r="A37" s="75" t="s">
        <v>57</v>
      </c>
      <c r="B37" s="70"/>
      <c r="C37" s="70"/>
      <c r="D37" s="70"/>
      <c r="E37" s="70"/>
      <c r="F37" s="70"/>
      <c r="G37" s="70"/>
      <c r="H37" s="70"/>
      <c r="I37" s="70"/>
    </row>
  </sheetData>
  <sheetProtection password="CF7A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>
      <c r="A1" s="65" t="s">
        <v>58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130-2024 Revoluční 1825/11 byt č. 30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opravy bytu 1+1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138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3" spans="1:9" ht="15.75">
      <c r="A13" s="117" t="s">
        <v>59</v>
      </c>
      <c r="B13" s="117"/>
      <c r="C13" s="117"/>
      <c r="D13" s="117"/>
      <c r="E13" s="117"/>
    </row>
    <row r="14" spans="1:9">
      <c r="A14" s="118" t="s">
        <v>60</v>
      </c>
      <c r="B14" s="119"/>
      <c r="C14" s="119"/>
      <c r="D14" s="119"/>
      <c r="E14" s="120"/>
      <c r="F14" s="20" t="s">
        <v>61</v>
      </c>
      <c r="G14" s="20" t="s">
        <v>62</v>
      </c>
      <c r="H14" s="20" t="s">
        <v>63</v>
      </c>
      <c r="I14" s="20" t="s">
        <v>61</v>
      </c>
    </row>
    <row r="15" spans="1:9">
      <c r="A15" s="121" t="s">
        <v>24</v>
      </c>
      <c r="B15" s="122"/>
      <c r="C15" s="122"/>
      <c r="D15" s="122"/>
      <c r="E15" s="123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>
      <c r="A16" s="121" t="s">
        <v>27</v>
      </c>
      <c r="B16" s="122"/>
      <c r="C16" s="122"/>
      <c r="D16" s="122"/>
      <c r="E16" s="123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>
      <c r="A17" s="124" t="s">
        <v>30</v>
      </c>
      <c r="B17" s="125"/>
      <c r="C17" s="125"/>
      <c r="D17" s="125"/>
      <c r="E17" s="126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>
      <c r="A18" s="127" t="s">
        <v>64</v>
      </c>
      <c r="B18" s="128"/>
      <c r="C18" s="128"/>
      <c r="D18" s="128"/>
      <c r="E18" s="129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>
      <c r="A20" s="118" t="s">
        <v>21</v>
      </c>
      <c r="B20" s="119"/>
      <c r="C20" s="119"/>
      <c r="D20" s="119"/>
      <c r="E20" s="120"/>
      <c r="F20" s="20" t="s">
        <v>61</v>
      </c>
      <c r="G20" s="20" t="s">
        <v>62</v>
      </c>
      <c r="H20" s="20" t="s">
        <v>63</v>
      </c>
      <c r="I20" s="20" t="s">
        <v>61</v>
      </c>
    </row>
    <row r="21" spans="1:9">
      <c r="A21" s="121" t="s">
        <v>25</v>
      </c>
      <c r="B21" s="122"/>
      <c r="C21" s="122"/>
      <c r="D21" s="122"/>
      <c r="E21" s="123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>
      <c r="A22" s="121" t="s">
        <v>28</v>
      </c>
      <c r="B22" s="122"/>
      <c r="C22" s="122"/>
      <c r="D22" s="122"/>
      <c r="E22" s="123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>
      <c r="A23" s="121" t="s">
        <v>31</v>
      </c>
      <c r="B23" s="122"/>
      <c r="C23" s="122"/>
      <c r="D23" s="122"/>
      <c r="E23" s="123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>
      <c r="A24" s="121" t="s">
        <v>32</v>
      </c>
      <c r="B24" s="122"/>
      <c r="C24" s="122"/>
      <c r="D24" s="122"/>
      <c r="E24" s="123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>
      <c r="A25" s="121" t="s">
        <v>34</v>
      </c>
      <c r="B25" s="122"/>
      <c r="C25" s="122"/>
      <c r="D25" s="122"/>
      <c r="E25" s="123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>
      <c r="A26" s="124" t="s">
        <v>35</v>
      </c>
      <c r="B26" s="125"/>
      <c r="C26" s="125"/>
      <c r="D26" s="125"/>
      <c r="E26" s="126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>
      <c r="A27" s="127" t="s">
        <v>65</v>
      </c>
      <c r="B27" s="128"/>
      <c r="C27" s="128"/>
      <c r="D27" s="128"/>
      <c r="E27" s="129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>
      <c r="A29" s="130" t="s">
        <v>66</v>
      </c>
      <c r="B29" s="131"/>
      <c r="C29" s="131"/>
      <c r="D29" s="131"/>
      <c r="E29" s="132"/>
      <c r="F29" s="133">
        <f>I18+I27</f>
        <v>0</v>
      </c>
      <c r="G29" s="134"/>
      <c r="H29" s="134"/>
      <c r="I29" s="135"/>
    </row>
    <row r="33" spans="1:9" ht="15.75">
      <c r="A33" s="117" t="s">
        <v>67</v>
      </c>
      <c r="B33" s="117"/>
      <c r="C33" s="117"/>
      <c r="D33" s="117"/>
      <c r="E33" s="117"/>
    </row>
    <row r="34" spans="1:9">
      <c r="A34" s="118" t="s">
        <v>68</v>
      </c>
      <c r="B34" s="119"/>
      <c r="C34" s="119"/>
      <c r="D34" s="119"/>
      <c r="E34" s="120"/>
      <c r="F34" s="20" t="s">
        <v>61</v>
      </c>
      <c r="G34" s="20" t="s">
        <v>62</v>
      </c>
      <c r="H34" s="20" t="s">
        <v>63</v>
      </c>
      <c r="I34" s="20" t="s">
        <v>61</v>
      </c>
    </row>
    <row r="35" spans="1:9">
      <c r="A35" s="121" t="s">
        <v>69</v>
      </c>
      <c r="B35" s="122"/>
      <c r="C35" s="122"/>
      <c r="D35" s="122"/>
      <c r="E35" s="123"/>
      <c r="F35" s="21">
        <f>SUM('Stavební rozpočet'!BM12:BM248)</f>
        <v>0</v>
      </c>
      <c r="G35" s="22" t="s">
        <v>4</v>
      </c>
      <c r="H35" s="22" t="s">
        <v>4</v>
      </c>
      <c r="I35" s="21">
        <f t="shared" ref="I35:I44" si="1">F35</f>
        <v>0</v>
      </c>
    </row>
    <row r="36" spans="1:9">
      <c r="A36" s="121" t="s">
        <v>70</v>
      </c>
      <c r="B36" s="122"/>
      <c r="C36" s="122"/>
      <c r="D36" s="122"/>
      <c r="E36" s="123"/>
      <c r="F36" s="21">
        <f>SUM('Stavební rozpočet'!BN12:BN248)</f>
        <v>0</v>
      </c>
      <c r="G36" s="22" t="s">
        <v>4</v>
      </c>
      <c r="H36" s="22" t="s">
        <v>4</v>
      </c>
      <c r="I36" s="21">
        <f t="shared" si="1"/>
        <v>0</v>
      </c>
    </row>
    <row r="37" spans="1:9">
      <c r="A37" s="121" t="s">
        <v>25</v>
      </c>
      <c r="B37" s="122"/>
      <c r="C37" s="122"/>
      <c r="D37" s="122"/>
      <c r="E37" s="123"/>
      <c r="F37" s="21">
        <f>SUM('Stavební rozpočet'!BO12:BO248)</f>
        <v>0</v>
      </c>
      <c r="G37" s="22" t="s">
        <v>4</v>
      </c>
      <c r="H37" s="22" t="s">
        <v>4</v>
      </c>
      <c r="I37" s="21">
        <f t="shared" si="1"/>
        <v>0</v>
      </c>
    </row>
    <row r="38" spans="1:9">
      <c r="A38" s="121" t="s">
        <v>71</v>
      </c>
      <c r="B38" s="122"/>
      <c r="C38" s="122"/>
      <c r="D38" s="122"/>
      <c r="E38" s="123"/>
      <c r="F38" s="21">
        <f>SUM('Stavební rozpočet'!BP12:BP248)</f>
        <v>0</v>
      </c>
      <c r="G38" s="22" t="s">
        <v>4</v>
      </c>
      <c r="H38" s="22" t="s">
        <v>4</v>
      </c>
      <c r="I38" s="21">
        <f t="shared" si="1"/>
        <v>0</v>
      </c>
    </row>
    <row r="39" spans="1:9">
      <c r="A39" s="121" t="s">
        <v>72</v>
      </c>
      <c r="B39" s="122"/>
      <c r="C39" s="122"/>
      <c r="D39" s="122"/>
      <c r="E39" s="123"/>
      <c r="F39" s="21">
        <f>SUM('Stavební rozpočet'!BQ12:BQ248)</f>
        <v>0</v>
      </c>
      <c r="G39" s="22" t="s">
        <v>4</v>
      </c>
      <c r="H39" s="22" t="s">
        <v>4</v>
      </c>
      <c r="I39" s="21">
        <f t="shared" si="1"/>
        <v>0</v>
      </c>
    </row>
    <row r="40" spans="1:9">
      <c r="A40" s="121" t="s">
        <v>31</v>
      </c>
      <c r="B40" s="122"/>
      <c r="C40" s="122"/>
      <c r="D40" s="122"/>
      <c r="E40" s="123"/>
      <c r="F40" s="21">
        <f>SUM('Stavební rozpočet'!BR12:BR248)</f>
        <v>0</v>
      </c>
      <c r="G40" s="22" t="s">
        <v>4</v>
      </c>
      <c r="H40" s="22" t="s">
        <v>4</v>
      </c>
      <c r="I40" s="21">
        <f t="shared" si="1"/>
        <v>0</v>
      </c>
    </row>
    <row r="41" spans="1:9">
      <c r="A41" s="121" t="s">
        <v>32</v>
      </c>
      <c r="B41" s="122"/>
      <c r="C41" s="122"/>
      <c r="D41" s="122"/>
      <c r="E41" s="123"/>
      <c r="F41" s="21">
        <f>SUM('Stavební rozpočet'!BS12:BS248)</f>
        <v>0</v>
      </c>
      <c r="G41" s="22" t="s">
        <v>4</v>
      </c>
      <c r="H41" s="22" t="s">
        <v>4</v>
      </c>
      <c r="I41" s="21">
        <f t="shared" si="1"/>
        <v>0</v>
      </c>
    </row>
    <row r="42" spans="1:9">
      <c r="A42" s="121" t="s">
        <v>73</v>
      </c>
      <c r="B42" s="122"/>
      <c r="C42" s="122"/>
      <c r="D42" s="122"/>
      <c r="E42" s="123"/>
      <c r="F42" s="21">
        <f>SUM('Stavební rozpočet'!BT12:BT248)</f>
        <v>0</v>
      </c>
      <c r="G42" s="22" t="s">
        <v>4</v>
      </c>
      <c r="H42" s="22" t="s">
        <v>4</v>
      </c>
      <c r="I42" s="21">
        <f t="shared" si="1"/>
        <v>0</v>
      </c>
    </row>
    <row r="43" spans="1:9">
      <c r="A43" s="121" t="s">
        <v>74</v>
      </c>
      <c r="B43" s="122"/>
      <c r="C43" s="122"/>
      <c r="D43" s="122"/>
      <c r="E43" s="123"/>
      <c r="F43" s="21">
        <f>SUM('Stavební rozpočet'!BU12:BU248)</f>
        <v>0</v>
      </c>
      <c r="G43" s="22" t="s">
        <v>4</v>
      </c>
      <c r="H43" s="22" t="s">
        <v>4</v>
      </c>
      <c r="I43" s="21">
        <f t="shared" si="1"/>
        <v>0</v>
      </c>
    </row>
    <row r="44" spans="1:9">
      <c r="A44" s="124" t="s">
        <v>75</v>
      </c>
      <c r="B44" s="125"/>
      <c r="C44" s="125"/>
      <c r="D44" s="125"/>
      <c r="E44" s="126"/>
      <c r="F44" s="23">
        <f>SUM('Stavební rozpočet'!BV12:BV248)</f>
        <v>0</v>
      </c>
      <c r="G44" s="24" t="s">
        <v>4</v>
      </c>
      <c r="H44" s="24" t="s">
        <v>4</v>
      </c>
      <c r="I44" s="23">
        <f t="shared" si="1"/>
        <v>0</v>
      </c>
    </row>
    <row r="45" spans="1:9">
      <c r="A45" s="127" t="s">
        <v>76</v>
      </c>
      <c r="B45" s="128"/>
      <c r="C45" s="128"/>
      <c r="D45" s="128"/>
      <c r="E45" s="129"/>
      <c r="F45" s="25" t="s">
        <v>4</v>
      </c>
      <c r="G45" s="26" t="s">
        <v>4</v>
      </c>
      <c r="H45" s="26" t="s">
        <v>4</v>
      </c>
      <c r="I45" s="27">
        <f>SUM(I35:I44)</f>
        <v>0</v>
      </c>
    </row>
  </sheetData>
  <sheetProtection password="CF7A" sheet="1"/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251"/>
  <sheetViews>
    <sheetView workbookViewId="0">
      <pane ySplit="11" topLeftCell="A12" activePane="bottomLeft" state="frozen"/>
      <selection pane="bottomLeft" activeCell="G8" sqref="G8:G9"/>
    </sheetView>
  </sheetViews>
  <sheetFormatPr defaultColWidth="12.140625" defaultRowHeight="15" customHeight="1"/>
  <cols>
    <col min="1" max="1" width="3.140625" customWidth="1"/>
    <col min="2" max="2" width="17.85546875" customWidth="1"/>
    <col min="3" max="3" width="42.8554687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8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>
      <c r="A1" s="66" t="s">
        <v>77</v>
      </c>
      <c r="B1" s="66"/>
      <c r="C1" s="66"/>
      <c r="D1" s="66"/>
      <c r="E1" s="66"/>
      <c r="F1" s="66"/>
      <c r="G1" s="66"/>
      <c r="H1" s="66"/>
      <c r="I1" s="66"/>
      <c r="J1" s="66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>
      <c r="A2" s="67" t="s">
        <v>1</v>
      </c>
      <c r="B2" s="68"/>
      <c r="C2" s="76" t="s">
        <v>78</v>
      </c>
      <c r="D2" s="77"/>
      <c r="E2" s="68" t="s">
        <v>79</v>
      </c>
      <c r="F2" s="68"/>
      <c r="G2" s="138" t="s">
        <v>80</v>
      </c>
      <c r="H2" s="74" t="s">
        <v>2</v>
      </c>
      <c r="I2" s="68" t="s">
        <v>81</v>
      </c>
      <c r="J2" s="79"/>
    </row>
    <row r="3" spans="1:76">
      <c r="A3" s="69"/>
      <c r="B3" s="70"/>
      <c r="C3" s="78"/>
      <c r="D3" s="78"/>
      <c r="E3" s="70"/>
      <c r="F3" s="70"/>
      <c r="G3" s="139"/>
      <c r="H3" s="70"/>
      <c r="I3" s="70"/>
      <c r="J3" s="80"/>
    </row>
    <row r="4" spans="1:76">
      <c r="A4" s="71" t="s">
        <v>5</v>
      </c>
      <c r="B4" s="70"/>
      <c r="C4" s="75" t="s">
        <v>82</v>
      </c>
      <c r="D4" s="70"/>
      <c r="E4" s="70" t="s">
        <v>9</v>
      </c>
      <c r="F4" s="70"/>
      <c r="G4" s="139" t="s">
        <v>80</v>
      </c>
      <c r="H4" s="75" t="s">
        <v>6</v>
      </c>
      <c r="I4" s="70" t="s">
        <v>81</v>
      </c>
      <c r="J4" s="80"/>
    </row>
    <row r="5" spans="1:76">
      <c r="A5" s="69"/>
      <c r="B5" s="70"/>
      <c r="C5" s="70"/>
      <c r="D5" s="70"/>
      <c r="E5" s="70"/>
      <c r="F5" s="70"/>
      <c r="G5" s="139"/>
      <c r="H5" s="70"/>
      <c r="I5" s="70"/>
      <c r="J5" s="80"/>
    </row>
    <row r="6" spans="1:76">
      <c r="A6" s="71" t="s">
        <v>7</v>
      </c>
      <c r="B6" s="70"/>
      <c r="C6" s="75" t="s">
        <v>80</v>
      </c>
      <c r="D6" s="70"/>
      <c r="E6" s="70" t="s">
        <v>10</v>
      </c>
      <c r="F6" s="70"/>
      <c r="G6" s="139" t="s">
        <v>80</v>
      </c>
      <c r="H6" s="75" t="s">
        <v>8</v>
      </c>
      <c r="I6" s="139" t="s">
        <v>81</v>
      </c>
      <c r="J6" s="141"/>
    </row>
    <row r="7" spans="1:76">
      <c r="A7" s="69"/>
      <c r="B7" s="70"/>
      <c r="C7" s="70"/>
      <c r="D7" s="70"/>
      <c r="E7" s="70"/>
      <c r="F7" s="70"/>
      <c r="G7" s="139"/>
      <c r="H7" s="70"/>
      <c r="I7" s="139"/>
      <c r="J7" s="141"/>
    </row>
    <row r="8" spans="1:76">
      <c r="A8" s="71" t="s">
        <v>12</v>
      </c>
      <c r="B8" s="70"/>
      <c r="C8" s="75" t="s">
        <v>80</v>
      </c>
      <c r="D8" s="70"/>
      <c r="E8" s="70" t="s">
        <v>83</v>
      </c>
      <c r="F8" s="70"/>
      <c r="G8" s="139"/>
      <c r="H8" s="75" t="s">
        <v>13</v>
      </c>
      <c r="I8" s="139" t="s">
        <v>81</v>
      </c>
      <c r="J8" s="141"/>
    </row>
    <row r="9" spans="1:76">
      <c r="A9" s="136"/>
      <c r="B9" s="137"/>
      <c r="C9" s="137"/>
      <c r="D9" s="137"/>
      <c r="E9" s="137"/>
      <c r="F9" s="137"/>
      <c r="G9" s="140"/>
      <c r="H9" s="137"/>
      <c r="I9" s="142"/>
      <c r="J9" s="143"/>
    </row>
    <row r="10" spans="1:76">
      <c r="A10" s="29" t="s">
        <v>84</v>
      </c>
      <c r="B10" s="30" t="s">
        <v>85</v>
      </c>
      <c r="C10" s="144" t="s">
        <v>86</v>
      </c>
      <c r="D10" s="145"/>
      <c r="E10" s="30" t="s">
        <v>87</v>
      </c>
      <c r="F10" s="31" t="s">
        <v>88</v>
      </c>
      <c r="G10" s="32" t="s">
        <v>89</v>
      </c>
      <c r="H10" s="33" t="s">
        <v>90</v>
      </c>
      <c r="J10" s="34"/>
      <c r="BK10" s="35" t="s">
        <v>91</v>
      </c>
      <c r="BL10" s="36" t="s">
        <v>92</v>
      </c>
      <c r="BW10" s="36" t="s">
        <v>93</v>
      </c>
    </row>
    <row r="11" spans="1:76">
      <c r="A11" s="37" t="s">
        <v>80</v>
      </c>
      <c r="B11" s="38" t="s">
        <v>80</v>
      </c>
      <c r="C11" s="146" t="s">
        <v>94</v>
      </c>
      <c r="D11" s="147"/>
      <c r="E11" s="38" t="s">
        <v>80</v>
      </c>
      <c r="F11" s="38" t="s">
        <v>80</v>
      </c>
      <c r="G11" s="39" t="s">
        <v>95</v>
      </c>
      <c r="H11" s="40" t="s">
        <v>96</v>
      </c>
      <c r="J11" s="41"/>
      <c r="Z11" s="35" t="s">
        <v>97</v>
      </c>
      <c r="AA11" s="35" t="s">
        <v>98</v>
      </c>
      <c r="AB11" s="35" t="s">
        <v>99</v>
      </c>
      <c r="AC11" s="35" t="s">
        <v>100</v>
      </c>
      <c r="AD11" s="35" t="s">
        <v>101</v>
      </c>
      <c r="AE11" s="35" t="s">
        <v>102</v>
      </c>
      <c r="AF11" s="35" t="s">
        <v>103</v>
      </c>
      <c r="AG11" s="35" t="s">
        <v>104</v>
      </c>
      <c r="AH11" s="35" t="s">
        <v>105</v>
      </c>
      <c r="BH11" s="35" t="s">
        <v>106</v>
      </c>
      <c r="BI11" s="35" t="s">
        <v>107</v>
      </c>
      <c r="BJ11" s="35" t="s">
        <v>108</v>
      </c>
    </row>
    <row r="12" spans="1:76">
      <c r="A12" s="42" t="s">
        <v>4</v>
      </c>
      <c r="B12" s="43" t="s">
        <v>4</v>
      </c>
      <c r="C12" s="148" t="s">
        <v>109</v>
      </c>
      <c r="D12" s="149"/>
      <c r="E12" s="44" t="s">
        <v>80</v>
      </c>
      <c r="F12" s="44" t="s">
        <v>80</v>
      </c>
      <c r="G12" s="45" t="s">
        <v>80</v>
      </c>
      <c r="H12" s="46">
        <f>H13+H17+H46+H53+H61+H85+H87+H99+H114+H126+H156+H159+H176+H189+H208+H221+H226+H238+H245+H247</f>
        <v>0</v>
      </c>
      <c r="J12" s="41"/>
    </row>
    <row r="13" spans="1:76">
      <c r="A13" s="47" t="s">
        <v>4</v>
      </c>
      <c r="B13" s="48" t="s">
        <v>110</v>
      </c>
      <c r="C13" s="150" t="s">
        <v>111</v>
      </c>
      <c r="D13" s="151"/>
      <c r="E13" s="49" t="s">
        <v>80</v>
      </c>
      <c r="F13" s="49" t="s">
        <v>80</v>
      </c>
      <c r="G13" s="50" t="s">
        <v>80</v>
      </c>
      <c r="H13" s="28">
        <f>SUM(H14:H14)</f>
        <v>0</v>
      </c>
      <c r="J13" s="41"/>
      <c r="AI13" s="35" t="s">
        <v>4</v>
      </c>
      <c r="AS13" s="28">
        <f>SUM(AJ14:AJ14)</f>
        <v>0</v>
      </c>
      <c r="AT13" s="28">
        <f>SUM(AK14:AK14)</f>
        <v>0</v>
      </c>
      <c r="AU13" s="28">
        <f>SUM(AL14:AL14)</f>
        <v>0</v>
      </c>
    </row>
    <row r="14" spans="1:76">
      <c r="A14" s="1" t="s">
        <v>112</v>
      </c>
      <c r="B14" s="2" t="s">
        <v>113</v>
      </c>
      <c r="C14" s="75" t="s">
        <v>114</v>
      </c>
      <c r="D14" s="70"/>
      <c r="E14" s="2" t="s">
        <v>115</v>
      </c>
      <c r="F14" s="51">
        <v>2</v>
      </c>
      <c r="G14" s="52">
        <v>0</v>
      </c>
      <c r="H14" s="51">
        <f>F14*G14</f>
        <v>0</v>
      </c>
      <c r="J14" s="41"/>
      <c r="Z14" s="51">
        <f>IF(AQ14="5",BJ14,0)</f>
        <v>0</v>
      </c>
      <c r="AB14" s="51">
        <f>IF(AQ14="1",BH14,0)</f>
        <v>0</v>
      </c>
      <c r="AC14" s="51">
        <f>IF(AQ14="1",BI14,0)</f>
        <v>0</v>
      </c>
      <c r="AD14" s="51">
        <f>IF(AQ14="7",BH14,0)</f>
        <v>0</v>
      </c>
      <c r="AE14" s="51">
        <f>IF(AQ14="7",BI14,0)</f>
        <v>0</v>
      </c>
      <c r="AF14" s="51">
        <f>IF(AQ14="2",BH14,0)</f>
        <v>0</v>
      </c>
      <c r="AG14" s="51">
        <f>IF(AQ14="2",BI14,0)</f>
        <v>0</v>
      </c>
      <c r="AH14" s="51">
        <f>IF(AQ14="0",BJ14,0)</f>
        <v>0</v>
      </c>
      <c r="AI14" s="35" t="s">
        <v>4</v>
      </c>
      <c r="AJ14" s="51">
        <f>IF(AN14=0,H14,0)</f>
        <v>0</v>
      </c>
      <c r="AK14" s="51">
        <f>IF(AN14=12,H14,0)</f>
        <v>0</v>
      </c>
      <c r="AL14" s="51">
        <f>IF(AN14=21,H14,0)</f>
        <v>0</v>
      </c>
      <c r="AN14" s="51">
        <v>12</v>
      </c>
      <c r="AO14" s="51">
        <f>G14*0.460521739</f>
        <v>0</v>
      </c>
      <c r="AP14" s="51">
        <f>G14*(1-0.460521739)</f>
        <v>0</v>
      </c>
      <c r="AQ14" s="53" t="s">
        <v>112</v>
      </c>
      <c r="AV14" s="51">
        <f>AW14+AX14</f>
        <v>0</v>
      </c>
      <c r="AW14" s="51">
        <f>F14*AO14</f>
        <v>0</v>
      </c>
      <c r="AX14" s="51">
        <f>F14*AP14</f>
        <v>0</v>
      </c>
      <c r="AY14" s="53" t="s">
        <v>116</v>
      </c>
      <c r="AZ14" s="53" t="s">
        <v>117</v>
      </c>
      <c r="BA14" s="35" t="s">
        <v>118</v>
      </c>
      <c r="BC14" s="51">
        <f>AW14+AX14</f>
        <v>0</v>
      </c>
      <c r="BD14" s="51">
        <f>G14/(100-BE14)*100</f>
        <v>0</v>
      </c>
      <c r="BE14" s="51">
        <v>0</v>
      </c>
      <c r="BF14" s="51">
        <f>14</f>
        <v>14</v>
      </c>
      <c r="BH14" s="51">
        <f>F14*AO14</f>
        <v>0</v>
      </c>
      <c r="BI14" s="51">
        <f>F14*AP14</f>
        <v>0</v>
      </c>
      <c r="BJ14" s="51">
        <f>F14*G14</f>
        <v>0</v>
      </c>
      <c r="BK14" s="51"/>
      <c r="BL14" s="51">
        <v>31</v>
      </c>
      <c r="BW14" s="51">
        <v>12</v>
      </c>
      <c r="BX14" s="3" t="s">
        <v>114</v>
      </c>
    </row>
    <row r="15" spans="1:76" ht="13.5" customHeight="1">
      <c r="A15" s="54"/>
      <c r="B15" s="55" t="s">
        <v>119</v>
      </c>
      <c r="C15" s="152" t="s">
        <v>120</v>
      </c>
      <c r="D15" s="153"/>
      <c r="E15" s="153"/>
      <c r="F15" s="153"/>
      <c r="G15" s="154"/>
      <c r="H15" s="153"/>
      <c r="I15" s="153"/>
      <c r="J15" s="155"/>
    </row>
    <row r="16" spans="1:76">
      <c r="A16" s="54"/>
      <c r="C16" s="56" t="s">
        <v>121</v>
      </c>
      <c r="D16" s="57" t="s">
        <v>122</v>
      </c>
      <c r="F16" s="58">
        <v>2</v>
      </c>
      <c r="J16" s="41"/>
    </row>
    <row r="17" spans="1:76">
      <c r="A17" s="47" t="s">
        <v>4</v>
      </c>
      <c r="B17" s="48" t="s">
        <v>123</v>
      </c>
      <c r="C17" s="150" t="s">
        <v>124</v>
      </c>
      <c r="D17" s="151"/>
      <c r="E17" s="49" t="s">
        <v>80</v>
      </c>
      <c r="F17" s="49" t="s">
        <v>80</v>
      </c>
      <c r="G17" s="50" t="s">
        <v>80</v>
      </c>
      <c r="H17" s="28">
        <f>SUM(H18:H43)</f>
        <v>0</v>
      </c>
      <c r="J17" s="41"/>
      <c r="AI17" s="35" t="s">
        <v>4</v>
      </c>
      <c r="AS17" s="28">
        <f>SUM(AJ18:AJ43)</f>
        <v>0</v>
      </c>
      <c r="AT17" s="28">
        <f>SUM(AK18:AK43)</f>
        <v>0</v>
      </c>
      <c r="AU17" s="28">
        <f>SUM(AL18:AL43)</f>
        <v>0</v>
      </c>
    </row>
    <row r="18" spans="1:76">
      <c r="A18" s="1" t="s">
        <v>121</v>
      </c>
      <c r="B18" s="2" t="s">
        <v>125</v>
      </c>
      <c r="C18" s="75" t="s">
        <v>126</v>
      </c>
      <c r="D18" s="70"/>
      <c r="E18" s="2" t="s">
        <v>127</v>
      </c>
      <c r="F18" s="51">
        <v>28.75</v>
      </c>
      <c r="G18" s="52">
        <v>0</v>
      </c>
      <c r="H18" s="51">
        <f>F18*G18</f>
        <v>0</v>
      </c>
      <c r="J18" s="41"/>
      <c r="Z18" s="51">
        <f>IF(AQ18="5",BJ18,0)</f>
        <v>0</v>
      </c>
      <c r="AB18" s="51">
        <f>IF(AQ18="1",BH18,0)</f>
        <v>0</v>
      </c>
      <c r="AC18" s="51">
        <f>IF(AQ18="1",BI18,0)</f>
        <v>0</v>
      </c>
      <c r="AD18" s="51">
        <f>IF(AQ18="7",BH18,0)</f>
        <v>0</v>
      </c>
      <c r="AE18" s="51">
        <f>IF(AQ18="7",BI18,0)</f>
        <v>0</v>
      </c>
      <c r="AF18" s="51">
        <f>IF(AQ18="2",BH18,0)</f>
        <v>0</v>
      </c>
      <c r="AG18" s="51">
        <f>IF(AQ18="2",BI18,0)</f>
        <v>0</v>
      </c>
      <c r="AH18" s="51">
        <f>IF(AQ18="0",BJ18,0)</f>
        <v>0</v>
      </c>
      <c r="AI18" s="35" t="s">
        <v>4</v>
      </c>
      <c r="AJ18" s="51">
        <f>IF(AN18=0,H18,0)</f>
        <v>0</v>
      </c>
      <c r="AK18" s="51">
        <f>IF(AN18=12,H18,0)</f>
        <v>0</v>
      </c>
      <c r="AL18" s="51">
        <f>IF(AN18=21,H18,0)</f>
        <v>0</v>
      </c>
      <c r="AN18" s="51">
        <v>12</v>
      </c>
      <c r="AO18" s="51">
        <f>G18*0.145294118</f>
        <v>0</v>
      </c>
      <c r="AP18" s="51">
        <f>G18*(1-0.145294118)</f>
        <v>0</v>
      </c>
      <c r="AQ18" s="53" t="s">
        <v>112</v>
      </c>
      <c r="AV18" s="51">
        <f>AW18+AX18</f>
        <v>0</v>
      </c>
      <c r="AW18" s="51">
        <f>F18*AO18</f>
        <v>0</v>
      </c>
      <c r="AX18" s="51">
        <f>F18*AP18</f>
        <v>0</v>
      </c>
      <c r="AY18" s="53" t="s">
        <v>128</v>
      </c>
      <c r="AZ18" s="53" t="s">
        <v>129</v>
      </c>
      <c r="BA18" s="35" t="s">
        <v>118</v>
      </c>
      <c r="BC18" s="51">
        <f>AW18+AX18</f>
        <v>0</v>
      </c>
      <c r="BD18" s="51">
        <f>G18/(100-BE18)*100</f>
        <v>0</v>
      </c>
      <c r="BE18" s="51">
        <v>0</v>
      </c>
      <c r="BF18" s="51">
        <f>18</f>
        <v>18</v>
      </c>
      <c r="BH18" s="51">
        <f>F18*AO18</f>
        <v>0</v>
      </c>
      <c r="BI18" s="51">
        <f>F18*AP18</f>
        <v>0</v>
      </c>
      <c r="BJ18" s="51">
        <f>F18*G18</f>
        <v>0</v>
      </c>
      <c r="BK18" s="51"/>
      <c r="BL18" s="51">
        <v>61</v>
      </c>
      <c r="BW18" s="51">
        <v>12</v>
      </c>
      <c r="BX18" s="3" t="s">
        <v>126</v>
      </c>
    </row>
    <row r="19" spans="1:76">
      <c r="A19" s="54"/>
      <c r="C19" s="56" t="s">
        <v>130</v>
      </c>
      <c r="D19" s="57" t="s">
        <v>4</v>
      </c>
      <c r="F19" s="58">
        <v>28.75</v>
      </c>
      <c r="J19" s="41"/>
    </row>
    <row r="20" spans="1:76">
      <c r="A20" s="1" t="s">
        <v>131</v>
      </c>
      <c r="B20" s="2" t="s">
        <v>132</v>
      </c>
      <c r="C20" s="75" t="s">
        <v>133</v>
      </c>
      <c r="D20" s="70"/>
      <c r="E20" s="2" t="s">
        <v>134</v>
      </c>
      <c r="F20" s="51">
        <v>29.824999999999999</v>
      </c>
      <c r="G20" s="52">
        <v>0</v>
      </c>
      <c r="H20" s="51">
        <f>F20*G20</f>
        <v>0</v>
      </c>
      <c r="J20" s="41"/>
      <c r="Z20" s="51">
        <f>IF(AQ20="5",BJ20,0)</f>
        <v>0</v>
      </c>
      <c r="AB20" s="51">
        <f>IF(AQ20="1",BH20,0)</f>
        <v>0</v>
      </c>
      <c r="AC20" s="51">
        <f>IF(AQ20="1",BI20,0)</f>
        <v>0</v>
      </c>
      <c r="AD20" s="51">
        <f>IF(AQ20="7",BH20,0)</f>
        <v>0</v>
      </c>
      <c r="AE20" s="51">
        <f>IF(AQ20="7",BI20,0)</f>
        <v>0</v>
      </c>
      <c r="AF20" s="51">
        <f>IF(AQ20="2",BH20,0)</f>
        <v>0</v>
      </c>
      <c r="AG20" s="51">
        <f>IF(AQ20="2",BI20,0)</f>
        <v>0</v>
      </c>
      <c r="AH20" s="51">
        <f>IF(AQ20="0",BJ20,0)</f>
        <v>0</v>
      </c>
      <c r="AI20" s="35" t="s">
        <v>4</v>
      </c>
      <c r="AJ20" s="51">
        <f>IF(AN20=0,H20,0)</f>
        <v>0</v>
      </c>
      <c r="AK20" s="51">
        <f>IF(AN20=12,H20,0)</f>
        <v>0</v>
      </c>
      <c r="AL20" s="51">
        <f>IF(AN20=21,H20,0)</f>
        <v>0</v>
      </c>
      <c r="AN20" s="51">
        <v>12</v>
      </c>
      <c r="AO20" s="51">
        <f>G20*0.151228515</f>
        <v>0</v>
      </c>
      <c r="AP20" s="51">
        <f>G20*(1-0.151228515)</f>
        <v>0</v>
      </c>
      <c r="AQ20" s="53" t="s">
        <v>112</v>
      </c>
      <c r="AV20" s="51">
        <f>AW20+AX20</f>
        <v>0</v>
      </c>
      <c r="AW20" s="51">
        <f>F20*AO20</f>
        <v>0</v>
      </c>
      <c r="AX20" s="51">
        <f>F20*AP20</f>
        <v>0</v>
      </c>
      <c r="AY20" s="53" t="s">
        <v>128</v>
      </c>
      <c r="AZ20" s="53" t="s">
        <v>129</v>
      </c>
      <c r="BA20" s="35" t="s">
        <v>118</v>
      </c>
      <c r="BC20" s="51">
        <f>AW20+AX20</f>
        <v>0</v>
      </c>
      <c r="BD20" s="51">
        <f>G20/(100-BE20)*100</f>
        <v>0</v>
      </c>
      <c r="BE20" s="51">
        <v>0</v>
      </c>
      <c r="BF20" s="51">
        <f>20</f>
        <v>20</v>
      </c>
      <c r="BH20" s="51">
        <f>F20*AO20</f>
        <v>0</v>
      </c>
      <c r="BI20" s="51">
        <f>F20*AP20</f>
        <v>0</v>
      </c>
      <c r="BJ20" s="51">
        <f>F20*G20</f>
        <v>0</v>
      </c>
      <c r="BK20" s="51"/>
      <c r="BL20" s="51">
        <v>61</v>
      </c>
      <c r="BW20" s="51">
        <v>12</v>
      </c>
      <c r="BX20" s="3" t="s">
        <v>133</v>
      </c>
    </row>
    <row r="21" spans="1:76">
      <c r="A21" s="54"/>
      <c r="C21" s="56" t="s">
        <v>135</v>
      </c>
      <c r="D21" s="57" t="s">
        <v>4</v>
      </c>
      <c r="F21" s="58">
        <v>29.824999999999999</v>
      </c>
      <c r="J21" s="41"/>
    </row>
    <row r="22" spans="1:76">
      <c r="A22" s="1" t="s">
        <v>136</v>
      </c>
      <c r="B22" s="2" t="s">
        <v>137</v>
      </c>
      <c r="C22" s="75" t="s">
        <v>138</v>
      </c>
      <c r="D22" s="70"/>
      <c r="E22" s="2" t="s">
        <v>127</v>
      </c>
      <c r="F22" s="51">
        <v>28.75</v>
      </c>
      <c r="G22" s="52">
        <v>0</v>
      </c>
      <c r="H22" s="51">
        <f>F22*G22</f>
        <v>0</v>
      </c>
      <c r="J22" s="41"/>
      <c r="Z22" s="51">
        <f>IF(AQ22="5",BJ22,0)</f>
        <v>0</v>
      </c>
      <c r="AB22" s="51">
        <f>IF(AQ22="1",BH22,0)</f>
        <v>0</v>
      </c>
      <c r="AC22" s="51">
        <f>IF(AQ22="1",BI22,0)</f>
        <v>0</v>
      </c>
      <c r="AD22" s="51">
        <f>IF(AQ22="7",BH22,0)</f>
        <v>0</v>
      </c>
      <c r="AE22" s="51">
        <f>IF(AQ22="7",BI22,0)</f>
        <v>0</v>
      </c>
      <c r="AF22" s="51">
        <f>IF(AQ22="2",BH22,0)</f>
        <v>0</v>
      </c>
      <c r="AG22" s="51">
        <f>IF(AQ22="2",BI22,0)</f>
        <v>0</v>
      </c>
      <c r="AH22" s="51">
        <f>IF(AQ22="0",BJ22,0)</f>
        <v>0</v>
      </c>
      <c r="AI22" s="35" t="s">
        <v>4</v>
      </c>
      <c r="AJ22" s="51">
        <f>IF(AN22=0,H22,0)</f>
        <v>0</v>
      </c>
      <c r="AK22" s="51">
        <f>IF(AN22=12,H22,0)</f>
        <v>0</v>
      </c>
      <c r="AL22" s="51">
        <f>IF(AN22=21,H22,0)</f>
        <v>0</v>
      </c>
      <c r="AN22" s="51">
        <v>12</v>
      </c>
      <c r="AO22" s="51">
        <f>G22*0.351190866</f>
        <v>0</v>
      </c>
      <c r="AP22" s="51">
        <f>G22*(1-0.351190866)</f>
        <v>0</v>
      </c>
      <c r="AQ22" s="53" t="s">
        <v>112</v>
      </c>
      <c r="AV22" s="51">
        <f>AW22+AX22</f>
        <v>0</v>
      </c>
      <c r="AW22" s="51">
        <f>F22*AO22</f>
        <v>0</v>
      </c>
      <c r="AX22" s="51">
        <f>F22*AP22</f>
        <v>0</v>
      </c>
      <c r="AY22" s="53" t="s">
        <v>128</v>
      </c>
      <c r="AZ22" s="53" t="s">
        <v>129</v>
      </c>
      <c r="BA22" s="35" t="s">
        <v>118</v>
      </c>
      <c r="BC22" s="51">
        <f>AW22+AX22</f>
        <v>0</v>
      </c>
      <c r="BD22" s="51">
        <f>G22/(100-BE22)*100</f>
        <v>0</v>
      </c>
      <c r="BE22" s="51">
        <v>0</v>
      </c>
      <c r="BF22" s="51">
        <f>22</f>
        <v>22</v>
      </c>
      <c r="BH22" s="51">
        <f>F22*AO22</f>
        <v>0</v>
      </c>
      <c r="BI22" s="51">
        <f>F22*AP22</f>
        <v>0</v>
      </c>
      <c r="BJ22" s="51">
        <f>F22*G22</f>
        <v>0</v>
      </c>
      <c r="BK22" s="51"/>
      <c r="BL22" s="51">
        <v>61</v>
      </c>
      <c r="BW22" s="51">
        <v>12</v>
      </c>
      <c r="BX22" s="3" t="s">
        <v>138</v>
      </c>
    </row>
    <row r="23" spans="1:76">
      <c r="A23" s="1" t="s">
        <v>139</v>
      </c>
      <c r="B23" s="2" t="s">
        <v>140</v>
      </c>
      <c r="C23" s="75" t="s">
        <v>141</v>
      </c>
      <c r="D23" s="70"/>
      <c r="E23" s="2" t="s">
        <v>127</v>
      </c>
      <c r="F23" s="51">
        <v>28.75</v>
      </c>
      <c r="G23" s="52">
        <v>0</v>
      </c>
      <c r="H23" s="51">
        <f>F23*G23</f>
        <v>0</v>
      </c>
      <c r="J23" s="41"/>
      <c r="Z23" s="51">
        <f>IF(AQ23="5",BJ23,0)</f>
        <v>0</v>
      </c>
      <c r="AB23" s="51">
        <f>IF(AQ23="1",BH23,0)</f>
        <v>0</v>
      </c>
      <c r="AC23" s="51">
        <f>IF(AQ23="1",BI23,0)</f>
        <v>0</v>
      </c>
      <c r="AD23" s="51">
        <f>IF(AQ23="7",BH23,0)</f>
        <v>0</v>
      </c>
      <c r="AE23" s="51">
        <f>IF(AQ23="7",BI23,0)</f>
        <v>0</v>
      </c>
      <c r="AF23" s="51">
        <f>IF(AQ23="2",BH23,0)</f>
        <v>0</v>
      </c>
      <c r="AG23" s="51">
        <f>IF(AQ23="2",BI23,0)</f>
        <v>0</v>
      </c>
      <c r="AH23" s="51">
        <f>IF(AQ23="0",BJ23,0)</f>
        <v>0</v>
      </c>
      <c r="AI23" s="35" t="s">
        <v>4</v>
      </c>
      <c r="AJ23" s="51">
        <f>IF(AN23=0,H23,0)</f>
        <v>0</v>
      </c>
      <c r="AK23" s="51">
        <f>IF(AN23=12,H23,0)</f>
        <v>0</v>
      </c>
      <c r="AL23" s="51">
        <f>IF(AN23=21,H23,0)</f>
        <v>0</v>
      </c>
      <c r="AN23" s="51">
        <v>12</v>
      </c>
      <c r="AO23" s="51">
        <f>G23*0.179173513</f>
        <v>0</v>
      </c>
      <c r="AP23" s="51">
        <f>G23*(1-0.179173513)</f>
        <v>0</v>
      </c>
      <c r="AQ23" s="53" t="s">
        <v>112</v>
      </c>
      <c r="AV23" s="51">
        <f>AW23+AX23</f>
        <v>0</v>
      </c>
      <c r="AW23" s="51">
        <f>F23*AO23</f>
        <v>0</v>
      </c>
      <c r="AX23" s="51">
        <f>F23*AP23</f>
        <v>0</v>
      </c>
      <c r="AY23" s="53" t="s">
        <v>128</v>
      </c>
      <c r="AZ23" s="53" t="s">
        <v>129</v>
      </c>
      <c r="BA23" s="35" t="s">
        <v>118</v>
      </c>
      <c r="BC23" s="51">
        <f>AW23+AX23</f>
        <v>0</v>
      </c>
      <c r="BD23" s="51">
        <f>G23/(100-BE23)*100</f>
        <v>0</v>
      </c>
      <c r="BE23" s="51">
        <v>0</v>
      </c>
      <c r="BF23" s="51">
        <f>23</f>
        <v>23</v>
      </c>
      <c r="BH23" s="51">
        <f>F23*AO23</f>
        <v>0</v>
      </c>
      <c r="BI23" s="51">
        <f>F23*AP23</f>
        <v>0</v>
      </c>
      <c r="BJ23" s="51">
        <f>F23*G23</f>
        <v>0</v>
      </c>
      <c r="BK23" s="51"/>
      <c r="BL23" s="51">
        <v>61</v>
      </c>
      <c r="BW23" s="51">
        <v>12</v>
      </c>
      <c r="BX23" s="3" t="s">
        <v>141</v>
      </c>
    </row>
    <row r="24" spans="1:76">
      <c r="A24" s="1" t="s">
        <v>142</v>
      </c>
      <c r="B24" s="2" t="s">
        <v>143</v>
      </c>
      <c r="C24" s="75" t="s">
        <v>144</v>
      </c>
      <c r="D24" s="70"/>
      <c r="E24" s="2" t="s">
        <v>127</v>
      </c>
      <c r="F24" s="51">
        <v>97.165000000000006</v>
      </c>
      <c r="G24" s="52">
        <v>0</v>
      </c>
      <c r="H24" s="51">
        <f>F24*G24</f>
        <v>0</v>
      </c>
      <c r="J24" s="41"/>
      <c r="Z24" s="51">
        <f>IF(AQ24="5",BJ24,0)</f>
        <v>0</v>
      </c>
      <c r="AB24" s="51">
        <f>IF(AQ24="1",BH24,0)</f>
        <v>0</v>
      </c>
      <c r="AC24" s="51">
        <f>IF(AQ24="1",BI24,0)</f>
        <v>0</v>
      </c>
      <c r="AD24" s="51">
        <f>IF(AQ24="7",BH24,0)</f>
        <v>0</v>
      </c>
      <c r="AE24" s="51">
        <f>IF(AQ24="7",BI24,0)</f>
        <v>0</v>
      </c>
      <c r="AF24" s="51">
        <f>IF(AQ24="2",BH24,0)</f>
        <v>0</v>
      </c>
      <c r="AG24" s="51">
        <f>IF(AQ24="2",BI24,0)</f>
        <v>0</v>
      </c>
      <c r="AH24" s="51">
        <f>IF(AQ24="0",BJ24,0)</f>
        <v>0</v>
      </c>
      <c r="AI24" s="35" t="s">
        <v>4</v>
      </c>
      <c r="AJ24" s="51">
        <f>IF(AN24=0,H24,0)</f>
        <v>0</v>
      </c>
      <c r="AK24" s="51">
        <f>IF(AN24=12,H24,0)</f>
        <v>0</v>
      </c>
      <c r="AL24" s="51">
        <f>IF(AN24=21,H24,0)</f>
        <v>0</v>
      </c>
      <c r="AN24" s="51">
        <v>12</v>
      </c>
      <c r="AO24" s="51">
        <f>G24*0.40890625</f>
        <v>0</v>
      </c>
      <c r="AP24" s="51">
        <f>G24*(1-0.40890625)</f>
        <v>0</v>
      </c>
      <c r="AQ24" s="53" t="s">
        <v>112</v>
      </c>
      <c r="AV24" s="51">
        <f>AW24+AX24</f>
        <v>0</v>
      </c>
      <c r="AW24" s="51">
        <f>F24*AO24</f>
        <v>0</v>
      </c>
      <c r="AX24" s="51">
        <f>F24*AP24</f>
        <v>0</v>
      </c>
      <c r="AY24" s="53" t="s">
        <v>128</v>
      </c>
      <c r="AZ24" s="53" t="s">
        <v>129</v>
      </c>
      <c r="BA24" s="35" t="s">
        <v>118</v>
      </c>
      <c r="BC24" s="51">
        <f>AW24+AX24</f>
        <v>0</v>
      </c>
      <c r="BD24" s="51">
        <f>G24/(100-BE24)*100</f>
        <v>0</v>
      </c>
      <c r="BE24" s="51">
        <v>0</v>
      </c>
      <c r="BF24" s="51">
        <f>24</f>
        <v>24</v>
      </c>
      <c r="BH24" s="51">
        <f>F24*AO24</f>
        <v>0</v>
      </c>
      <c r="BI24" s="51">
        <f>F24*AP24</f>
        <v>0</v>
      </c>
      <c r="BJ24" s="51">
        <f>F24*G24</f>
        <v>0</v>
      </c>
      <c r="BK24" s="51"/>
      <c r="BL24" s="51">
        <v>61</v>
      </c>
      <c r="BW24" s="51">
        <v>12</v>
      </c>
      <c r="BX24" s="3" t="s">
        <v>144</v>
      </c>
    </row>
    <row r="25" spans="1:76">
      <c r="A25" s="54"/>
      <c r="C25" s="56" t="s">
        <v>145</v>
      </c>
      <c r="D25" s="57" t="s">
        <v>146</v>
      </c>
      <c r="F25" s="58">
        <v>13.114000000000001</v>
      </c>
      <c r="J25" s="41"/>
    </row>
    <row r="26" spans="1:76">
      <c r="A26" s="54"/>
      <c r="C26" s="56" t="s">
        <v>147</v>
      </c>
      <c r="D26" s="57" t="s">
        <v>148</v>
      </c>
      <c r="F26" s="58">
        <v>4.62</v>
      </c>
      <c r="J26" s="41"/>
    </row>
    <row r="27" spans="1:76">
      <c r="A27" s="54"/>
      <c r="C27" s="56" t="s">
        <v>149</v>
      </c>
      <c r="D27" s="57" t="s">
        <v>150</v>
      </c>
      <c r="F27" s="58">
        <v>39.82</v>
      </c>
      <c r="J27" s="41"/>
    </row>
    <row r="28" spans="1:76">
      <c r="A28" s="54"/>
      <c r="C28" s="56" t="s">
        <v>151</v>
      </c>
      <c r="D28" s="57" t="s">
        <v>152</v>
      </c>
      <c r="F28" s="58">
        <v>36.545000000000002</v>
      </c>
      <c r="J28" s="41"/>
    </row>
    <row r="29" spans="1:76">
      <c r="A29" s="54"/>
      <c r="C29" s="56" t="s">
        <v>153</v>
      </c>
      <c r="D29" s="57" t="s">
        <v>154</v>
      </c>
      <c r="F29" s="58">
        <v>1.68</v>
      </c>
      <c r="J29" s="41"/>
    </row>
    <row r="30" spans="1:76">
      <c r="A30" s="54"/>
      <c r="C30" s="56" t="s">
        <v>155</v>
      </c>
      <c r="D30" s="57" t="s">
        <v>4</v>
      </c>
      <c r="F30" s="58">
        <v>1.3859999999999999</v>
      </c>
      <c r="J30" s="41"/>
    </row>
    <row r="31" spans="1:76">
      <c r="A31" s="1" t="s">
        <v>156</v>
      </c>
      <c r="B31" s="2" t="s">
        <v>157</v>
      </c>
      <c r="C31" s="75" t="s">
        <v>158</v>
      </c>
      <c r="D31" s="70"/>
      <c r="E31" s="2" t="s">
        <v>127</v>
      </c>
      <c r="F31" s="51">
        <v>13.494999999999999</v>
      </c>
      <c r="G31" s="52">
        <v>0</v>
      </c>
      <c r="H31" s="51">
        <f>F31*G31</f>
        <v>0</v>
      </c>
      <c r="J31" s="41"/>
      <c r="Z31" s="51">
        <f>IF(AQ31="5",BJ31,0)</f>
        <v>0</v>
      </c>
      <c r="AB31" s="51">
        <f>IF(AQ31="1",BH31,0)</f>
        <v>0</v>
      </c>
      <c r="AC31" s="51">
        <f>IF(AQ31="1",BI31,0)</f>
        <v>0</v>
      </c>
      <c r="AD31" s="51">
        <f>IF(AQ31="7",BH31,0)</f>
        <v>0</v>
      </c>
      <c r="AE31" s="51">
        <f>IF(AQ31="7",BI31,0)</f>
        <v>0</v>
      </c>
      <c r="AF31" s="51">
        <f>IF(AQ31="2",BH31,0)</f>
        <v>0</v>
      </c>
      <c r="AG31" s="51">
        <f>IF(AQ31="2",BI31,0)</f>
        <v>0</v>
      </c>
      <c r="AH31" s="51">
        <f>IF(AQ31="0",BJ31,0)</f>
        <v>0</v>
      </c>
      <c r="AI31" s="35" t="s">
        <v>4</v>
      </c>
      <c r="AJ31" s="51">
        <f>IF(AN31=0,H31,0)</f>
        <v>0</v>
      </c>
      <c r="AK31" s="51">
        <f>IF(AN31=12,H31,0)</f>
        <v>0</v>
      </c>
      <c r="AL31" s="51">
        <f>IF(AN31=21,H31,0)</f>
        <v>0</v>
      </c>
      <c r="AN31" s="51">
        <v>12</v>
      </c>
      <c r="AO31" s="51">
        <f>G31*0.16566834</f>
        <v>0</v>
      </c>
      <c r="AP31" s="51">
        <f>G31*(1-0.16566834)</f>
        <v>0</v>
      </c>
      <c r="AQ31" s="53" t="s">
        <v>112</v>
      </c>
      <c r="AV31" s="51">
        <f>AW31+AX31</f>
        <v>0</v>
      </c>
      <c r="AW31" s="51">
        <f>F31*AO31</f>
        <v>0</v>
      </c>
      <c r="AX31" s="51">
        <f>F31*AP31</f>
        <v>0</v>
      </c>
      <c r="AY31" s="53" t="s">
        <v>128</v>
      </c>
      <c r="AZ31" s="53" t="s">
        <v>129</v>
      </c>
      <c r="BA31" s="35" t="s">
        <v>118</v>
      </c>
      <c r="BC31" s="51">
        <f>AW31+AX31</f>
        <v>0</v>
      </c>
      <c r="BD31" s="51">
        <f>G31/(100-BE31)*100</f>
        <v>0</v>
      </c>
      <c r="BE31" s="51">
        <v>0</v>
      </c>
      <c r="BF31" s="51">
        <f>31</f>
        <v>31</v>
      </c>
      <c r="BH31" s="51">
        <f>F31*AO31</f>
        <v>0</v>
      </c>
      <c r="BI31" s="51">
        <f>F31*AP31</f>
        <v>0</v>
      </c>
      <c r="BJ31" s="51">
        <f>F31*G31</f>
        <v>0</v>
      </c>
      <c r="BK31" s="51"/>
      <c r="BL31" s="51">
        <v>61</v>
      </c>
      <c r="BW31" s="51">
        <v>12</v>
      </c>
      <c r="BX31" s="3" t="s">
        <v>158</v>
      </c>
    </row>
    <row r="32" spans="1:76">
      <c r="A32" s="54"/>
      <c r="C32" s="56" t="s">
        <v>159</v>
      </c>
      <c r="D32" s="57" t="s">
        <v>160</v>
      </c>
      <c r="F32" s="58">
        <v>3.78</v>
      </c>
      <c r="J32" s="41"/>
    </row>
    <row r="33" spans="1:76">
      <c r="A33" s="54"/>
      <c r="C33" s="56" t="s">
        <v>161</v>
      </c>
      <c r="D33" s="57" t="s">
        <v>4</v>
      </c>
      <c r="F33" s="58">
        <v>6.93</v>
      </c>
      <c r="J33" s="41"/>
    </row>
    <row r="34" spans="1:76">
      <c r="A34" s="54"/>
      <c r="C34" s="56" t="s">
        <v>162</v>
      </c>
      <c r="D34" s="57" t="s">
        <v>163</v>
      </c>
      <c r="F34" s="58">
        <v>2.2050000000000001</v>
      </c>
      <c r="J34" s="41"/>
    </row>
    <row r="35" spans="1:76">
      <c r="A35" s="54"/>
      <c r="C35" s="56" t="s">
        <v>164</v>
      </c>
      <c r="D35" s="57" t="s">
        <v>4</v>
      </c>
      <c r="F35" s="58">
        <v>0.57999999999999996</v>
      </c>
      <c r="J35" s="41"/>
    </row>
    <row r="36" spans="1:76">
      <c r="A36" s="1" t="s">
        <v>165</v>
      </c>
      <c r="B36" s="2" t="s">
        <v>166</v>
      </c>
      <c r="C36" s="75" t="s">
        <v>167</v>
      </c>
      <c r="D36" s="70"/>
      <c r="E36" s="2" t="s">
        <v>127</v>
      </c>
      <c r="F36" s="51">
        <v>1</v>
      </c>
      <c r="G36" s="52">
        <v>0</v>
      </c>
      <c r="H36" s="51">
        <f>F36*G36</f>
        <v>0</v>
      </c>
      <c r="J36" s="41"/>
      <c r="Z36" s="51">
        <f>IF(AQ36="5",BJ36,0)</f>
        <v>0</v>
      </c>
      <c r="AB36" s="51">
        <f>IF(AQ36="1",BH36,0)</f>
        <v>0</v>
      </c>
      <c r="AC36" s="51">
        <f>IF(AQ36="1",BI36,0)</f>
        <v>0</v>
      </c>
      <c r="AD36" s="51">
        <f>IF(AQ36="7",BH36,0)</f>
        <v>0</v>
      </c>
      <c r="AE36" s="51">
        <f>IF(AQ36="7",BI36,0)</f>
        <v>0</v>
      </c>
      <c r="AF36" s="51">
        <f>IF(AQ36="2",BH36,0)</f>
        <v>0</v>
      </c>
      <c r="AG36" s="51">
        <f>IF(AQ36="2",BI36,0)</f>
        <v>0</v>
      </c>
      <c r="AH36" s="51">
        <f>IF(AQ36="0",BJ36,0)</f>
        <v>0</v>
      </c>
      <c r="AI36" s="35" t="s">
        <v>4</v>
      </c>
      <c r="AJ36" s="51">
        <f>IF(AN36=0,H36,0)</f>
        <v>0</v>
      </c>
      <c r="AK36" s="51">
        <f>IF(AN36=12,H36,0)</f>
        <v>0</v>
      </c>
      <c r="AL36" s="51">
        <f>IF(AN36=21,H36,0)</f>
        <v>0</v>
      </c>
      <c r="AN36" s="51">
        <v>12</v>
      </c>
      <c r="AO36" s="51">
        <f>G36*0.24248927</f>
        <v>0</v>
      </c>
      <c r="AP36" s="51">
        <f>G36*(1-0.24248927)</f>
        <v>0</v>
      </c>
      <c r="AQ36" s="53" t="s">
        <v>112</v>
      </c>
      <c r="AV36" s="51">
        <f>AW36+AX36</f>
        <v>0</v>
      </c>
      <c r="AW36" s="51">
        <f>F36*AO36</f>
        <v>0</v>
      </c>
      <c r="AX36" s="51">
        <f>F36*AP36</f>
        <v>0</v>
      </c>
      <c r="AY36" s="53" t="s">
        <v>128</v>
      </c>
      <c r="AZ36" s="53" t="s">
        <v>129</v>
      </c>
      <c r="BA36" s="35" t="s">
        <v>118</v>
      </c>
      <c r="BC36" s="51">
        <f>AW36+AX36</f>
        <v>0</v>
      </c>
      <c r="BD36" s="51">
        <f>G36/(100-BE36)*100</f>
        <v>0</v>
      </c>
      <c r="BE36" s="51">
        <v>0</v>
      </c>
      <c r="BF36" s="51">
        <f>36</f>
        <v>36</v>
      </c>
      <c r="BH36" s="51">
        <f>F36*AO36</f>
        <v>0</v>
      </c>
      <c r="BI36" s="51">
        <f>F36*AP36</f>
        <v>0</v>
      </c>
      <c r="BJ36" s="51">
        <f>F36*G36</f>
        <v>0</v>
      </c>
      <c r="BK36" s="51"/>
      <c r="BL36" s="51">
        <v>61</v>
      </c>
      <c r="BW36" s="51">
        <v>12</v>
      </c>
      <c r="BX36" s="3" t="s">
        <v>167</v>
      </c>
    </row>
    <row r="37" spans="1:76">
      <c r="A37" s="54"/>
      <c r="C37" s="56" t="s">
        <v>168</v>
      </c>
      <c r="D37" s="57" t="s">
        <v>169</v>
      </c>
      <c r="F37" s="58">
        <v>1</v>
      </c>
      <c r="J37" s="41"/>
    </row>
    <row r="38" spans="1:76">
      <c r="A38" s="1" t="s">
        <v>170</v>
      </c>
      <c r="B38" s="2" t="s">
        <v>171</v>
      </c>
      <c r="C38" s="75" t="s">
        <v>172</v>
      </c>
      <c r="D38" s="70"/>
      <c r="E38" s="2" t="s">
        <v>127</v>
      </c>
      <c r="F38" s="51">
        <v>97.165000000000006</v>
      </c>
      <c r="G38" s="52">
        <v>0</v>
      </c>
      <c r="H38" s="51">
        <f>F38*G38</f>
        <v>0</v>
      </c>
      <c r="J38" s="41"/>
      <c r="Z38" s="51">
        <f>IF(AQ38="5",BJ38,0)</f>
        <v>0</v>
      </c>
      <c r="AB38" s="51">
        <f>IF(AQ38="1",BH38,0)</f>
        <v>0</v>
      </c>
      <c r="AC38" s="51">
        <f>IF(AQ38="1",BI38,0)</f>
        <v>0</v>
      </c>
      <c r="AD38" s="51">
        <f>IF(AQ38="7",BH38,0)</f>
        <v>0</v>
      </c>
      <c r="AE38" s="51">
        <f>IF(AQ38="7",BI38,0)</f>
        <v>0</v>
      </c>
      <c r="AF38" s="51">
        <f>IF(AQ38="2",BH38,0)</f>
        <v>0</v>
      </c>
      <c r="AG38" s="51">
        <f>IF(AQ38="2",BI38,0)</f>
        <v>0</v>
      </c>
      <c r="AH38" s="51">
        <f>IF(AQ38="0",BJ38,0)</f>
        <v>0</v>
      </c>
      <c r="AI38" s="35" t="s">
        <v>4</v>
      </c>
      <c r="AJ38" s="51">
        <f>IF(AN38=0,H38,0)</f>
        <v>0</v>
      </c>
      <c r="AK38" s="51">
        <f>IF(AN38=12,H38,0)</f>
        <v>0</v>
      </c>
      <c r="AL38" s="51">
        <f>IF(AN38=21,H38,0)</f>
        <v>0</v>
      </c>
      <c r="AN38" s="51">
        <v>12</v>
      </c>
      <c r="AO38" s="51">
        <f>G38*0.2012537</f>
        <v>0</v>
      </c>
      <c r="AP38" s="51">
        <f>G38*(1-0.2012537)</f>
        <v>0</v>
      </c>
      <c r="AQ38" s="53" t="s">
        <v>112</v>
      </c>
      <c r="AV38" s="51">
        <f>AW38+AX38</f>
        <v>0</v>
      </c>
      <c r="AW38" s="51">
        <f>F38*AO38</f>
        <v>0</v>
      </c>
      <c r="AX38" s="51">
        <f>F38*AP38</f>
        <v>0</v>
      </c>
      <c r="AY38" s="53" t="s">
        <v>128</v>
      </c>
      <c r="AZ38" s="53" t="s">
        <v>129</v>
      </c>
      <c r="BA38" s="35" t="s">
        <v>118</v>
      </c>
      <c r="BC38" s="51">
        <f>AW38+AX38</f>
        <v>0</v>
      </c>
      <c r="BD38" s="51">
        <f>G38/(100-BE38)*100</f>
        <v>0</v>
      </c>
      <c r="BE38" s="51">
        <v>0</v>
      </c>
      <c r="BF38" s="51">
        <f>38</f>
        <v>38</v>
      </c>
      <c r="BH38" s="51">
        <f>F38*AO38</f>
        <v>0</v>
      </c>
      <c r="BI38" s="51">
        <f>F38*AP38</f>
        <v>0</v>
      </c>
      <c r="BJ38" s="51">
        <f>F38*G38</f>
        <v>0</v>
      </c>
      <c r="BK38" s="51"/>
      <c r="BL38" s="51">
        <v>61</v>
      </c>
      <c r="BW38" s="51">
        <v>12</v>
      </c>
      <c r="BX38" s="3" t="s">
        <v>172</v>
      </c>
    </row>
    <row r="39" spans="1:76">
      <c r="A39" s="1" t="s">
        <v>173</v>
      </c>
      <c r="B39" s="2" t="s">
        <v>174</v>
      </c>
      <c r="C39" s="75" t="s">
        <v>175</v>
      </c>
      <c r="D39" s="70"/>
      <c r="E39" s="2" t="s">
        <v>127</v>
      </c>
      <c r="F39" s="51">
        <v>97.165000000000006</v>
      </c>
      <c r="G39" s="52">
        <v>0</v>
      </c>
      <c r="H39" s="51">
        <f>F39*G39</f>
        <v>0</v>
      </c>
      <c r="J39" s="41"/>
      <c r="Z39" s="51">
        <f>IF(AQ39="5",BJ39,0)</f>
        <v>0</v>
      </c>
      <c r="AB39" s="51">
        <f>IF(AQ39="1",BH39,0)</f>
        <v>0</v>
      </c>
      <c r="AC39" s="51">
        <f>IF(AQ39="1",BI39,0)</f>
        <v>0</v>
      </c>
      <c r="AD39" s="51">
        <f>IF(AQ39="7",BH39,0)</f>
        <v>0</v>
      </c>
      <c r="AE39" s="51">
        <f>IF(AQ39="7",BI39,0)</f>
        <v>0</v>
      </c>
      <c r="AF39" s="51">
        <f>IF(AQ39="2",BH39,0)</f>
        <v>0</v>
      </c>
      <c r="AG39" s="51">
        <f>IF(AQ39="2",BI39,0)</f>
        <v>0</v>
      </c>
      <c r="AH39" s="51">
        <f>IF(AQ39="0",BJ39,0)</f>
        <v>0</v>
      </c>
      <c r="AI39" s="35" t="s">
        <v>4</v>
      </c>
      <c r="AJ39" s="51">
        <f>IF(AN39=0,H39,0)</f>
        <v>0</v>
      </c>
      <c r="AK39" s="51">
        <f>IF(AN39=12,H39,0)</f>
        <v>0</v>
      </c>
      <c r="AL39" s="51">
        <f>IF(AN39=21,H39,0)</f>
        <v>0</v>
      </c>
      <c r="AN39" s="51">
        <v>12</v>
      </c>
      <c r="AO39" s="51">
        <f>G39*0.435487224</f>
        <v>0</v>
      </c>
      <c r="AP39" s="51">
        <f>G39*(1-0.435487224)</f>
        <v>0</v>
      </c>
      <c r="AQ39" s="53" t="s">
        <v>112</v>
      </c>
      <c r="AV39" s="51">
        <f>AW39+AX39</f>
        <v>0</v>
      </c>
      <c r="AW39" s="51">
        <f>F39*AO39</f>
        <v>0</v>
      </c>
      <c r="AX39" s="51">
        <f>F39*AP39</f>
        <v>0</v>
      </c>
      <c r="AY39" s="53" t="s">
        <v>128</v>
      </c>
      <c r="AZ39" s="53" t="s">
        <v>129</v>
      </c>
      <c r="BA39" s="35" t="s">
        <v>118</v>
      </c>
      <c r="BC39" s="51">
        <f>AW39+AX39</f>
        <v>0</v>
      </c>
      <c r="BD39" s="51">
        <f>G39/(100-BE39)*100</f>
        <v>0</v>
      </c>
      <c r="BE39" s="51">
        <v>0</v>
      </c>
      <c r="BF39" s="51">
        <f>39</f>
        <v>39</v>
      </c>
      <c r="BH39" s="51">
        <f>F39*AO39</f>
        <v>0</v>
      </c>
      <c r="BI39" s="51">
        <f>F39*AP39</f>
        <v>0</v>
      </c>
      <c r="BJ39" s="51">
        <f>F39*G39</f>
        <v>0</v>
      </c>
      <c r="BK39" s="51"/>
      <c r="BL39" s="51">
        <v>61</v>
      </c>
      <c r="BW39" s="51">
        <v>12</v>
      </c>
      <c r="BX39" s="3" t="s">
        <v>175</v>
      </c>
    </row>
    <row r="40" spans="1:76" ht="13.5" customHeight="1">
      <c r="A40" s="54"/>
      <c r="B40" s="55" t="s">
        <v>119</v>
      </c>
      <c r="C40" s="152" t="s">
        <v>120</v>
      </c>
      <c r="D40" s="153"/>
      <c r="E40" s="153"/>
      <c r="F40" s="153"/>
      <c r="G40" s="154"/>
      <c r="H40" s="153"/>
      <c r="I40" s="153"/>
      <c r="J40" s="155"/>
    </row>
    <row r="41" spans="1:76">
      <c r="A41" s="1" t="s">
        <v>176</v>
      </c>
      <c r="B41" s="2" t="s">
        <v>177</v>
      </c>
      <c r="C41" s="75" t="s">
        <v>178</v>
      </c>
      <c r="D41" s="70"/>
      <c r="E41" s="2" t="s">
        <v>127</v>
      </c>
      <c r="F41" s="51">
        <v>4.05</v>
      </c>
      <c r="G41" s="52">
        <v>0</v>
      </c>
      <c r="H41" s="51">
        <f>F41*G41</f>
        <v>0</v>
      </c>
      <c r="J41" s="41"/>
      <c r="Z41" s="51">
        <f>IF(AQ41="5",BJ41,0)</f>
        <v>0</v>
      </c>
      <c r="AB41" s="51">
        <f>IF(AQ41="1",BH41,0)</f>
        <v>0</v>
      </c>
      <c r="AC41" s="51">
        <f>IF(AQ41="1",BI41,0)</f>
        <v>0</v>
      </c>
      <c r="AD41" s="51">
        <f>IF(AQ41="7",BH41,0)</f>
        <v>0</v>
      </c>
      <c r="AE41" s="51">
        <f>IF(AQ41="7",BI41,0)</f>
        <v>0</v>
      </c>
      <c r="AF41" s="51">
        <f>IF(AQ41="2",BH41,0)</f>
        <v>0</v>
      </c>
      <c r="AG41" s="51">
        <f>IF(AQ41="2",BI41,0)</f>
        <v>0</v>
      </c>
      <c r="AH41" s="51">
        <f>IF(AQ41="0",BJ41,0)</f>
        <v>0</v>
      </c>
      <c r="AI41" s="35" t="s">
        <v>4</v>
      </c>
      <c r="AJ41" s="51">
        <f>IF(AN41=0,H41,0)</f>
        <v>0</v>
      </c>
      <c r="AK41" s="51">
        <f>IF(AN41=12,H41,0)</f>
        <v>0</v>
      </c>
      <c r="AL41" s="51">
        <f>IF(AN41=21,H41,0)</f>
        <v>0</v>
      </c>
      <c r="AN41" s="51">
        <v>12</v>
      </c>
      <c r="AO41" s="51">
        <f>G41*0.333784689</f>
        <v>0</v>
      </c>
      <c r="AP41" s="51">
        <f>G41*(1-0.333784689)</f>
        <v>0</v>
      </c>
      <c r="AQ41" s="53" t="s">
        <v>112</v>
      </c>
      <c r="AV41" s="51">
        <f>AW41+AX41</f>
        <v>0</v>
      </c>
      <c r="AW41" s="51">
        <f>F41*AO41</f>
        <v>0</v>
      </c>
      <c r="AX41" s="51">
        <f>F41*AP41</f>
        <v>0</v>
      </c>
      <c r="AY41" s="53" t="s">
        <v>128</v>
      </c>
      <c r="AZ41" s="53" t="s">
        <v>129</v>
      </c>
      <c r="BA41" s="35" t="s">
        <v>118</v>
      </c>
      <c r="BC41" s="51">
        <f>AW41+AX41</f>
        <v>0</v>
      </c>
      <c r="BD41" s="51">
        <f>G41/(100-BE41)*100</f>
        <v>0</v>
      </c>
      <c r="BE41" s="51">
        <v>0</v>
      </c>
      <c r="BF41" s="51">
        <f>41</f>
        <v>41</v>
      </c>
      <c r="BH41" s="51">
        <f>F41*AO41</f>
        <v>0</v>
      </c>
      <c r="BI41" s="51">
        <f>F41*AP41</f>
        <v>0</v>
      </c>
      <c r="BJ41" s="51">
        <f>F41*G41</f>
        <v>0</v>
      </c>
      <c r="BK41" s="51"/>
      <c r="BL41" s="51">
        <v>61</v>
      </c>
      <c r="BW41" s="51">
        <v>12</v>
      </c>
      <c r="BX41" s="3" t="s">
        <v>178</v>
      </c>
    </row>
    <row r="42" spans="1:76">
      <c r="A42" s="54"/>
      <c r="C42" s="56" t="s">
        <v>179</v>
      </c>
      <c r="D42" s="57" t="s">
        <v>180</v>
      </c>
      <c r="F42" s="58">
        <v>4.05</v>
      </c>
      <c r="J42" s="41"/>
    </row>
    <row r="43" spans="1:76">
      <c r="A43" s="1" t="s">
        <v>181</v>
      </c>
      <c r="B43" s="2" t="s">
        <v>182</v>
      </c>
      <c r="C43" s="75" t="s">
        <v>183</v>
      </c>
      <c r="D43" s="70"/>
      <c r="E43" s="2" t="s">
        <v>134</v>
      </c>
      <c r="F43" s="51">
        <v>3</v>
      </c>
      <c r="G43" s="52">
        <v>0</v>
      </c>
      <c r="H43" s="51">
        <f>F43*G43</f>
        <v>0</v>
      </c>
      <c r="J43" s="41"/>
      <c r="Z43" s="51">
        <f>IF(AQ43="5",BJ43,0)</f>
        <v>0</v>
      </c>
      <c r="AB43" s="51">
        <f>IF(AQ43="1",BH43,0)</f>
        <v>0</v>
      </c>
      <c r="AC43" s="51">
        <f>IF(AQ43="1",BI43,0)</f>
        <v>0</v>
      </c>
      <c r="AD43" s="51">
        <f>IF(AQ43="7",BH43,0)</f>
        <v>0</v>
      </c>
      <c r="AE43" s="51">
        <f>IF(AQ43="7",BI43,0)</f>
        <v>0</v>
      </c>
      <c r="AF43" s="51">
        <f>IF(AQ43="2",BH43,0)</f>
        <v>0</v>
      </c>
      <c r="AG43" s="51">
        <f>IF(AQ43="2",BI43,0)</f>
        <v>0</v>
      </c>
      <c r="AH43" s="51">
        <f>IF(AQ43="0",BJ43,0)</f>
        <v>0</v>
      </c>
      <c r="AI43" s="35" t="s">
        <v>4</v>
      </c>
      <c r="AJ43" s="51">
        <f>IF(AN43=0,H43,0)</f>
        <v>0</v>
      </c>
      <c r="AK43" s="51">
        <f>IF(AN43=12,H43,0)</f>
        <v>0</v>
      </c>
      <c r="AL43" s="51">
        <f>IF(AN43=21,H43,0)</f>
        <v>0</v>
      </c>
      <c r="AN43" s="51">
        <v>12</v>
      </c>
      <c r="AO43" s="51">
        <f>G43*0.560765297</f>
        <v>0</v>
      </c>
      <c r="AP43" s="51">
        <f>G43*(1-0.560765297)</f>
        <v>0</v>
      </c>
      <c r="AQ43" s="53" t="s">
        <v>112</v>
      </c>
      <c r="AV43" s="51">
        <f>AW43+AX43</f>
        <v>0</v>
      </c>
      <c r="AW43" s="51">
        <f>F43*AO43</f>
        <v>0</v>
      </c>
      <c r="AX43" s="51">
        <f>F43*AP43</f>
        <v>0</v>
      </c>
      <c r="AY43" s="53" t="s">
        <v>128</v>
      </c>
      <c r="AZ43" s="53" t="s">
        <v>129</v>
      </c>
      <c r="BA43" s="35" t="s">
        <v>118</v>
      </c>
      <c r="BC43" s="51">
        <f>AW43+AX43</f>
        <v>0</v>
      </c>
      <c r="BD43" s="51">
        <f>G43/(100-BE43)*100</f>
        <v>0</v>
      </c>
      <c r="BE43" s="51">
        <v>0</v>
      </c>
      <c r="BF43" s="51">
        <f>43</f>
        <v>43</v>
      </c>
      <c r="BH43" s="51">
        <f>F43*AO43</f>
        <v>0</v>
      </c>
      <c r="BI43" s="51">
        <f>F43*AP43</f>
        <v>0</v>
      </c>
      <c r="BJ43" s="51">
        <f>F43*G43</f>
        <v>0</v>
      </c>
      <c r="BK43" s="51"/>
      <c r="BL43" s="51">
        <v>61</v>
      </c>
      <c r="BW43" s="51">
        <v>12</v>
      </c>
      <c r="BX43" s="3" t="s">
        <v>183</v>
      </c>
    </row>
    <row r="44" spans="1:76" ht="13.5" customHeight="1">
      <c r="A44" s="54"/>
      <c r="B44" s="55" t="s">
        <v>119</v>
      </c>
      <c r="C44" s="152" t="s">
        <v>184</v>
      </c>
      <c r="D44" s="153"/>
      <c r="E44" s="153"/>
      <c r="F44" s="153"/>
      <c r="G44" s="154"/>
      <c r="H44" s="153"/>
      <c r="I44" s="153"/>
      <c r="J44" s="155"/>
    </row>
    <row r="45" spans="1:76">
      <c r="A45" s="54"/>
      <c r="C45" s="56" t="s">
        <v>185</v>
      </c>
      <c r="D45" s="57" t="s">
        <v>4</v>
      </c>
      <c r="F45" s="58">
        <v>3</v>
      </c>
      <c r="J45" s="41"/>
    </row>
    <row r="46" spans="1:76">
      <c r="A46" s="47" t="s">
        <v>4</v>
      </c>
      <c r="B46" s="48" t="s">
        <v>186</v>
      </c>
      <c r="C46" s="150" t="s">
        <v>187</v>
      </c>
      <c r="D46" s="151"/>
      <c r="E46" s="49" t="s">
        <v>80</v>
      </c>
      <c r="F46" s="49" t="s">
        <v>80</v>
      </c>
      <c r="G46" s="50" t="s">
        <v>80</v>
      </c>
      <c r="H46" s="28">
        <f>SUM(H47:H52)</f>
        <v>0</v>
      </c>
      <c r="J46" s="41"/>
      <c r="AI46" s="35" t="s">
        <v>4</v>
      </c>
      <c r="AS46" s="28">
        <f>SUM(AJ47:AJ52)</f>
        <v>0</v>
      </c>
      <c r="AT46" s="28">
        <f>SUM(AK47:AK52)</f>
        <v>0</v>
      </c>
      <c r="AU46" s="28">
        <f>SUM(AL47:AL52)</f>
        <v>0</v>
      </c>
    </row>
    <row r="47" spans="1:76">
      <c r="A47" s="1" t="s">
        <v>188</v>
      </c>
      <c r="B47" s="2" t="s">
        <v>189</v>
      </c>
      <c r="C47" s="75" t="s">
        <v>190</v>
      </c>
      <c r="D47" s="70"/>
      <c r="E47" s="2" t="s">
        <v>127</v>
      </c>
      <c r="F47" s="51">
        <v>2.5990000000000002</v>
      </c>
      <c r="G47" s="52">
        <v>0</v>
      </c>
      <c r="H47" s="51">
        <f>F47*G47</f>
        <v>0</v>
      </c>
      <c r="J47" s="41"/>
      <c r="Z47" s="51">
        <f>IF(AQ47="5",BJ47,0)</f>
        <v>0</v>
      </c>
      <c r="AB47" s="51">
        <f>IF(AQ47="1",BH47,0)</f>
        <v>0</v>
      </c>
      <c r="AC47" s="51">
        <f>IF(AQ47="1",BI47,0)</f>
        <v>0</v>
      </c>
      <c r="AD47" s="51">
        <f>IF(AQ47="7",BH47,0)</f>
        <v>0</v>
      </c>
      <c r="AE47" s="51">
        <f>IF(AQ47="7",BI47,0)</f>
        <v>0</v>
      </c>
      <c r="AF47" s="51">
        <f>IF(AQ47="2",BH47,0)</f>
        <v>0</v>
      </c>
      <c r="AG47" s="51">
        <f>IF(AQ47="2",BI47,0)</f>
        <v>0</v>
      </c>
      <c r="AH47" s="51">
        <f>IF(AQ47="0",BJ47,0)</f>
        <v>0</v>
      </c>
      <c r="AI47" s="35" t="s">
        <v>4</v>
      </c>
      <c r="AJ47" s="51">
        <f>IF(AN47=0,H47,0)</f>
        <v>0</v>
      </c>
      <c r="AK47" s="51">
        <f>IF(AN47=12,H47,0)</f>
        <v>0</v>
      </c>
      <c r="AL47" s="51">
        <f>IF(AN47=21,H47,0)</f>
        <v>0</v>
      </c>
      <c r="AN47" s="51">
        <v>12</v>
      </c>
      <c r="AO47" s="51">
        <f>G47*0.675979887</f>
        <v>0</v>
      </c>
      <c r="AP47" s="51">
        <f>G47*(1-0.675979887)</f>
        <v>0</v>
      </c>
      <c r="AQ47" s="53" t="s">
        <v>112</v>
      </c>
      <c r="AV47" s="51">
        <f>AW47+AX47</f>
        <v>0</v>
      </c>
      <c r="AW47" s="51">
        <f>F47*AO47</f>
        <v>0</v>
      </c>
      <c r="AX47" s="51">
        <f>F47*AP47</f>
        <v>0</v>
      </c>
      <c r="AY47" s="53" t="s">
        <v>191</v>
      </c>
      <c r="AZ47" s="53" t="s">
        <v>129</v>
      </c>
      <c r="BA47" s="35" t="s">
        <v>118</v>
      </c>
      <c r="BC47" s="51">
        <f>AW47+AX47</f>
        <v>0</v>
      </c>
      <c r="BD47" s="51">
        <f>G47/(100-BE47)*100</f>
        <v>0</v>
      </c>
      <c r="BE47" s="51">
        <v>0</v>
      </c>
      <c r="BF47" s="51">
        <f>47</f>
        <v>47</v>
      </c>
      <c r="BH47" s="51">
        <f>F47*AO47</f>
        <v>0</v>
      </c>
      <c r="BI47" s="51">
        <f>F47*AP47</f>
        <v>0</v>
      </c>
      <c r="BJ47" s="51">
        <f>F47*G47</f>
        <v>0</v>
      </c>
      <c r="BK47" s="51"/>
      <c r="BL47" s="51">
        <v>63</v>
      </c>
      <c r="BW47" s="51">
        <v>12</v>
      </c>
      <c r="BX47" s="3" t="s">
        <v>190</v>
      </c>
    </row>
    <row r="48" spans="1:76">
      <c r="A48" s="54"/>
      <c r="C48" s="56" t="s">
        <v>192</v>
      </c>
      <c r="D48" s="57" t="s">
        <v>148</v>
      </c>
      <c r="F48" s="58">
        <v>2.5990000000000002</v>
      </c>
      <c r="J48" s="41"/>
    </row>
    <row r="49" spans="1:76">
      <c r="A49" s="1" t="s">
        <v>193</v>
      </c>
      <c r="B49" s="2" t="s">
        <v>194</v>
      </c>
      <c r="C49" s="75" t="s">
        <v>195</v>
      </c>
      <c r="D49" s="70"/>
      <c r="E49" s="2" t="s">
        <v>127</v>
      </c>
      <c r="F49" s="51">
        <v>26.428999999999998</v>
      </c>
      <c r="G49" s="52">
        <v>0</v>
      </c>
      <c r="H49" s="51">
        <f>F49*G49</f>
        <v>0</v>
      </c>
      <c r="J49" s="41"/>
      <c r="Z49" s="51">
        <f>IF(AQ49="5",BJ49,0)</f>
        <v>0</v>
      </c>
      <c r="AB49" s="51">
        <f>IF(AQ49="1",BH49,0)</f>
        <v>0</v>
      </c>
      <c r="AC49" s="51">
        <f>IF(AQ49="1",BI49,0)</f>
        <v>0</v>
      </c>
      <c r="AD49" s="51">
        <f>IF(AQ49="7",BH49,0)</f>
        <v>0</v>
      </c>
      <c r="AE49" s="51">
        <f>IF(AQ49="7",BI49,0)</f>
        <v>0</v>
      </c>
      <c r="AF49" s="51">
        <f>IF(AQ49="2",BH49,0)</f>
        <v>0</v>
      </c>
      <c r="AG49" s="51">
        <f>IF(AQ49="2",BI49,0)</f>
        <v>0</v>
      </c>
      <c r="AH49" s="51">
        <f>IF(AQ49="0",BJ49,0)</f>
        <v>0</v>
      </c>
      <c r="AI49" s="35" t="s">
        <v>4</v>
      </c>
      <c r="AJ49" s="51">
        <f>IF(AN49=0,H49,0)</f>
        <v>0</v>
      </c>
      <c r="AK49" s="51">
        <f>IF(AN49=12,H49,0)</f>
        <v>0</v>
      </c>
      <c r="AL49" s="51">
        <f>IF(AN49=21,H49,0)</f>
        <v>0</v>
      </c>
      <c r="AN49" s="51">
        <v>12</v>
      </c>
      <c r="AO49" s="51">
        <f>G49*0.785783593</f>
        <v>0</v>
      </c>
      <c r="AP49" s="51">
        <f>G49*(1-0.785783593)</f>
        <v>0</v>
      </c>
      <c r="AQ49" s="53" t="s">
        <v>112</v>
      </c>
      <c r="AV49" s="51">
        <f>AW49+AX49</f>
        <v>0</v>
      </c>
      <c r="AW49" s="51">
        <f>F49*AO49</f>
        <v>0</v>
      </c>
      <c r="AX49" s="51">
        <f>F49*AP49</f>
        <v>0</v>
      </c>
      <c r="AY49" s="53" t="s">
        <v>191</v>
      </c>
      <c r="AZ49" s="53" t="s">
        <v>129</v>
      </c>
      <c r="BA49" s="35" t="s">
        <v>118</v>
      </c>
      <c r="BC49" s="51">
        <f>AW49+AX49</f>
        <v>0</v>
      </c>
      <c r="BD49" s="51">
        <f>G49/(100-BE49)*100</f>
        <v>0</v>
      </c>
      <c r="BE49" s="51">
        <v>0</v>
      </c>
      <c r="BF49" s="51">
        <f>49</f>
        <v>49</v>
      </c>
      <c r="BH49" s="51">
        <f>F49*AO49</f>
        <v>0</v>
      </c>
      <c r="BI49" s="51">
        <f>F49*AP49</f>
        <v>0</v>
      </c>
      <c r="BJ49" s="51">
        <f>F49*G49</f>
        <v>0</v>
      </c>
      <c r="BK49" s="51"/>
      <c r="BL49" s="51">
        <v>63</v>
      </c>
      <c r="BW49" s="51">
        <v>12</v>
      </c>
      <c r="BX49" s="3" t="s">
        <v>195</v>
      </c>
    </row>
    <row r="50" spans="1:76" ht="13.5" customHeight="1">
      <c r="A50" s="54"/>
      <c r="B50" s="55" t="s">
        <v>119</v>
      </c>
      <c r="C50" s="152" t="s">
        <v>196</v>
      </c>
      <c r="D50" s="153"/>
      <c r="E50" s="153"/>
      <c r="F50" s="153"/>
      <c r="G50" s="154"/>
      <c r="H50" s="153"/>
      <c r="I50" s="153"/>
      <c r="J50" s="155"/>
    </row>
    <row r="51" spans="1:76">
      <c r="A51" s="54"/>
      <c r="C51" s="56" t="s">
        <v>197</v>
      </c>
      <c r="D51" s="57" t="s">
        <v>198</v>
      </c>
      <c r="F51" s="58">
        <v>26.428999999999998</v>
      </c>
      <c r="J51" s="41"/>
    </row>
    <row r="52" spans="1:76">
      <c r="A52" s="1" t="s">
        <v>199</v>
      </c>
      <c r="B52" s="2" t="s">
        <v>200</v>
      </c>
      <c r="C52" s="75" t="s">
        <v>201</v>
      </c>
      <c r="D52" s="70"/>
      <c r="E52" s="2" t="s">
        <v>127</v>
      </c>
      <c r="F52" s="51">
        <v>26.428999999999998</v>
      </c>
      <c r="G52" s="52">
        <v>0</v>
      </c>
      <c r="H52" s="51">
        <f>F52*G52</f>
        <v>0</v>
      </c>
      <c r="J52" s="41"/>
      <c r="Z52" s="51">
        <f>IF(AQ52="5",BJ52,0)</f>
        <v>0</v>
      </c>
      <c r="AB52" s="51">
        <f>IF(AQ52="1",BH52,0)</f>
        <v>0</v>
      </c>
      <c r="AC52" s="51">
        <f>IF(AQ52="1",BI52,0)</f>
        <v>0</v>
      </c>
      <c r="AD52" s="51">
        <f>IF(AQ52="7",BH52,0)</f>
        <v>0</v>
      </c>
      <c r="AE52" s="51">
        <f>IF(AQ52="7",BI52,0)</f>
        <v>0</v>
      </c>
      <c r="AF52" s="51">
        <f>IF(AQ52="2",BH52,0)</f>
        <v>0</v>
      </c>
      <c r="AG52" s="51">
        <f>IF(AQ52="2",BI52,0)</f>
        <v>0</v>
      </c>
      <c r="AH52" s="51">
        <f>IF(AQ52="0",BJ52,0)</f>
        <v>0</v>
      </c>
      <c r="AI52" s="35" t="s">
        <v>4</v>
      </c>
      <c r="AJ52" s="51">
        <f>IF(AN52=0,H52,0)</f>
        <v>0</v>
      </c>
      <c r="AK52" s="51">
        <f>IF(AN52=12,H52,0)</f>
        <v>0</v>
      </c>
      <c r="AL52" s="51">
        <f>IF(AN52=21,H52,0)</f>
        <v>0</v>
      </c>
      <c r="AN52" s="51">
        <v>12</v>
      </c>
      <c r="AO52" s="51">
        <f>G52*0.539125619</f>
        <v>0</v>
      </c>
      <c r="AP52" s="51">
        <f>G52*(1-0.539125619)</f>
        <v>0</v>
      </c>
      <c r="AQ52" s="53" t="s">
        <v>112</v>
      </c>
      <c r="AV52" s="51">
        <f>AW52+AX52</f>
        <v>0</v>
      </c>
      <c r="AW52" s="51">
        <f>F52*AO52</f>
        <v>0</v>
      </c>
      <c r="AX52" s="51">
        <f>F52*AP52</f>
        <v>0</v>
      </c>
      <c r="AY52" s="53" t="s">
        <v>191</v>
      </c>
      <c r="AZ52" s="53" t="s">
        <v>129</v>
      </c>
      <c r="BA52" s="35" t="s">
        <v>118</v>
      </c>
      <c r="BC52" s="51">
        <f>AW52+AX52</f>
        <v>0</v>
      </c>
      <c r="BD52" s="51">
        <f>G52/(100-BE52)*100</f>
        <v>0</v>
      </c>
      <c r="BE52" s="51">
        <v>0</v>
      </c>
      <c r="BF52" s="51">
        <f>52</f>
        <v>52</v>
      </c>
      <c r="BH52" s="51">
        <f>F52*AO52</f>
        <v>0</v>
      </c>
      <c r="BI52" s="51">
        <f>F52*AP52</f>
        <v>0</v>
      </c>
      <c r="BJ52" s="51">
        <f>F52*G52</f>
        <v>0</v>
      </c>
      <c r="BK52" s="51"/>
      <c r="BL52" s="51">
        <v>63</v>
      </c>
      <c r="BW52" s="51">
        <v>12</v>
      </c>
      <c r="BX52" s="3" t="s">
        <v>201</v>
      </c>
    </row>
    <row r="53" spans="1:76">
      <c r="A53" s="47" t="s">
        <v>4</v>
      </c>
      <c r="B53" s="48" t="s">
        <v>202</v>
      </c>
      <c r="C53" s="150" t="s">
        <v>203</v>
      </c>
      <c r="D53" s="151"/>
      <c r="E53" s="49" t="s">
        <v>80</v>
      </c>
      <c r="F53" s="49" t="s">
        <v>80</v>
      </c>
      <c r="G53" s="50" t="s">
        <v>80</v>
      </c>
      <c r="H53" s="28">
        <f>SUM(H54:H59)</f>
        <v>0</v>
      </c>
      <c r="J53" s="41"/>
      <c r="AI53" s="35" t="s">
        <v>4</v>
      </c>
      <c r="AS53" s="28">
        <f>SUM(AJ54:AJ59)</f>
        <v>0</v>
      </c>
      <c r="AT53" s="28">
        <f>SUM(AK54:AK59)</f>
        <v>0</v>
      </c>
      <c r="AU53" s="28">
        <f>SUM(AL54:AL59)</f>
        <v>0</v>
      </c>
    </row>
    <row r="54" spans="1:76">
      <c r="A54" s="1" t="s">
        <v>204</v>
      </c>
      <c r="B54" s="2" t="s">
        <v>205</v>
      </c>
      <c r="C54" s="75" t="s">
        <v>206</v>
      </c>
      <c r="D54" s="70"/>
      <c r="E54" s="2" t="s">
        <v>207</v>
      </c>
      <c r="F54" s="51">
        <v>10</v>
      </c>
      <c r="G54" s="52">
        <v>0</v>
      </c>
      <c r="H54" s="51">
        <f>F54*G54</f>
        <v>0</v>
      </c>
      <c r="J54" s="41"/>
      <c r="Z54" s="51">
        <f>IF(AQ54="5",BJ54,0)</f>
        <v>0</v>
      </c>
      <c r="AB54" s="51">
        <f>IF(AQ54="1",BH54,0)</f>
        <v>0</v>
      </c>
      <c r="AC54" s="51">
        <f>IF(AQ54="1",BI54,0)</f>
        <v>0</v>
      </c>
      <c r="AD54" s="51">
        <f>IF(AQ54="7",BH54,0)</f>
        <v>0</v>
      </c>
      <c r="AE54" s="51">
        <f>IF(AQ54="7",BI54,0)</f>
        <v>0</v>
      </c>
      <c r="AF54" s="51">
        <f>IF(AQ54="2",BH54,0)</f>
        <v>0</v>
      </c>
      <c r="AG54" s="51">
        <f>IF(AQ54="2",BI54,0)</f>
        <v>0</v>
      </c>
      <c r="AH54" s="51">
        <f>IF(AQ54="0",BJ54,0)</f>
        <v>0</v>
      </c>
      <c r="AI54" s="35" t="s">
        <v>4</v>
      </c>
      <c r="AJ54" s="51">
        <f>IF(AN54=0,H54,0)</f>
        <v>0</v>
      </c>
      <c r="AK54" s="51">
        <f>IF(AN54=12,H54,0)</f>
        <v>0</v>
      </c>
      <c r="AL54" s="51">
        <f>IF(AN54=21,H54,0)</f>
        <v>0</v>
      </c>
      <c r="AN54" s="51">
        <v>12</v>
      </c>
      <c r="AO54" s="51">
        <f>G54*0</f>
        <v>0</v>
      </c>
      <c r="AP54" s="51">
        <f>G54*(1-0)</f>
        <v>0</v>
      </c>
      <c r="AQ54" s="53" t="s">
        <v>112</v>
      </c>
      <c r="AV54" s="51">
        <f>AW54+AX54</f>
        <v>0</v>
      </c>
      <c r="AW54" s="51">
        <f>F54*AO54</f>
        <v>0</v>
      </c>
      <c r="AX54" s="51">
        <f>F54*AP54</f>
        <v>0</v>
      </c>
      <c r="AY54" s="53" t="s">
        <v>208</v>
      </c>
      <c r="AZ54" s="53" t="s">
        <v>209</v>
      </c>
      <c r="BA54" s="35" t="s">
        <v>118</v>
      </c>
      <c r="BC54" s="51">
        <f>AW54+AX54</f>
        <v>0</v>
      </c>
      <c r="BD54" s="51">
        <f>G54/(100-BE54)*100</f>
        <v>0</v>
      </c>
      <c r="BE54" s="51">
        <v>0</v>
      </c>
      <c r="BF54" s="51">
        <f>54</f>
        <v>54</v>
      </c>
      <c r="BH54" s="51">
        <f>F54*AO54</f>
        <v>0</v>
      </c>
      <c r="BI54" s="51">
        <f>F54*AP54</f>
        <v>0</v>
      </c>
      <c r="BJ54" s="51">
        <f>F54*G54</f>
        <v>0</v>
      </c>
      <c r="BK54" s="51"/>
      <c r="BL54" s="51">
        <v>95</v>
      </c>
      <c r="BW54" s="51">
        <v>12</v>
      </c>
      <c r="BX54" s="3" t="s">
        <v>206</v>
      </c>
    </row>
    <row r="55" spans="1:76" ht="13.5" customHeight="1">
      <c r="A55" s="54"/>
      <c r="B55" s="55" t="s">
        <v>119</v>
      </c>
      <c r="C55" s="152" t="s">
        <v>210</v>
      </c>
      <c r="D55" s="153"/>
      <c r="E55" s="153"/>
      <c r="F55" s="153"/>
      <c r="G55" s="154"/>
      <c r="H55" s="153"/>
      <c r="I55" s="153"/>
      <c r="J55" s="155"/>
    </row>
    <row r="56" spans="1:76">
      <c r="A56" s="1" t="s">
        <v>211</v>
      </c>
      <c r="B56" s="2" t="s">
        <v>212</v>
      </c>
      <c r="C56" s="75" t="s">
        <v>213</v>
      </c>
      <c r="D56" s="70"/>
      <c r="E56" s="2" t="s">
        <v>127</v>
      </c>
      <c r="F56" s="51">
        <v>30</v>
      </c>
      <c r="G56" s="52">
        <v>0</v>
      </c>
      <c r="H56" s="51">
        <f>F56*G56</f>
        <v>0</v>
      </c>
      <c r="J56" s="41"/>
      <c r="Z56" s="51">
        <f>IF(AQ56="5",BJ56,0)</f>
        <v>0</v>
      </c>
      <c r="AB56" s="51">
        <f>IF(AQ56="1",BH56,0)</f>
        <v>0</v>
      </c>
      <c r="AC56" s="51">
        <f>IF(AQ56="1",BI56,0)</f>
        <v>0</v>
      </c>
      <c r="AD56" s="51">
        <f>IF(AQ56="7",BH56,0)</f>
        <v>0</v>
      </c>
      <c r="AE56" s="51">
        <f>IF(AQ56="7",BI56,0)</f>
        <v>0</v>
      </c>
      <c r="AF56" s="51">
        <f>IF(AQ56="2",BH56,0)</f>
        <v>0</v>
      </c>
      <c r="AG56" s="51">
        <f>IF(AQ56="2",BI56,0)</f>
        <v>0</v>
      </c>
      <c r="AH56" s="51">
        <f>IF(AQ56="0",BJ56,0)</f>
        <v>0</v>
      </c>
      <c r="AI56" s="35" t="s">
        <v>4</v>
      </c>
      <c r="AJ56" s="51">
        <f>IF(AN56=0,H56,0)</f>
        <v>0</v>
      </c>
      <c r="AK56" s="51">
        <f>IF(AN56=12,H56,0)</f>
        <v>0</v>
      </c>
      <c r="AL56" s="51">
        <f>IF(AN56=21,H56,0)</f>
        <v>0</v>
      </c>
      <c r="AN56" s="51">
        <v>12</v>
      </c>
      <c r="AO56" s="51">
        <f>G56*0.016056338</f>
        <v>0</v>
      </c>
      <c r="AP56" s="51">
        <f>G56*(1-0.016056338)</f>
        <v>0</v>
      </c>
      <c r="AQ56" s="53" t="s">
        <v>112</v>
      </c>
      <c r="AV56" s="51">
        <f>AW56+AX56</f>
        <v>0</v>
      </c>
      <c r="AW56" s="51">
        <f>F56*AO56</f>
        <v>0</v>
      </c>
      <c r="AX56" s="51">
        <f>F56*AP56</f>
        <v>0</v>
      </c>
      <c r="AY56" s="53" t="s">
        <v>208</v>
      </c>
      <c r="AZ56" s="53" t="s">
        <v>209</v>
      </c>
      <c r="BA56" s="35" t="s">
        <v>118</v>
      </c>
      <c r="BC56" s="51">
        <f>AW56+AX56</f>
        <v>0</v>
      </c>
      <c r="BD56" s="51">
        <f>G56/(100-BE56)*100</f>
        <v>0</v>
      </c>
      <c r="BE56" s="51">
        <v>0</v>
      </c>
      <c r="BF56" s="51">
        <f>56</f>
        <v>56</v>
      </c>
      <c r="BH56" s="51">
        <f>F56*AO56</f>
        <v>0</v>
      </c>
      <c r="BI56" s="51">
        <f>F56*AP56</f>
        <v>0</v>
      </c>
      <c r="BJ56" s="51">
        <f>F56*G56</f>
        <v>0</v>
      </c>
      <c r="BK56" s="51"/>
      <c r="BL56" s="51">
        <v>95</v>
      </c>
      <c r="BW56" s="51">
        <v>12</v>
      </c>
      <c r="BX56" s="3" t="s">
        <v>213</v>
      </c>
    </row>
    <row r="57" spans="1:76">
      <c r="A57" s="1" t="s">
        <v>214</v>
      </c>
      <c r="B57" s="2" t="s">
        <v>215</v>
      </c>
      <c r="C57" s="75" t="s">
        <v>216</v>
      </c>
      <c r="D57" s="70"/>
      <c r="E57" s="2" t="s">
        <v>115</v>
      </c>
      <c r="F57" s="51">
        <v>1</v>
      </c>
      <c r="G57" s="52">
        <v>0</v>
      </c>
      <c r="H57" s="51">
        <f>F57*G57</f>
        <v>0</v>
      </c>
      <c r="J57" s="41"/>
      <c r="Z57" s="51">
        <f>IF(AQ57="5",BJ57,0)</f>
        <v>0</v>
      </c>
      <c r="AB57" s="51">
        <f>IF(AQ57="1",BH57,0)</f>
        <v>0</v>
      </c>
      <c r="AC57" s="51">
        <f>IF(AQ57="1",BI57,0)</f>
        <v>0</v>
      </c>
      <c r="AD57" s="51">
        <f>IF(AQ57="7",BH57,0)</f>
        <v>0</v>
      </c>
      <c r="AE57" s="51">
        <f>IF(AQ57="7",BI57,0)</f>
        <v>0</v>
      </c>
      <c r="AF57" s="51">
        <f>IF(AQ57="2",BH57,0)</f>
        <v>0</v>
      </c>
      <c r="AG57" s="51">
        <f>IF(AQ57="2",BI57,0)</f>
        <v>0</v>
      </c>
      <c r="AH57" s="51">
        <f>IF(AQ57="0",BJ57,0)</f>
        <v>0</v>
      </c>
      <c r="AI57" s="35" t="s">
        <v>4</v>
      </c>
      <c r="AJ57" s="51">
        <f>IF(AN57=0,H57,0)</f>
        <v>0</v>
      </c>
      <c r="AK57" s="51">
        <f>IF(AN57=12,H57,0)</f>
        <v>0</v>
      </c>
      <c r="AL57" s="51">
        <f>IF(AN57=21,H57,0)</f>
        <v>0</v>
      </c>
      <c r="AN57" s="51">
        <v>12</v>
      </c>
      <c r="AO57" s="51">
        <f>G57*0.904482759</f>
        <v>0</v>
      </c>
      <c r="AP57" s="51">
        <f>G57*(1-0.904482759)</f>
        <v>0</v>
      </c>
      <c r="AQ57" s="53" t="s">
        <v>112</v>
      </c>
      <c r="AV57" s="51">
        <f>AW57+AX57</f>
        <v>0</v>
      </c>
      <c r="AW57" s="51">
        <f>F57*AO57</f>
        <v>0</v>
      </c>
      <c r="AX57" s="51">
        <f>F57*AP57</f>
        <v>0</v>
      </c>
      <c r="AY57" s="53" t="s">
        <v>208</v>
      </c>
      <c r="AZ57" s="53" t="s">
        <v>209</v>
      </c>
      <c r="BA57" s="35" t="s">
        <v>118</v>
      </c>
      <c r="BC57" s="51">
        <f>AW57+AX57</f>
        <v>0</v>
      </c>
      <c r="BD57" s="51">
        <f>G57/(100-BE57)*100</f>
        <v>0</v>
      </c>
      <c r="BE57" s="51">
        <v>0</v>
      </c>
      <c r="BF57" s="51">
        <f>57</f>
        <v>57</v>
      </c>
      <c r="BH57" s="51">
        <f>F57*AO57</f>
        <v>0</v>
      </c>
      <c r="BI57" s="51">
        <f>F57*AP57</f>
        <v>0</v>
      </c>
      <c r="BJ57" s="51">
        <f>F57*G57</f>
        <v>0</v>
      </c>
      <c r="BK57" s="51"/>
      <c r="BL57" s="51">
        <v>95</v>
      </c>
      <c r="BW57" s="51">
        <v>12</v>
      </c>
      <c r="BX57" s="3" t="s">
        <v>216</v>
      </c>
    </row>
    <row r="58" spans="1:76" ht="13.5" customHeight="1">
      <c r="A58" s="54"/>
      <c r="B58" s="55" t="s">
        <v>119</v>
      </c>
      <c r="C58" s="152" t="s">
        <v>217</v>
      </c>
      <c r="D58" s="153"/>
      <c r="E58" s="153"/>
      <c r="F58" s="153"/>
      <c r="G58" s="154"/>
      <c r="H58" s="153"/>
      <c r="I58" s="153"/>
      <c r="J58" s="155"/>
    </row>
    <row r="59" spans="1:76">
      <c r="A59" s="1" t="s">
        <v>218</v>
      </c>
      <c r="B59" s="2" t="s">
        <v>219</v>
      </c>
      <c r="C59" s="75" t="s">
        <v>220</v>
      </c>
      <c r="D59" s="70"/>
      <c r="E59" s="2" t="s">
        <v>221</v>
      </c>
      <c r="F59" s="51">
        <v>5</v>
      </c>
      <c r="G59" s="52">
        <v>0</v>
      </c>
      <c r="H59" s="51">
        <f>F59*G59</f>
        <v>0</v>
      </c>
      <c r="J59" s="41"/>
      <c r="Z59" s="51">
        <f>IF(AQ59="5",BJ59,0)</f>
        <v>0</v>
      </c>
      <c r="AB59" s="51">
        <f>IF(AQ59="1",BH59,0)</f>
        <v>0</v>
      </c>
      <c r="AC59" s="51">
        <f>IF(AQ59="1",BI59,0)</f>
        <v>0</v>
      </c>
      <c r="AD59" s="51">
        <f>IF(AQ59="7",BH59,0)</f>
        <v>0</v>
      </c>
      <c r="AE59" s="51">
        <f>IF(AQ59="7",BI59,0)</f>
        <v>0</v>
      </c>
      <c r="AF59" s="51">
        <f>IF(AQ59="2",BH59,0)</f>
        <v>0</v>
      </c>
      <c r="AG59" s="51">
        <f>IF(AQ59="2",BI59,0)</f>
        <v>0</v>
      </c>
      <c r="AH59" s="51">
        <f>IF(AQ59="0",BJ59,0)</f>
        <v>0</v>
      </c>
      <c r="AI59" s="35" t="s">
        <v>4</v>
      </c>
      <c r="AJ59" s="51">
        <f>IF(AN59=0,H59,0)</f>
        <v>0</v>
      </c>
      <c r="AK59" s="51">
        <f>IF(AN59=12,H59,0)</f>
        <v>0</v>
      </c>
      <c r="AL59" s="51">
        <f>IF(AN59=21,H59,0)</f>
        <v>0</v>
      </c>
      <c r="AN59" s="51">
        <v>12</v>
      </c>
      <c r="AO59" s="51">
        <f>G59*0</f>
        <v>0</v>
      </c>
      <c r="AP59" s="51">
        <f>G59*(1-0)</f>
        <v>0</v>
      </c>
      <c r="AQ59" s="53" t="s">
        <v>112</v>
      </c>
      <c r="AV59" s="51">
        <f>AW59+AX59</f>
        <v>0</v>
      </c>
      <c r="AW59" s="51">
        <f>F59*AO59</f>
        <v>0</v>
      </c>
      <c r="AX59" s="51">
        <f>F59*AP59</f>
        <v>0</v>
      </c>
      <c r="AY59" s="53" t="s">
        <v>208</v>
      </c>
      <c r="AZ59" s="53" t="s">
        <v>209</v>
      </c>
      <c r="BA59" s="35" t="s">
        <v>118</v>
      </c>
      <c r="BC59" s="51">
        <f>AW59+AX59</f>
        <v>0</v>
      </c>
      <c r="BD59" s="51">
        <f>G59/(100-BE59)*100</f>
        <v>0</v>
      </c>
      <c r="BE59" s="51">
        <v>0</v>
      </c>
      <c r="BF59" s="51">
        <f>59</f>
        <v>59</v>
      </c>
      <c r="BH59" s="51">
        <f>F59*AO59</f>
        <v>0</v>
      </c>
      <c r="BI59" s="51">
        <f>F59*AP59</f>
        <v>0</v>
      </c>
      <c r="BJ59" s="51">
        <f>F59*G59</f>
        <v>0</v>
      </c>
      <c r="BK59" s="51"/>
      <c r="BL59" s="51">
        <v>95</v>
      </c>
      <c r="BW59" s="51">
        <v>12</v>
      </c>
      <c r="BX59" s="3" t="s">
        <v>220</v>
      </c>
    </row>
    <row r="60" spans="1:76">
      <c r="A60" s="54"/>
      <c r="C60" s="56" t="s">
        <v>139</v>
      </c>
      <c r="D60" s="57" t="s">
        <v>222</v>
      </c>
      <c r="F60" s="58">
        <v>5</v>
      </c>
      <c r="J60" s="41"/>
    </row>
    <row r="61" spans="1:76">
      <c r="A61" s="47" t="s">
        <v>4</v>
      </c>
      <c r="B61" s="48" t="s">
        <v>223</v>
      </c>
      <c r="C61" s="150" t="s">
        <v>224</v>
      </c>
      <c r="D61" s="151"/>
      <c r="E61" s="49" t="s">
        <v>80</v>
      </c>
      <c r="F61" s="49" t="s">
        <v>80</v>
      </c>
      <c r="G61" s="50" t="s">
        <v>80</v>
      </c>
      <c r="H61" s="28">
        <f>SUM(H62:H82)</f>
        <v>0</v>
      </c>
      <c r="J61" s="41"/>
      <c r="AI61" s="35" t="s">
        <v>4</v>
      </c>
      <c r="AS61" s="28">
        <f>SUM(AJ62:AJ82)</f>
        <v>0</v>
      </c>
      <c r="AT61" s="28">
        <f>SUM(AK62:AK82)</f>
        <v>0</v>
      </c>
      <c r="AU61" s="28">
        <f>SUM(AL62:AL82)</f>
        <v>0</v>
      </c>
    </row>
    <row r="62" spans="1:76">
      <c r="A62" s="1" t="s">
        <v>225</v>
      </c>
      <c r="B62" s="2" t="s">
        <v>226</v>
      </c>
      <c r="C62" s="75" t="s">
        <v>227</v>
      </c>
      <c r="D62" s="70"/>
      <c r="E62" s="2" t="s">
        <v>115</v>
      </c>
      <c r="F62" s="51">
        <v>3</v>
      </c>
      <c r="G62" s="52">
        <v>0</v>
      </c>
      <c r="H62" s="51">
        <f>F62*G62</f>
        <v>0</v>
      </c>
      <c r="J62" s="41"/>
      <c r="Z62" s="51">
        <f>IF(AQ62="5",BJ62,0)</f>
        <v>0</v>
      </c>
      <c r="AB62" s="51">
        <f>IF(AQ62="1",BH62,0)</f>
        <v>0</v>
      </c>
      <c r="AC62" s="51">
        <f>IF(AQ62="1",BI62,0)</f>
        <v>0</v>
      </c>
      <c r="AD62" s="51">
        <f>IF(AQ62="7",BH62,0)</f>
        <v>0</v>
      </c>
      <c r="AE62" s="51">
        <f>IF(AQ62="7",BI62,0)</f>
        <v>0</v>
      </c>
      <c r="AF62" s="51">
        <f>IF(AQ62="2",BH62,0)</f>
        <v>0</v>
      </c>
      <c r="AG62" s="51">
        <f>IF(AQ62="2",BI62,0)</f>
        <v>0</v>
      </c>
      <c r="AH62" s="51">
        <f>IF(AQ62="0",BJ62,0)</f>
        <v>0</v>
      </c>
      <c r="AI62" s="35" t="s">
        <v>4</v>
      </c>
      <c r="AJ62" s="51">
        <f>IF(AN62=0,H62,0)</f>
        <v>0</v>
      </c>
      <c r="AK62" s="51">
        <f>IF(AN62=12,H62,0)</f>
        <v>0</v>
      </c>
      <c r="AL62" s="51">
        <f>IF(AN62=21,H62,0)</f>
        <v>0</v>
      </c>
      <c r="AN62" s="51">
        <v>12</v>
      </c>
      <c r="AO62" s="51">
        <f>G62*0</f>
        <v>0</v>
      </c>
      <c r="AP62" s="51">
        <f>G62*(1-0)</f>
        <v>0</v>
      </c>
      <c r="AQ62" s="53" t="s">
        <v>112</v>
      </c>
      <c r="AV62" s="51">
        <f>AW62+AX62</f>
        <v>0</v>
      </c>
      <c r="AW62" s="51">
        <f>F62*AO62</f>
        <v>0</v>
      </c>
      <c r="AX62" s="51">
        <f>F62*AP62</f>
        <v>0</v>
      </c>
      <c r="AY62" s="53" t="s">
        <v>228</v>
      </c>
      <c r="AZ62" s="53" t="s">
        <v>209</v>
      </c>
      <c r="BA62" s="35" t="s">
        <v>118</v>
      </c>
      <c r="BC62" s="51">
        <f>AW62+AX62</f>
        <v>0</v>
      </c>
      <c r="BD62" s="51">
        <f>G62/(100-BE62)*100</f>
        <v>0</v>
      </c>
      <c r="BE62" s="51">
        <v>0</v>
      </c>
      <c r="BF62" s="51">
        <f>62</f>
        <v>62</v>
      </c>
      <c r="BH62" s="51">
        <f>F62*AO62</f>
        <v>0</v>
      </c>
      <c r="BI62" s="51">
        <f>F62*AP62</f>
        <v>0</v>
      </c>
      <c r="BJ62" s="51">
        <f>F62*G62</f>
        <v>0</v>
      </c>
      <c r="BK62" s="51"/>
      <c r="BL62" s="51">
        <v>96</v>
      </c>
      <c r="BW62" s="51">
        <v>12</v>
      </c>
      <c r="BX62" s="3" t="s">
        <v>227</v>
      </c>
    </row>
    <row r="63" spans="1:76">
      <c r="A63" s="1" t="s">
        <v>229</v>
      </c>
      <c r="B63" s="2" t="s">
        <v>230</v>
      </c>
      <c r="C63" s="75" t="s">
        <v>231</v>
      </c>
      <c r="D63" s="70"/>
      <c r="E63" s="2" t="s">
        <v>127</v>
      </c>
      <c r="F63" s="51">
        <v>1.575</v>
      </c>
      <c r="G63" s="52">
        <v>0</v>
      </c>
      <c r="H63" s="51">
        <f>F63*G63</f>
        <v>0</v>
      </c>
      <c r="J63" s="41"/>
      <c r="Z63" s="51">
        <f>IF(AQ63="5",BJ63,0)</f>
        <v>0</v>
      </c>
      <c r="AB63" s="51">
        <f>IF(AQ63="1",BH63,0)</f>
        <v>0</v>
      </c>
      <c r="AC63" s="51">
        <f>IF(AQ63="1",BI63,0)</f>
        <v>0</v>
      </c>
      <c r="AD63" s="51">
        <f>IF(AQ63="7",BH63,0)</f>
        <v>0</v>
      </c>
      <c r="AE63" s="51">
        <f>IF(AQ63="7",BI63,0)</f>
        <v>0</v>
      </c>
      <c r="AF63" s="51">
        <f>IF(AQ63="2",BH63,0)</f>
        <v>0</v>
      </c>
      <c r="AG63" s="51">
        <f>IF(AQ63="2",BI63,0)</f>
        <v>0</v>
      </c>
      <c r="AH63" s="51">
        <f>IF(AQ63="0",BJ63,0)</f>
        <v>0</v>
      </c>
      <c r="AI63" s="35" t="s">
        <v>4</v>
      </c>
      <c r="AJ63" s="51">
        <f>IF(AN63=0,H63,0)</f>
        <v>0</v>
      </c>
      <c r="AK63" s="51">
        <f>IF(AN63=12,H63,0)</f>
        <v>0</v>
      </c>
      <c r="AL63" s="51">
        <f>IF(AN63=21,H63,0)</f>
        <v>0</v>
      </c>
      <c r="AN63" s="51">
        <v>12</v>
      </c>
      <c r="AO63" s="51">
        <f>G63*0</f>
        <v>0</v>
      </c>
      <c r="AP63" s="51">
        <f>G63*(1-0)</f>
        <v>0</v>
      </c>
      <c r="AQ63" s="53" t="s">
        <v>112</v>
      </c>
      <c r="AV63" s="51">
        <f>AW63+AX63</f>
        <v>0</v>
      </c>
      <c r="AW63" s="51">
        <f>F63*AO63</f>
        <v>0</v>
      </c>
      <c r="AX63" s="51">
        <f>F63*AP63</f>
        <v>0</v>
      </c>
      <c r="AY63" s="53" t="s">
        <v>228</v>
      </c>
      <c r="AZ63" s="53" t="s">
        <v>209</v>
      </c>
      <c r="BA63" s="35" t="s">
        <v>118</v>
      </c>
      <c r="BC63" s="51">
        <f>AW63+AX63</f>
        <v>0</v>
      </c>
      <c r="BD63" s="51">
        <f>G63/(100-BE63)*100</f>
        <v>0</v>
      </c>
      <c r="BE63" s="51">
        <v>0</v>
      </c>
      <c r="BF63" s="51">
        <f>63</f>
        <v>63</v>
      </c>
      <c r="BH63" s="51">
        <f>F63*AO63</f>
        <v>0</v>
      </c>
      <c r="BI63" s="51">
        <f>F63*AP63</f>
        <v>0</v>
      </c>
      <c r="BJ63" s="51">
        <f>F63*G63</f>
        <v>0</v>
      </c>
      <c r="BK63" s="51"/>
      <c r="BL63" s="51">
        <v>96</v>
      </c>
      <c r="BW63" s="51">
        <v>12</v>
      </c>
      <c r="BX63" s="3" t="s">
        <v>231</v>
      </c>
    </row>
    <row r="64" spans="1:76">
      <c r="A64" s="54"/>
      <c r="C64" s="56" t="s">
        <v>232</v>
      </c>
      <c r="D64" s="57" t="s">
        <v>148</v>
      </c>
      <c r="F64" s="58">
        <v>1.575</v>
      </c>
      <c r="J64" s="41"/>
    </row>
    <row r="65" spans="1:76">
      <c r="A65" s="1" t="s">
        <v>233</v>
      </c>
      <c r="B65" s="2" t="s">
        <v>234</v>
      </c>
      <c r="C65" s="75" t="s">
        <v>235</v>
      </c>
      <c r="D65" s="70"/>
      <c r="E65" s="2" t="s">
        <v>127</v>
      </c>
      <c r="F65" s="51">
        <v>26.425000000000001</v>
      </c>
      <c r="G65" s="52">
        <v>0</v>
      </c>
      <c r="H65" s="51">
        <f>F65*G65</f>
        <v>0</v>
      </c>
      <c r="J65" s="41"/>
      <c r="Z65" s="51">
        <f>IF(AQ65="5",BJ65,0)</f>
        <v>0</v>
      </c>
      <c r="AB65" s="51">
        <f>IF(AQ65="1",BH65,0)</f>
        <v>0</v>
      </c>
      <c r="AC65" s="51">
        <f>IF(AQ65="1",BI65,0)</f>
        <v>0</v>
      </c>
      <c r="AD65" s="51">
        <f>IF(AQ65="7",BH65,0)</f>
        <v>0</v>
      </c>
      <c r="AE65" s="51">
        <f>IF(AQ65="7",BI65,0)</f>
        <v>0</v>
      </c>
      <c r="AF65" s="51">
        <f>IF(AQ65="2",BH65,0)</f>
        <v>0</v>
      </c>
      <c r="AG65" s="51">
        <f>IF(AQ65="2",BI65,0)</f>
        <v>0</v>
      </c>
      <c r="AH65" s="51">
        <f>IF(AQ65="0",BJ65,0)</f>
        <v>0</v>
      </c>
      <c r="AI65" s="35" t="s">
        <v>4</v>
      </c>
      <c r="AJ65" s="51">
        <f>IF(AN65=0,H65,0)</f>
        <v>0</v>
      </c>
      <c r="AK65" s="51">
        <f>IF(AN65=12,H65,0)</f>
        <v>0</v>
      </c>
      <c r="AL65" s="51">
        <f>IF(AN65=21,H65,0)</f>
        <v>0</v>
      </c>
      <c r="AN65" s="51">
        <v>12</v>
      </c>
      <c r="AO65" s="51">
        <f>G65*0</f>
        <v>0</v>
      </c>
      <c r="AP65" s="51">
        <f>G65*(1-0)</f>
        <v>0</v>
      </c>
      <c r="AQ65" s="53" t="s">
        <v>112</v>
      </c>
      <c r="AV65" s="51">
        <f>AW65+AX65</f>
        <v>0</v>
      </c>
      <c r="AW65" s="51">
        <f>F65*AO65</f>
        <v>0</v>
      </c>
      <c r="AX65" s="51">
        <f>F65*AP65</f>
        <v>0</v>
      </c>
      <c r="AY65" s="53" t="s">
        <v>228</v>
      </c>
      <c r="AZ65" s="53" t="s">
        <v>209</v>
      </c>
      <c r="BA65" s="35" t="s">
        <v>118</v>
      </c>
      <c r="BC65" s="51">
        <f>AW65+AX65</f>
        <v>0</v>
      </c>
      <c r="BD65" s="51">
        <f>G65/(100-BE65)*100</f>
        <v>0</v>
      </c>
      <c r="BE65" s="51">
        <v>0</v>
      </c>
      <c r="BF65" s="51">
        <f>65</f>
        <v>65</v>
      </c>
      <c r="BH65" s="51">
        <f>F65*AO65</f>
        <v>0</v>
      </c>
      <c r="BI65" s="51">
        <f>F65*AP65</f>
        <v>0</v>
      </c>
      <c r="BJ65" s="51">
        <f>F65*G65</f>
        <v>0</v>
      </c>
      <c r="BK65" s="51"/>
      <c r="BL65" s="51">
        <v>96</v>
      </c>
      <c r="BW65" s="51">
        <v>12</v>
      </c>
      <c r="BX65" s="3" t="s">
        <v>235</v>
      </c>
    </row>
    <row r="66" spans="1:76">
      <c r="A66" s="54"/>
      <c r="C66" s="56" t="s">
        <v>236</v>
      </c>
      <c r="D66" s="57" t="s">
        <v>237</v>
      </c>
      <c r="F66" s="58">
        <v>26.425000000000001</v>
      </c>
      <c r="J66" s="41"/>
    </row>
    <row r="67" spans="1:76">
      <c r="A67" s="1" t="s">
        <v>238</v>
      </c>
      <c r="B67" s="2" t="s">
        <v>239</v>
      </c>
      <c r="C67" s="75" t="s">
        <v>240</v>
      </c>
      <c r="D67" s="70"/>
      <c r="E67" s="2" t="s">
        <v>134</v>
      </c>
      <c r="F67" s="51">
        <v>3</v>
      </c>
      <c r="G67" s="52">
        <v>0</v>
      </c>
      <c r="H67" s="51">
        <f>F67*G67</f>
        <v>0</v>
      </c>
      <c r="J67" s="41"/>
      <c r="Z67" s="51">
        <f>IF(AQ67="5",BJ67,0)</f>
        <v>0</v>
      </c>
      <c r="AB67" s="51">
        <f>IF(AQ67="1",BH67,0)</f>
        <v>0</v>
      </c>
      <c r="AC67" s="51">
        <f>IF(AQ67="1",BI67,0)</f>
        <v>0</v>
      </c>
      <c r="AD67" s="51">
        <f>IF(AQ67="7",BH67,0)</f>
        <v>0</v>
      </c>
      <c r="AE67" s="51">
        <f>IF(AQ67="7",BI67,0)</f>
        <v>0</v>
      </c>
      <c r="AF67" s="51">
        <f>IF(AQ67="2",BH67,0)</f>
        <v>0</v>
      </c>
      <c r="AG67" s="51">
        <f>IF(AQ67="2",BI67,0)</f>
        <v>0</v>
      </c>
      <c r="AH67" s="51">
        <f>IF(AQ67="0",BJ67,0)</f>
        <v>0</v>
      </c>
      <c r="AI67" s="35" t="s">
        <v>4</v>
      </c>
      <c r="AJ67" s="51">
        <f>IF(AN67=0,H67,0)</f>
        <v>0</v>
      </c>
      <c r="AK67" s="51">
        <f>IF(AN67=12,H67,0)</f>
        <v>0</v>
      </c>
      <c r="AL67" s="51">
        <f>IF(AN67=21,H67,0)</f>
        <v>0</v>
      </c>
      <c r="AN67" s="51">
        <v>12</v>
      </c>
      <c r="AO67" s="51">
        <f>G67*0</f>
        <v>0</v>
      </c>
      <c r="AP67" s="51">
        <f>G67*(1-0)</f>
        <v>0</v>
      </c>
      <c r="AQ67" s="53" t="s">
        <v>112</v>
      </c>
      <c r="AV67" s="51">
        <f>AW67+AX67</f>
        <v>0</v>
      </c>
      <c r="AW67" s="51">
        <f>F67*AO67</f>
        <v>0</v>
      </c>
      <c r="AX67" s="51">
        <f>F67*AP67</f>
        <v>0</v>
      </c>
      <c r="AY67" s="53" t="s">
        <v>228</v>
      </c>
      <c r="AZ67" s="53" t="s">
        <v>209</v>
      </c>
      <c r="BA67" s="35" t="s">
        <v>118</v>
      </c>
      <c r="BC67" s="51">
        <f>AW67+AX67</f>
        <v>0</v>
      </c>
      <c r="BD67" s="51">
        <f>G67/(100-BE67)*100</f>
        <v>0</v>
      </c>
      <c r="BE67" s="51">
        <v>0</v>
      </c>
      <c r="BF67" s="51">
        <f>67</f>
        <v>67</v>
      </c>
      <c r="BH67" s="51">
        <f>F67*AO67</f>
        <v>0</v>
      </c>
      <c r="BI67" s="51">
        <f>F67*AP67</f>
        <v>0</v>
      </c>
      <c r="BJ67" s="51">
        <f>F67*G67</f>
        <v>0</v>
      </c>
      <c r="BK67" s="51"/>
      <c r="BL67" s="51">
        <v>96</v>
      </c>
      <c r="BW67" s="51">
        <v>12</v>
      </c>
      <c r="BX67" s="3" t="s">
        <v>240</v>
      </c>
    </row>
    <row r="68" spans="1:76">
      <c r="A68" s="54"/>
      <c r="C68" s="56" t="s">
        <v>185</v>
      </c>
      <c r="D68" s="57" t="s">
        <v>4</v>
      </c>
      <c r="F68" s="58">
        <v>3</v>
      </c>
      <c r="J68" s="41"/>
    </row>
    <row r="69" spans="1:76">
      <c r="A69" s="1" t="s">
        <v>241</v>
      </c>
      <c r="B69" s="2" t="s">
        <v>242</v>
      </c>
      <c r="C69" s="75" t="s">
        <v>243</v>
      </c>
      <c r="D69" s="70"/>
      <c r="E69" s="2" t="s">
        <v>127</v>
      </c>
      <c r="F69" s="51">
        <v>10.17</v>
      </c>
      <c r="G69" s="52">
        <v>0</v>
      </c>
      <c r="H69" s="51">
        <f>F69*G69</f>
        <v>0</v>
      </c>
      <c r="J69" s="41"/>
      <c r="Z69" s="51">
        <f>IF(AQ69="5",BJ69,0)</f>
        <v>0</v>
      </c>
      <c r="AB69" s="51">
        <f>IF(AQ69="1",BH69,0)</f>
        <v>0</v>
      </c>
      <c r="AC69" s="51">
        <f>IF(AQ69="1",BI69,0)</f>
        <v>0</v>
      </c>
      <c r="AD69" s="51">
        <f>IF(AQ69="7",BH69,0)</f>
        <v>0</v>
      </c>
      <c r="AE69" s="51">
        <f>IF(AQ69="7",BI69,0)</f>
        <v>0</v>
      </c>
      <c r="AF69" s="51">
        <f>IF(AQ69="2",BH69,0)</f>
        <v>0</v>
      </c>
      <c r="AG69" s="51">
        <f>IF(AQ69="2",BI69,0)</f>
        <v>0</v>
      </c>
      <c r="AH69" s="51">
        <f>IF(AQ69="0",BJ69,0)</f>
        <v>0</v>
      </c>
      <c r="AI69" s="35" t="s">
        <v>4</v>
      </c>
      <c r="AJ69" s="51">
        <f>IF(AN69=0,H69,0)</f>
        <v>0</v>
      </c>
      <c r="AK69" s="51">
        <f>IF(AN69=12,H69,0)</f>
        <v>0</v>
      </c>
      <c r="AL69" s="51">
        <f>IF(AN69=21,H69,0)</f>
        <v>0</v>
      </c>
      <c r="AN69" s="51">
        <v>12</v>
      </c>
      <c r="AO69" s="51">
        <f>G69*0</f>
        <v>0</v>
      </c>
      <c r="AP69" s="51">
        <f>G69*(1-0)</f>
        <v>0</v>
      </c>
      <c r="AQ69" s="53" t="s">
        <v>112</v>
      </c>
      <c r="AV69" s="51">
        <f>AW69+AX69</f>
        <v>0</v>
      </c>
      <c r="AW69" s="51">
        <f>F69*AO69</f>
        <v>0</v>
      </c>
      <c r="AX69" s="51">
        <f>F69*AP69</f>
        <v>0</v>
      </c>
      <c r="AY69" s="53" t="s">
        <v>228</v>
      </c>
      <c r="AZ69" s="53" t="s">
        <v>209</v>
      </c>
      <c r="BA69" s="35" t="s">
        <v>118</v>
      </c>
      <c r="BC69" s="51">
        <f>AW69+AX69</f>
        <v>0</v>
      </c>
      <c r="BD69" s="51">
        <f>G69/(100-BE69)*100</f>
        <v>0</v>
      </c>
      <c r="BE69" s="51">
        <v>0</v>
      </c>
      <c r="BF69" s="51">
        <f>69</f>
        <v>69</v>
      </c>
      <c r="BH69" s="51">
        <f>F69*AO69</f>
        <v>0</v>
      </c>
      <c r="BI69" s="51">
        <f>F69*AP69</f>
        <v>0</v>
      </c>
      <c r="BJ69" s="51">
        <f>F69*G69</f>
        <v>0</v>
      </c>
      <c r="BK69" s="51"/>
      <c r="BL69" s="51">
        <v>96</v>
      </c>
      <c r="BW69" s="51">
        <v>12</v>
      </c>
      <c r="BX69" s="3" t="s">
        <v>243</v>
      </c>
    </row>
    <row r="70" spans="1:76">
      <c r="A70" s="54"/>
      <c r="C70" s="56" t="s">
        <v>244</v>
      </c>
      <c r="D70" s="57" t="s">
        <v>148</v>
      </c>
      <c r="F70" s="58">
        <v>10.17</v>
      </c>
      <c r="J70" s="41"/>
    </row>
    <row r="71" spans="1:76">
      <c r="A71" s="1" t="s">
        <v>245</v>
      </c>
      <c r="B71" s="2" t="s">
        <v>246</v>
      </c>
      <c r="C71" s="75" t="s">
        <v>247</v>
      </c>
      <c r="D71" s="70"/>
      <c r="E71" s="2" t="s">
        <v>248</v>
      </c>
      <c r="F71" s="51">
        <v>1.792</v>
      </c>
      <c r="G71" s="52">
        <v>0</v>
      </c>
      <c r="H71" s="51">
        <f>F71*G71</f>
        <v>0</v>
      </c>
      <c r="J71" s="41"/>
      <c r="Z71" s="51">
        <f>IF(AQ71="5",BJ71,0)</f>
        <v>0</v>
      </c>
      <c r="AB71" s="51">
        <f>IF(AQ71="1",BH71,0)</f>
        <v>0</v>
      </c>
      <c r="AC71" s="51">
        <f>IF(AQ71="1",BI71,0)</f>
        <v>0</v>
      </c>
      <c r="AD71" s="51">
        <f>IF(AQ71="7",BH71,0)</f>
        <v>0</v>
      </c>
      <c r="AE71" s="51">
        <f>IF(AQ71="7",BI71,0)</f>
        <v>0</v>
      </c>
      <c r="AF71" s="51">
        <f>IF(AQ71="2",BH71,0)</f>
        <v>0</v>
      </c>
      <c r="AG71" s="51">
        <f>IF(AQ71="2",BI71,0)</f>
        <v>0</v>
      </c>
      <c r="AH71" s="51">
        <f>IF(AQ71="0",BJ71,0)</f>
        <v>0</v>
      </c>
      <c r="AI71" s="35" t="s">
        <v>4</v>
      </c>
      <c r="AJ71" s="51">
        <f>IF(AN71=0,H71,0)</f>
        <v>0</v>
      </c>
      <c r="AK71" s="51">
        <f>IF(AN71=12,H71,0)</f>
        <v>0</v>
      </c>
      <c r="AL71" s="51">
        <f>IF(AN71=21,H71,0)</f>
        <v>0</v>
      </c>
      <c r="AN71" s="51">
        <v>12</v>
      </c>
      <c r="AO71" s="51">
        <f>G71*0</f>
        <v>0</v>
      </c>
      <c r="AP71" s="51">
        <f>G71*(1-0)</f>
        <v>0</v>
      </c>
      <c r="AQ71" s="53" t="s">
        <v>139</v>
      </c>
      <c r="AV71" s="51">
        <f>AW71+AX71</f>
        <v>0</v>
      </c>
      <c r="AW71" s="51">
        <f>F71*AO71</f>
        <v>0</v>
      </c>
      <c r="AX71" s="51">
        <f>F71*AP71</f>
        <v>0</v>
      </c>
      <c r="AY71" s="53" t="s">
        <v>228</v>
      </c>
      <c r="AZ71" s="53" t="s">
        <v>209</v>
      </c>
      <c r="BA71" s="35" t="s">
        <v>118</v>
      </c>
      <c r="BC71" s="51">
        <f>AW71+AX71</f>
        <v>0</v>
      </c>
      <c r="BD71" s="51">
        <f>G71/(100-BE71)*100</f>
        <v>0</v>
      </c>
      <c r="BE71" s="51">
        <v>0</v>
      </c>
      <c r="BF71" s="51">
        <f>71</f>
        <v>71</v>
      </c>
      <c r="BH71" s="51">
        <f>F71*AO71</f>
        <v>0</v>
      </c>
      <c r="BI71" s="51">
        <f>F71*AP71</f>
        <v>0</v>
      </c>
      <c r="BJ71" s="51">
        <f>F71*G71</f>
        <v>0</v>
      </c>
      <c r="BK71" s="51"/>
      <c r="BL71" s="51">
        <v>96</v>
      </c>
      <c r="BW71" s="51">
        <v>12</v>
      </c>
      <c r="BX71" s="3" t="s">
        <v>247</v>
      </c>
    </row>
    <row r="72" spans="1:76">
      <c r="A72" s="1" t="s">
        <v>249</v>
      </c>
      <c r="B72" s="2" t="s">
        <v>250</v>
      </c>
      <c r="C72" s="75" t="s">
        <v>251</v>
      </c>
      <c r="D72" s="70"/>
      <c r="E72" s="2" t="s">
        <v>248</v>
      </c>
      <c r="F72" s="51">
        <v>3.448</v>
      </c>
      <c r="G72" s="52">
        <v>0</v>
      </c>
      <c r="H72" s="51">
        <f>F72*G72</f>
        <v>0</v>
      </c>
      <c r="J72" s="41"/>
      <c r="Z72" s="51">
        <f>IF(AQ72="5",BJ72,0)</f>
        <v>0</v>
      </c>
      <c r="AB72" s="51">
        <f>IF(AQ72="1",BH72,0)</f>
        <v>0</v>
      </c>
      <c r="AC72" s="51">
        <f>IF(AQ72="1",BI72,0)</f>
        <v>0</v>
      </c>
      <c r="AD72" s="51">
        <f>IF(AQ72="7",BH72,0)</f>
        <v>0</v>
      </c>
      <c r="AE72" s="51">
        <f>IF(AQ72="7",BI72,0)</f>
        <v>0</v>
      </c>
      <c r="AF72" s="51">
        <f>IF(AQ72="2",BH72,0)</f>
        <v>0</v>
      </c>
      <c r="AG72" s="51">
        <f>IF(AQ72="2",BI72,0)</f>
        <v>0</v>
      </c>
      <c r="AH72" s="51">
        <f>IF(AQ72="0",BJ72,0)</f>
        <v>0</v>
      </c>
      <c r="AI72" s="35" t="s">
        <v>4</v>
      </c>
      <c r="AJ72" s="51">
        <f>IF(AN72=0,H72,0)</f>
        <v>0</v>
      </c>
      <c r="AK72" s="51">
        <f>IF(AN72=12,H72,0)</f>
        <v>0</v>
      </c>
      <c r="AL72" s="51">
        <f>IF(AN72=21,H72,0)</f>
        <v>0</v>
      </c>
      <c r="AN72" s="51">
        <v>12</v>
      </c>
      <c r="AO72" s="51">
        <f>G72*0</f>
        <v>0</v>
      </c>
      <c r="AP72" s="51">
        <f>G72*(1-0)</f>
        <v>0</v>
      </c>
      <c r="AQ72" s="53" t="s">
        <v>139</v>
      </c>
      <c r="AV72" s="51">
        <f>AW72+AX72</f>
        <v>0</v>
      </c>
      <c r="AW72" s="51">
        <f>F72*AO72</f>
        <v>0</v>
      </c>
      <c r="AX72" s="51">
        <f>F72*AP72</f>
        <v>0</v>
      </c>
      <c r="AY72" s="53" t="s">
        <v>228</v>
      </c>
      <c r="AZ72" s="53" t="s">
        <v>209</v>
      </c>
      <c r="BA72" s="35" t="s">
        <v>118</v>
      </c>
      <c r="BC72" s="51">
        <f>AW72+AX72</f>
        <v>0</v>
      </c>
      <c r="BD72" s="51">
        <f>G72/(100-BE72)*100</f>
        <v>0</v>
      </c>
      <c r="BE72" s="51">
        <v>0</v>
      </c>
      <c r="BF72" s="51">
        <f>72</f>
        <v>72</v>
      </c>
      <c r="BH72" s="51">
        <f>F72*AO72</f>
        <v>0</v>
      </c>
      <c r="BI72" s="51">
        <f>F72*AP72</f>
        <v>0</v>
      </c>
      <c r="BJ72" s="51">
        <f>F72*G72</f>
        <v>0</v>
      </c>
      <c r="BK72" s="51"/>
      <c r="BL72" s="51">
        <v>96</v>
      </c>
      <c r="BW72" s="51">
        <v>12</v>
      </c>
      <c r="BX72" s="3" t="s">
        <v>251</v>
      </c>
    </row>
    <row r="73" spans="1:76">
      <c r="A73" s="54"/>
      <c r="C73" s="56" t="s">
        <v>252</v>
      </c>
      <c r="D73" s="57" t="s">
        <v>4</v>
      </c>
      <c r="F73" s="58">
        <v>3.448</v>
      </c>
      <c r="J73" s="41"/>
    </row>
    <row r="74" spans="1:76">
      <c r="A74" s="1" t="s">
        <v>253</v>
      </c>
      <c r="B74" s="2" t="s">
        <v>254</v>
      </c>
      <c r="C74" s="75" t="s">
        <v>255</v>
      </c>
      <c r="D74" s="70"/>
      <c r="E74" s="2" t="s">
        <v>248</v>
      </c>
      <c r="F74" s="51">
        <v>1.724</v>
      </c>
      <c r="G74" s="52">
        <v>0</v>
      </c>
      <c r="H74" s="51">
        <f>F74*G74</f>
        <v>0</v>
      </c>
      <c r="J74" s="41"/>
      <c r="Z74" s="51">
        <f>IF(AQ74="5",BJ74,0)</f>
        <v>0</v>
      </c>
      <c r="AB74" s="51">
        <f>IF(AQ74="1",BH74,0)</f>
        <v>0</v>
      </c>
      <c r="AC74" s="51">
        <f>IF(AQ74="1",BI74,0)</f>
        <v>0</v>
      </c>
      <c r="AD74" s="51">
        <f>IF(AQ74="7",BH74,0)</f>
        <v>0</v>
      </c>
      <c r="AE74" s="51">
        <f>IF(AQ74="7",BI74,0)</f>
        <v>0</v>
      </c>
      <c r="AF74" s="51">
        <f>IF(AQ74="2",BH74,0)</f>
        <v>0</v>
      </c>
      <c r="AG74" s="51">
        <f>IF(AQ74="2",BI74,0)</f>
        <v>0</v>
      </c>
      <c r="AH74" s="51">
        <f>IF(AQ74="0",BJ74,0)</f>
        <v>0</v>
      </c>
      <c r="AI74" s="35" t="s">
        <v>4</v>
      </c>
      <c r="AJ74" s="51">
        <f>IF(AN74=0,H74,0)</f>
        <v>0</v>
      </c>
      <c r="AK74" s="51">
        <f>IF(AN74=12,H74,0)</f>
        <v>0</v>
      </c>
      <c r="AL74" s="51">
        <f>IF(AN74=21,H74,0)</f>
        <v>0</v>
      </c>
      <c r="AN74" s="51">
        <v>12</v>
      </c>
      <c r="AO74" s="51">
        <f>G74*0</f>
        <v>0</v>
      </c>
      <c r="AP74" s="51">
        <f>G74*(1-0)</f>
        <v>0</v>
      </c>
      <c r="AQ74" s="53" t="s">
        <v>139</v>
      </c>
      <c r="AV74" s="51">
        <f>AW74+AX74</f>
        <v>0</v>
      </c>
      <c r="AW74" s="51">
        <f>F74*AO74</f>
        <v>0</v>
      </c>
      <c r="AX74" s="51">
        <f>F74*AP74</f>
        <v>0</v>
      </c>
      <c r="AY74" s="53" t="s">
        <v>228</v>
      </c>
      <c r="AZ74" s="53" t="s">
        <v>209</v>
      </c>
      <c r="BA74" s="35" t="s">
        <v>118</v>
      </c>
      <c r="BC74" s="51">
        <f>AW74+AX74</f>
        <v>0</v>
      </c>
      <c r="BD74" s="51">
        <f>G74/(100-BE74)*100</f>
        <v>0</v>
      </c>
      <c r="BE74" s="51">
        <v>0</v>
      </c>
      <c r="BF74" s="51">
        <f>74</f>
        <v>74</v>
      </c>
      <c r="BH74" s="51">
        <f>F74*AO74</f>
        <v>0</v>
      </c>
      <c r="BI74" s="51">
        <f>F74*AP74</f>
        <v>0</v>
      </c>
      <c r="BJ74" s="51">
        <f>F74*G74</f>
        <v>0</v>
      </c>
      <c r="BK74" s="51"/>
      <c r="BL74" s="51">
        <v>96</v>
      </c>
      <c r="BW74" s="51">
        <v>12</v>
      </c>
      <c r="BX74" s="3" t="s">
        <v>255</v>
      </c>
    </row>
    <row r="75" spans="1:76">
      <c r="A75" s="1" t="s">
        <v>256</v>
      </c>
      <c r="B75" s="2" t="s">
        <v>257</v>
      </c>
      <c r="C75" s="75" t="s">
        <v>258</v>
      </c>
      <c r="D75" s="70"/>
      <c r="E75" s="2" t="s">
        <v>248</v>
      </c>
      <c r="F75" s="51">
        <v>8.6199999999999992</v>
      </c>
      <c r="G75" s="52">
        <v>0</v>
      </c>
      <c r="H75" s="51">
        <f>F75*G75</f>
        <v>0</v>
      </c>
      <c r="J75" s="41"/>
      <c r="Z75" s="51">
        <f>IF(AQ75="5",BJ75,0)</f>
        <v>0</v>
      </c>
      <c r="AB75" s="51">
        <f>IF(AQ75="1",BH75,0)</f>
        <v>0</v>
      </c>
      <c r="AC75" s="51">
        <f>IF(AQ75="1",BI75,0)</f>
        <v>0</v>
      </c>
      <c r="AD75" s="51">
        <f>IF(AQ75="7",BH75,0)</f>
        <v>0</v>
      </c>
      <c r="AE75" s="51">
        <f>IF(AQ75="7",BI75,0)</f>
        <v>0</v>
      </c>
      <c r="AF75" s="51">
        <f>IF(AQ75="2",BH75,0)</f>
        <v>0</v>
      </c>
      <c r="AG75" s="51">
        <f>IF(AQ75="2",BI75,0)</f>
        <v>0</v>
      </c>
      <c r="AH75" s="51">
        <f>IF(AQ75="0",BJ75,0)</f>
        <v>0</v>
      </c>
      <c r="AI75" s="35" t="s">
        <v>4</v>
      </c>
      <c r="AJ75" s="51">
        <f>IF(AN75=0,H75,0)</f>
        <v>0</v>
      </c>
      <c r="AK75" s="51">
        <f>IF(AN75=12,H75,0)</f>
        <v>0</v>
      </c>
      <c r="AL75" s="51">
        <f>IF(AN75=21,H75,0)</f>
        <v>0</v>
      </c>
      <c r="AN75" s="51">
        <v>12</v>
      </c>
      <c r="AO75" s="51">
        <f>G75*0</f>
        <v>0</v>
      </c>
      <c r="AP75" s="51">
        <f>G75*(1-0)</f>
        <v>0</v>
      </c>
      <c r="AQ75" s="53" t="s">
        <v>139</v>
      </c>
      <c r="AV75" s="51">
        <f>AW75+AX75</f>
        <v>0</v>
      </c>
      <c r="AW75" s="51">
        <f>F75*AO75</f>
        <v>0</v>
      </c>
      <c r="AX75" s="51">
        <f>F75*AP75</f>
        <v>0</v>
      </c>
      <c r="AY75" s="53" t="s">
        <v>228</v>
      </c>
      <c r="AZ75" s="53" t="s">
        <v>209</v>
      </c>
      <c r="BA75" s="35" t="s">
        <v>118</v>
      </c>
      <c r="BC75" s="51">
        <f>AW75+AX75</f>
        <v>0</v>
      </c>
      <c r="BD75" s="51">
        <f>G75/(100-BE75)*100</f>
        <v>0</v>
      </c>
      <c r="BE75" s="51">
        <v>0</v>
      </c>
      <c r="BF75" s="51">
        <f>75</f>
        <v>75</v>
      </c>
      <c r="BH75" s="51">
        <f>F75*AO75</f>
        <v>0</v>
      </c>
      <c r="BI75" s="51">
        <f>F75*AP75</f>
        <v>0</v>
      </c>
      <c r="BJ75" s="51">
        <f>F75*G75</f>
        <v>0</v>
      </c>
      <c r="BK75" s="51"/>
      <c r="BL75" s="51">
        <v>96</v>
      </c>
      <c r="BW75" s="51">
        <v>12</v>
      </c>
      <c r="BX75" s="3" t="s">
        <v>258</v>
      </c>
    </row>
    <row r="76" spans="1:76">
      <c r="A76" s="54"/>
      <c r="C76" s="56" t="s">
        <v>259</v>
      </c>
      <c r="D76" s="57" t="s">
        <v>4</v>
      </c>
      <c r="F76" s="58">
        <v>8.6199999999999992</v>
      </c>
      <c r="J76" s="41"/>
    </row>
    <row r="77" spans="1:76">
      <c r="A77" s="1" t="s">
        <v>260</v>
      </c>
      <c r="B77" s="2" t="s">
        <v>261</v>
      </c>
      <c r="C77" s="75" t="s">
        <v>262</v>
      </c>
      <c r="D77" s="70"/>
      <c r="E77" s="2" t="s">
        <v>248</v>
      </c>
      <c r="F77" s="51">
        <v>1.724</v>
      </c>
      <c r="G77" s="52">
        <v>0</v>
      </c>
      <c r="H77" s="51">
        <f>F77*G77</f>
        <v>0</v>
      </c>
      <c r="J77" s="41"/>
      <c r="Z77" s="51">
        <f>IF(AQ77="5",BJ77,0)</f>
        <v>0</v>
      </c>
      <c r="AB77" s="51">
        <f>IF(AQ77="1",BH77,0)</f>
        <v>0</v>
      </c>
      <c r="AC77" s="51">
        <f>IF(AQ77="1",BI77,0)</f>
        <v>0</v>
      </c>
      <c r="AD77" s="51">
        <f>IF(AQ77="7",BH77,0)</f>
        <v>0</v>
      </c>
      <c r="AE77" s="51">
        <f>IF(AQ77="7",BI77,0)</f>
        <v>0</v>
      </c>
      <c r="AF77" s="51">
        <f>IF(AQ77="2",BH77,0)</f>
        <v>0</v>
      </c>
      <c r="AG77" s="51">
        <f>IF(AQ77="2",BI77,0)</f>
        <v>0</v>
      </c>
      <c r="AH77" s="51">
        <f>IF(AQ77="0",BJ77,0)</f>
        <v>0</v>
      </c>
      <c r="AI77" s="35" t="s">
        <v>4</v>
      </c>
      <c r="AJ77" s="51">
        <f>IF(AN77=0,H77,0)</f>
        <v>0</v>
      </c>
      <c r="AK77" s="51">
        <f>IF(AN77=12,H77,0)</f>
        <v>0</v>
      </c>
      <c r="AL77" s="51">
        <f>IF(AN77=21,H77,0)</f>
        <v>0</v>
      </c>
      <c r="AN77" s="51">
        <v>12</v>
      </c>
      <c r="AO77" s="51">
        <f>G77*0</f>
        <v>0</v>
      </c>
      <c r="AP77" s="51">
        <f>G77*(1-0)</f>
        <v>0</v>
      </c>
      <c r="AQ77" s="53" t="s">
        <v>139</v>
      </c>
      <c r="AV77" s="51">
        <f>AW77+AX77</f>
        <v>0</v>
      </c>
      <c r="AW77" s="51">
        <f>F77*AO77</f>
        <v>0</v>
      </c>
      <c r="AX77" s="51">
        <f>F77*AP77</f>
        <v>0</v>
      </c>
      <c r="AY77" s="53" t="s">
        <v>228</v>
      </c>
      <c r="AZ77" s="53" t="s">
        <v>209</v>
      </c>
      <c r="BA77" s="35" t="s">
        <v>118</v>
      </c>
      <c r="BC77" s="51">
        <f>AW77+AX77</f>
        <v>0</v>
      </c>
      <c r="BD77" s="51">
        <f>G77/(100-BE77)*100</f>
        <v>0</v>
      </c>
      <c r="BE77" s="51">
        <v>0</v>
      </c>
      <c r="BF77" s="51">
        <f>77</f>
        <v>77</v>
      </c>
      <c r="BH77" s="51">
        <f>F77*AO77</f>
        <v>0</v>
      </c>
      <c r="BI77" s="51">
        <f>F77*AP77</f>
        <v>0</v>
      </c>
      <c r="BJ77" s="51">
        <f>F77*G77</f>
        <v>0</v>
      </c>
      <c r="BK77" s="51"/>
      <c r="BL77" s="51">
        <v>96</v>
      </c>
      <c r="BW77" s="51">
        <v>12</v>
      </c>
      <c r="BX77" s="3" t="s">
        <v>262</v>
      </c>
    </row>
    <row r="78" spans="1:76">
      <c r="A78" s="1" t="s">
        <v>263</v>
      </c>
      <c r="B78" s="2" t="s">
        <v>264</v>
      </c>
      <c r="C78" s="75" t="s">
        <v>265</v>
      </c>
      <c r="D78" s="70"/>
      <c r="E78" s="2" t="s">
        <v>248</v>
      </c>
      <c r="F78" s="51">
        <v>6.8959999999999999</v>
      </c>
      <c r="G78" s="52">
        <v>0</v>
      </c>
      <c r="H78" s="51">
        <f>F78*G78</f>
        <v>0</v>
      </c>
      <c r="J78" s="41"/>
      <c r="Z78" s="51">
        <f>IF(AQ78="5",BJ78,0)</f>
        <v>0</v>
      </c>
      <c r="AB78" s="51">
        <f>IF(AQ78="1",BH78,0)</f>
        <v>0</v>
      </c>
      <c r="AC78" s="51">
        <f>IF(AQ78="1",BI78,0)</f>
        <v>0</v>
      </c>
      <c r="AD78" s="51">
        <f>IF(AQ78="7",BH78,0)</f>
        <v>0</v>
      </c>
      <c r="AE78" s="51">
        <f>IF(AQ78="7",BI78,0)</f>
        <v>0</v>
      </c>
      <c r="AF78" s="51">
        <f>IF(AQ78="2",BH78,0)</f>
        <v>0</v>
      </c>
      <c r="AG78" s="51">
        <f>IF(AQ78="2",BI78,0)</f>
        <v>0</v>
      </c>
      <c r="AH78" s="51">
        <f>IF(AQ78="0",BJ78,0)</f>
        <v>0</v>
      </c>
      <c r="AI78" s="35" t="s">
        <v>4</v>
      </c>
      <c r="AJ78" s="51">
        <f>IF(AN78=0,H78,0)</f>
        <v>0</v>
      </c>
      <c r="AK78" s="51">
        <f>IF(AN78=12,H78,0)</f>
        <v>0</v>
      </c>
      <c r="AL78" s="51">
        <f>IF(AN78=21,H78,0)</f>
        <v>0</v>
      </c>
      <c r="AN78" s="51">
        <v>12</v>
      </c>
      <c r="AO78" s="51">
        <f>G78*0</f>
        <v>0</v>
      </c>
      <c r="AP78" s="51">
        <f>G78*(1-0)</f>
        <v>0</v>
      </c>
      <c r="AQ78" s="53" t="s">
        <v>139</v>
      </c>
      <c r="AV78" s="51">
        <f>AW78+AX78</f>
        <v>0</v>
      </c>
      <c r="AW78" s="51">
        <f>F78*AO78</f>
        <v>0</v>
      </c>
      <c r="AX78" s="51">
        <f>F78*AP78</f>
        <v>0</v>
      </c>
      <c r="AY78" s="53" t="s">
        <v>228</v>
      </c>
      <c r="AZ78" s="53" t="s">
        <v>209</v>
      </c>
      <c r="BA78" s="35" t="s">
        <v>118</v>
      </c>
      <c r="BC78" s="51">
        <f>AW78+AX78</f>
        <v>0</v>
      </c>
      <c r="BD78" s="51">
        <f>G78/(100-BE78)*100</f>
        <v>0</v>
      </c>
      <c r="BE78" s="51">
        <v>0</v>
      </c>
      <c r="BF78" s="51">
        <f>78</f>
        <v>78</v>
      </c>
      <c r="BH78" s="51">
        <f>F78*AO78</f>
        <v>0</v>
      </c>
      <c r="BI78" s="51">
        <f>F78*AP78</f>
        <v>0</v>
      </c>
      <c r="BJ78" s="51">
        <f>F78*G78</f>
        <v>0</v>
      </c>
      <c r="BK78" s="51"/>
      <c r="BL78" s="51">
        <v>96</v>
      </c>
      <c r="BW78" s="51">
        <v>12</v>
      </c>
      <c r="BX78" s="3" t="s">
        <v>265</v>
      </c>
    </row>
    <row r="79" spans="1:76">
      <c r="A79" s="54"/>
      <c r="C79" s="56" t="s">
        <v>266</v>
      </c>
      <c r="D79" s="57" t="s">
        <v>4</v>
      </c>
      <c r="F79" s="58">
        <v>6.8959999999999999</v>
      </c>
      <c r="J79" s="41"/>
    </row>
    <row r="80" spans="1:76">
      <c r="A80" s="1" t="s">
        <v>110</v>
      </c>
      <c r="B80" s="2" t="s">
        <v>267</v>
      </c>
      <c r="C80" s="75" t="s">
        <v>268</v>
      </c>
      <c r="D80" s="70"/>
      <c r="E80" s="2" t="s">
        <v>248</v>
      </c>
      <c r="F80" s="51">
        <v>1.607</v>
      </c>
      <c r="G80" s="52">
        <v>0</v>
      </c>
      <c r="H80" s="51">
        <f>F80*G80</f>
        <v>0</v>
      </c>
      <c r="J80" s="41"/>
      <c r="Z80" s="51">
        <f>IF(AQ80="5",BJ80,0)</f>
        <v>0</v>
      </c>
      <c r="AB80" s="51">
        <f>IF(AQ80="1",BH80,0)</f>
        <v>0</v>
      </c>
      <c r="AC80" s="51">
        <f>IF(AQ80="1",BI80,0)</f>
        <v>0</v>
      </c>
      <c r="AD80" s="51">
        <f>IF(AQ80="7",BH80,0)</f>
        <v>0</v>
      </c>
      <c r="AE80" s="51">
        <f>IF(AQ80="7",BI80,0)</f>
        <v>0</v>
      </c>
      <c r="AF80" s="51">
        <f>IF(AQ80="2",BH80,0)</f>
        <v>0</v>
      </c>
      <c r="AG80" s="51">
        <f>IF(AQ80="2",BI80,0)</f>
        <v>0</v>
      </c>
      <c r="AH80" s="51">
        <f>IF(AQ80="0",BJ80,0)</f>
        <v>0</v>
      </c>
      <c r="AI80" s="35" t="s">
        <v>4</v>
      </c>
      <c r="AJ80" s="51">
        <f>IF(AN80=0,H80,0)</f>
        <v>0</v>
      </c>
      <c r="AK80" s="51">
        <f>IF(AN80=12,H80,0)</f>
        <v>0</v>
      </c>
      <c r="AL80" s="51">
        <f>IF(AN80=21,H80,0)</f>
        <v>0</v>
      </c>
      <c r="AN80" s="51">
        <v>12</v>
      </c>
      <c r="AO80" s="51">
        <f>G80*0</f>
        <v>0</v>
      </c>
      <c r="AP80" s="51">
        <f>G80*(1-0)</f>
        <v>0</v>
      </c>
      <c r="AQ80" s="53" t="s">
        <v>139</v>
      </c>
      <c r="AV80" s="51">
        <f>AW80+AX80</f>
        <v>0</v>
      </c>
      <c r="AW80" s="51">
        <f>F80*AO80</f>
        <v>0</v>
      </c>
      <c r="AX80" s="51">
        <f>F80*AP80</f>
        <v>0</v>
      </c>
      <c r="AY80" s="53" t="s">
        <v>228</v>
      </c>
      <c r="AZ80" s="53" t="s">
        <v>209</v>
      </c>
      <c r="BA80" s="35" t="s">
        <v>118</v>
      </c>
      <c r="BC80" s="51">
        <f>AW80+AX80</f>
        <v>0</v>
      </c>
      <c r="BD80" s="51">
        <f>G80/(100-BE80)*100</f>
        <v>0</v>
      </c>
      <c r="BE80" s="51">
        <v>0</v>
      </c>
      <c r="BF80" s="51">
        <f>80</f>
        <v>80</v>
      </c>
      <c r="BH80" s="51">
        <f>F80*AO80</f>
        <v>0</v>
      </c>
      <c r="BI80" s="51">
        <f>F80*AP80</f>
        <v>0</v>
      </c>
      <c r="BJ80" s="51">
        <f>F80*G80</f>
        <v>0</v>
      </c>
      <c r="BK80" s="51"/>
      <c r="BL80" s="51">
        <v>96</v>
      </c>
      <c r="BW80" s="51">
        <v>12</v>
      </c>
      <c r="BX80" s="3" t="s">
        <v>268</v>
      </c>
    </row>
    <row r="81" spans="1:76">
      <c r="A81" s="54"/>
      <c r="C81" s="56" t="s">
        <v>269</v>
      </c>
      <c r="D81" s="57" t="s">
        <v>4</v>
      </c>
      <c r="F81" s="58">
        <v>1.607</v>
      </c>
      <c r="J81" s="41"/>
    </row>
    <row r="82" spans="1:76">
      <c r="A82" s="1" t="s">
        <v>270</v>
      </c>
      <c r="B82" s="2" t="s">
        <v>271</v>
      </c>
      <c r="C82" s="75" t="s">
        <v>272</v>
      </c>
      <c r="D82" s="70"/>
      <c r="E82" s="2" t="s">
        <v>248</v>
      </c>
      <c r="F82" s="51">
        <v>0.11700000000000001</v>
      </c>
      <c r="G82" s="52">
        <v>0</v>
      </c>
      <c r="H82" s="51">
        <f>F82*G82</f>
        <v>0</v>
      </c>
      <c r="J82" s="41"/>
      <c r="Z82" s="51">
        <f>IF(AQ82="5",BJ82,0)</f>
        <v>0</v>
      </c>
      <c r="AB82" s="51">
        <f>IF(AQ82="1",BH82,0)</f>
        <v>0</v>
      </c>
      <c r="AC82" s="51">
        <f>IF(AQ82="1",BI82,0)</f>
        <v>0</v>
      </c>
      <c r="AD82" s="51">
        <f>IF(AQ82="7",BH82,0)</f>
        <v>0</v>
      </c>
      <c r="AE82" s="51">
        <f>IF(AQ82="7",BI82,0)</f>
        <v>0</v>
      </c>
      <c r="AF82" s="51">
        <f>IF(AQ82="2",BH82,0)</f>
        <v>0</v>
      </c>
      <c r="AG82" s="51">
        <f>IF(AQ82="2",BI82,0)</f>
        <v>0</v>
      </c>
      <c r="AH82" s="51">
        <f>IF(AQ82="0",BJ82,0)</f>
        <v>0</v>
      </c>
      <c r="AI82" s="35" t="s">
        <v>4</v>
      </c>
      <c r="AJ82" s="51">
        <f>IF(AN82=0,H82,0)</f>
        <v>0</v>
      </c>
      <c r="AK82" s="51">
        <f>IF(AN82=12,H82,0)</f>
        <v>0</v>
      </c>
      <c r="AL82" s="51">
        <f>IF(AN82=21,H82,0)</f>
        <v>0</v>
      </c>
      <c r="AN82" s="51">
        <v>12</v>
      </c>
      <c r="AO82" s="51">
        <f>G82*0</f>
        <v>0</v>
      </c>
      <c r="AP82" s="51">
        <f>G82*(1-0)</f>
        <v>0</v>
      </c>
      <c r="AQ82" s="53" t="s">
        <v>139</v>
      </c>
      <c r="AV82" s="51">
        <f>AW82+AX82</f>
        <v>0</v>
      </c>
      <c r="AW82" s="51">
        <f>F82*AO82</f>
        <v>0</v>
      </c>
      <c r="AX82" s="51">
        <f>F82*AP82</f>
        <v>0</v>
      </c>
      <c r="AY82" s="53" t="s">
        <v>228</v>
      </c>
      <c r="AZ82" s="53" t="s">
        <v>209</v>
      </c>
      <c r="BA82" s="35" t="s">
        <v>118</v>
      </c>
      <c r="BC82" s="51">
        <f>AW82+AX82</f>
        <v>0</v>
      </c>
      <c r="BD82" s="51">
        <f>G82/(100-BE82)*100</f>
        <v>0</v>
      </c>
      <c r="BE82" s="51">
        <v>0</v>
      </c>
      <c r="BF82" s="51">
        <f>82</f>
        <v>82</v>
      </c>
      <c r="BH82" s="51">
        <f>F82*AO82</f>
        <v>0</v>
      </c>
      <c r="BI82" s="51">
        <f>F82*AP82</f>
        <v>0</v>
      </c>
      <c r="BJ82" s="51">
        <f>F82*G82</f>
        <v>0</v>
      </c>
      <c r="BK82" s="51"/>
      <c r="BL82" s="51">
        <v>96</v>
      </c>
      <c r="BW82" s="51">
        <v>12</v>
      </c>
      <c r="BX82" s="3" t="s">
        <v>272</v>
      </c>
    </row>
    <row r="83" spans="1:76">
      <c r="A83" s="54"/>
      <c r="C83" s="56" t="s">
        <v>273</v>
      </c>
      <c r="D83" s="57" t="s">
        <v>274</v>
      </c>
      <c r="F83" s="58">
        <v>9.2999999999999999E-2</v>
      </c>
      <c r="J83" s="41"/>
    </row>
    <row r="84" spans="1:76">
      <c r="A84" s="54"/>
      <c r="C84" s="56" t="s">
        <v>275</v>
      </c>
      <c r="D84" s="57" t="s">
        <v>276</v>
      </c>
      <c r="F84" s="58">
        <v>2.4E-2</v>
      </c>
      <c r="J84" s="41"/>
    </row>
    <row r="85" spans="1:76">
      <c r="A85" s="47" t="s">
        <v>4</v>
      </c>
      <c r="B85" s="48" t="s">
        <v>277</v>
      </c>
      <c r="C85" s="150" t="s">
        <v>278</v>
      </c>
      <c r="D85" s="151"/>
      <c r="E85" s="49" t="s">
        <v>80</v>
      </c>
      <c r="F85" s="49" t="s">
        <v>80</v>
      </c>
      <c r="G85" s="50" t="s">
        <v>80</v>
      </c>
      <c r="H85" s="28">
        <f>SUM(H86:H86)</f>
        <v>0</v>
      </c>
      <c r="J85" s="41"/>
      <c r="AI85" s="35" t="s">
        <v>4</v>
      </c>
      <c r="AS85" s="28">
        <f>SUM(AJ86:AJ86)</f>
        <v>0</v>
      </c>
      <c r="AT85" s="28">
        <f>SUM(AK86:AK86)</f>
        <v>0</v>
      </c>
      <c r="AU85" s="28">
        <f>SUM(AL86:AL86)</f>
        <v>0</v>
      </c>
    </row>
    <row r="86" spans="1:76">
      <c r="A86" s="1" t="s">
        <v>279</v>
      </c>
      <c r="B86" s="2" t="s">
        <v>280</v>
      </c>
      <c r="C86" s="75" t="s">
        <v>281</v>
      </c>
      <c r="D86" s="70"/>
      <c r="E86" s="2" t="s">
        <v>248</v>
      </c>
      <c r="F86" s="51">
        <v>3.899</v>
      </c>
      <c r="G86" s="52">
        <v>0</v>
      </c>
      <c r="H86" s="51">
        <f>F86*G86</f>
        <v>0</v>
      </c>
      <c r="J86" s="41"/>
      <c r="Z86" s="51">
        <f>IF(AQ86="5",BJ86,0)</f>
        <v>0</v>
      </c>
      <c r="AB86" s="51">
        <f>IF(AQ86="1",BH86,0)</f>
        <v>0</v>
      </c>
      <c r="AC86" s="51">
        <f>IF(AQ86="1",BI86,0)</f>
        <v>0</v>
      </c>
      <c r="AD86" s="51">
        <f>IF(AQ86="7",BH86,0)</f>
        <v>0</v>
      </c>
      <c r="AE86" s="51">
        <f>IF(AQ86="7",BI86,0)</f>
        <v>0</v>
      </c>
      <c r="AF86" s="51">
        <f>IF(AQ86="2",BH86,0)</f>
        <v>0</v>
      </c>
      <c r="AG86" s="51">
        <f>IF(AQ86="2",BI86,0)</f>
        <v>0</v>
      </c>
      <c r="AH86" s="51">
        <f>IF(AQ86="0",BJ86,0)</f>
        <v>0</v>
      </c>
      <c r="AI86" s="35" t="s">
        <v>4</v>
      </c>
      <c r="AJ86" s="51">
        <f>IF(AN86=0,H86,0)</f>
        <v>0</v>
      </c>
      <c r="AK86" s="51">
        <f>IF(AN86=12,H86,0)</f>
        <v>0</v>
      </c>
      <c r="AL86" s="51">
        <f>IF(AN86=21,H86,0)</f>
        <v>0</v>
      </c>
      <c r="AN86" s="51">
        <v>12</v>
      </c>
      <c r="AO86" s="51">
        <f>G86*0</f>
        <v>0</v>
      </c>
      <c r="AP86" s="51">
        <f>G86*(1-0)</f>
        <v>0</v>
      </c>
      <c r="AQ86" s="53" t="s">
        <v>139</v>
      </c>
      <c r="AV86" s="51">
        <f>AW86+AX86</f>
        <v>0</v>
      </c>
      <c r="AW86" s="51">
        <f>F86*AO86</f>
        <v>0</v>
      </c>
      <c r="AX86" s="51">
        <f>F86*AP86</f>
        <v>0</v>
      </c>
      <c r="AY86" s="53" t="s">
        <v>282</v>
      </c>
      <c r="AZ86" s="53" t="s">
        <v>209</v>
      </c>
      <c r="BA86" s="35" t="s">
        <v>118</v>
      </c>
      <c r="BC86" s="51">
        <f>AW86+AX86</f>
        <v>0</v>
      </c>
      <c r="BD86" s="51">
        <f>G86/(100-BE86)*100</f>
        <v>0</v>
      </c>
      <c r="BE86" s="51">
        <v>0</v>
      </c>
      <c r="BF86" s="51">
        <f>86</f>
        <v>86</v>
      </c>
      <c r="BH86" s="51">
        <f>F86*AO86</f>
        <v>0</v>
      </c>
      <c r="BI86" s="51">
        <f>F86*AP86</f>
        <v>0</v>
      </c>
      <c r="BJ86" s="51">
        <f>F86*G86</f>
        <v>0</v>
      </c>
      <c r="BK86" s="51"/>
      <c r="BL86" s="51">
        <v>99</v>
      </c>
      <c r="BW86" s="51">
        <v>12</v>
      </c>
      <c r="BX86" s="3" t="s">
        <v>281</v>
      </c>
    </row>
    <row r="87" spans="1:76">
      <c r="A87" s="47" t="s">
        <v>4</v>
      </c>
      <c r="B87" s="48" t="s">
        <v>283</v>
      </c>
      <c r="C87" s="150" t="s">
        <v>284</v>
      </c>
      <c r="D87" s="151"/>
      <c r="E87" s="49" t="s">
        <v>80</v>
      </c>
      <c r="F87" s="49" t="s">
        <v>80</v>
      </c>
      <c r="G87" s="50" t="s">
        <v>80</v>
      </c>
      <c r="H87" s="28">
        <f>SUM(H88:H98)</f>
        <v>0</v>
      </c>
      <c r="J87" s="41"/>
      <c r="AI87" s="35" t="s">
        <v>4</v>
      </c>
      <c r="AS87" s="28">
        <f>SUM(AJ88:AJ98)</f>
        <v>0</v>
      </c>
      <c r="AT87" s="28">
        <f>SUM(AK88:AK98)</f>
        <v>0</v>
      </c>
      <c r="AU87" s="28">
        <f>SUM(AL88:AL98)</f>
        <v>0</v>
      </c>
    </row>
    <row r="88" spans="1:76">
      <c r="A88" s="1" t="s">
        <v>285</v>
      </c>
      <c r="B88" s="2" t="s">
        <v>286</v>
      </c>
      <c r="C88" s="75" t="s">
        <v>287</v>
      </c>
      <c r="D88" s="70"/>
      <c r="E88" s="2" t="s">
        <v>127</v>
      </c>
      <c r="F88" s="51">
        <v>8.4939999999999998</v>
      </c>
      <c r="G88" s="52">
        <v>0</v>
      </c>
      <c r="H88" s="51">
        <f>F88*G88</f>
        <v>0</v>
      </c>
      <c r="J88" s="41"/>
      <c r="Z88" s="51">
        <f>IF(AQ88="5",BJ88,0)</f>
        <v>0</v>
      </c>
      <c r="AB88" s="51">
        <f>IF(AQ88="1",BH88,0)</f>
        <v>0</v>
      </c>
      <c r="AC88" s="51">
        <f>IF(AQ88="1",BI88,0)</f>
        <v>0</v>
      </c>
      <c r="AD88" s="51">
        <f>IF(AQ88="7",BH88,0)</f>
        <v>0</v>
      </c>
      <c r="AE88" s="51">
        <f>IF(AQ88="7",BI88,0)</f>
        <v>0</v>
      </c>
      <c r="AF88" s="51">
        <f>IF(AQ88="2",BH88,0)</f>
        <v>0</v>
      </c>
      <c r="AG88" s="51">
        <f>IF(AQ88="2",BI88,0)</f>
        <v>0</v>
      </c>
      <c r="AH88" s="51">
        <f>IF(AQ88="0",BJ88,0)</f>
        <v>0</v>
      </c>
      <c r="AI88" s="35" t="s">
        <v>4</v>
      </c>
      <c r="AJ88" s="51">
        <f>IF(AN88=0,H88,0)</f>
        <v>0</v>
      </c>
      <c r="AK88" s="51">
        <f>IF(AN88=12,H88,0)</f>
        <v>0</v>
      </c>
      <c r="AL88" s="51">
        <f>IF(AN88=21,H88,0)</f>
        <v>0</v>
      </c>
      <c r="AN88" s="51">
        <v>12</v>
      </c>
      <c r="AO88" s="51">
        <f>G88*0.338873573</f>
        <v>0</v>
      </c>
      <c r="AP88" s="51">
        <f>G88*(1-0.338873573)</f>
        <v>0</v>
      </c>
      <c r="AQ88" s="53" t="s">
        <v>156</v>
      </c>
      <c r="AV88" s="51">
        <f>AW88+AX88</f>
        <v>0</v>
      </c>
      <c r="AW88" s="51">
        <f>F88*AO88</f>
        <v>0</v>
      </c>
      <c r="AX88" s="51">
        <f>F88*AP88</f>
        <v>0</v>
      </c>
      <c r="AY88" s="53" t="s">
        <v>288</v>
      </c>
      <c r="AZ88" s="53" t="s">
        <v>289</v>
      </c>
      <c r="BA88" s="35" t="s">
        <v>118</v>
      </c>
      <c r="BC88" s="51">
        <f>AW88+AX88</f>
        <v>0</v>
      </c>
      <c r="BD88" s="51">
        <f>G88/(100-BE88)*100</f>
        <v>0</v>
      </c>
      <c r="BE88" s="51">
        <v>0</v>
      </c>
      <c r="BF88" s="51">
        <f>88</f>
        <v>88</v>
      </c>
      <c r="BH88" s="51">
        <f>F88*AO88</f>
        <v>0</v>
      </c>
      <c r="BI88" s="51">
        <f>F88*AP88</f>
        <v>0</v>
      </c>
      <c r="BJ88" s="51">
        <f>F88*G88</f>
        <v>0</v>
      </c>
      <c r="BK88" s="51"/>
      <c r="BL88" s="51">
        <v>711</v>
      </c>
      <c r="BW88" s="51">
        <v>12</v>
      </c>
      <c r="BX88" s="3" t="s">
        <v>287</v>
      </c>
    </row>
    <row r="89" spans="1:76">
      <c r="A89" s="1" t="s">
        <v>290</v>
      </c>
      <c r="B89" s="2" t="s">
        <v>291</v>
      </c>
      <c r="C89" s="75" t="s">
        <v>292</v>
      </c>
      <c r="D89" s="70"/>
      <c r="E89" s="2" t="s">
        <v>127</v>
      </c>
      <c r="F89" s="51">
        <v>8.4939999999999998</v>
      </c>
      <c r="G89" s="52">
        <v>0</v>
      </c>
      <c r="H89" s="51">
        <f>F89*G89</f>
        <v>0</v>
      </c>
      <c r="J89" s="41"/>
      <c r="Z89" s="51">
        <f>IF(AQ89="5",BJ89,0)</f>
        <v>0</v>
      </c>
      <c r="AB89" s="51">
        <f>IF(AQ89="1",BH89,0)</f>
        <v>0</v>
      </c>
      <c r="AC89" s="51">
        <f>IF(AQ89="1",BI89,0)</f>
        <v>0</v>
      </c>
      <c r="AD89" s="51">
        <f>IF(AQ89="7",BH89,0)</f>
        <v>0</v>
      </c>
      <c r="AE89" s="51">
        <f>IF(AQ89="7",BI89,0)</f>
        <v>0</v>
      </c>
      <c r="AF89" s="51">
        <f>IF(AQ89="2",BH89,0)</f>
        <v>0</v>
      </c>
      <c r="AG89" s="51">
        <f>IF(AQ89="2",BI89,0)</f>
        <v>0</v>
      </c>
      <c r="AH89" s="51">
        <f>IF(AQ89="0",BJ89,0)</f>
        <v>0</v>
      </c>
      <c r="AI89" s="35" t="s">
        <v>4</v>
      </c>
      <c r="AJ89" s="51">
        <f>IF(AN89=0,H89,0)</f>
        <v>0</v>
      </c>
      <c r="AK89" s="51">
        <f>IF(AN89=12,H89,0)</f>
        <v>0</v>
      </c>
      <c r="AL89" s="51">
        <f>IF(AN89=21,H89,0)</f>
        <v>0</v>
      </c>
      <c r="AN89" s="51">
        <v>12</v>
      </c>
      <c r="AO89" s="51">
        <f>G89*0.66156226</f>
        <v>0</v>
      </c>
      <c r="AP89" s="51">
        <f>G89*(1-0.66156226)</f>
        <v>0</v>
      </c>
      <c r="AQ89" s="53" t="s">
        <v>156</v>
      </c>
      <c r="AV89" s="51">
        <f>AW89+AX89</f>
        <v>0</v>
      </c>
      <c r="AW89" s="51">
        <f>F89*AO89</f>
        <v>0</v>
      </c>
      <c r="AX89" s="51">
        <f>F89*AP89</f>
        <v>0</v>
      </c>
      <c r="AY89" s="53" t="s">
        <v>288</v>
      </c>
      <c r="AZ89" s="53" t="s">
        <v>289</v>
      </c>
      <c r="BA89" s="35" t="s">
        <v>118</v>
      </c>
      <c r="BC89" s="51">
        <f>AW89+AX89</f>
        <v>0</v>
      </c>
      <c r="BD89" s="51">
        <f>G89/(100-BE89)*100</f>
        <v>0</v>
      </c>
      <c r="BE89" s="51">
        <v>0</v>
      </c>
      <c r="BF89" s="51">
        <f>89</f>
        <v>89</v>
      </c>
      <c r="BH89" s="51">
        <f>F89*AO89</f>
        <v>0</v>
      </c>
      <c r="BI89" s="51">
        <f>F89*AP89</f>
        <v>0</v>
      </c>
      <c r="BJ89" s="51">
        <f>F89*G89</f>
        <v>0</v>
      </c>
      <c r="BK89" s="51"/>
      <c r="BL89" s="51">
        <v>711</v>
      </c>
      <c r="BW89" s="51">
        <v>12</v>
      </c>
      <c r="BX89" s="3" t="s">
        <v>292</v>
      </c>
    </row>
    <row r="90" spans="1:76" ht="13.5" customHeight="1">
      <c r="A90" s="54"/>
      <c r="B90" s="55" t="s">
        <v>119</v>
      </c>
      <c r="C90" s="152" t="s">
        <v>293</v>
      </c>
      <c r="D90" s="153"/>
      <c r="E90" s="153"/>
      <c r="F90" s="153"/>
      <c r="G90" s="154"/>
      <c r="H90" s="153"/>
      <c r="I90" s="153"/>
      <c r="J90" s="155"/>
    </row>
    <row r="91" spans="1:76">
      <c r="A91" s="54"/>
      <c r="C91" s="56" t="s">
        <v>192</v>
      </c>
      <c r="D91" s="57" t="s">
        <v>294</v>
      </c>
      <c r="F91" s="58">
        <v>2.5990000000000002</v>
      </c>
      <c r="J91" s="41"/>
    </row>
    <row r="92" spans="1:76">
      <c r="A92" s="54"/>
      <c r="C92" s="56" t="s">
        <v>295</v>
      </c>
      <c r="D92" s="57" t="s">
        <v>296</v>
      </c>
      <c r="F92" s="58">
        <v>1.6950000000000001</v>
      </c>
      <c r="J92" s="41"/>
    </row>
    <row r="93" spans="1:76">
      <c r="A93" s="54"/>
      <c r="C93" s="56" t="s">
        <v>297</v>
      </c>
      <c r="D93" s="57" t="s">
        <v>298</v>
      </c>
      <c r="F93" s="58">
        <v>4.2</v>
      </c>
      <c r="J93" s="41"/>
    </row>
    <row r="94" spans="1:76">
      <c r="A94" s="1" t="s">
        <v>299</v>
      </c>
      <c r="B94" s="2" t="s">
        <v>300</v>
      </c>
      <c r="C94" s="75" t="s">
        <v>301</v>
      </c>
      <c r="D94" s="70"/>
      <c r="E94" s="2" t="s">
        <v>134</v>
      </c>
      <c r="F94" s="51">
        <v>7.75</v>
      </c>
      <c r="G94" s="52">
        <v>0</v>
      </c>
      <c r="H94" s="51">
        <f>F94*G94</f>
        <v>0</v>
      </c>
      <c r="J94" s="41"/>
      <c r="Z94" s="51">
        <f>IF(AQ94="5",BJ94,0)</f>
        <v>0</v>
      </c>
      <c r="AB94" s="51">
        <f>IF(AQ94="1",BH94,0)</f>
        <v>0</v>
      </c>
      <c r="AC94" s="51">
        <f>IF(AQ94="1",BI94,0)</f>
        <v>0</v>
      </c>
      <c r="AD94" s="51">
        <f>IF(AQ94="7",BH94,0)</f>
        <v>0</v>
      </c>
      <c r="AE94" s="51">
        <f>IF(AQ94="7",BI94,0)</f>
        <v>0</v>
      </c>
      <c r="AF94" s="51">
        <f>IF(AQ94="2",BH94,0)</f>
        <v>0</v>
      </c>
      <c r="AG94" s="51">
        <f>IF(AQ94="2",BI94,0)</f>
        <v>0</v>
      </c>
      <c r="AH94" s="51">
        <f>IF(AQ94="0",BJ94,0)</f>
        <v>0</v>
      </c>
      <c r="AI94" s="35" t="s">
        <v>4</v>
      </c>
      <c r="AJ94" s="51">
        <f>IF(AN94=0,H94,0)</f>
        <v>0</v>
      </c>
      <c r="AK94" s="51">
        <f>IF(AN94=12,H94,0)</f>
        <v>0</v>
      </c>
      <c r="AL94" s="51">
        <f>IF(AN94=21,H94,0)</f>
        <v>0</v>
      </c>
      <c r="AN94" s="51">
        <v>12</v>
      </c>
      <c r="AO94" s="51">
        <f>G94*0.688965517</f>
        <v>0</v>
      </c>
      <c r="AP94" s="51">
        <f>G94*(1-0.688965517)</f>
        <v>0</v>
      </c>
      <c r="AQ94" s="53" t="s">
        <v>156</v>
      </c>
      <c r="AV94" s="51">
        <f>AW94+AX94</f>
        <v>0</v>
      </c>
      <c r="AW94" s="51">
        <f>F94*AO94</f>
        <v>0</v>
      </c>
      <c r="AX94" s="51">
        <f>F94*AP94</f>
        <v>0</v>
      </c>
      <c r="AY94" s="53" t="s">
        <v>288</v>
      </c>
      <c r="AZ94" s="53" t="s">
        <v>289</v>
      </c>
      <c r="BA94" s="35" t="s">
        <v>118</v>
      </c>
      <c r="BC94" s="51">
        <f>AW94+AX94</f>
        <v>0</v>
      </c>
      <c r="BD94" s="51">
        <f>G94/(100-BE94)*100</f>
        <v>0</v>
      </c>
      <c r="BE94" s="51">
        <v>0</v>
      </c>
      <c r="BF94" s="51">
        <f>94</f>
        <v>94</v>
      </c>
      <c r="BH94" s="51">
        <f>F94*AO94</f>
        <v>0</v>
      </c>
      <c r="BI94" s="51">
        <f>F94*AP94</f>
        <v>0</v>
      </c>
      <c r="BJ94" s="51">
        <f>F94*G94</f>
        <v>0</v>
      </c>
      <c r="BK94" s="51"/>
      <c r="BL94" s="51">
        <v>711</v>
      </c>
      <c r="BW94" s="51">
        <v>12</v>
      </c>
      <c r="BX94" s="3" t="s">
        <v>301</v>
      </c>
    </row>
    <row r="95" spans="1:76" ht="13.5" customHeight="1">
      <c r="A95" s="54"/>
      <c r="B95" s="55" t="s">
        <v>119</v>
      </c>
      <c r="C95" s="152" t="s">
        <v>302</v>
      </c>
      <c r="D95" s="153"/>
      <c r="E95" s="153"/>
      <c r="F95" s="153"/>
      <c r="G95" s="154"/>
      <c r="H95" s="153"/>
      <c r="I95" s="153"/>
      <c r="J95" s="155"/>
    </row>
    <row r="96" spans="1:76">
      <c r="A96" s="54"/>
      <c r="C96" s="56" t="s">
        <v>303</v>
      </c>
      <c r="D96" s="57" t="s">
        <v>304</v>
      </c>
      <c r="F96" s="58">
        <v>5.65</v>
      </c>
      <c r="J96" s="41"/>
    </row>
    <row r="97" spans="1:76">
      <c r="A97" s="54"/>
      <c r="C97" s="56" t="s">
        <v>305</v>
      </c>
      <c r="D97" s="57" t="s">
        <v>306</v>
      </c>
      <c r="F97" s="58">
        <v>2.1</v>
      </c>
      <c r="J97" s="41"/>
    </row>
    <row r="98" spans="1:76">
      <c r="A98" s="1" t="s">
        <v>307</v>
      </c>
      <c r="B98" s="2" t="s">
        <v>308</v>
      </c>
      <c r="C98" s="75" t="s">
        <v>309</v>
      </c>
      <c r="D98" s="70"/>
      <c r="E98" s="2" t="s">
        <v>248</v>
      </c>
      <c r="F98" s="51">
        <v>3.3000000000000002E-2</v>
      </c>
      <c r="G98" s="52">
        <v>0</v>
      </c>
      <c r="H98" s="51">
        <f>F98*G98</f>
        <v>0</v>
      </c>
      <c r="J98" s="41"/>
      <c r="Z98" s="51">
        <f>IF(AQ98="5",BJ98,0)</f>
        <v>0</v>
      </c>
      <c r="AB98" s="51">
        <f>IF(AQ98="1",BH98,0)</f>
        <v>0</v>
      </c>
      <c r="AC98" s="51">
        <f>IF(AQ98="1",BI98,0)</f>
        <v>0</v>
      </c>
      <c r="AD98" s="51">
        <f>IF(AQ98="7",BH98,0)</f>
        <v>0</v>
      </c>
      <c r="AE98" s="51">
        <f>IF(AQ98="7",BI98,0)</f>
        <v>0</v>
      </c>
      <c r="AF98" s="51">
        <f>IF(AQ98="2",BH98,0)</f>
        <v>0</v>
      </c>
      <c r="AG98" s="51">
        <f>IF(AQ98="2",BI98,0)</f>
        <v>0</v>
      </c>
      <c r="AH98" s="51">
        <f>IF(AQ98="0",BJ98,0)</f>
        <v>0</v>
      </c>
      <c r="AI98" s="35" t="s">
        <v>4</v>
      </c>
      <c r="AJ98" s="51">
        <f>IF(AN98=0,H98,0)</f>
        <v>0</v>
      </c>
      <c r="AK98" s="51">
        <f>IF(AN98=12,H98,0)</f>
        <v>0</v>
      </c>
      <c r="AL98" s="51">
        <f>IF(AN98=21,H98,0)</f>
        <v>0</v>
      </c>
      <c r="AN98" s="51">
        <v>12</v>
      </c>
      <c r="AO98" s="51">
        <f>G98*0</f>
        <v>0</v>
      </c>
      <c r="AP98" s="51">
        <f>G98*(1-0)</f>
        <v>0</v>
      </c>
      <c r="AQ98" s="53" t="s">
        <v>139</v>
      </c>
      <c r="AV98" s="51">
        <f>AW98+AX98</f>
        <v>0</v>
      </c>
      <c r="AW98" s="51">
        <f>F98*AO98</f>
        <v>0</v>
      </c>
      <c r="AX98" s="51">
        <f>F98*AP98</f>
        <v>0</v>
      </c>
      <c r="AY98" s="53" t="s">
        <v>288</v>
      </c>
      <c r="AZ98" s="53" t="s">
        <v>289</v>
      </c>
      <c r="BA98" s="35" t="s">
        <v>118</v>
      </c>
      <c r="BC98" s="51">
        <f>AW98+AX98</f>
        <v>0</v>
      </c>
      <c r="BD98" s="51">
        <f>G98/(100-BE98)*100</f>
        <v>0</v>
      </c>
      <c r="BE98" s="51">
        <v>0</v>
      </c>
      <c r="BF98" s="51">
        <f>98</f>
        <v>98</v>
      </c>
      <c r="BH98" s="51">
        <f>F98*AO98</f>
        <v>0</v>
      </c>
      <c r="BI98" s="51">
        <f>F98*AP98</f>
        <v>0</v>
      </c>
      <c r="BJ98" s="51">
        <f>F98*G98</f>
        <v>0</v>
      </c>
      <c r="BK98" s="51"/>
      <c r="BL98" s="51">
        <v>711</v>
      </c>
      <c r="BW98" s="51">
        <v>12</v>
      </c>
      <c r="BX98" s="3" t="s">
        <v>309</v>
      </c>
    </row>
    <row r="99" spans="1:76">
      <c r="A99" s="47" t="s">
        <v>4</v>
      </c>
      <c r="B99" s="48" t="s">
        <v>310</v>
      </c>
      <c r="C99" s="150" t="s">
        <v>311</v>
      </c>
      <c r="D99" s="151"/>
      <c r="E99" s="49" t="s">
        <v>80</v>
      </c>
      <c r="F99" s="49" t="s">
        <v>80</v>
      </c>
      <c r="G99" s="50" t="s">
        <v>80</v>
      </c>
      <c r="H99" s="28">
        <f>SUM(H100:H113)</f>
        <v>0</v>
      </c>
      <c r="J99" s="41"/>
      <c r="AI99" s="35" t="s">
        <v>4</v>
      </c>
      <c r="AS99" s="28">
        <f>SUM(AJ100:AJ113)</f>
        <v>0</v>
      </c>
      <c r="AT99" s="28">
        <f>SUM(AK100:AK113)</f>
        <v>0</v>
      </c>
      <c r="AU99" s="28">
        <f>SUM(AL100:AL113)</f>
        <v>0</v>
      </c>
    </row>
    <row r="100" spans="1:76">
      <c r="A100" s="1" t="s">
        <v>312</v>
      </c>
      <c r="B100" s="2" t="s">
        <v>313</v>
      </c>
      <c r="C100" s="75" t="s">
        <v>314</v>
      </c>
      <c r="D100" s="70"/>
      <c r="E100" s="2" t="s">
        <v>115</v>
      </c>
      <c r="F100" s="51">
        <v>2</v>
      </c>
      <c r="G100" s="52">
        <v>0</v>
      </c>
      <c r="H100" s="51">
        <f t="shared" ref="H100:H109" si="0">F100*G100</f>
        <v>0</v>
      </c>
      <c r="J100" s="41"/>
      <c r="Z100" s="51">
        <f t="shared" ref="Z100:Z109" si="1">IF(AQ100="5",BJ100,0)</f>
        <v>0</v>
      </c>
      <c r="AB100" s="51">
        <f t="shared" ref="AB100:AB109" si="2">IF(AQ100="1",BH100,0)</f>
        <v>0</v>
      </c>
      <c r="AC100" s="51">
        <f t="shared" ref="AC100:AC109" si="3">IF(AQ100="1",BI100,0)</f>
        <v>0</v>
      </c>
      <c r="AD100" s="51">
        <f t="shared" ref="AD100:AD109" si="4">IF(AQ100="7",BH100,0)</f>
        <v>0</v>
      </c>
      <c r="AE100" s="51">
        <f t="shared" ref="AE100:AE109" si="5">IF(AQ100="7",BI100,0)</f>
        <v>0</v>
      </c>
      <c r="AF100" s="51">
        <f t="shared" ref="AF100:AF109" si="6">IF(AQ100="2",BH100,0)</f>
        <v>0</v>
      </c>
      <c r="AG100" s="51">
        <f t="shared" ref="AG100:AG109" si="7">IF(AQ100="2",BI100,0)</f>
        <v>0</v>
      </c>
      <c r="AH100" s="51">
        <f t="shared" ref="AH100:AH109" si="8">IF(AQ100="0",BJ100,0)</f>
        <v>0</v>
      </c>
      <c r="AI100" s="35" t="s">
        <v>4</v>
      </c>
      <c r="AJ100" s="51">
        <f t="shared" ref="AJ100:AJ109" si="9">IF(AN100=0,H100,0)</f>
        <v>0</v>
      </c>
      <c r="AK100" s="51">
        <f t="shared" ref="AK100:AK109" si="10">IF(AN100=12,H100,0)</f>
        <v>0</v>
      </c>
      <c r="AL100" s="51">
        <f t="shared" ref="AL100:AL109" si="11">IF(AN100=21,H100,0)</f>
        <v>0</v>
      </c>
      <c r="AN100" s="51">
        <v>12</v>
      </c>
      <c r="AO100" s="51">
        <f>G100*0.809885787</f>
        <v>0</v>
      </c>
      <c r="AP100" s="51">
        <f>G100*(1-0.809885787)</f>
        <v>0</v>
      </c>
      <c r="AQ100" s="53" t="s">
        <v>156</v>
      </c>
      <c r="AV100" s="51">
        <f t="shared" ref="AV100:AV109" si="12">AW100+AX100</f>
        <v>0</v>
      </c>
      <c r="AW100" s="51">
        <f t="shared" ref="AW100:AW109" si="13">F100*AO100</f>
        <v>0</v>
      </c>
      <c r="AX100" s="51">
        <f t="shared" ref="AX100:AX109" si="14">F100*AP100</f>
        <v>0</v>
      </c>
      <c r="AY100" s="53" t="s">
        <v>315</v>
      </c>
      <c r="AZ100" s="53" t="s">
        <v>316</v>
      </c>
      <c r="BA100" s="35" t="s">
        <v>118</v>
      </c>
      <c r="BC100" s="51">
        <f t="shared" ref="BC100:BC109" si="15">AW100+AX100</f>
        <v>0</v>
      </c>
      <c r="BD100" s="51">
        <f t="shared" ref="BD100:BD109" si="16">G100/(100-BE100)*100</f>
        <v>0</v>
      </c>
      <c r="BE100" s="51">
        <v>0</v>
      </c>
      <c r="BF100" s="51">
        <f>100</f>
        <v>100</v>
      </c>
      <c r="BH100" s="51">
        <f t="shared" ref="BH100:BH109" si="17">F100*AO100</f>
        <v>0</v>
      </c>
      <c r="BI100" s="51">
        <f t="shared" ref="BI100:BI109" si="18">F100*AP100</f>
        <v>0</v>
      </c>
      <c r="BJ100" s="51">
        <f t="shared" ref="BJ100:BJ109" si="19">F100*G100</f>
        <v>0</v>
      </c>
      <c r="BK100" s="51"/>
      <c r="BL100" s="51">
        <v>721</v>
      </c>
      <c r="BW100" s="51">
        <v>12</v>
      </c>
      <c r="BX100" s="3" t="s">
        <v>314</v>
      </c>
    </row>
    <row r="101" spans="1:76">
      <c r="A101" s="1" t="s">
        <v>317</v>
      </c>
      <c r="B101" s="2" t="s">
        <v>318</v>
      </c>
      <c r="C101" s="75" t="s">
        <v>319</v>
      </c>
      <c r="D101" s="70"/>
      <c r="E101" s="2" t="s">
        <v>134</v>
      </c>
      <c r="F101" s="51">
        <v>1</v>
      </c>
      <c r="G101" s="52">
        <v>0</v>
      </c>
      <c r="H101" s="51">
        <f t="shared" si="0"/>
        <v>0</v>
      </c>
      <c r="J101" s="41"/>
      <c r="Z101" s="51">
        <f t="shared" si="1"/>
        <v>0</v>
      </c>
      <c r="AB101" s="51">
        <f t="shared" si="2"/>
        <v>0</v>
      </c>
      <c r="AC101" s="51">
        <f t="shared" si="3"/>
        <v>0</v>
      </c>
      <c r="AD101" s="51">
        <f t="shared" si="4"/>
        <v>0</v>
      </c>
      <c r="AE101" s="51">
        <f t="shared" si="5"/>
        <v>0</v>
      </c>
      <c r="AF101" s="51">
        <f t="shared" si="6"/>
        <v>0</v>
      </c>
      <c r="AG101" s="51">
        <f t="shared" si="7"/>
        <v>0</v>
      </c>
      <c r="AH101" s="51">
        <f t="shared" si="8"/>
        <v>0</v>
      </c>
      <c r="AI101" s="35" t="s">
        <v>4</v>
      </c>
      <c r="AJ101" s="51">
        <f t="shared" si="9"/>
        <v>0</v>
      </c>
      <c r="AK101" s="51">
        <f t="shared" si="10"/>
        <v>0</v>
      </c>
      <c r="AL101" s="51">
        <f t="shared" si="11"/>
        <v>0</v>
      </c>
      <c r="AN101" s="51">
        <v>12</v>
      </c>
      <c r="AO101" s="51">
        <f>G101*0</f>
        <v>0</v>
      </c>
      <c r="AP101" s="51">
        <f>G101*(1-0)</f>
        <v>0</v>
      </c>
      <c r="AQ101" s="53" t="s">
        <v>156</v>
      </c>
      <c r="AV101" s="51">
        <f t="shared" si="12"/>
        <v>0</v>
      </c>
      <c r="AW101" s="51">
        <f t="shared" si="13"/>
        <v>0</v>
      </c>
      <c r="AX101" s="51">
        <f t="shared" si="14"/>
        <v>0</v>
      </c>
      <c r="AY101" s="53" t="s">
        <v>315</v>
      </c>
      <c r="AZ101" s="53" t="s">
        <v>316</v>
      </c>
      <c r="BA101" s="35" t="s">
        <v>118</v>
      </c>
      <c r="BC101" s="51">
        <f t="shared" si="15"/>
        <v>0</v>
      </c>
      <c r="BD101" s="51">
        <f t="shared" si="16"/>
        <v>0</v>
      </c>
      <c r="BE101" s="51">
        <v>0</v>
      </c>
      <c r="BF101" s="51">
        <f>101</f>
        <v>101</v>
      </c>
      <c r="BH101" s="51">
        <f t="shared" si="17"/>
        <v>0</v>
      </c>
      <c r="BI101" s="51">
        <f t="shared" si="18"/>
        <v>0</v>
      </c>
      <c r="BJ101" s="51">
        <f t="shared" si="19"/>
        <v>0</v>
      </c>
      <c r="BK101" s="51"/>
      <c r="BL101" s="51">
        <v>721</v>
      </c>
      <c r="BW101" s="51">
        <v>12</v>
      </c>
      <c r="BX101" s="3" t="s">
        <v>319</v>
      </c>
    </row>
    <row r="102" spans="1:76">
      <c r="A102" s="1" t="s">
        <v>320</v>
      </c>
      <c r="B102" s="2" t="s">
        <v>321</v>
      </c>
      <c r="C102" s="75" t="s">
        <v>322</v>
      </c>
      <c r="D102" s="70"/>
      <c r="E102" s="2" t="s">
        <v>134</v>
      </c>
      <c r="F102" s="51">
        <v>6</v>
      </c>
      <c r="G102" s="52">
        <v>0</v>
      </c>
      <c r="H102" s="51">
        <f t="shared" si="0"/>
        <v>0</v>
      </c>
      <c r="J102" s="41"/>
      <c r="Z102" s="51">
        <f t="shared" si="1"/>
        <v>0</v>
      </c>
      <c r="AB102" s="51">
        <f t="shared" si="2"/>
        <v>0</v>
      </c>
      <c r="AC102" s="51">
        <f t="shared" si="3"/>
        <v>0</v>
      </c>
      <c r="AD102" s="51">
        <f t="shared" si="4"/>
        <v>0</v>
      </c>
      <c r="AE102" s="51">
        <f t="shared" si="5"/>
        <v>0</v>
      </c>
      <c r="AF102" s="51">
        <f t="shared" si="6"/>
        <v>0</v>
      </c>
      <c r="AG102" s="51">
        <f t="shared" si="7"/>
        <v>0</v>
      </c>
      <c r="AH102" s="51">
        <f t="shared" si="8"/>
        <v>0</v>
      </c>
      <c r="AI102" s="35" t="s">
        <v>4</v>
      </c>
      <c r="AJ102" s="51">
        <f t="shared" si="9"/>
        <v>0</v>
      </c>
      <c r="AK102" s="51">
        <f t="shared" si="10"/>
        <v>0</v>
      </c>
      <c r="AL102" s="51">
        <f t="shared" si="11"/>
        <v>0</v>
      </c>
      <c r="AN102" s="51">
        <v>12</v>
      </c>
      <c r="AO102" s="51">
        <f>G102*0</f>
        <v>0</v>
      </c>
      <c r="AP102" s="51">
        <f>G102*(1-0)</f>
        <v>0</v>
      </c>
      <c r="AQ102" s="53" t="s">
        <v>156</v>
      </c>
      <c r="AV102" s="51">
        <f t="shared" si="12"/>
        <v>0</v>
      </c>
      <c r="AW102" s="51">
        <f t="shared" si="13"/>
        <v>0</v>
      </c>
      <c r="AX102" s="51">
        <f t="shared" si="14"/>
        <v>0</v>
      </c>
      <c r="AY102" s="53" t="s">
        <v>315</v>
      </c>
      <c r="AZ102" s="53" t="s">
        <v>316</v>
      </c>
      <c r="BA102" s="35" t="s">
        <v>118</v>
      </c>
      <c r="BC102" s="51">
        <f t="shared" si="15"/>
        <v>0</v>
      </c>
      <c r="BD102" s="51">
        <f t="shared" si="16"/>
        <v>0</v>
      </c>
      <c r="BE102" s="51">
        <v>0</v>
      </c>
      <c r="BF102" s="51">
        <f>102</f>
        <v>102</v>
      </c>
      <c r="BH102" s="51">
        <f t="shared" si="17"/>
        <v>0</v>
      </c>
      <c r="BI102" s="51">
        <f t="shared" si="18"/>
        <v>0</v>
      </c>
      <c r="BJ102" s="51">
        <f t="shared" si="19"/>
        <v>0</v>
      </c>
      <c r="BK102" s="51"/>
      <c r="BL102" s="51">
        <v>721</v>
      </c>
      <c r="BW102" s="51">
        <v>12</v>
      </c>
      <c r="BX102" s="3" t="s">
        <v>322</v>
      </c>
    </row>
    <row r="103" spans="1:76">
      <c r="A103" s="1" t="s">
        <v>323</v>
      </c>
      <c r="B103" s="2" t="s">
        <v>324</v>
      </c>
      <c r="C103" s="75" t="s">
        <v>325</v>
      </c>
      <c r="D103" s="70"/>
      <c r="E103" s="2" t="s">
        <v>134</v>
      </c>
      <c r="F103" s="51">
        <v>1.9</v>
      </c>
      <c r="G103" s="52">
        <v>0</v>
      </c>
      <c r="H103" s="51">
        <f t="shared" si="0"/>
        <v>0</v>
      </c>
      <c r="J103" s="41"/>
      <c r="Z103" s="51">
        <f t="shared" si="1"/>
        <v>0</v>
      </c>
      <c r="AB103" s="51">
        <f t="shared" si="2"/>
        <v>0</v>
      </c>
      <c r="AC103" s="51">
        <f t="shared" si="3"/>
        <v>0</v>
      </c>
      <c r="AD103" s="51">
        <f t="shared" si="4"/>
        <v>0</v>
      </c>
      <c r="AE103" s="51">
        <f t="shared" si="5"/>
        <v>0</v>
      </c>
      <c r="AF103" s="51">
        <f t="shared" si="6"/>
        <v>0</v>
      </c>
      <c r="AG103" s="51">
        <f t="shared" si="7"/>
        <v>0</v>
      </c>
      <c r="AH103" s="51">
        <f t="shared" si="8"/>
        <v>0</v>
      </c>
      <c r="AI103" s="35" t="s">
        <v>4</v>
      </c>
      <c r="AJ103" s="51">
        <f t="shared" si="9"/>
        <v>0</v>
      </c>
      <c r="AK103" s="51">
        <f t="shared" si="10"/>
        <v>0</v>
      </c>
      <c r="AL103" s="51">
        <f t="shared" si="11"/>
        <v>0</v>
      </c>
      <c r="AN103" s="51">
        <v>12</v>
      </c>
      <c r="AO103" s="51">
        <f>G103*0.335696203</f>
        <v>0</v>
      </c>
      <c r="AP103" s="51">
        <f>G103*(1-0.335696203)</f>
        <v>0</v>
      </c>
      <c r="AQ103" s="53" t="s">
        <v>156</v>
      </c>
      <c r="AV103" s="51">
        <f t="shared" si="12"/>
        <v>0</v>
      </c>
      <c r="AW103" s="51">
        <f t="shared" si="13"/>
        <v>0</v>
      </c>
      <c r="AX103" s="51">
        <f t="shared" si="14"/>
        <v>0</v>
      </c>
      <c r="AY103" s="53" t="s">
        <v>315</v>
      </c>
      <c r="AZ103" s="53" t="s">
        <v>316</v>
      </c>
      <c r="BA103" s="35" t="s">
        <v>118</v>
      </c>
      <c r="BC103" s="51">
        <f t="shared" si="15"/>
        <v>0</v>
      </c>
      <c r="BD103" s="51">
        <f t="shared" si="16"/>
        <v>0</v>
      </c>
      <c r="BE103" s="51">
        <v>0</v>
      </c>
      <c r="BF103" s="51">
        <f>103</f>
        <v>103</v>
      </c>
      <c r="BH103" s="51">
        <f t="shared" si="17"/>
        <v>0</v>
      </c>
      <c r="BI103" s="51">
        <f t="shared" si="18"/>
        <v>0</v>
      </c>
      <c r="BJ103" s="51">
        <f t="shared" si="19"/>
        <v>0</v>
      </c>
      <c r="BK103" s="51"/>
      <c r="BL103" s="51">
        <v>721</v>
      </c>
      <c r="BW103" s="51">
        <v>12</v>
      </c>
      <c r="BX103" s="3" t="s">
        <v>325</v>
      </c>
    </row>
    <row r="104" spans="1:76">
      <c r="A104" s="1" t="s">
        <v>326</v>
      </c>
      <c r="B104" s="2" t="s">
        <v>327</v>
      </c>
      <c r="C104" s="75" t="s">
        <v>328</v>
      </c>
      <c r="D104" s="70"/>
      <c r="E104" s="2" t="s">
        <v>134</v>
      </c>
      <c r="F104" s="51">
        <v>3.2</v>
      </c>
      <c r="G104" s="52">
        <v>0</v>
      </c>
      <c r="H104" s="51">
        <f t="shared" si="0"/>
        <v>0</v>
      </c>
      <c r="J104" s="41"/>
      <c r="Z104" s="51">
        <f t="shared" si="1"/>
        <v>0</v>
      </c>
      <c r="AB104" s="51">
        <f t="shared" si="2"/>
        <v>0</v>
      </c>
      <c r="AC104" s="51">
        <f t="shared" si="3"/>
        <v>0</v>
      </c>
      <c r="AD104" s="51">
        <f t="shared" si="4"/>
        <v>0</v>
      </c>
      <c r="AE104" s="51">
        <f t="shared" si="5"/>
        <v>0</v>
      </c>
      <c r="AF104" s="51">
        <f t="shared" si="6"/>
        <v>0</v>
      </c>
      <c r="AG104" s="51">
        <f t="shared" si="7"/>
        <v>0</v>
      </c>
      <c r="AH104" s="51">
        <f t="shared" si="8"/>
        <v>0</v>
      </c>
      <c r="AI104" s="35" t="s">
        <v>4</v>
      </c>
      <c r="AJ104" s="51">
        <f t="shared" si="9"/>
        <v>0</v>
      </c>
      <c r="AK104" s="51">
        <f t="shared" si="10"/>
        <v>0</v>
      </c>
      <c r="AL104" s="51">
        <f t="shared" si="11"/>
        <v>0</v>
      </c>
      <c r="AN104" s="51">
        <v>12</v>
      </c>
      <c r="AO104" s="51">
        <f>G104*0.340586218</f>
        <v>0</v>
      </c>
      <c r="AP104" s="51">
        <f>G104*(1-0.340586218)</f>
        <v>0</v>
      </c>
      <c r="AQ104" s="53" t="s">
        <v>156</v>
      </c>
      <c r="AV104" s="51">
        <f t="shared" si="12"/>
        <v>0</v>
      </c>
      <c r="AW104" s="51">
        <f t="shared" si="13"/>
        <v>0</v>
      </c>
      <c r="AX104" s="51">
        <f t="shared" si="14"/>
        <v>0</v>
      </c>
      <c r="AY104" s="53" t="s">
        <v>315</v>
      </c>
      <c r="AZ104" s="53" t="s">
        <v>316</v>
      </c>
      <c r="BA104" s="35" t="s">
        <v>118</v>
      </c>
      <c r="BC104" s="51">
        <f t="shared" si="15"/>
        <v>0</v>
      </c>
      <c r="BD104" s="51">
        <f t="shared" si="16"/>
        <v>0</v>
      </c>
      <c r="BE104" s="51">
        <v>0</v>
      </c>
      <c r="BF104" s="51">
        <f>104</f>
        <v>104</v>
      </c>
      <c r="BH104" s="51">
        <f t="shared" si="17"/>
        <v>0</v>
      </c>
      <c r="BI104" s="51">
        <f t="shared" si="18"/>
        <v>0</v>
      </c>
      <c r="BJ104" s="51">
        <f t="shared" si="19"/>
        <v>0</v>
      </c>
      <c r="BK104" s="51"/>
      <c r="BL104" s="51">
        <v>721</v>
      </c>
      <c r="BW104" s="51">
        <v>12</v>
      </c>
      <c r="BX104" s="3" t="s">
        <v>328</v>
      </c>
    </row>
    <row r="105" spans="1:76">
      <c r="A105" s="1" t="s">
        <v>329</v>
      </c>
      <c r="B105" s="2" t="s">
        <v>330</v>
      </c>
      <c r="C105" s="75" t="s">
        <v>331</v>
      </c>
      <c r="D105" s="70"/>
      <c r="E105" s="2" t="s">
        <v>134</v>
      </c>
      <c r="F105" s="51">
        <v>1</v>
      </c>
      <c r="G105" s="52">
        <v>0</v>
      </c>
      <c r="H105" s="51">
        <f t="shared" si="0"/>
        <v>0</v>
      </c>
      <c r="J105" s="41"/>
      <c r="Z105" s="51">
        <f t="shared" si="1"/>
        <v>0</v>
      </c>
      <c r="AB105" s="51">
        <f t="shared" si="2"/>
        <v>0</v>
      </c>
      <c r="AC105" s="51">
        <f t="shared" si="3"/>
        <v>0</v>
      </c>
      <c r="AD105" s="51">
        <f t="shared" si="4"/>
        <v>0</v>
      </c>
      <c r="AE105" s="51">
        <f t="shared" si="5"/>
        <v>0</v>
      </c>
      <c r="AF105" s="51">
        <f t="shared" si="6"/>
        <v>0</v>
      </c>
      <c r="AG105" s="51">
        <f t="shared" si="7"/>
        <v>0</v>
      </c>
      <c r="AH105" s="51">
        <f t="shared" si="8"/>
        <v>0</v>
      </c>
      <c r="AI105" s="35" t="s">
        <v>4</v>
      </c>
      <c r="AJ105" s="51">
        <f t="shared" si="9"/>
        <v>0</v>
      </c>
      <c r="AK105" s="51">
        <f t="shared" si="10"/>
        <v>0</v>
      </c>
      <c r="AL105" s="51">
        <f t="shared" si="11"/>
        <v>0</v>
      </c>
      <c r="AN105" s="51">
        <v>12</v>
      </c>
      <c r="AO105" s="51">
        <f>G105*0.317436677</f>
        <v>0</v>
      </c>
      <c r="AP105" s="51">
        <f>G105*(1-0.317436677)</f>
        <v>0</v>
      </c>
      <c r="AQ105" s="53" t="s">
        <v>156</v>
      </c>
      <c r="AV105" s="51">
        <f t="shared" si="12"/>
        <v>0</v>
      </c>
      <c r="AW105" s="51">
        <f t="shared" si="13"/>
        <v>0</v>
      </c>
      <c r="AX105" s="51">
        <f t="shared" si="14"/>
        <v>0</v>
      </c>
      <c r="AY105" s="53" t="s">
        <v>315</v>
      </c>
      <c r="AZ105" s="53" t="s">
        <v>316</v>
      </c>
      <c r="BA105" s="35" t="s">
        <v>118</v>
      </c>
      <c r="BC105" s="51">
        <f t="shared" si="15"/>
        <v>0</v>
      </c>
      <c r="BD105" s="51">
        <f t="shared" si="16"/>
        <v>0</v>
      </c>
      <c r="BE105" s="51">
        <v>0</v>
      </c>
      <c r="BF105" s="51">
        <f>105</f>
        <v>105</v>
      </c>
      <c r="BH105" s="51">
        <f t="shared" si="17"/>
        <v>0</v>
      </c>
      <c r="BI105" s="51">
        <f t="shared" si="18"/>
        <v>0</v>
      </c>
      <c r="BJ105" s="51">
        <f t="shared" si="19"/>
        <v>0</v>
      </c>
      <c r="BK105" s="51"/>
      <c r="BL105" s="51">
        <v>721</v>
      </c>
      <c r="BW105" s="51">
        <v>12</v>
      </c>
      <c r="BX105" s="3" t="s">
        <v>331</v>
      </c>
    </row>
    <row r="106" spans="1:76">
      <c r="A106" s="1" t="s">
        <v>332</v>
      </c>
      <c r="B106" s="2" t="s">
        <v>333</v>
      </c>
      <c r="C106" s="75" t="s">
        <v>334</v>
      </c>
      <c r="D106" s="70"/>
      <c r="E106" s="2" t="s">
        <v>134</v>
      </c>
      <c r="F106" s="51">
        <v>0.5</v>
      </c>
      <c r="G106" s="52">
        <v>0</v>
      </c>
      <c r="H106" s="51">
        <f t="shared" si="0"/>
        <v>0</v>
      </c>
      <c r="J106" s="41"/>
      <c r="Z106" s="51">
        <f t="shared" si="1"/>
        <v>0</v>
      </c>
      <c r="AB106" s="51">
        <f t="shared" si="2"/>
        <v>0</v>
      </c>
      <c r="AC106" s="51">
        <f t="shared" si="3"/>
        <v>0</v>
      </c>
      <c r="AD106" s="51">
        <f t="shared" si="4"/>
        <v>0</v>
      </c>
      <c r="AE106" s="51">
        <f t="shared" si="5"/>
        <v>0</v>
      </c>
      <c r="AF106" s="51">
        <f t="shared" si="6"/>
        <v>0</v>
      </c>
      <c r="AG106" s="51">
        <f t="shared" si="7"/>
        <v>0</v>
      </c>
      <c r="AH106" s="51">
        <f t="shared" si="8"/>
        <v>0</v>
      </c>
      <c r="AI106" s="35" t="s">
        <v>4</v>
      </c>
      <c r="AJ106" s="51">
        <f t="shared" si="9"/>
        <v>0</v>
      </c>
      <c r="AK106" s="51">
        <f t="shared" si="10"/>
        <v>0</v>
      </c>
      <c r="AL106" s="51">
        <f t="shared" si="11"/>
        <v>0</v>
      </c>
      <c r="AN106" s="51">
        <v>12</v>
      </c>
      <c r="AO106" s="51">
        <f>G106*0.431778607</f>
        <v>0</v>
      </c>
      <c r="AP106" s="51">
        <f>G106*(1-0.431778607)</f>
        <v>0</v>
      </c>
      <c r="AQ106" s="53" t="s">
        <v>156</v>
      </c>
      <c r="AV106" s="51">
        <f t="shared" si="12"/>
        <v>0</v>
      </c>
      <c r="AW106" s="51">
        <f t="shared" si="13"/>
        <v>0</v>
      </c>
      <c r="AX106" s="51">
        <f t="shared" si="14"/>
        <v>0</v>
      </c>
      <c r="AY106" s="53" t="s">
        <v>315</v>
      </c>
      <c r="AZ106" s="53" t="s">
        <v>316</v>
      </c>
      <c r="BA106" s="35" t="s">
        <v>118</v>
      </c>
      <c r="BC106" s="51">
        <f t="shared" si="15"/>
        <v>0</v>
      </c>
      <c r="BD106" s="51">
        <f t="shared" si="16"/>
        <v>0</v>
      </c>
      <c r="BE106" s="51">
        <v>0</v>
      </c>
      <c r="BF106" s="51">
        <f>106</f>
        <v>106</v>
      </c>
      <c r="BH106" s="51">
        <f t="shared" si="17"/>
        <v>0</v>
      </c>
      <c r="BI106" s="51">
        <f t="shared" si="18"/>
        <v>0</v>
      </c>
      <c r="BJ106" s="51">
        <f t="shared" si="19"/>
        <v>0</v>
      </c>
      <c r="BK106" s="51"/>
      <c r="BL106" s="51">
        <v>721</v>
      </c>
      <c r="BW106" s="51">
        <v>12</v>
      </c>
      <c r="BX106" s="3" t="s">
        <v>334</v>
      </c>
    </row>
    <row r="107" spans="1:76">
      <c r="A107" s="1" t="s">
        <v>335</v>
      </c>
      <c r="B107" s="2" t="s">
        <v>336</v>
      </c>
      <c r="C107" s="75" t="s">
        <v>337</v>
      </c>
      <c r="D107" s="70"/>
      <c r="E107" s="2" t="s">
        <v>115</v>
      </c>
      <c r="F107" s="51">
        <v>4</v>
      </c>
      <c r="G107" s="52">
        <v>0</v>
      </c>
      <c r="H107" s="51">
        <f t="shared" si="0"/>
        <v>0</v>
      </c>
      <c r="J107" s="41"/>
      <c r="Z107" s="51">
        <f t="shared" si="1"/>
        <v>0</v>
      </c>
      <c r="AB107" s="51">
        <f t="shared" si="2"/>
        <v>0</v>
      </c>
      <c r="AC107" s="51">
        <f t="shared" si="3"/>
        <v>0</v>
      </c>
      <c r="AD107" s="51">
        <f t="shared" si="4"/>
        <v>0</v>
      </c>
      <c r="AE107" s="51">
        <f t="shared" si="5"/>
        <v>0</v>
      </c>
      <c r="AF107" s="51">
        <f t="shared" si="6"/>
        <v>0</v>
      </c>
      <c r="AG107" s="51">
        <f t="shared" si="7"/>
        <v>0</v>
      </c>
      <c r="AH107" s="51">
        <f t="shared" si="8"/>
        <v>0</v>
      </c>
      <c r="AI107" s="35" t="s">
        <v>4</v>
      </c>
      <c r="AJ107" s="51">
        <f t="shared" si="9"/>
        <v>0</v>
      </c>
      <c r="AK107" s="51">
        <f t="shared" si="10"/>
        <v>0</v>
      </c>
      <c r="AL107" s="51">
        <f t="shared" si="11"/>
        <v>0</v>
      </c>
      <c r="AN107" s="51">
        <v>12</v>
      </c>
      <c r="AO107" s="51">
        <f>G107*0</f>
        <v>0</v>
      </c>
      <c r="AP107" s="51">
        <f>G107*(1-0)</f>
        <v>0</v>
      </c>
      <c r="AQ107" s="53" t="s">
        <v>156</v>
      </c>
      <c r="AV107" s="51">
        <f t="shared" si="12"/>
        <v>0</v>
      </c>
      <c r="AW107" s="51">
        <f t="shared" si="13"/>
        <v>0</v>
      </c>
      <c r="AX107" s="51">
        <f t="shared" si="14"/>
        <v>0</v>
      </c>
      <c r="AY107" s="53" t="s">
        <v>315</v>
      </c>
      <c r="AZ107" s="53" t="s">
        <v>316</v>
      </c>
      <c r="BA107" s="35" t="s">
        <v>118</v>
      </c>
      <c r="BC107" s="51">
        <f t="shared" si="15"/>
        <v>0</v>
      </c>
      <c r="BD107" s="51">
        <f t="shared" si="16"/>
        <v>0</v>
      </c>
      <c r="BE107" s="51">
        <v>0</v>
      </c>
      <c r="BF107" s="51">
        <f>107</f>
        <v>107</v>
      </c>
      <c r="BH107" s="51">
        <f t="shared" si="17"/>
        <v>0</v>
      </c>
      <c r="BI107" s="51">
        <f t="shared" si="18"/>
        <v>0</v>
      </c>
      <c r="BJ107" s="51">
        <f t="shared" si="19"/>
        <v>0</v>
      </c>
      <c r="BK107" s="51"/>
      <c r="BL107" s="51">
        <v>721</v>
      </c>
      <c r="BW107" s="51">
        <v>12</v>
      </c>
      <c r="BX107" s="3" t="s">
        <v>337</v>
      </c>
    </row>
    <row r="108" spans="1:76">
      <c r="A108" s="1" t="s">
        <v>338</v>
      </c>
      <c r="B108" s="2" t="s">
        <v>339</v>
      </c>
      <c r="C108" s="75" t="s">
        <v>340</v>
      </c>
      <c r="D108" s="70"/>
      <c r="E108" s="2" t="s">
        <v>115</v>
      </c>
      <c r="F108" s="51">
        <v>1</v>
      </c>
      <c r="G108" s="52">
        <v>0</v>
      </c>
      <c r="H108" s="51">
        <f t="shared" si="0"/>
        <v>0</v>
      </c>
      <c r="J108" s="41"/>
      <c r="Z108" s="51">
        <f t="shared" si="1"/>
        <v>0</v>
      </c>
      <c r="AB108" s="51">
        <f t="shared" si="2"/>
        <v>0</v>
      </c>
      <c r="AC108" s="51">
        <f t="shared" si="3"/>
        <v>0</v>
      </c>
      <c r="AD108" s="51">
        <f t="shared" si="4"/>
        <v>0</v>
      </c>
      <c r="AE108" s="51">
        <f t="shared" si="5"/>
        <v>0</v>
      </c>
      <c r="AF108" s="51">
        <f t="shared" si="6"/>
        <v>0</v>
      </c>
      <c r="AG108" s="51">
        <f t="shared" si="7"/>
        <v>0</v>
      </c>
      <c r="AH108" s="51">
        <f t="shared" si="8"/>
        <v>0</v>
      </c>
      <c r="AI108" s="35" t="s">
        <v>4</v>
      </c>
      <c r="AJ108" s="51">
        <f t="shared" si="9"/>
        <v>0</v>
      </c>
      <c r="AK108" s="51">
        <f t="shared" si="10"/>
        <v>0</v>
      </c>
      <c r="AL108" s="51">
        <f t="shared" si="11"/>
        <v>0</v>
      </c>
      <c r="AN108" s="51">
        <v>12</v>
      </c>
      <c r="AO108" s="51">
        <f>G108*0</f>
        <v>0</v>
      </c>
      <c r="AP108" s="51">
        <f>G108*(1-0)</f>
        <v>0</v>
      </c>
      <c r="AQ108" s="53" t="s">
        <v>156</v>
      </c>
      <c r="AV108" s="51">
        <f t="shared" si="12"/>
        <v>0</v>
      </c>
      <c r="AW108" s="51">
        <f t="shared" si="13"/>
        <v>0</v>
      </c>
      <c r="AX108" s="51">
        <f t="shared" si="14"/>
        <v>0</v>
      </c>
      <c r="AY108" s="53" t="s">
        <v>315</v>
      </c>
      <c r="AZ108" s="53" t="s">
        <v>316</v>
      </c>
      <c r="BA108" s="35" t="s">
        <v>118</v>
      </c>
      <c r="BC108" s="51">
        <f t="shared" si="15"/>
        <v>0</v>
      </c>
      <c r="BD108" s="51">
        <f t="shared" si="16"/>
        <v>0</v>
      </c>
      <c r="BE108" s="51">
        <v>0</v>
      </c>
      <c r="BF108" s="51">
        <f>108</f>
        <v>108</v>
      </c>
      <c r="BH108" s="51">
        <f t="shared" si="17"/>
        <v>0</v>
      </c>
      <c r="BI108" s="51">
        <f t="shared" si="18"/>
        <v>0</v>
      </c>
      <c r="BJ108" s="51">
        <f t="shared" si="19"/>
        <v>0</v>
      </c>
      <c r="BK108" s="51"/>
      <c r="BL108" s="51">
        <v>721</v>
      </c>
      <c r="BW108" s="51">
        <v>12</v>
      </c>
      <c r="BX108" s="3" t="s">
        <v>340</v>
      </c>
    </row>
    <row r="109" spans="1:76">
      <c r="A109" s="1" t="s">
        <v>341</v>
      </c>
      <c r="B109" s="2" t="s">
        <v>342</v>
      </c>
      <c r="C109" s="75" t="s">
        <v>343</v>
      </c>
      <c r="D109" s="70"/>
      <c r="E109" s="2" t="s">
        <v>134</v>
      </c>
      <c r="F109" s="51">
        <v>6.1</v>
      </c>
      <c r="G109" s="52">
        <v>0</v>
      </c>
      <c r="H109" s="51">
        <f t="shared" si="0"/>
        <v>0</v>
      </c>
      <c r="J109" s="41"/>
      <c r="Z109" s="51">
        <f t="shared" si="1"/>
        <v>0</v>
      </c>
      <c r="AB109" s="51">
        <f t="shared" si="2"/>
        <v>0</v>
      </c>
      <c r="AC109" s="51">
        <f t="shared" si="3"/>
        <v>0</v>
      </c>
      <c r="AD109" s="51">
        <f t="shared" si="4"/>
        <v>0</v>
      </c>
      <c r="AE109" s="51">
        <f t="shared" si="5"/>
        <v>0</v>
      </c>
      <c r="AF109" s="51">
        <f t="shared" si="6"/>
        <v>0</v>
      </c>
      <c r="AG109" s="51">
        <f t="shared" si="7"/>
        <v>0</v>
      </c>
      <c r="AH109" s="51">
        <f t="shared" si="8"/>
        <v>0</v>
      </c>
      <c r="AI109" s="35" t="s">
        <v>4</v>
      </c>
      <c r="AJ109" s="51">
        <f t="shared" si="9"/>
        <v>0</v>
      </c>
      <c r="AK109" s="51">
        <f t="shared" si="10"/>
        <v>0</v>
      </c>
      <c r="AL109" s="51">
        <f t="shared" si="11"/>
        <v>0</v>
      </c>
      <c r="AN109" s="51">
        <v>12</v>
      </c>
      <c r="AO109" s="51">
        <f>G109*0</f>
        <v>0</v>
      </c>
      <c r="AP109" s="51">
        <f>G109*(1-0)</f>
        <v>0</v>
      </c>
      <c r="AQ109" s="53" t="s">
        <v>121</v>
      </c>
      <c r="AV109" s="51">
        <f t="shared" si="12"/>
        <v>0</v>
      </c>
      <c r="AW109" s="51">
        <f t="shared" si="13"/>
        <v>0</v>
      </c>
      <c r="AX109" s="51">
        <f t="shared" si="14"/>
        <v>0</v>
      </c>
      <c r="AY109" s="53" t="s">
        <v>315</v>
      </c>
      <c r="AZ109" s="53" t="s">
        <v>316</v>
      </c>
      <c r="BA109" s="35" t="s">
        <v>118</v>
      </c>
      <c r="BC109" s="51">
        <f t="shared" si="15"/>
        <v>0</v>
      </c>
      <c r="BD109" s="51">
        <f t="shared" si="16"/>
        <v>0</v>
      </c>
      <c r="BE109" s="51">
        <v>0</v>
      </c>
      <c r="BF109" s="51">
        <f>109</f>
        <v>109</v>
      </c>
      <c r="BH109" s="51">
        <f t="shared" si="17"/>
        <v>0</v>
      </c>
      <c r="BI109" s="51">
        <f t="shared" si="18"/>
        <v>0</v>
      </c>
      <c r="BJ109" s="51">
        <f t="shared" si="19"/>
        <v>0</v>
      </c>
      <c r="BK109" s="51"/>
      <c r="BL109" s="51">
        <v>721</v>
      </c>
      <c r="BW109" s="51">
        <v>12</v>
      </c>
      <c r="BX109" s="3" t="s">
        <v>343</v>
      </c>
    </row>
    <row r="110" spans="1:76">
      <c r="A110" s="54"/>
      <c r="C110" s="56" t="s">
        <v>344</v>
      </c>
      <c r="D110" s="57" t="s">
        <v>4</v>
      </c>
      <c r="F110" s="58">
        <v>6.1</v>
      </c>
      <c r="J110" s="41"/>
    </row>
    <row r="111" spans="1:76">
      <c r="A111" s="1" t="s">
        <v>345</v>
      </c>
      <c r="B111" s="2" t="s">
        <v>346</v>
      </c>
      <c r="C111" s="75" t="s">
        <v>347</v>
      </c>
      <c r="D111" s="70"/>
      <c r="E111" s="2" t="s">
        <v>134</v>
      </c>
      <c r="F111" s="51">
        <v>6.1</v>
      </c>
      <c r="G111" s="52">
        <v>0</v>
      </c>
      <c r="H111" s="51">
        <f>F111*G111</f>
        <v>0</v>
      </c>
      <c r="J111" s="41"/>
      <c r="Z111" s="51">
        <f>IF(AQ111="5",BJ111,0)</f>
        <v>0</v>
      </c>
      <c r="AB111" s="51">
        <f>IF(AQ111="1",BH111,0)</f>
        <v>0</v>
      </c>
      <c r="AC111" s="51">
        <f>IF(AQ111="1",BI111,0)</f>
        <v>0</v>
      </c>
      <c r="AD111" s="51">
        <f>IF(AQ111="7",BH111,0)</f>
        <v>0</v>
      </c>
      <c r="AE111" s="51">
        <f>IF(AQ111="7",BI111,0)</f>
        <v>0</v>
      </c>
      <c r="AF111" s="51">
        <f>IF(AQ111="2",BH111,0)</f>
        <v>0</v>
      </c>
      <c r="AG111" s="51">
        <f>IF(AQ111="2",BI111,0)</f>
        <v>0</v>
      </c>
      <c r="AH111" s="51">
        <f>IF(AQ111="0",BJ111,0)</f>
        <v>0</v>
      </c>
      <c r="AI111" s="35" t="s">
        <v>4</v>
      </c>
      <c r="AJ111" s="51">
        <f>IF(AN111=0,H111,0)</f>
        <v>0</v>
      </c>
      <c r="AK111" s="51">
        <f>IF(AN111=12,H111,0)</f>
        <v>0</v>
      </c>
      <c r="AL111" s="51">
        <f>IF(AN111=21,H111,0)</f>
        <v>0</v>
      </c>
      <c r="AN111" s="51">
        <v>12</v>
      </c>
      <c r="AO111" s="51">
        <f>G111*0.029225352</f>
        <v>0</v>
      </c>
      <c r="AP111" s="51">
        <f>G111*(1-0.029225352)</f>
        <v>0</v>
      </c>
      <c r="AQ111" s="53" t="s">
        <v>156</v>
      </c>
      <c r="AV111" s="51">
        <f>AW111+AX111</f>
        <v>0</v>
      </c>
      <c r="AW111" s="51">
        <f>F111*AO111</f>
        <v>0</v>
      </c>
      <c r="AX111" s="51">
        <f>F111*AP111</f>
        <v>0</v>
      </c>
      <c r="AY111" s="53" t="s">
        <v>315</v>
      </c>
      <c r="AZ111" s="53" t="s">
        <v>316</v>
      </c>
      <c r="BA111" s="35" t="s">
        <v>118</v>
      </c>
      <c r="BC111" s="51">
        <f>AW111+AX111</f>
        <v>0</v>
      </c>
      <c r="BD111" s="51">
        <f>G111/(100-BE111)*100</f>
        <v>0</v>
      </c>
      <c r="BE111" s="51">
        <v>0</v>
      </c>
      <c r="BF111" s="51">
        <f>111</f>
        <v>111</v>
      </c>
      <c r="BH111" s="51">
        <f>F111*AO111</f>
        <v>0</v>
      </c>
      <c r="BI111" s="51">
        <f>F111*AP111</f>
        <v>0</v>
      </c>
      <c r="BJ111" s="51">
        <f>F111*G111</f>
        <v>0</v>
      </c>
      <c r="BK111" s="51"/>
      <c r="BL111" s="51">
        <v>721</v>
      </c>
      <c r="BW111" s="51">
        <v>12</v>
      </c>
      <c r="BX111" s="3" t="s">
        <v>347</v>
      </c>
    </row>
    <row r="112" spans="1:76">
      <c r="A112" s="1" t="s">
        <v>348</v>
      </c>
      <c r="B112" s="2" t="s">
        <v>349</v>
      </c>
      <c r="C112" s="75" t="s">
        <v>350</v>
      </c>
      <c r="D112" s="70"/>
      <c r="E112" s="2" t="s">
        <v>134</v>
      </c>
      <c r="F112" s="51">
        <v>1</v>
      </c>
      <c r="G112" s="52">
        <v>0</v>
      </c>
      <c r="H112" s="51">
        <f>F112*G112</f>
        <v>0</v>
      </c>
      <c r="J112" s="41"/>
      <c r="Z112" s="51">
        <f>IF(AQ112="5",BJ112,0)</f>
        <v>0</v>
      </c>
      <c r="AB112" s="51">
        <f>IF(AQ112="1",BH112,0)</f>
        <v>0</v>
      </c>
      <c r="AC112" s="51">
        <f>IF(AQ112="1",BI112,0)</f>
        <v>0</v>
      </c>
      <c r="AD112" s="51">
        <f>IF(AQ112="7",BH112,0)</f>
        <v>0</v>
      </c>
      <c r="AE112" s="51">
        <f>IF(AQ112="7",BI112,0)</f>
        <v>0</v>
      </c>
      <c r="AF112" s="51">
        <f>IF(AQ112="2",BH112,0)</f>
        <v>0</v>
      </c>
      <c r="AG112" s="51">
        <f>IF(AQ112="2",BI112,0)</f>
        <v>0</v>
      </c>
      <c r="AH112" s="51">
        <f>IF(AQ112="0",BJ112,0)</f>
        <v>0</v>
      </c>
      <c r="AI112" s="35" t="s">
        <v>4</v>
      </c>
      <c r="AJ112" s="51">
        <f>IF(AN112=0,H112,0)</f>
        <v>0</v>
      </c>
      <c r="AK112" s="51">
        <f>IF(AN112=12,H112,0)</f>
        <v>0</v>
      </c>
      <c r="AL112" s="51">
        <f>IF(AN112=21,H112,0)</f>
        <v>0</v>
      </c>
      <c r="AN112" s="51">
        <v>12</v>
      </c>
      <c r="AO112" s="51">
        <f>G112*0.414300183</f>
        <v>0</v>
      </c>
      <c r="AP112" s="51">
        <f>G112*(1-0.414300183)</f>
        <v>0</v>
      </c>
      <c r="AQ112" s="53" t="s">
        <v>156</v>
      </c>
      <c r="AV112" s="51">
        <f>AW112+AX112</f>
        <v>0</v>
      </c>
      <c r="AW112" s="51">
        <f>F112*AO112</f>
        <v>0</v>
      </c>
      <c r="AX112" s="51">
        <f>F112*AP112</f>
        <v>0</v>
      </c>
      <c r="AY112" s="53" t="s">
        <v>315</v>
      </c>
      <c r="AZ112" s="53" t="s">
        <v>316</v>
      </c>
      <c r="BA112" s="35" t="s">
        <v>118</v>
      </c>
      <c r="BC112" s="51">
        <f>AW112+AX112</f>
        <v>0</v>
      </c>
      <c r="BD112" s="51">
        <f>G112/(100-BE112)*100</f>
        <v>0</v>
      </c>
      <c r="BE112" s="51">
        <v>0</v>
      </c>
      <c r="BF112" s="51">
        <f>112</f>
        <v>112</v>
      </c>
      <c r="BH112" s="51">
        <f>F112*AO112</f>
        <v>0</v>
      </c>
      <c r="BI112" s="51">
        <f>F112*AP112</f>
        <v>0</v>
      </c>
      <c r="BJ112" s="51">
        <f>F112*G112</f>
        <v>0</v>
      </c>
      <c r="BK112" s="51"/>
      <c r="BL112" s="51">
        <v>721</v>
      </c>
      <c r="BW112" s="51">
        <v>12</v>
      </c>
      <c r="BX112" s="3" t="s">
        <v>350</v>
      </c>
    </row>
    <row r="113" spans="1:76">
      <c r="A113" s="1" t="s">
        <v>351</v>
      </c>
      <c r="B113" s="2" t="s">
        <v>352</v>
      </c>
      <c r="C113" s="75" t="s">
        <v>353</v>
      </c>
      <c r="D113" s="70"/>
      <c r="E113" s="2" t="s">
        <v>248</v>
      </c>
      <c r="F113" s="51">
        <v>0.62</v>
      </c>
      <c r="G113" s="52">
        <v>0</v>
      </c>
      <c r="H113" s="51">
        <f>F113*G113</f>
        <v>0</v>
      </c>
      <c r="J113" s="41"/>
      <c r="Z113" s="51">
        <f>IF(AQ113="5",BJ113,0)</f>
        <v>0</v>
      </c>
      <c r="AB113" s="51">
        <f>IF(AQ113="1",BH113,0)</f>
        <v>0</v>
      </c>
      <c r="AC113" s="51">
        <f>IF(AQ113="1",BI113,0)</f>
        <v>0</v>
      </c>
      <c r="AD113" s="51">
        <f>IF(AQ113="7",BH113,0)</f>
        <v>0</v>
      </c>
      <c r="AE113" s="51">
        <f>IF(AQ113="7",BI113,0)</f>
        <v>0</v>
      </c>
      <c r="AF113" s="51">
        <f>IF(AQ113="2",BH113,0)</f>
        <v>0</v>
      </c>
      <c r="AG113" s="51">
        <f>IF(AQ113="2",BI113,0)</f>
        <v>0</v>
      </c>
      <c r="AH113" s="51">
        <f>IF(AQ113="0",BJ113,0)</f>
        <v>0</v>
      </c>
      <c r="AI113" s="35" t="s">
        <v>4</v>
      </c>
      <c r="AJ113" s="51">
        <f>IF(AN113=0,H113,0)</f>
        <v>0</v>
      </c>
      <c r="AK113" s="51">
        <f>IF(AN113=12,H113,0)</f>
        <v>0</v>
      </c>
      <c r="AL113" s="51">
        <f>IF(AN113=21,H113,0)</f>
        <v>0</v>
      </c>
      <c r="AN113" s="51">
        <v>12</v>
      </c>
      <c r="AO113" s="51">
        <f>G113*0</f>
        <v>0</v>
      </c>
      <c r="AP113" s="51">
        <f>G113*(1-0)</f>
        <v>0</v>
      </c>
      <c r="AQ113" s="53" t="s">
        <v>139</v>
      </c>
      <c r="AV113" s="51">
        <f>AW113+AX113</f>
        <v>0</v>
      </c>
      <c r="AW113" s="51">
        <f>F113*AO113</f>
        <v>0</v>
      </c>
      <c r="AX113" s="51">
        <f>F113*AP113</f>
        <v>0</v>
      </c>
      <c r="AY113" s="53" t="s">
        <v>315</v>
      </c>
      <c r="AZ113" s="53" t="s">
        <v>316</v>
      </c>
      <c r="BA113" s="35" t="s">
        <v>118</v>
      </c>
      <c r="BC113" s="51">
        <f>AW113+AX113</f>
        <v>0</v>
      </c>
      <c r="BD113" s="51">
        <f>G113/(100-BE113)*100</f>
        <v>0</v>
      </c>
      <c r="BE113" s="51">
        <v>0</v>
      </c>
      <c r="BF113" s="51">
        <f>113</f>
        <v>113</v>
      </c>
      <c r="BH113" s="51">
        <f>F113*AO113</f>
        <v>0</v>
      </c>
      <c r="BI113" s="51">
        <f>F113*AP113</f>
        <v>0</v>
      </c>
      <c r="BJ113" s="51">
        <f>F113*G113</f>
        <v>0</v>
      </c>
      <c r="BK113" s="51"/>
      <c r="BL113" s="51">
        <v>721</v>
      </c>
      <c r="BW113" s="51">
        <v>12</v>
      </c>
      <c r="BX113" s="3" t="s">
        <v>353</v>
      </c>
    </row>
    <row r="114" spans="1:76">
      <c r="A114" s="47" t="s">
        <v>4</v>
      </c>
      <c r="B114" s="48" t="s">
        <v>354</v>
      </c>
      <c r="C114" s="150" t="s">
        <v>355</v>
      </c>
      <c r="D114" s="151"/>
      <c r="E114" s="49" t="s">
        <v>80</v>
      </c>
      <c r="F114" s="49" t="s">
        <v>80</v>
      </c>
      <c r="G114" s="50" t="s">
        <v>80</v>
      </c>
      <c r="H114" s="28">
        <f>SUM(H115:H125)</f>
        <v>0</v>
      </c>
      <c r="J114" s="41"/>
      <c r="AI114" s="35" t="s">
        <v>4</v>
      </c>
      <c r="AS114" s="28">
        <f>SUM(AJ115:AJ125)</f>
        <v>0</v>
      </c>
      <c r="AT114" s="28">
        <f>SUM(AK115:AK125)</f>
        <v>0</v>
      </c>
      <c r="AU114" s="28">
        <f>SUM(AL115:AL125)</f>
        <v>0</v>
      </c>
    </row>
    <row r="115" spans="1:76">
      <c r="A115" s="1" t="s">
        <v>356</v>
      </c>
      <c r="B115" s="2" t="s">
        <v>357</v>
      </c>
      <c r="C115" s="75" t="s">
        <v>358</v>
      </c>
      <c r="D115" s="70"/>
      <c r="E115" s="2" t="s">
        <v>134</v>
      </c>
      <c r="F115" s="51">
        <v>8</v>
      </c>
      <c r="G115" s="52">
        <v>0</v>
      </c>
      <c r="H115" s="51">
        <f t="shared" ref="H115:H125" si="20">F115*G115</f>
        <v>0</v>
      </c>
      <c r="J115" s="41"/>
      <c r="Z115" s="51">
        <f t="shared" ref="Z115:Z125" si="21">IF(AQ115="5",BJ115,0)</f>
        <v>0</v>
      </c>
      <c r="AB115" s="51">
        <f t="shared" ref="AB115:AB125" si="22">IF(AQ115="1",BH115,0)</f>
        <v>0</v>
      </c>
      <c r="AC115" s="51">
        <f t="shared" ref="AC115:AC125" si="23">IF(AQ115="1",BI115,0)</f>
        <v>0</v>
      </c>
      <c r="AD115" s="51">
        <f t="shared" ref="AD115:AD125" si="24">IF(AQ115="7",BH115,0)</f>
        <v>0</v>
      </c>
      <c r="AE115" s="51">
        <f t="shared" ref="AE115:AE125" si="25">IF(AQ115="7",BI115,0)</f>
        <v>0</v>
      </c>
      <c r="AF115" s="51">
        <f t="shared" ref="AF115:AF125" si="26">IF(AQ115="2",BH115,0)</f>
        <v>0</v>
      </c>
      <c r="AG115" s="51">
        <f t="shared" ref="AG115:AG125" si="27">IF(AQ115="2",BI115,0)</f>
        <v>0</v>
      </c>
      <c r="AH115" s="51">
        <f t="shared" ref="AH115:AH125" si="28">IF(AQ115="0",BJ115,0)</f>
        <v>0</v>
      </c>
      <c r="AI115" s="35" t="s">
        <v>4</v>
      </c>
      <c r="AJ115" s="51">
        <f t="shared" ref="AJ115:AJ125" si="29">IF(AN115=0,H115,0)</f>
        <v>0</v>
      </c>
      <c r="AK115" s="51">
        <f t="shared" ref="AK115:AK125" si="30">IF(AN115=12,H115,0)</f>
        <v>0</v>
      </c>
      <c r="AL115" s="51">
        <f t="shared" ref="AL115:AL125" si="31">IF(AN115=21,H115,0)</f>
        <v>0</v>
      </c>
      <c r="AN115" s="51">
        <v>12</v>
      </c>
      <c r="AO115" s="51">
        <f>G115*0</f>
        <v>0</v>
      </c>
      <c r="AP115" s="51">
        <f>G115*(1-0)</f>
        <v>0</v>
      </c>
      <c r="AQ115" s="53" t="s">
        <v>156</v>
      </c>
      <c r="AV115" s="51">
        <f t="shared" ref="AV115:AV125" si="32">AW115+AX115</f>
        <v>0</v>
      </c>
      <c r="AW115" s="51">
        <f t="shared" ref="AW115:AW125" si="33">F115*AO115</f>
        <v>0</v>
      </c>
      <c r="AX115" s="51">
        <f t="shared" ref="AX115:AX125" si="34">F115*AP115</f>
        <v>0</v>
      </c>
      <c r="AY115" s="53" t="s">
        <v>359</v>
      </c>
      <c r="AZ115" s="53" t="s">
        <v>316</v>
      </c>
      <c r="BA115" s="35" t="s">
        <v>118</v>
      </c>
      <c r="BC115" s="51">
        <f t="shared" ref="BC115:BC125" si="35">AW115+AX115</f>
        <v>0</v>
      </c>
      <c r="BD115" s="51">
        <f t="shared" ref="BD115:BD125" si="36">G115/(100-BE115)*100</f>
        <v>0</v>
      </c>
      <c r="BE115" s="51">
        <v>0</v>
      </c>
      <c r="BF115" s="51">
        <f>115</f>
        <v>115</v>
      </c>
      <c r="BH115" s="51">
        <f t="shared" ref="BH115:BH125" si="37">F115*AO115</f>
        <v>0</v>
      </c>
      <c r="BI115" s="51">
        <f t="shared" ref="BI115:BI125" si="38">F115*AP115</f>
        <v>0</v>
      </c>
      <c r="BJ115" s="51">
        <f t="shared" ref="BJ115:BJ125" si="39">F115*G115</f>
        <v>0</v>
      </c>
      <c r="BK115" s="51"/>
      <c r="BL115" s="51">
        <v>722</v>
      </c>
      <c r="BW115" s="51">
        <v>12</v>
      </c>
      <c r="BX115" s="3" t="s">
        <v>358</v>
      </c>
    </row>
    <row r="116" spans="1:76">
      <c r="A116" s="1" t="s">
        <v>360</v>
      </c>
      <c r="B116" s="2" t="s">
        <v>361</v>
      </c>
      <c r="C116" s="75" t="s">
        <v>362</v>
      </c>
      <c r="D116" s="70"/>
      <c r="E116" s="2" t="s">
        <v>115</v>
      </c>
      <c r="F116" s="51">
        <v>6</v>
      </c>
      <c r="G116" s="52">
        <v>0</v>
      </c>
      <c r="H116" s="51">
        <f t="shared" si="20"/>
        <v>0</v>
      </c>
      <c r="J116" s="41"/>
      <c r="Z116" s="51">
        <f t="shared" si="21"/>
        <v>0</v>
      </c>
      <c r="AB116" s="51">
        <f t="shared" si="22"/>
        <v>0</v>
      </c>
      <c r="AC116" s="51">
        <f t="shared" si="23"/>
        <v>0</v>
      </c>
      <c r="AD116" s="51">
        <f t="shared" si="24"/>
        <v>0</v>
      </c>
      <c r="AE116" s="51">
        <f t="shared" si="25"/>
        <v>0</v>
      </c>
      <c r="AF116" s="51">
        <f t="shared" si="26"/>
        <v>0</v>
      </c>
      <c r="AG116" s="51">
        <f t="shared" si="27"/>
        <v>0</v>
      </c>
      <c r="AH116" s="51">
        <f t="shared" si="28"/>
        <v>0</v>
      </c>
      <c r="AI116" s="35" t="s">
        <v>4</v>
      </c>
      <c r="AJ116" s="51">
        <f t="shared" si="29"/>
        <v>0</v>
      </c>
      <c r="AK116" s="51">
        <f t="shared" si="30"/>
        <v>0</v>
      </c>
      <c r="AL116" s="51">
        <f t="shared" si="31"/>
        <v>0</v>
      </c>
      <c r="AN116" s="51">
        <v>12</v>
      </c>
      <c r="AO116" s="51">
        <f>G116*0</f>
        <v>0</v>
      </c>
      <c r="AP116" s="51">
        <f>G116*(1-0)</f>
        <v>0</v>
      </c>
      <c r="AQ116" s="53" t="s">
        <v>156</v>
      </c>
      <c r="AV116" s="51">
        <f t="shared" si="32"/>
        <v>0</v>
      </c>
      <c r="AW116" s="51">
        <f t="shared" si="33"/>
        <v>0</v>
      </c>
      <c r="AX116" s="51">
        <f t="shared" si="34"/>
        <v>0</v>
      </c>
      <c r="AY116" s="53" t="s">
        <v>359</v>
      </c>
      <c r="AZ116" s="53" t="s">
        <v>316</v>
      </c>
      <c r="BA116" s="35" t="s">
        <v>118</v>
      </c>
      <c r="BC116" s="51">
        <f t="shared" si="35"/>
        <v>0</v>
      </c>
      <c r="BD116" s="51">
        <f t="shared" si="36"/>
        <v>0</v>
      </c>
      <c r="BE116" s="51">
        <v>0</v>
      </c>
      <c r="BF116" s="51">
        <f>116</f>
        <v>116</v>
      </c>
      <c r="BH116" s="51">
        <f t="shared" si="37"/>
        <v>0</v>
      </c>
      <c r="BI116" s="51">
        <f t="shared" si="38"/>
        <v>0</v>
      </c>
      <c r="BJ116" s="51">
        <f t="shared" si="39"/>
        <v>0</v>
      </c>
      <c r="BK116" s="51"/>
      <c r="BL116" s="51">
        <v>722</v>
      </c>
      <c r="BW116" s="51">
        <v>12</v>
      </c>
      <c r="BX116" s="3" t="s">
        <v>362</v>
      </c>
    </row>
    <row r="117" spans="1:76">
      <c r="A117" s="1" t="s">
        <v>363</v>
      </c>
      <c r="B117" s="2" t="s">
        <v>364</v>
      </c>
      <c r="C117" s="75" t="s">
        <v>365</v>
      </c>
      <c r="D117" s="70"/>
      <c r="E117" s="2" t="s">
        <v>115</v>
      </c>
      <c r="F117" s="51">
        <v>2</v>
      </c>
      <c r="G117" s="52">
        <v>0</v>
      </c>
      <c r="H117" s="51">
        <f t="shared" si="20"/>
        <v>0</v>
      </c>
      <c r="J117" s="41"/>
      <c r="Z117" s="51">
        <f t="shared" si="21"/>
        <v>0</v>
      </c>
      <c r="AB117" s="51">
        <f t="shared" si="22"/>
        <v>0</v>
      </c>
      <c r="AC117" s="51">
        <f t="shared" si="23"/>
        <v>0</v>
      </c>
      <c r="AD117" s="51">
        <f t="shared" si="24"/>
        <v>0</v>
      </c>
      <c r="AE117" s="51">
        <f t="shared" si="25"/>
        <v>0</v>
      </c>
      <c r="AF117" s="51">
        <f t="shared" si="26"/>
        <v>0</v>
      </c>
      <c r="AG117" s="51">
        <f t="shared" si="27"/>
        <v>0</v>
      </c>
      <c r="AH117" s="51">
        <f t="shared" si="28"/>
        <v>0</v>
      </c>
      <c r="AI117" s="35" t="s">
        <v>4</v>
      </c>
      <c r="AJ117" s="51">
        <f t="shared" si="29"/>
        <v>0</v>
      </c>
      <c r="AK117" s="51">
        <f t="shared" si="30"/>
        <v>0</v>
      </c>
      <c r="AL117" s="51">
        <f t="shared" si="31"/>
        <v>0</v>
      </c>
      <c r="AN117" s="51">
        <v>12</v>
      </c>
      <c r="AO117" s="51">
        <f>G117*0.035569217</f>
        <v>0</v>
      </c>
      <c r="AP117" s="51">
        <f>G117*(1-0.035569217)</f>
        <v>0</v>
      </c>
      <c r="AQ117" s="53" t="s">
        <v>156</v>
      </c>
      <c r="AV117" s="51">
        <f t="shared" si="32"/>
        <v>0</v>
      </c>
      <c r="AW117" s="51">
        <f t="shared" si="33"/>
        <v>0</v>
      </c>
      <c r="AX117" s="51">
        <f t="shared" si="34"/>
        <v>0</v>
      </c>
      <c r="AY117" s="53" t="s">
        <v>359</v>
      </c>
      <c r="AZ117" s="53" t="s">
        <v>316</v>
      </c>
      <c r="BA117" s="35" t="s">
        <v>118</v>
      </c>
      <c r="BC117" s="51">
        <f t="shared" si="35"/>
        <v>0</v>
      </c>
      <c r="BD117" s="51">
        <f t="shared" si="36"/>
        <v>0</v>
      </c>
      <c r="BE117" s="51">
        <v>0</v>
      </c>
      <c r="BF117" s="51">
        <f>117</f>
        <v>117</v>
      </c>
      <c r="BH117" s="51">
        <f t="shared" si="37"/>
        <v>0</v>
      </c>
      <c r="BI117" s="51">
        <f t="shared" si="38"/>
        <v>0</v>
      </c>
      <c r="BJ117" s="51">
        <f t="shared" si="39"/>
        <v>0</v>
      </c>
      <c r="BK117" s="51"/>
      <c r="BL117" s="51">
        <v>722</v>
      </c>
      <c r="BW117" s="51">
        <v>12</v>
      </c>
      <c r="BX117" s="3" t="s">
        <v>365</v>
      </c>
    </row>
    <row r="118" spans="1:76">
      <c r="A118" s="1" t="s">
        <v>366</v>
      </c>
      <c r="B118" s="2" t="s">
        <v>367</v>
      </c>
      <c r="C118" s="75" t="s">
        <v>368</v>
      </c>
      <c r="D118" s="70"/>
      <c r="E118" s="2" t="s">
        <v>134</v>
      </c>
      <c r="F118" s="51">
        <v>24.5</v>
      </c>
      <c r="G118" s="52">
        <v>0</v>
      </c>
      <c r="H118" s="51">
        <f t="shared" si="20"/>
        <v>0</v>
      </c>
      <c r="J118" s="41"/>
      <c r="Z118" s="51">
        <f t="shared" si="21"/>
        <v>0</v>
      </c>
      <c r="AB118" s="51">
        <f t="shared" si="22"/>
        <v>0</v>
      </c>
      <c r="AC118" s="51">
        <f t="shared" si="23"/>
        <v>0</v>
      </c>
      <c r="AD118" s="51">
        <f t="shared" si="24"/>
        <v>0</v>
      </c>
      <c r="AE118" s="51">
        <f t="shared" si="25"/>
        <v>0</v>
      </c>
      <c r="AF118" s="51">
        <f t="shared" si="26"/>
        <v>0</v>
      </c>
      <c r="AG118" s="51">
        <f t="shared" si="27"/>
        <v>0</v>
      </c>
      <c r="AH118" s="51">
        <f t="shared" si="28"/>
        <v>0</v>
      </c>
      <c r="AI118" s="35" t="s">
        <v>4</v>
      </c>
      <c r="AJ118" s="51">
        <f t="shared" si="29"/>
        <v>0</v>
      </c>
      <c r="AK118" s="51">
        <f t="shared" si="30"/>
        <v>0</v>
      </c>
      <c r="AL118" s="51">
        <f t="shared" si="31"/>
        <v>0</v>
      </c>
      <c r="AN118" s="51">
        <v>12</v>
      </c>
      <c r="AO118" s="51">
        <f>G118*0.343352381</f>
        <v>0</v>
      </c>
      <c r="AP118" s="51">
        <f>G118*(1-0.343352381)</f>
        <v>0</v>
      </c>
      <c r="AQ118" s="53" t="s">
        <v>156</v>
      </c>
      <c r="AV118" s="51">
        <f t="shared" si="32"/>
        <v>0</v>
      </c>
      <c r="AW118" s="51">
        <f t="shared" si="33"/>
        <v>0</v>
      </c>
      <c r="AX118" s="51">
        <f t="shared" si="34"/>
        <v>0</v>
      </c>
      <c r="AY118" s="53" t="s">
        <v>359</v>
      </c>
      <c r="AZ118" s="53" t="s">
        <v>316</v>
      </c>
      <c r="BA118" s="35" t="s">
        <v>118</v>
      </c>
      <c r="BC118" s="51">
        <f t="shared" si="35"/>
        <v>0</v>
      </c>
      <c r="BD118" s="51">
        <f t="shared" si="36"/>
        <v>0</v>
      </c>
      <c r="BE118" s="51">
        <v>0</v>
      </c>
      <c r="BF118" s="51">
        <f>118</f>
        <v>118</v>
      </c>
      <c r="BH118" s="51">
        <f t="shared" si="37"/>
        <v>0</v>
      </c>
      <c r="BI118" s="51">
        <f t="shared" si="38"/>
        <v>0</v>
      </c>
      <c r="BJ118" s="51">
        <f t="shared" si="39"/>
        <v>0</v>
      </c>
      <c r="BK118" s="51"/>
      <c r="BL118" s="51">
        <v>722</v>
      </c>
      <c r="BW118" s="51">
        <v>12</v>
      </c>
      <c r="BX118" s="3" t="s">
        <v>368</v>
      </c>
    </row>
    <row r="119" spans="1:76">
      <c r="A119" s="1" t="s">
        <v>369</v>
      </c>
      <c r="B119" s="2" t="s">
        <v>370</v>
      </c>
      <c r="C119" s="75" t="s">
        <v>371</v>
      </c>
      <c r="D119" s="70"/>
      <c r="E119" s="2" t="s">
        <v>115</v>
      </c>
      <c r="F119" s="51">
        <v>2</v>
      </c>
      <c r="G119" s="52">
        <v>0</v>
      </c>
      <c r="H119" s="51">
        <f t="shared" si="20"/>
        <v>0</v>
      </c>
      <c r="J119" s="41"/>
      <c r="Z119" s="51">
        <f t="shared" si="21"/>
        <v>0</v>
      </c>
      <c r="AB119" s="51">
        <f t="shared" si="22"/>
        <v>0</v>
      </c>
      <c r="AC119" s="51">
        <f t="shared" si="23"/>
        <v>0</v>
      </c>
      <c r="AD119" s="51">
        <f t="shared" si="24"/>
        <v>0</v>
      </c>
      <c r="AE119" s="51">
        <f t="shared" si="25"/>
        <v>0</v>
      </c>
      <c r="AF119" s="51">
        <f t="shared" si="26"/>
        <v>0</v>
      </c>
      <c r="AG119" s="51">
        <f t="shared" si="27"/>
        <v>0</v>
      </c>
      <c r="AH119" s="51">
        <f t="shared" si="28"/>
        <v>0</v>
      </c>
      <c r="AI119" s="35" t="s">
        <v>4</v>
      </c>
      <c r="AJ119" s="51">
        <f t="shared" si="29"/>
        <v>0</v>
      </c>
      <c r="AK119" s="51">
        <f t="shared" si="30"/>
        <v>0</v>
      </c>
      <c r="AL119" s="51">
        <f t="shared" si="31"/>
        <v>0</v>
      </c>
      <c r="AN119" s="51">
        <v>12</v>
      </c>
      <c r="AO119" s="51">
        <f>G119*0.52306338</f>
        <v>0</v>
      </c>
      <c r="AP119" s="51">
        <f>G119*(1-0.52306338)</f>
        <v>0</v>
      </c>
      <c r="AQ119" s="53" t="s">
        <v>156</v>
      </c>
      <c r="AV119" s="51">
        <f t="shared" si="32"/>
        <v>0</v>
      </c>
      <c r="AW119" s="51">
        <f t="shared" si="33"/>
        <v>0</v>
      </c>
      <c r="AX119" s="51">
        <f t="shared" si="34"/>
        <v>0</v>
      </c>
      <c r="AY119" s="53" t="s">
        <v>359</v>
      </c>
      <c r="AZ119" s="53" t="s">
        <v>316</v>
      </c>
      <c r="BA119" s="35" t="s">
        <v>118</v>
      </c>
      <c r="BC119" s="51">
        <f t="shared" si="35"/>
        <v>0</v>
      </c>
      <c r="BD119" s="51">
        <f t="shared" si="36"/>
        <v>0</v>
      </c>
      <c r="BE119" s="51">
        <v>0</v>
      </c>
      <c r="BF119" s="51">
        <f>119</f>
        <v>119</v>
      </c>
      <c r="BH119" s="51">
        <f t="shared" si="37"/>
        <v>0</v>
      </c>
      <c r="BI119" s="51">
        <f t="shared" si="38"/>
        <v>0</v>
      </c>
      <c r="BJ119" s="51">
        <f t="shared" si="39"/>
        <v>0</v>
      </c>
      <c r="BK119" s="51"/>
      <c r="BL119" s="51">
        <v>722</v>
      </c>
      <c r="BW119" s="51">
        <v>12</v>
      </c>
      <c r="BX119" s="3" t="s">
        <v>371</v>
      </c>
    </row>
    <row r="120" spans="1:76">
      <c r="A120" s="1" t="s">
        <v>372</v>
      </c>
      <c r="B120" s="2" t="s">
        <v>373</v>
      </c>
      <c r="C120" s="75" t="s">
        <v>374</v>
      </c>
      <c r="D120" s="70"/>
      <c r="E120" s="2" t="s">
        <v>375</v>
      </c>
      <c r="F120" s="51">
        <v>3</v>
      </c>
      <c r="G120" s="52">
        <v>0</v>
      </c>
      <c r="H120" s="51">
        <f t="shared" si="20"/>
        <v>0</v>
      </c>
      <c r="J120" s="41"/>
      <c r="Z120" s="51">
        <f t="shared" si="21"/>
        <v>0</v>
      </c>
      <c r="AB120" s="51">
        <f t="shared" si="22"/>
        <v>0</v>
      </c>
      <c r="AC120" s="51">
        <f t="shared" si="23"/>
        <v>0</v>
      </c>
      <c r="AD120" s="51">
        <f t="shared" si="24"/>
        <v>0</v>
      </c>
      <c r="AE120" s="51">
        <f t="shared" si="25"/>
        <v>0</v>
      </c>
      <c r="AF120" s="51">
        <f t="shared" si="26"/>
        <v>0</v>
      </c>
      <c r="AG120" s="51">
        <f t="shared" si="27"/>
        <v>0</v>
      </c>
      <c r="AH120" s="51">
        <f t="shared" si="28"/>
        <v>0</v>
      </c>
      <c r="AI120" s="35" t="s">
        <v>4</v>
      </c>
      <c r="AJ120" s="51">
        <f t="shared" si="29"/>
        <v>0</v>
      </c>
      <c r="AK120" s="51">
        <f t="shared" si="30"/>
        <v>0</v>
      </c>
      <c r="AL120" s="51">
        <f t="shared" si="31"/>
        <v>0</v>
      </c>
      <c r="AN120" s="51">
        <v>12</v>
      </c>
      <c r="AO120" s="51">
        <f>G120*0.529089317</f>
        <v>0</v>
      </c>
      <c r="AP120" s="51">
        <f>G120*(1-0.529089317)</f>
        <v>0</v>
      </c>
      <c r="AQ120" s="53" t="s">
        <v>156</v>
      </c>
      <c r="AV120" s="51">
        <f t="shared" si="32"/>
        <v>0</v>
      </c>
      <c r="AW120" s="51">
        <f t="shared" si="33"/>
        <v>0</v>
      </c>
      <c r="AX120" s="51">
        <f t="shared" si="34"/>
        <v>0</v>
      </c>
      <c r="AY120" s="53" t="s">
        <v>359</v>
      </c>
      <c r="AZ120" s="53" t="s">
        <v>316</v>
      </c>
      <c r="BA120" s="35" t="s">
        <v>118</v>
      </c>
      <c r="BC120" s="51">
        <f t="shared" si="35"/>
        <v>0</v>
      </c>
      <c r="BD120" s="51">
        <f t="shared" si="36"/>
        <v>0</v>
      </c>
      <c r="BE120" s="51">
        <v>0</v>
      </c>
      <c r="BF120" s="51">
        <f>120</f>
        <v>120</v>
      </c>
      <c r="BH120" s="51">
        <f t="shared" si="37"/>
        <v>0</v>
      </c>
      <c r="BI120" s="51">
        <f t="shared" si="38"/>
        <v>0</v>
      </c>
      <c r="BJ120" s="51">
        <f t="shared" si="39"/>
        <v>0</v>
      </c>
      <c r="BK120" s="51"/>
      <c r="BL120" s="51">
        <v>722</v>
      </c>
      <c r="BW120" s="51">
        <v>12</v>
      </c>
      <c r="BX120" s="3" t="s">
        <v>374</v>
      </c>
    </row>
    <row r="121" spans="1:76">
      <c r="A121" s="1" t="s">
        <v>376</v>
      </c>
      <c r="B121" s="2" t="s">
        <v>377</v>
      </c>
      <c r="C121" s="75" t="s">
        <v>378</v>
      </c>
      <c r="D121" s="70"/>
      <c r="E121" s="2" t="s">
        <v>134</v>
      </c>
      <c r="F121" s="51">
        <v>24.5</v>
      </c>
      <c r="G121" s="52">
        <v>0</v>
      </c>
      <c r="H121" s="51">
        <f t="shared" si="20"/>
        <v>0</v>
      </c>
      <c r="J121" s="41"/>
      <c r="Z121" s="51">
        <f t="shared" si="21"/>
        <v>0</v>
      </c>
      <c r="AB121" s="51">
        <f t="shared" si="22"/>
        <v>0</v>
      </c>
      <c r="AC121" s="51">
        <f t="shared" si="23"/>
        <v>0</v>
      </c>
      <c r="AD121" s="51">
        <f t="shared" si="24"/>
        <v>0</v>
      </c>
      <c r="AE121" s="51">
        <f t="shared" si="25"/>
        <v>0</v>
      </c>
      <c r="AF121" s="51">
        <f t="shared" si="26"/>
        <v>0</v>
      </c>
      <c r="AG121" s="51">
        <f t="shared" si="27"/>
        <v>0</v>
      </c>
      <c r="AH121" s="51">
        <f t="shared" si="28"/>
        <v>0</v>
      </c>
      <c r="AI121" s="35" t="s">
        <v>4</v>
      </c>
      <c r="AJ121" s="51">
        <f t="shared" si="29"/>
        <v>0</v>
      </c>
      <c r="AK121" s="51">
        <f t="shared" si="30"/>
        <v>0</v>
      </c>
      <c r="AL121" s="51">
        <f t="shared" si="31"/>
        <v>0</v>
      </c>
      <c r="AN121" s="51">
        <v>12</v>
      </c>
      <c r="AO121" s="51">
        <f>G121*0.45117255</f>
        <v>0</v>
      </c>
      <c r="AP121" s="51">
        <f>G121*(1-0.45117255)</f>
        <v>0</v>
      </c>
      <c r="AQ121" s="53" t="s">
        <v>156</v>
      </c>
      <c r="AV121" s="51">
        <f t="shared" si="32"/>
        <v>0</v>
      </c>
      <c r="AW121" s="51">
        <f t="shared" si="33"/>
        <v>0</v>
      </c>
      <c r="AX121" s="51">
        <f t="shared" si="34"/>
        <v>0</v>
      </c>
      <c r="AY121" s="53" t="s">
        <v>359</v>
      </c>
      <c r="AZ121" s="53" t="s">
        <v>316</v>
      </c>
      <c r="BA121" s="35" t="s">
        <v>118</v>
      </c>
      <c r="BC121" s="51">
        <f t="shared" si="35"/>
        <v>0</v>
      </c>
      <c r="BD121" s="51">
        <f t="shared" si="36"/>
        <v>0</v>
      </c>
      <c r="BE121" s="51">
        <v>0</v>
      </c>
      <c r="BF121" s="51">
        <f>121</f>
        <v>121</v>
      </c>
      <c r="BH121" s="51">
        <f t="shared" si="37"/>
        <v>0</v>
      </c>
      <c r="BI121" s="51">
        <f t="shared" si="38"/>
        <v>0</v>
      </c>
      <c r="BJ121" s="51">
        <f t="shared" si="39"/>
        <v>0</v>
      </c>
      <c r="BK121" s="51"/>
      <c r="BL121" s="51">
        <v>722</v>
      </c>
      <c r="BW121" s="51">
        <v>12</v>
      </c>
      <c r="BX121" s="3" t="s">
        <v>378</v>
      </c>
    </row>
    <row r="122" spans="1:76">
      <c r="A122" s="1" t="s">
        <v>379</v>
      </c>
      <c r="B122" s="2" t="s">
        <v>380</v>
      </c>
      <c r="C122" s="75" t="s">
        <v>381</v>
      </c>
      <c r="D122" s="70"/>
      <c r="E122" s="2" t="s">
        <v>115</v>
      </c>
      <c r="F122" s="51">
        <v>8</v>
      </c>
      <c r="G122" s="52">
        <v>0</v>
      </c>
      <c r="H122" s="51">
        <f t="shared" si="20"/>
        <v>0</v>
      </c>
      <c r="J122" s="41"/>
      <c r="Z122" s="51">
        <f t="shared" si="21"/>
        <v>0</v>
      </c>
      <c r="AB122" s="51">
        <f t="shared" si="22"/>
        <v>0</v>
      </c>
      <c r="AC122" s="51">
        <f t="shared" si="23"/>
        <v>0</v>
      </c>
      <c r="AD122" s="51">
        <f t="shared" si="24"/>
        <v>0</v>
      </c>
      <c r="AE122" s="51">
        <f t="shared" si="25"/>
        <v>0</v>
      </c>
      <c r="AF122" s="51">
        <f t="shared" si="26"/>
        <v>0</v>
      </c>
      <c r="AG122" s="51">
        <f t="shared" si="27"/>
        <v>0</v>
      </c>
      <c r="AH122" s="51">
        <f t="shared" si="28"/>
        <v>0</v>
      </c>
      <c r="AI122" s="35" t="s">
        <v>4</v>
      </c>
      <c r="AJ122" s="51">
        <f t="shared" si="29"/>
        <v>0</v>
      </c>
      <c r="AK122" s="51">
        <f t="shared" si="30"/>
        <v>0</v>
      </c>
      <c r="AL122" s="51">
        <f t="shared" si="31"/>
        <v>0</v>
      </c>
      <c r="AN122" s="51">
        <v>12</v>
      </c>
      <c r="AO122" s="51">
        <f>G122*0</f>
        <v>0</v>
      </c>
      <c r="AP122" s="51">
        <f>G122*(1-0)</f>
        <v>0</v>
      </c>
      <c r="AQ122" s="53" t="s">
        <v>156</v>
      </c>
      <c r="AV122" s="51">
        <f t="shared" si="32"/>
        <v>0</v>
      </c>
      <c r="AW122" s="51">
        <f t="shared" si="33"/>
        <v>0</v>
      </c>
      <c r="AX122" s="51">
        <f t="shared" si="34"/>
        <v>0</v>
      </c>
      <c r="AY122" s="53" t="s">
        <v>359</v>
      </c>
      <c r="AZ122" s="53" t="s">
        <v>316</v>
      </c>
      <c r="BA122" s="35" t="s">
        <v>118</v>
      </c>
      <c r="BC122" s="51">
        <f t="shared" si="35"/>
        <v>0</v>
      </c>
      <c r="BD122" s="51">
        <f t="shared" si="36"/>
        <v>0</v>
      </c>
      <c r="BE122" s="51">
        <v>0</v>
      </c>
      <c r="BF122" s="51">
        <f>122</f>
        <v>122</v>
      </c>
      <c r="BH122" s="51">
        <f t="shared" si="37"/>
        <v>0</v>
      </c>
      <c r="BI122" s="51">
        <f t="shared" si="38"/>
        <v>0</v>
      </c>
      <c r="BJ122" s="51">
        <f t="shared" si="39"/>
        <v>0</v>
      </c>
      <c r="BK122" s="51"/>
      <c r="BL122" s="51">
        <v>722</v>
      </c>
      <c r="BW122" s="51">
        <v>12</v>
      </c>
      <c r="BX122" s="3" t="s">
        <v>381</v>
      </c>
    </row>
    <row r="123" spans="1:76">
      <c r="A123" s="1" t="s">
        <v>382</v>
      </c>
      <c r="B123" s="2" t="s">
        <v>383</v>
      </c>
      <c r="C123" s="75" t="s">
        <v>384</v>
      </c>
      <c r="D123" s="70"/>
      <c r="E123" s="2" t="s">
        <v>134</v>
      </c>
      <c r="F123" s="51">
        <v>24.5</v>
      </c>
      <c r="G123" s="52">
        <v>0</v>
      </c>
      <c r="H123" s="51">
        <f t="shared" si="20"/>
        <v>0</v>
      </c>
      <c r="J123" s="41"/>
      <c r="Z123" s="51">
        <f t="shared" si="21"/>
        <v>0</v>
      </c>
      <c r="AB123" s="51">
        <f t="shared" si="22"/>
        <v>0</v>
      </c>
      <c r="AC123" s="51">
        <f t="shared" si="23"/>
        <v>0</v>
      </c>
      <c r="AD123" s="51">
        <f t="shared" si="24"/>
        <v>0</v>
      </c>
      <c r="AE123" s="51">
        <f t="shared" si="25"/>
        <v>0</v>
      </c>
      <c r="AF123" s="51">
        <f t="shared" si="26"/>
        <v>0</v>
      </c>
      <c r="AG123" s="51">
        <f t="shared" si="27"/>
        <v>0</v>
      </c>
      <c r="AH123" s="51">
        <f t="shared" si="28"/>
        <v>0</v>
      </c>
      <c r="AI123" s="35" t="s">
        <v>4</v>
      </c>
      <c r="AJ123" s="51">
        <f t="shared" si="29"/>
        <v>0</v>
      </c>
      <c r="AK123" s="51">
        <f t="shared" si="30"/>
        <v>0</v>
      </c>
      <c r="AL123" s="51">
        <f t="shared" si="31"/>
        <v>0</v>
      </c>
      <c r="AN123" s="51">
        <v>12</v>
      </c>
      <c r="AO123" s="51">
        <f>G123*0.05464191</f>
        <v>0</v>
      </c>
      <c r="AP123" s="51">
        <f>G123*(1-0.05464191)</f>
        <v>0</v>
      </c>
      <c r="AQ123" s="53" t="s">
        <v>156</v>
      </c>
      <c r="AV123" s="51">
        <f t="shared" si="32"/>
        <v>0</v>
      </c>
      <c r="AW123" s="51">
        <f t="shared" si="33"/>
        <v>0</v>
      </c>
      <c r="AX123" s="51">
        <f t="shared" si="34"/>
        <v>0</v>
      </c>
      <c r="AY123" s="53" t="s">
        <v>359</v>
      </c>
      <c r="AZ123" s="53" t="s">
        <v>316</v>
      </c>
      <c r="BA123" s="35" t="s">
        <v>118</v>
      </c>
      <c r="BC123" s="51">
        <f t="shared" si="35"/>
        <v>0</v>
      </c>
      <c r="BD123" s="51">
        <f t="shared" si="36"/>
        <v>0</v>
      </c>
      <c r="BE123" s="51">
        <v>0</v>
      </c>
      <c r="BF123" s="51">
        <f>123</f>
        <v>123</v>
      </c>
      <c r="BH123" s="51">
        <f t="shared" si="37"/>
        <v>0</v>
      </c>
      <c r="BI123" s="51">
        <f t="shared" si="38"/>
        <v>0</v>
      </c>
      <c r="BJ123" s="51">
        <f t="shared" si="39"/>
        <v>0</v>
      </c>
      <c r="BK123" s="51"/>
      <c r="BL123" s="51">
        <v>722</v>
      </c>
      <c r="BW123" s="51">
        <v>12</v>
      </c>
      <c r="BX123" s="3" t="s">
        <v>384</v>
      </c>
    </row>
    <row r="124" spans="1:76">
      <c r="A124" s="1" t="s">
        <v>385</v>
      </c>
      <c r="B124" s="2" t="s">
        <v>386</v>
      </c>
      <c r="C124" s="75" t="s">
        <v>387</v>
      </c>
      <c r="D124" s="70"/>
      <c r="E124" s="2" t="s">
        <v>134</v>
      </c>
      <c r="F124" s="51">
        <v>24.5</v>
      </c>
      <c r="G124" s="52">
        <v>0</v>
      </c>
      <c r="H124" s="51">
        <f t="shared" si="20"/>
        <v>0</v>
      </c>
      <c r="J124" s="41"/>
      <c r="Z124" s="51">
        <f t="shared" si="21"/>
        <v>0</v>
      </c>
      <c r="AB124" s="51">
        <f t="shared" si="22"/>
        <v>0</v>
      </c>
      <c r="AC124" s="51">
        <f t="shared" si="23"/>
        <v>0</v>
      </c>
      <c r="AD124" s="51">
        <f t="shared" si="24"/>
        <v>0</v>
      </c>
      <c r="AE124" s="51">
        <f t="shared" si="25"/>
        <v>0</v>
      </c>
      <c r="AF124" s="51">
        <f t="shared" si="26"/>
        <v>0</v>
      </c>
      <c r="AG124" s="51">
        <f t="shared" si="27"/>
        <v>0</v>
      </c>
      <c r="AH124" s="51">
        <f t="shared" si="28"/>
        <v>0</v>
      </c>
      <c r="AI124" s="35" t="s">
        <v>4</v>
      </c>
      <c r="AJ124" s="51">
        <f t="shared" si="29"/>
        <v>0</v>
      </c>
      <c r="AK124" s="51">
        <f t="shared" si="30"/>
        <v>0</v>
      </c>
      <c r="AL124" s="51">
        <f t="shared" si="31"/>
        <v>0</v>
      </c>
      <c r="AN124" s="51">
        <v>12</v>
      </c>
      <c r="AO124" s="51">
        <f>G124*0.015294118</f>
        <v>0</v>
      </c>
      <c r="AP124" s="51">
        <f>G124*(1-0.015294118)</f>
        <v>0</v>
      </c>
      <c r="AQ124" s="53" t="s">
        <v>156</v>
      </c>
      <c r="AV124" s="51">
        <f t="shared" si="32"/>
        <v>0</v>
      </c>
      <c r="AW124" s="51">
        <f t="shared" si="33"/>
        <v>0</v>
      </c>
      <c r="AX124" s="51">
        <f t="shared" si="34"/>
        <v>0</v>
      </c>
      <c r="AY124" s="53" t="s">
        <v>359</v>
      </c>
      <c r="AZ124" s="53" t="s">
        <v>316</v>
      </c>
      <c r="BA124" s="35" t="s">
        <v>118</v>
      </c>
      <c r="BC124" s="51">
        <f t="shared" si="35"/>
        <v>0</v>
      </c>
      <c r="BD124" s="51">
        <f t="shared" si="36"/>
        <v>0</v>
      </c>
      <c r="BE124" s="51">
        <v>0</v>
      </c>
      <c r="BF124" s="51">
        <f>124</f>
        <v>124</v>
      </c>
      <c r="BH124" s="51">
        <f t="shared" si="37"/>
        <v>0</v>
      </c>
      <c r="BI124" s="51">
        <f t="shared" si="38"/>
        <v>0</v>
      </c>
      <c r="BJ124" s="51">
        <f t="shared" si="39"/>
        <v>0</v>
      </c>
      <c r="BK124" s="51"/>
      <c r="BL124" s="51">
        <v>722</v>
      </c>
      <c r="BW124" s="51">
        <v>12</v>
      </c>
      <c r="BX124" s="3" t="s">
        <v>387</v>
      </c>
    </row>
    <row r="125" spans="1:76">
      <c r="A125" s="1" t="s">
        <v>123</v>
      </c>
      <c r="B125" s="2" t="s">
        <v>388</v>
      </c>
      <c r="C125" s="75" t="s">
        <v>389</v>
      </c>
      <c r="D125" s="70"/>
      <c r="E125" s="2" t="s">
        <v>248</v>
      </c>
      <c r="F125" s="51">
        <v>0.04</v>
      </c>
      <c r="G125" s="52">
        <v>0</v>
      </c>
      <c r="H125" s="51">
        <f t="shared" si="20"/>
        <v>0</v>
      </c>
      <c r="J125" s="41"/>
      <c r="Z125" s="51">
        <f t="shared" si="21"/>
        <v>0</v>
      </c>
      <c r="AB125" s="51">
        <f t="shared" si="22"/>
        <v>0</v>
      </c>
      <c r="AC125" s="51">
        <f t="shared" si="23"/>
        <v>0</v>
      </c>
      <c r="AD125" s="51">
        <f t="shared" si="24"/>
        <v>0</v>
      </c>
      <c r="AE125" s="51">
        <f t="shared" si="25"/>
        <v>0</v>
      </c>
      <c r="AF125" s="51">
        <f t="shared" si="26"/>
        <v>0</v>
      </c>
      <c r="AG125" s="51">
        <f t="shared" si="27"/>
        <v>0</v>
      </c>
      <c r="AH125" s="51">
        <f t="shared" si="28"/>
        <v>0</v>
      </c>
      <c r="AI125" s="35" t="s">
        <v>4</v>
      </c>
      <c r="AJ125" s="51">
        <f t="shared" si="29"/>
        <v>0</v>
      </c>
      <c r="AK125" s="51">
        <f t="shared" si="30"/>
        <v>0</v>
      </c>
      <c r="AL125" s="51">
        <f t="shared" si="31"/>
        <v>0</v>
      </c>
      <c r="AN125" s="51">
        <v>12</v>
      </c>
      <c r="AO125" s="51">
        <f>G125*0</f>
        <v>0</v>
      </c>
      <c r="AP125" s="51">
        <f>G125*(1-0)</f>
        <v>0</v>
      </c>
      <c r="AQ125" s="53" t="s">
        <v>139</v>
      </c>
      <c r="AV125" s="51">
        <f t="shared" si="32"/>
        <v>0</v>
      </c>
      <c r="AW125" s="51">
        <f t="shared" si="33"/>
        <v>0</v>
      </c>
      <c r="AX125" s="51">
        <f t="shared" si="34"/>
        <v>0</v>
      </c>
      <c r="AY125" s="53" t="s">
        <v>359</v>
      </c>
      <c r="AZ125" s="53" t="s">
        <v>316</v>
      </c>
      <c r="BA125" s="35" t="s">
        <v>118</v>
      </c>
      <c r="BC125" s="51">
        <f t="shared" si="35"/>
        <v>0</v>
      </c>
      <c r="BD125" s="51">
        <f t="shared" si="36"/>
        <v>0</v>
      </c>
      <c r="BE125" s="51">
        <v>0</v>
      </c>
      <c r="BF125" s="51">
        <f>125</f>
        <v>125</v>
      </c>
      <c r="BH125" s="51">
        <f t="shared" si="37"/>
        <v>0</v>
      </c>
      <c r="BI125" s="51">
        <f t="shared" si="38"/>
        <v>0</v>
      </c>
      <c r="BJ125" s="51">
        <f t="shared" si="39"/>
        <v>0</v>
      </c>
      <c r="BK125" s="51"/>
      <c r="BL125" s="51">
        <v>722</v>
      </c>
      <c r="BW125" s="51">
        <v>12</v>
      </c>
      <c r="BX125" s="3" t="s">
        <v>389</v>
      </c>
    </row>
    <row r="126" spans="1:76">
      <c r="A126" s="47" t="s">
        <v>4</v>
      </c>
      <c r="B126" s="48" t="s">
        <v>390</v>
      </c>
      <c r="C126" s="150" t="s">
        <v>391</v>
      </c>
      <c r="D126" s="151"/>
      <c r="E126" s="49" t="s">
        <v>80</v>
      </c>
      <c r="F126" s="49" t="s">
        <v>80</v>
      </c>
      <c r="G126" s="50" t="s">
        <v>80</v>
      </c>
      <c r="H126" s="28">
        <f>SUM(H127:H155)</f>
        <v>0</v>
      </c>
      <c r="J126" s="41"/>
      <c r="AI126" s="35" t="s">
        <v>4</v>
      </c>
      <c r="AS126" s="28">
        <f>SUM(AJ127:AJ155)</f>
        <v>0</v>
      </c>
      <c r="AT126" s="28">
        <f>SUM(AK127:AK155)</f>
        <v>0</v>
      </c>
      <c r="AU126" s="28">
        <f>SUM(AL127:AL155)</f>
        <v>0</v>
      </c>
    </row>
    <row r="127" spans="1:76">
      <c r="A127" s="1" t="s">
        <v>392</v>
      </c>
      <c r="B127" s="2" t="s">
        <v>393</v>
      </c>
      <c r="C127" s="75" t="s">
        <v>394</v>
      </c>
      <c r="D127" s="70"/>
      <c r="E127" s="2" t="s">
        <v>395</v>
      </c>
      <c r="F127" s="51">
        <v>1</v>
      </c>
      <c r="G127" s="52">
        <v>0</v>
      </c>
      <c r="H127" s="51">
        <f t="shared" ref="H127:H135" si="40">F127*G127</f>
        <v>0</v>
      </c>
      <c r="J127" s="41"/>
      <c r="Z127" s="51">
        <f t="shared" ref="Z127:Z135" si="41">IF(AQ127="5",BJ127,0)</f>
        <v>0</v>
      </c>
      <c r="AB127" s="51">
        <f t="shared" ref="AB127:AB135" si="42">IF(AQ127="1",BH127,0)</f>
        <v>0</v>
      </c>
      <c r="AC127" s="51">
        <f t="shared" ref="AC127:AC135" si="43">IF(AQ127="1",BI127,0)</f>
        <v>0</v>
      </c>
      <c r="AD127" s="51">
        <f t="shared" ref="AD127:AD135" si="44">IF(AQ127="7",BH127,0)</f>
        <v>0</v>
      </c>
      <c r="AE127" s="51">
        <f t="shared" ref="AE127:AE135" si="45">IF(AQ127="7",BI127,0)</f>
        <v>0</v>
      </c>
      <c r="AF127" s="51">
        <f t="shared" ref="AF127:AF135" si="46">IF(AQ127="2",BH127,0)</f>
        <v>0</v>
      </c>
      <c r="AG127" s="51">
        <f t="shared" ref="AG127:AG135" si="47">IF(AQ127="2",BI127,0)</f>
        <v>0</v>
      </c>
      <c r="AH127" s="51">
        <f t="shared" ref="AH127:AH135" si="48">IF(AQ127="0",BJ127,0)</f>
        <v>0</v>
      </c>
      <c r="AI127" s="35" t="s">
        <v>4</v>
      </c>
      <c r="AJ127" s="51">
        <f t="shared" ref="AJ127:AJ135" si="49">IF(AN127=0,H127,0)</f>
        <v>0</v>
      </c>
      <c r="AK127" s="51">
        <f t="shared" ref="AK127:AK135" si="50">IF(AN127=12,H127,0)</f>
        <v>0</v>
      </c>
      <c r="AL127" s="51">
        <f t="shared" ref="AL127:AL135" si="51">IF(AN127=21,H127,0)</f>
        <v>0</v>
      </c>
      <c r="AN127" s="51">
        <v>12</v>
      </c>
      <c r="AO127" s="51">
        <f t="shared" ref="AO127:AO135" si="52">G127*0</f>
        <v>0</v>
      </c>
      <c r="AP127" s="51">
        <f t="shared" ref="AP127:AP135" si="53">G127*(1-0)</f>
        <v>0</v>
      </c>
      <c r="AQ127" s="53" t="s">
        <v>156</v>
      </c>
      <c r="AV127" s="51">
        <f t="shared" ref="AV127:AV135" si="54">AW127+AX127</f>
        <v>0</v>
      </c>
      <c r="AW127" s="51">
        <f t="shared" ref="AW127:AW135" si="55">F127*AO127</f>
        <v>0</v>
      </c>
      <c r="AX127" s="51">
        <f t="shared" ref="AX127:AX135" si="56">F127*AP127</f>
        <v>0</v>
      </c>
      <c r="AY127" s="53" t="s">
        <v>396</v>
      </c>
      <c r="AZ127" s="53" t="s">
        <v>316</v>
      </c>
      <c r="BA127" s="35" t="s">
        <v>118</v>
      </c>
      <c r="BC127" s="51">
        <f t="shared" ref="BC127:BC135" si="57">AW127+AX127</f>
        <v>0</v>
      </c>
      <c r="BD127" s="51">
        <f t="shared" ref="BD127:BD135" si="58">G127/(100-BE127)*100</f>
        <v>0</v>
      </c>
      <c r="BE127" s="51">
        <v>0</v>
      </c>
      <c r="BF127" s="51">
        <f>127</f>
        <v>127</v>
      </c>
      <c r="BH127" s="51">
        <f t="shared" ref="BH127:BH135" si="59">F127*AO127</f>
        <v>0</v>
      </c>
      <c r="BI127" s="51">
        <f t="shared" ref="BI127:BI135" si="60">F127*AP127</f>
        <v>0</v>
      </c>
      <c r="BJ127" s="51">
        <f t="shared" ref="BJ127:BJ135" si="61">F127*G127</f>
        <v>0</v>
      </c>
      <c r="BK127" s="51"/>
      <c r="BL127" s="51">
        <v>725</v>
      </c>
      <c r="BW127" s="51">
        <v>12</v>
      </c>
      <c r="BX127" s="3" t="s">
        <v>394</v>
      </c>
    </row>
    <row r="128" spans="1:76">
      <c r="A128" s="1" t="s">
        <v>186</v>
      </c>
      <c r="B128" s="2" t="s">
        <v>397</v>
      </c>
      <c r="C128" s="75" t="s">
        <v>398</v>
      </c>
      <c r="D128" s="70"/>
      <c r="E128" s="2" t="s">
        <v>395</v>
      </c>
      <c r="F128" s="51">
        <v>1</v>
      </c>
      <c r="G128" s="52">
        <v>0</v>
      </c>
      <c r="H128" s="51">
        <f t="shared" si="40"/>
        <v>0</v>
      </c>
      <c r="J128" s="41"/>
      <c r="Z128" s="51">
        <f t="shared" si="41"/>
        <v>0</v>
      </c>
      <c r="AB128" s="51">
        <f t="shared" si="42"/>
        <v>0</v>
      </c>
      <c r="AC128" s="51">
        <f t="shared" si="43"/>
        <v>0</v>
      </c>
      <c r="AD128" s="51">
        <f t="shared" si="44"/>
        <v>0</v>
      </c>
      <c r="AE128" s="51">
        <f t="shared" si="45"/>
        <v>0</v>
      </c>
      <c r="AF128" s="51">
        <f t="shared" si="46"/>
        <v>0</v>
      </c>
      <c r="AG128" s="51">
        <f t="shared" si="47"/>
        <v>0</v>
      </c>
      <c r="AH128" s="51">
        <f t="shared" si="48"/>
        <v>0</v>
      </c>
      <c r="AI128" s="35" t="s">
        <v>4</v>
      </c>
      <c r="AJ128" s="51">
        <f t="shared" si="49"/>
        <v>0</v>
      </c>
      <c r="AK128" s="51">
        <f t="shared" si="50"/>
        <v>0</v>
      </c>
      <c r="AL128" s="51">
        <f t="shared" si="51"/>
        <v>0</v>
      </c>
      <c r="AN128" s="51">
        <v>12</v>
      </c>
      <c r="AO128" s="51">
        <f t="shared" si="52"/>
        <v>0</v>
      </c>
      <c r="AP128" s="51">
        <f t="shared" si="53"/>
        <v>0</v>
      </c>
      <c r="AQ128" s="53" t="s">
        <v>156</v>
      </c>
      <c r="AV128" s="51">
        <f t="shared" si="54"/>
        <v>0</v>
      </c>
      <c r="AW128" s="51">
        <f t="shared" si="55"/>
        <v>0</v>
      </c>
      <c r="AX128" s="51">
        <f t="shared" si="56"/>
        <v>0</v>
      </c>
      <c r="AY128" s="53" t="s">
        <v>396</v>
      </c>
      <c r="AZ128" s="53" t="s">
        <v>316</v>
      </c>
      <c r="BA128" s="35" t="s">
        <v>118</v>
      </c>
      <c r="BC128" s="51">
        <f t="shared" si="57"/>
        <v>0</v>
      </c>
      <c r="BD128" s="51">
        <f t="shared" si="58"/>
        <v>0</v>
      </c>
      <c r="BE128" s="51">
        <v>0</v>
      </c>
      <c r="BF128" s="51">
        <f>128</f>
        <v>128</v>
      </c>
      <c r="BH128" s="51">
        <f t="shared" si="59"/>
        <v>0</v>
      </c>
      <c r="BI128" s="51">
        <f t="shared" si="60"/>
        <v>0</v>
      </c>
      <c r="BJ128" s="51">
        <f t="shared" si="61"/>
        <v>0</v>
      </c>
      <c r="BK128" s="51"/>
      <c r="BL128" s="51">
        <v>725</v>
      </c>
      <c r="BW128" s="51">
        <v>12</v>
      </c>
      <c r="BX128" s="3" t="s">
        <v>398</v>
      </c>
    </row>
    <row r="129" spans="1:76">
      <c r="A129" s="1" t="s">
        <v>399</v>
      </c>
      <c r="B129" s="2" t="s">
        <v>400</v>
      </c>
      <c r="C129" s="75" t="s">
        <v>401</v>
      </c>
      <c r="D129" s="70"/>
      <c r="E129" s="2" t="s">
        <v>115</v>
      </c>
      <c r="F129" s="51">
        <v>1</v>
      </c>
      <c r="G129" s="52">
        <v>0</v>
      </c>
      <c r="H129" s="51">
        <f t="shared" si="40"/>
        <v>0</v>
      </c>
      <c r="J129" s="41"/>
      <c r="Z129" s="51">
        <f t="shared" si="41"/>
        <v>0</v>
      </c>
      <c r="AB129" s="51">
        <f t="shared" si="42"/>
        <v>0</v>
      </c>
      <c r="AC129" s="51">
        <f t="shared" si="43"/>
        <v>0</v>
      </c>
      <c r="AD129" s="51">
        <f t="shared" si="44"/>
        <v>0</v>
      </c>
      <c r="AE129" s="51">
        <f t="shared" si="45"/>
        <v>0</v>
      </c>
      <c r="AF129" s="51">
        <f t="shared" si="46"/>
        <v>0</v>
      </c>
      <c r="AG129" s="51">
        <f t="shared" si="47"/>
        <v>0</v>
      </c>
      <c r="AH129" s="51">
        <f t="shared" si="48"/>
        <v>0</v>
      </c>
      <c r="AI129" s="35" t="s">
        <v>4</v>
      </c>
      <c r="AJ129" s="51">
        <f t="shared" si="49"/>
        <v>0</v>
      </c>
      <c r="AK129" s="51">
        <f t="shared" si="50"/>
        <v>0</v>
      </c>
      <c r="AL129" s="51">
        <f t="shared" si="51"/>
        <v>0</v>
      </c>
      <c r="AN129" s="51">
        <v>12</v>
      </c>
      <c r="AO129" s="51">
        <f t="shared" si="52"/>
        <v>0</v>
      </c>
      <c r="AP129" s="51">
        <f t="shared" si="53"/>
        <v>0</v>
      </c>
      <c r="AQ129" s="53" t="s">
        <v>156</v>
      </c>
      <c r="AV129" s="51">
        <f t="shared" si="54"/>
        <v>0</v>
      </c>
      <c r="AW129" s="51">
        <f t="shared" si="55"/>
        <v>0</v>
      </c>
      <c r="AX129" s="51">
        <f t="shared" si="56"/>
        <v>0</v>
      </c>
      <c r="AY129" s="53" t="s">
        <v>396</v>
      </c>
      <c r="AZ129" s="53" t="s">
        <v>316</v>
      </c>
      <c r="BA129" s="35" t="s">
        <v>118</v>
      </c>
      <c r="BC129" s="51">
        <f t="shared" si="57"/>
        <v>0</v>
      </c>
      <c r="BD129" s="51">
        <f t="shared" si="58"/>
        <v>0</v>
      </c>
      <c r="BE129" s="51">
        <v>0</v>
      </c>
      <c r="BF129" s="51">
        <f>129</f>
        <v>129</v>
      </c>
      <c r="BH129" s="51">
        <f t="shared" si="59"/>
        <v>0</v>
      </c>
      <c r="BI129" s="51">
        <f t="shared" si="60"/>
        <v>0</v>
      </c>
      <c r="BJ129" s="51">
        <f t="shared" si="61"/>
        <v>0</v>
      </c>
      <c r="BK129" s="51"/>
      <c r="BL129" s="51">
        <v>725</v>
      </c>
      <c r="BW129" s="51">
        <v>12</v>
      </c>
      <c r="BX129" s="3" t="s">
        <v>401</v>
      </c>
    </row>
    <row r="130" spans="1:76">
      <c r="A130" s="1" t="s">
        <v>402</v>
      </c>
      <c r="B130" s="2" t="s">
        <v>403</v>
      </c>
      <c r="C130" s="75" t="s">
        <v>404</v>
      </c>
      <c r="D130" s="70"/>
      <c r="E130" s="2" t="s">
        <v>395</v>
      </c>
      <c r="F130" s="51">
        <v>2</v>
      </c>
      <c r="G130" s="52">
        <v>0</v>
      </c>
      <c r="H130" s="51">
        <f t="shared" si="40"/>
        <v>0</v>
      </c>
      <c r="J130" s="41"/>
      <c r="Z130" s="51">
        <f t="shared" si="41"/>
        <v>0</v>
      </c>
      <c r="AB130" s="51">
        <f t="shared" si="42"/>
        <v>0</v>
      </c>
      <c r="AC130" s="51">
        <f t="shared" si="43"/>
        <v>0</v>
      </c>
      <c r="AD130" s="51">
        <f t="shared" si="44"/>
        <v>0</v>
      </c>
      <c r="AE130" s="51">
        <f t="shared" si="45"/>
        <v>0</v>
      </c>
      <c r="AF130" s="51">
        <f t="shared" si="46"/>
        <v>0</v>
      </c>
      <c r="AG130" s="51">
        <f t="shared" si="47"/>
        <v>0</v>
      </c>
      <c r="AH130" s="51">
        <f t="shared" si="48"/>
        <v>0</v>
      </c>
      <c r="AI130" s="35" t="s">
        <v>4</v>
      </c>
      <c r="AJ130" s="51">
        <f t="shared" si="49"/>
        <v>0</v>
      </c>
      <c r="AK130" s="51">
        <f t="shared" si="50"/>
        <v>0</v>
      </c>
      <c r="AL130" s="51">
        <f t="shared" si="51"/>
        <v>0</v>
      </c>
      <c r="AN130" s="51">
        <v>12</v>
      </c>
      <c r="AO130" s="51">
        <f t="shared" si="52"/>
        <v>0</v>
      </c>
      <c r="AP130" s="51">
        <f t="shared" si="53"/>
        <v>0</v>
      </c>
      <c r="AQ130" s="53" t="s">
        <v>156</v>
      </c>
      <c r="AV130" s="51">
        <f t="shared" si="54"/>
        <v>0</v>
      </c>
      <c r="AW130" s="51">
        <f t="shared" si="55"/>
        <v>0</v>
      </c>
      <c r="AX130" s="51">
        <f t="shared" si="56"/>
        <v>0</v>
      </c>
      <c r="AY130" s="53" t="s">
        <v>396</v>
      </c>
      <c r="AZ130" s="53" t="s">
        <v>316</v>
      </c>
      <c r="BA130" s="35" t="s">
        <v>118</v>
      </c>
      <c r="BC130" s="51">
        <f t="shared" si="57"/>
        <v>0</v>
      </c>
      <c r="BD130" s="51">
        <f t="shared" si="58"/>
        <v>0</v>
      </c>
      <c r="BE130" s="51">
        <v>0</v>
      </c>
      <c r="BF130" s="51">
        <f>130</f>
        <v>130</v>
      </c>
      <c r="BH130" s="51">
        <f t="shared" si="59"/>
        <v>0</v>
      </c>
      <c r="BI130" s="51">
        <f t="shared" si="60"/>
        <v>0</v>
      </c>
      <c r="BJ130" s="51">
        <f t="shared" si="61"/>
        <v>0</v>
      </c>
      <c r="BK130" s="51"/>
      <c r="BL130" s="51">
        <v>725</v>
      </c>
      <c r="BW130" s="51">
        <v>12</v>
      </c>
      <c r="BX130" s="3" t="s">
        <v>404</v>
      </c>
    </row>
    <row r="131" spans="1:76">
      <c r="A131" s="1" t="s">
        <v>405</v>
      </c>
      <c r="B131" s="2" t="s">
        <v>406</v>
      </c>
      <c r="C131" s="75" t="s">
        <v>407</v>
      </c>
      <c r="D131" s="70"/>
      <c r="E131" s="2" t="s">
        <v>115</v>
      </c>
      <c r="F131" s="51">
        <v>3</v>
      </c>
      <c r="G131" s="52">
        <v>0</v>
      </c>
      <c r="H131" s="51">
        <f t="shared" si="40"/>
        <v>0</v>
      </c>
      <c r="J131" s="41"/>
      <c r="Z131" s="51">
        <f t="shared" si="41"/>
        <v>0</v>
      </c>
      <c r="AB131" s="51">
        <f t="shared" si="42"/>
        <v>0</v>
      </c>
      <c r="AC131" s="51">
        <f t="shared" si="43"/>
        <v>0</v>
      </c>
      <c r="AD131" s="51">
        <f t="shared" si="44"/>
        <v>0</v>
      </c>
      <c r="AE131" s="51">
        <f t="shared" si="45"/>
        <v>0</v>
      </c>
      <c r="AF131" s="51">
        <f t="shared" si="46"/>
        <v>0</v>
      </c>
      <c r="AG131" s="51">
        <f t="shared" si="47"/>
        <v>0</v>
      </c>
      <c r="AH131" s="51">
        <f t="shared" si="48"/>
        <v>0</v>
      </c>
      <c r="AI131" s="35" t="s">
        <v>4</v>
      </c>
      <c r="AJ131" s="51">
        <f t="shared" si="49"/>
        <v>0</v>
      </c>
      <c r="AK131" s="51">
        <f t="shared" si="50"/>
        <v>0</v>
      </c>
      <c r="AL131" s="51">
        <f t="shared" si="51"/>
        <v>0</v>
      </c>
      <c r="AN131" s="51">
        <v>12</v>
      </c>
      <c r="AO131" s="51">
        <f t="shared" si="52"/>
        <v>0</v>
      </c>
      <c r="AP131" s="51">
        <f t="shared" si="53"/>
        <v>0</v>
      </c>
      <c r="AQ131" s="53" t="s">
        <v>156</v>
      </c>
      <c r="AV131" s="51">
        <f t="shared" si="54"/>
        <v>0</v>
      </c>
      <c r="AW131" s="51">
        <f t="shared" si="55"/>
        <v>0</v>
      </c>
      <c r="AX131" s="51">
        <f t="shared" si="56"/>
        <v>0</v>
      </c>
      <c r="AY131" s="53" t="s">
        <v>396</v>
      </c>
      <c r="AZ131" s="53" t="s">
        <v>316</v>
      </c>
      <c r="BA131" s="35" t="s">
        <v>118</v>
      </c>
      <c r="BC131" s="51">
        <f t="shared" si="57"/>
        <v>0</v>
      </c>
      <c r="BD131" s="51">
        <f t="shared" si="58"/>
        <v>0</v>
      </c>
      <c r="BE131" s="51">
        <v>0</v>
      </c>
      <c r="BF131" s="51">
        <f>131</f>
        <v>131</v>
      </c>
      <c r="BH131" s="51">
        <f t="shared" si="59"/>
        <v>0</v>
      </c>
      <c r="BI131" s="51">
        <f t="shared" si="60"/>
        <v>0</v>
      </c>
      <c r="BJ131" s="51">
        <f t="shared" si="61"/>
        <v>0</v>
      </c>
      <c r="BK131" s="51"/>
      <c r="BL131" s="51">
        <v>725</v>
      </c>
      <c r="BW131" s="51">
        <v>12</v>
      </c>
      <c r="BX131" s="3" t="s">
        <v>407</v>
      </c>
    </row>
    <row r="132" spans="1:76">
      <c r="A132" s="1" t="s">
        <v>408</v>
      </c>
      <c r="B132" s="2" t="s">
        <v>409</v>
      </c>
      <c r="C132" s="75" t="s">
        <v>410</v>
      </c>
      <c r="D132" s="70"/>
      <c r="E132" s="2" t="s">
        <v>395</v>
      </c>
      <c r="F132" s="51">
        <v>1</v>
      </c>
      <c r="G132" s="52">
        <v>0</v>
      </c>
      <c r="H132" s="51">
        <f t="shared" si="40"/>
        <v>0</v>
      </c>
      <c r="J132" s="41"/>
      <c r="Z132" s="51">
        <f t="shared" si="41"/>
        <v>0</v>
      </c>
      <c r="AB132" s="51">
        <f t="shared" si="42"/>
        <v>0</v>
      </c>
      <c r="AC132" s="51">
        <f t="shared" si="43"/>
        <v>0</v>
      </c>
      <c r="AD132" s="51">
        <f t="shared" si="44"/>
        <v>0</v>
      </c>
      <c r="AE132" s="51">
        <f t="shared" si="45"/>
        <v>0</v>
      </c>
      <c r="AF132" s="51">
        <f t="shared" si="46"/>
        <v>0</v>
      </c>
      <c r="AG132" s="51">
        <f t="shared" si="47"/>
        <v>0</v>
      </c>
      <c r="AH132" s="51">
        <f t="shared" si="48"/>
        <v>0</v>
      </c>
      <c r="AI132" s="35" t="s">
        <v>4</v>
      </c>
      <c r="AJ132" s="51">
        <f t="shared" si="49"/>
        <v>0</v>
      </c>
      <c r="AK132" s="51">
        <f t="shared" si="50"/>
        <v>0</v>
      </c>
      <c r="AL132" s="51">
        <f t="shared" si="51"/>
        <v>0</v>
      </c>
      <c r="AN132" s="51">
        <v>12</v>
      </c>
      <c r="AO132" s="51">
        <f t="shared" si="52"/>
        <v>0</v>
      </c>
      <c r="AP132" s="51">
        <f t="shared" si="53"/>
        <v>0</v>
      </c>
      <c r="AQ132" s="53" t="s">
        <v>156</v>
      </c>
      <c r="AV132" s="51">
        <f t="shared" si="54"/>
        <v>0</v>
      </c>
      <c r="AW132" s="51">
        <f t="shared" si="55"/>
        <v>0</v>
      </c>
      <c r="AX132" s="51">
        <f t="shared" si="56"/>
        <v>0</v>
      </c>
      <c r="AY132" s="53" t="s">
        <v>396</v>
      </c>
      <c r="AZ132" s="53" t="s">
        <v>316</v>
      </c>
      <c r="BA132" s="35" t="s">
        <v>118</v>
      </c>
      <c r="BC132" s="51">
        <f t="shared" si="57"/>
        <v>0</v>
      </c>
      <c r="BD132" s="51">
        <f t="shared" si="58"/>
        <v>0</v>
      </c>
      <c r="BE132" s="51">
        <v>0</v>
      </c>
      <c r="BF132" s="51">
        <f>132</f>
        <v>132</v>
      </c>
      <c r="BH132" s="51">
        <f t="shared" si="59"/>
        <v>0</v>
      </c>
      <c r="BI132" s="51">
        <f t="shared" si="60"/>
        <v>0</v>
      </c>
      <c r="BJ132" s="51">
        <f t="shared" si="61"/>
        <v>0</v>
      </c>
      <c r="BK132" s="51"/>
      <c r="BL132" s="51">
        <v>725</v>
      </c>
      <c r="BW132" s="51">
        <v>12</v>
      </c>
      <c r="BX132" s="3" t="s">
        <v>410</v>
      </c>
    </row>
    <row r="133" spans="1:76">
      <c r="A133" s="1" t="s">
        <v>411</v>
      </c>
      <c r="B133" s="2" t="s">
        <v>412</v>
      </c>
      <c r="C133" s="75" t="s">
        <v>413</v>
      </c>
      <c r="D133" s="70"/>
      <c r="E133" s="2" t="s">
        <v>395</v>
      </c>
      <c r="F133" s="51">
        <v>3</v>
      </c>
      <c r="G133" s="52">
        <v>0</v>
      </c>
      <c r="H133" s="51">
        <f t="shared" si="40"/>
        <v>0</v>
      </c>
      <c r="J133" s="41"/>
      <c r="Z133" s="51">
        <f t="shared" si="41"/>
        <v>0</v>
      </c>
      <c r="AB133" s="51">
        <f t="shared" si="42"/>
        <v>0</v>
      </c>
      <c r="AC133" s="51">
        <f t="shared" si="43"/>
        <v>0</v>
      </c>
      <c r="AD133" s="51">
        <f t="shared" si="44"/>
        <v>0</v>
      </c>
      <c r="AE133" s="51">
        <f t="shared" si="45"/>
        <v>0</v>
      </c>
      <c r="AF133" s="51">
        <f t="shared" si="46"/>
        <v>0</v>
      </c>
      <c r="AG133" s="51">
        <f t="shared" si="47"/>
        <v>0</v>
      </c>
      <c r="AH133" s="51">
        <f t="shared" si="48"/>
        <v>0</v>
      </c>
      <c r="AI133" s="35" t="s">
        <v>4</v>
      </c>
      <c r="AJ133" s="51">
        <f t="shared" si="49"/>
        <v>0</v>
      </c>
      <c r="AK133" s="51">
        <f t="shared" si="50"/>
        <v>0</v>
      </c>
      <c r="AL133" s="51">
        <f t="shared" si="51"/>
        <v>0</v>
      </c>
      <c r="AN133" s="51">
        <v>12</v>
      </c>
      <c r="AO133" s="51">
        <f t="shared" si="52"/>
        <v>0</v>
      </c>
      <c r="AP133" s="51">
        <f t="shared" si="53"/>
        <v>0</v>
      </c>
      <c r="AQ133" s="53" t="s">
        <v>156</v>
      </c>
      <c r="AV133" s="51">
        <f t="shared" si="54"/>
        <v>0</v>
      </c>
      <c r="AW133" s="51">
        <f t="shared" si="55"/>
        <v>0</v>
      </c>
      <c r="AX133" s="51">
        <f t="shared" si="56"/>
        <v>0</v>
      </c>
      <c r="AY133" s="53" t="s">
        <v>396</v>
      </c>
      <c r="AZ133" s="53" t="s">
        <v>316</v>
      </c>
      <c r="BA133" s="35" t="s">
        <v>118</v>
      </c>
      <c r="BC133" s="51">
        <f t="shared" si="57"/>
        <v>0</v>
      </c>
      <c r="BD133" s="51">
        <f t="shared" si="58"/>
        <v>0</v>
      </c>
      <c r="BE133" s="51">
        <v>0</v>
      </c>
      <c r="BF133" s="51">
        <f>133</f>
        <v>133</v>
      </c>
      <c r="BH133" s="51">
        <f t="shared" si="59"/>
        <v>0</v>
      </c>
      <c r="BI133" s="51">
        <f t="shared" si="60"/>
        <v>0</v>
      </c>
      <c r="BJ133" s="51">
        <f t="shared" si="61"/>
        <v>0</v>
      </c>
      <c r="BK133" s="51"/>
      <c r="BL133" s="51">
        <v>725</v>
      </c>
      <c r="BW133" s="51">
        <v>12</v>
      </c>
      <c r="BX133" s="3" t="s">
        <v>413</v>
      </c>
    </row>
    <row r="134" spans="1:76">
      <c r="A134" s="1" t="s">
        <v>414</v>
      </c>
      <c r="B134" s="2" t="s">
        <v>406</v>
      </c>
      <c r="C134" s="75" t="s">
        <v>407</v>
      </c>
      <c r="D134" s="70"/>
      <c r="E134" s="2" t="s">
        <v>115</v>
      </c>
      <c r="F134" s="51">
        <v>3</v>
      </c>
      <c r="G134" s="52">
        <v>0</v>
      </c>
      <c r="H134" s="51">
        <f t="shared" si="40"/>
        <v>0</v>
      </c>
      <c r="J134" s="41"/>
      <c r="Z134" s="51">
        <f t="shared" si="41"/>
        <v>0</v>
      </c>
      <c r="AB134" s="51">
        <f t="shared" si="42"/>
        <v>0</v>
      </c>
      <c r="AC134" s="51">
        <f t="shared" si="43"/>
        <v>0</v>
      </c>
      <c r="AD134" s="51">
        <f t="shared" si="44"/>
        <v>0</v>
      </c>
      <c r="AE134" s="51">
        <f t="shared" si="45"/>
        <v>0</v>
      </c>
      <c r="AF134" s="51">
        <f t="shared" si="46"/>
        <v>0</v>
      </c>
      <c r="AG134" s="51">
        <f t="shared" si="47"/>
        <v>0</v>
      </c>
      <c r="AH134" s="51">
        <f t="shared" si="48"/>
        <v>0</v>
      </c>
      <c r="AI134" s="35" t="s">
        <v>4</v>
      </c>
      <c r="AJ134" s="51">
        <f t="shared" si="49"/>
        <v>0</v>
      </c>
      <c r="AK134" s="51">
        <f t="shared" si="50"/>
        <v>0</v>
      </c>
      <c r="AL134" s="51">
        <f t="shared" si="51"/>
        <v>0</v>
      </c>
      <c r="AN134" s="51">
        <v>12</v>
      </c>
      <c r="AO134" s="51">
        <f t="shared" si="52"/>
        <v>0</v>
      </c>
      <c r="AP134" s="51">
        <f t="shared" si="53"/>
        <v>0</v>
      </c>
      <c r="AQ134" s="53" t="s">
        <v>156</v>
      </c>
      <c r="AV134" s="51">
        <f t="shared" si="54"/>
        <v>0</v>
      </c>
      <c r="AW134" s="51">
        <f t="shared" si="55"/>
        <v>0</v>
      </c>
      <c r="AX134" s="51">
        <f t="shared" si="56"/>
        <v>0</v>
      </c>
      <c r="AY134" s="53" t="s">
        <v>396</v>
      </c>
      <c r="AZ134" s="53" t="s">
        <v>316</v>
      </c>
      <c r="BA134" s="35" t="s">
        <v>118</v>
      </c>
      <c r="BC134" s="51">
        <f t="shared" si="57"/>
        <v>0</v>
      </c>
      <c r="BD134" s="51">
        <f t="shared" si="58"/>
        <v>0</v>
      </c>
      <c r="BE134" s="51">
        <v>0</v>
      </c>
      <c r="BF134" s="51">
        <f>134</f>
        <v>134</v>
      </c>
      <c r="BH134" s="51">
        <f t="shared" si="59"/>
        <v>0</v>
      </c>
      <c r="BI134" s="51">
        <f t="shared" si="60"/>
        <v>0</v>
      </c>
      <c r="BJ134" s="51">
        <f t="shared" si="61"/>
        <v>0</v>
      </c>
      <c r="BK134" s="51"/>
      <c r="BL134" s="51">
        <v>725</v>
      </c>
      <c r="BW134" s="51">
        <v>12</v>
      </c>
      <c r="BX134" s="3" t="s">
        <v>407</v>
      </c>
    </row>
    <row r="135" spans="1:76">
      <c r="A135" s="1" t="s">
        <v>415</v>
      </c>
      <c r="B135" s="2" t="s">
        <v>416</v>
      </c>
      <c r="C135" s="75" t="s">
        <v>417</v>
      </c>
      <c r="D135" s="70"/>
      <c r="E135" s="2" t="s">
        <v>115</v>
      </c>
      <c r="F135" s="51">
        <v>1</v>
      </c>
      <c r="G135" s="52">
        <v>0</v>
      </c>
      <c r="H135" s="51">
        <f t="shared" si="40"/>
        <v>0</v>
      </c>
      <c r="J135" s="41"/>
      <c r="Z135" s="51">
        <f t="shared" si="41"/>
        <v>0</v>
      </c>
      <c r="AB135" s="51">
        <f t="shared" si="42"/>
        <v>0</v>
      </c>
      <c r="AC135" s="51">
        <f t="shared" si="43"/>
        <v>0</v>
      </c>
      <c r="AD135" s="51">
        <f t="shared" si="44"/>
        <v>0</v>
      </c>
      <c r="AE135" s="51">
        <f t="shared" si="45"/>
        <v>0</v>
      </c>
      <c r="AF135" s="51">
        <f t="shared" si="46"/>
        <v>0</v>
      </c>
      <c r="AG135" s="51">
        <f t="shared" si="47"/>
        <v>0</v>
      </c>
      <c r="AH135" s="51">
        <f t="shared" si="48"/>
        <v>0</v>
      </c>
      <c r="AI135" s="35" t="s">
        <v>4</v>
      </c>
      <c r="AJ135" s="51">
        <f t="shared" si="49"/>
        <v>0</v>
      </c>
      <c r="AK135" s="51">
        <f t="shared" si="50"/>
        <v>0</v>
      </c>
      <c r="AL135" s="51">
        <f t="shared" si="51"/>
        <v>0</v>
      </c>
      <c r="AN135" s="51">
        <v>12</v>
      </c>
      <c r="AO135" s="51">
        <f t="shared" si="52"/>
        <v>0</v>
      </c>
      <c r="AP135" s="51">
        <f t="shared" si="53"/>
        <v>0</v>
      </c>
      <c r="AQ135" s="53" t="s">
        <v>156</v>
      </c>
      <c r="AV135" s="51">
        <f t="shared" si="54"/>
        <v>0</v>
      </c>
      <c r="AW135" s="51">
        <f t="shared" si="55"/>
        <v>0</v>
      </c>
      <c r="AX135" s="51">
        <f t="shared" si="56"/>
        <v>0</v>
      </c>
      <c r="AY135" s="53" t="s">
        <v>396</v>
      </c>
      <c r="AZ135" s="53" t="s">
        <v>316</v>
      </c>
      <c r="BA135" s="35" t="s">
        <v>118</v>
      </c>
      <c r="BC135" s="51">
        <f t="shared" si="57"/>
        <v>0</v>
      </c>
      <c r="BD135" s="51">
        <f t="shared" si="58"/>
        <v>0</v>
      </c>
      <c r="BE135" s="51">
        <v>0</v>
      </c>
      <c r="BF135" s="51">
        <f>135</f>
        <v>135</v>
      </c>
      <c r="BH135" s="51">
        <f t="shared" si="59"/>
        <v>0</v>
      </c>
      <c r="BI135" s="51">
        <f t="shared" si="60"/>
        <v>0</v>
      </c>
      <c r="BJ135" s="51">
        <f t="shared" si="61"/>
        <v>0</v>
      </c>
      <c r="BK135" s="51"/>
      <c r="BL135" s="51">
        <v>725</v>
      </c>
      <c r="BW135" s="51">
        <v>12</v>
      </c>
      <c r="BX135" s="3" t="s">
        <v>417</v>
      </c>
    </row>
    <row r="136" spans="1:76">
      <c r="A136" s="54"/>
      <c r="C136" s="56" t="s">
        <v>112</v>
      </c>
      <c r="D136" s="57" t="s">
        <v>418</v>
      </c>
      <c r="F136" s="58">
        <v>1</v>
      </c>
      <c r="J136" s="41"/>
    </row>
    <row r="137" spans="1:76">
      <c r="A137" s="1" t="s">
        <v>419</v>
      </c>
      <c r="B137" s="2" t="s">
        <v>420</v>
      </c>
      <c r="C137" s="75" t="s">
        <v>421</v>
      </c>
      <c r="D137" s="70"/>
      <c r="E137" s="2" t="s">
        <v>395</v>
      </c>
      <c r="F137" s="51">
        <v>1</v>
      </c>
      <c r="G137" s="52">
        <v>0</v>
      </c>
      <c r="H137" s="51">
        <f t="shared" ref="H137:H155" si="62">F137*G137</f>
        <v>0</v>
      </c>
      <c r="J137" s="41"/>
      <c r="Z137" s="51">
        <f t="shared" ref="Z137:Z155" si="63">IF(AQ137="5",BJ137,0)</f>
        <v>0</v>
      </c>
      <c r="AB137" s="51">
        <f t="shared" ref="AB137:AB155" si="64">IF(AQ137="1",BH137,0)</f>
        <v>0</v>
      </c>
      <c r="AC137" s="51">
        <f t="shared" ref="AC137:AC155" si="65">IF(AQ137="1",BI137,0)</f>
        <v>0</v>
      </c>
      <c r="AD137" s="51">
        <f t="shared" ref="AD137:AD155" si="66">IF(AQ137="7",BH137,0)</f>
        <v>0</v>
      </c>
      <c r="AE137" s="51">
        <f t="shared" ref="AE137:AE155" si="67">IF(AQ137="7",BI137,0)</f>
        <v>0</v>
      </c>
      <c r="AF137" s="51">
        <f t="shared" ref="AF137:AF155" si="68">IF(AQ137="2",BH137,0)</f>
        <v>0</v>
      </c>
      <c r="AG137" s="51">
        <f t="shared" ref="AG137:AG155" si="69">IF(AQ137="2",BI137,0)</f>
        <v>0</v>
      </c>
      <c r="AH137" s="51">
        <f t="shared" ref="AH137:AH155" si="70">IF(AQ137="0",BJ137,0)</f>
        <v>0</v>
      </c>
      <c r="AI137" s="35" t="s">
        <v>4</v>
      </c>
      <c r="AJ137" s="51">
        <f t="shared" ref="AJ137:AJ155" si="71">IF(AN137=0,H137,0)</f>
        <v>0</v>
      </c>
      <c r="AK137" s="51">
        <f t="shared" ref="AK137:AK155" si="72">IF(AN137=12,H137,0)</f>
        <v>0</v>
      </c>
      <c r="AL137" s="51">
        <f t="shared" ref="AL137:AL155" si="73">IF(AN137=21,H137,0)</f>
        <v>0</v>
      </c>
      <c r="AN137" s="51">
        <v>12</v>
      </c>
      <c r="AO137" s="51">
        <f>G137*0.154873047</f>
        <v>0</v>
      </c>
      <c r="AP137" s="51">
        <f>G137*(1-0.154873047)</f>
        <v>0</v>
      </c>
      <c r="AQ137" s="53" t="s">
        <v>156</v>
      </c>
      <c r="AV137" s="51">
        <f t="shared" ref="AV137:AV155" si="74">AW137+AX137</f>
        <v>0</v>
      </c>
      <c r="AW137" s="51">
        <f t="shared" ref="AW137:AW155" si="75">F137*AO137</f>
        <v>0</v>
      </c>
      <c r="AX137" s="51">
        <f t="shared" ref="AX137:AX155" si="76">F137*AP137</f>
        <v>0</v>
      </c>
      <c r="AY137" s="53" t="s">
        <v>396</v>
      </c>
      <c r="AZ137" s="53" t="s">
        <v>316</v>
      </c>
      <c r="BA137" s="35" t="s">
        <v>118</v>
      </c>
      <c r="BC137" s="51">
        <f t="shared" ref="BC137:BC155" si="77">AW137+AX137</f>
        <v>0</v>
      </c>
      <c r="BD137" s="51">
        <f t="shared" ref="BD137:BD155" si="78">G137/(100-BE137)*100</f>
        <v>0</v>
      </c>
      <c r="BE137" s="51">
        <v>0</v>
      </c>
      <c r="BF137" s="51">
        <f>137</f>
        <v>137</v>
      </c>
      <c r="BH137" s="51">
        <f t="shared" ref="BH137:BH155" si="79">F137*AO137</f>
        <v>0</v>
      </c>
      <c r="BI137" s="51">
        <f t="shared" ref="BI137:BI155" si="80">F137*AP137</f>
        <v>0</v>
      </c>
      <c r="BJ137" s="51">
        <f t="shared" ref="BJ137:BJ155" si="81">F137*G137</f>
        <v>0</v>
      </c>
      <c r="BK137" s="51"/>
      <c r="BL137" s="51">
        <v>725</v>
      </c>
      <c r="BW137" s="51">
        <v>12</v>
      </c>
      <c r="BX137" s="3" t="s">
        <v>421</v>
      </c>
    </row>
    <row r="138" spans="1:76">
      <c r="A138" s="1" t="s">
        <v>422</v>
      </c>
      <c r="B138" s="2" t="s">
        <v>423</v>
      </c>
      <c r="C138" s="75" t="s">
        <v>424</v>
      </c>
      <c r="D138" s="70"/>
      <c r="E138" s="2" t="s">
        <v>395</v>
      </c>
      <c r="F138" s="51">
        <v>1</v>
      </c>
      <c r="G138" s="52">
        <v>0</v>
      </c>
      <c r="H138" s="51">
        <f t="shared" si="62"/>
        <v>0</v>
      </c>
      <c r="J138" s="41"/>
      <c r="Z138" s="51">
        <f t="shared" si="63"/>
        <v>0</v>
      </c>
      <c r="AB138" s="51">
        <f t="shared" si="64"/>
        <v>0</v>
      </c>
      <c r="AC138" s="51">
        <f t="shared" si="65"/>
        <v>0</v>
      </c>
      <c r="AD138" s="51">
        <f t="shared" si="66"/>
        <v>0</v>
      </c>
      <c r="AE138" s="51">
        <f t="shared" si="67"/>
        <v>0</v>
      </c>
      <c r="AF138" s="51">
        <f t="shared" si="68"/>
        <v>0</v>
      </c>
      <c r="AG138" s="51">
        <f t="shared" si="69"/>
        <v>0</v>
      </c>
      <c r="AH138" s="51">
        <f t="shared" si="70"/>
        <v>0</v>
      </c>
      <c r="AI138" s="35" t="s">
        <v>4</v>
      </c>
      <c r="AJ138" s="51">
        <f t="shared" si="71"/>
        <v>0</v>
      </c>
      <c r="AK138" s="51">
        <f t="shared" si="72"/>
        <v>0</v>
      </c>
      <c r="AL138" s="51">
        <f t="shared" si="73"/>
        <v>0</v>
      </c>
      <c r="AN138" s="51">
        <v>12</v>
      </c>
      <c r="AO138" s="51">
        <f>G138*0.689555556</f>
        <v>0</v>
      </c>
      <c r="AP138" s="51">
        <f>G138*(1-0.689555556)</f>
        <v>0</v>
      </c>
      <c r="AQ138" s="53" t="s">
        <v>156</v>
      </c>
      <c r="AV138" s="51">
        <f t="shared" si="74"/>
        <v>0</v>
      </c>
      <c r="AW138" s="51">
        <f t="shared" si="75"/>
        <v>0</v>
      </c>
      <c r="AX138" s="51">
        <f t="shared" si="76"/>
        <v>0</v>
      </c>
      <c r="AY138" s="53" t="s">
        <v>396</v>
      </c>
      <c r="AZ138" s="53" t="s">
        <v>316</v>
      </c>
      <c r="BA138" s="35" t="s">
        <v>118</v>
      </c>
      <c r="BC138" s="51">
        <f t="shared" si="77"/>
        <v>0</v>
      </c>
      <c r="BD138" s="51">
        <f t="shared" si="78"/>
        <v>0</v>
      </c>
      <c r="BE138" s="51">
        <v>0</v>
      </c>
      <c r="BF138" s="51">
        <f>138</f>
        <v>138</v>
      </c>
      <c r="BH138" s="51">
        <f t="shared" si="79"/>
        <v>0</v>
      </c>
      <c r="BI138" s="51">
        <f t="shared" si="80"/>
        <v>0</v>
      </c>
      <c r="BJ138" s="51">
        <f t="shared" si="81"/>
        <v>0</v>
      </c>
      <c r="BK138" s="51"/>
      <c r="BL138" s="51">
        <v>725</v>
      </c>
      <c r="BW138" s="51">
        <v>12</v>
      </c>
      <c r="BX138" s="3" t="s">
        <v>424</v>
      </c>
    </row>
    <row r="139" spans="1:76">
      <c r="A139" s="1" t="s">
        <v>425</v>
      </c>
      <c r="B139" s="2" t="s">
        <v>426</v>
      </c>
      <c r="C139" s="75" t="s">
        <v>427</v>
      </c>
      <c r="D139" s="70"/>
      <c r="E139" s="2" t="s">
        <v>115</v>
      </c>
      <c r="F139" s="51">
        <v>2</v>
      </c>
      <c r="G139" s="52">
        <v>0</v>
      </c>
      <c r="H139" s="51">
        <f t="shared" si="62"/>
        <v>0</v>
      </c>
      <c r="J139" s="41"/>
      <c r="Z139" s="51">
        <f t="shared" si="63"/>
        <v>0</v>
      </c>
      <c r="AB139" s="51">
        <f t="shared" si="64"/>
        <v>0</v>
      </c>
      <c r="AC139" s="51">
        <f t="shared" si="65"/>
        <v>0</v>
      </c>
      <c r="AD139" s="51">
        <f t="shared" si="66"/>
        <v>0</v>
      </c>
      <c r="AE139" s="51">
        <f t="shared" si="67"/>
        <v>0</v>
      </c>
      <c r="AF139" s="51">
        <f t="shared" si="68"/>
        <v>0</v>
      </c>
      <c r="AG139" s="51">
        <f t="shared" si="69"/>
        <v>0</v>
      </c>
      <c r="AH139" s="51">
        <f t="shared" si="70"/>
        <v>0</v>
      </c>
      <c r="AI139" s="35" t="s">
        <v>4</v>
      </c>
      <c r="AJ139" s="51">
        <f t="shared" si="71"/>
        <v>0</v>
      </c>
      <c r="AK139" s="51">
        <f t="shared" si="72"/>
        <v>0</v>
      </c>
      <c r="AL139" s="51">
        <f t="shared" si="73"/>
        <v>0</v>
      </c>
      <c r="AN139" s="51">
        <v>12</v>
      </c>
      <c r="AO139" s="51">
        <f>G139*0.672366589</f>
        <v>0</v>
      </c>
      <c r="AP139" s="51">
        <f>G139*(1-0.672366589)</f>
        <v>0</v>
      </c>
      <c r="AQ139" s="53" t="s">
        <v>156</v>
      </c>
      <c r="AV139" s="51">
        <f t="shared" si="74"/>
        <v>0</v>
      </c>
      <c r="AW139" s="51">
        <f t="shared" si="75"/>
        <v>0</v>
      </c>
      <c r="AX139" s="51">
        <f t="shared" si="76"/>
        <v>0</v>
      </c>
      <c r="AY139" s="53" t="s">
        <v>396</v>
      </c>
      <c r="AZ139" s="53" t="s">
        <v>316</v>
      </c>
      <c r="BA139" s="35" t="s">
        <v>118</v>
      </c>
      <c r="BC139" s="51">
        <f t="shared" si="77"/>
        <v>0</v>
      </c>
      <c r="BD139" s="51">
        <f t="shared" si="78"/>
        <v>0</v>
      </c>
      <c r="BE139" s="51">
        <v>0</v>
      </c>
      <c r="BF139" s="51">
        <f>139</f>
        <v>139</v>
      </c>
      <c r="BH139" s="51">
        <f t="shared" si="79"/>
        <v>0</v>
      </c>
      <c r="BI139" s="51">
        <f t="shared" si="80"/>
        <v>0</v>
      </c>
      <c r="BJ139" s="51">
        <f t="shared" si="81"/>
        <v>0</v>
      </c>
      <c r="BK139" s="51"/>
      <c r="BL139" s="51">
        <v>725</v>
      </c>
      <c r="BW139" s="51">
        <v>12</v>
      </c>
      <c r="BX139" s="3" t="s">
        <v>427</v>
      </c>
    </row>
    <row r="140" spans="1:76">
      <c r="A140" s="1" t="s">
        <v>428</v>
      </c>
      <c r="B140" s="2" t="s">
        <v>429</v>
      </c>
      <c r="C140" s="75" t="s">
        <v>430</v>
      </c>
      <c r="D140" s="70"/>
      <c r="E140" s="2" t="s">
        <v>115</v>
      </c>
      <c r="F140" s="51">
        <v>2</v>
      </c>
      <c r="G140" s="52">
        <v>0</v>
      </c>
      <c r="H140" s="51">
        <f t="shared" si="62"/>
        <v>0</v>
      </c>
      <c r="J140" s="41"/>
      <c r="Z140" s="51">
        <f t="shared" si="63"/>
        <v>0</v>
      </c>
      <c r="AB140" s="51">
        <f t="shared" si="64"/>
        <v>0</v>
      </c>
      <c r="AC140" s="51">
        <f t="shared" si="65"/>
        <v>0</v>
      </c>
      <c r="AD140" s="51">
        <f t="shared" si="66"/>
        <v>0</v>
      </c>
      <c r="AE140" s="51">
        <f t="shared" si="67"/>
        <v>0</v>
      </c>
      <c r="AF140" s="51">
        <f t="shared" si="68"/>
        <v>0</v>
      </c>
      <c r="AG140" s="51">
        <f t="shared" si="69"/>
        <v>0</v>
      </c>
      <c r="AH140" s="51">
        <f t="shared" si="70"/>
        <v>0</v>
      </c>
      <c r="AI140" s="35" t="s">
        <v>4</v>
      </c>
      <c r="AJ140" s="51">
        <f t="shared" si="71"/>
        <v>0</v>
      </c>
      <c r="AK140" s="51">
        <f t="shared" si="72"/>
        <v>0</v>
      </c>
      <c r="AL140" s="51">
        <f t="shared" si="73"/>
        <v>0</v>
      </c>
      <c r="AN140" s="51">
        <v>12</v>
      </c>
      <c r="AO140" s="51">
        <f>G140*0.530083195</f>
        <v>0</v>
      </c>
      <c r="AP140" s="51">
        <f>G140*(1-0.530083195)</f>
        <v>0</v>
      </c>
      <c r="AQ140" s="53" t="s">
        <v>156</v>
      </c>
      <c r="AV140" s="51">
        <f t="shared" si="74"/>
        <v>0</v>
      </c>
      <c r="AW140" s="51">
        <f t="shared" si="75"/>
        <v>0</v>
      </c>
      <c r="AX140" s="51">
        <f t="shared" si="76"/>
        <v>0</v>
      </c>
      <c r="AY140" s="53" t="s">
        <v>396</v>
      </c>
      <c r="AZ140" s="53" t="s">
        <v>316</v>
      </c>
      <c r="BA140" s="35" t="s">
        <v>118</v>
      </c>
      <c r="BC140" s="51">
        <f t="shared" si="77"/>
        <v>0</v>
      </c>
      <c r="BD140" s="51">
        <f t="shared" si="78"/>
        <v>0</v>
      </c>
      <c r="BE140" s="51">
        <v>0</v>
      </c>
      <c r="BF140" s="51">
        <f>140</f>
        <v>140</v>
      </c>
      <c r="BH140" s="51">
        <f t="shared" si="79"/>
        <v>0</v>
      </c>
      <c r="BI140" s="51">
        <f t="shared" si="80"/>
        <v>0</v>
      </c>
      <c r="BJ140" s="51">
        <f t="shared" si="81"/>
        <v>0</v>
      </c>
      <c r="BK140" s="51"/>
      <c r="BL140" s="51">
        <v>725</v>
      </c>
      <c r="BW140" s="51">
        <v>12</v>
      </c>
      <c r="BX140" s="3" t="s">
        <v>430</v>
      </c>
    </row>
    <row r="141" spans="1:76">
      <c r="A141" s="1" t="s">
        <v>431</v>
      </c>
      <c r="B141" s="2" t="s">
        <v>432</v>
      </c>
      <c r="C141" s="75" t="s">
        <v>433</v>
      </c>
      <c r="D141" s="70"/>
      <c r="E141" s="2" t="s">
        <v>115</v>
      </c>
      <c r="F141" s="51">
        <v>2</v>
      </c>
      <c r="G141" s="52">
        <v>0</v>
      </c>
      <c r="H141" s="51">
        <f t="shared" si="62"/>
        <v>0</v>
      </c>
      <c r="J141" s="41"/>
      <c r="Z141" s="51">
        <f t="shared" si="63"/>
        <v>0</v>
      </c>
      <c r="AB141" s="51">
        <f t="shared" si="64"/>
        <v>0</v>
      </c>
      <c r="AC141" s="51">
        <f t="shared" si="65"/>
        <v>0</v>
      </c>
      <c r="AD141" s="51">
        <f t="shared" si="66"/>
        <v>0</v>
      </c>
      <c r="AE141" s="51">
        <f t="shared" si="67"/>
        <v>0</v>
      </c>
      <c r="AF141" s="51">
        <f t="shared" si="68"/>
        <v>0</v>
      </c>
      <c r="AG141" s="51">
        <f t="shared" si="69"/>
        <v>0</v>
      </c>
      <c r="AH141" s="51">
        <f t="shared" si="70"/>
        <v>0</v>
      </c>
      <c r="AI141" s="35" t="s">
        <v>4</v>
      </c>
      <c r="AJ141" s="51">
        <f t="shared" si="71"/>
        <v>0</v>
      </c>
      <c r="AK141" s="51">
        <f t="shared" si="72"/>
        <v>0</v>
      </c>
      <c r="AL141" s="51">
        <f t="shared" si="73"/>
        <v>0</v>
      </c>
      <c r="AN141" s="51">
        <v>12</v>
      </c>
      <c r="AO141" s="51">
        <f>G141*0.033347196</f>
        <v>0</v>
      </c>
      <c r="AP141" s="51">
        <f>G141*(1-0.033347196)</f>
        <v>0</v>
      </c>
      <c r="AQ141" s="53" t="s">
        <v>156</v>
      </c>
      <c r="AV141" s="51">
        <f t="shared" si="74"/>
        <v>0</v>
      </c>
      <c r="AW141" s="51">
        <f t="shared" si="75"/>
        <v>0</v>
      </c>
      <c r="AX141" s="51">
        <f t="shared" si="76"/>
        <v>0</v>
      </c>
      <c r="AY141" s="53" t="s">
        <v>396</v>
      </c>
      <c r="AZ141" s="53" t="s">
        <v>316</v>
      </c>
      <c r="BA141" s="35" t="s">
        <v>118</v>
      </c>
      <c r="BC141" s="51">
        <f t="shared" si="77"/>
        <v>0</v>
      </c>
      <c r="BD141" s="51">
        <f t="shared" si="78"/>
        <v>0</v>
      </c>
      <c r="BE141" s="51">
        <v>0</v>
      </c>
      <c r="BF141" s="51">
        <f>141</f>
        <v>141</v>
      </c>
      <c r="BH141" s="51">
        <f t="shared" si="79"/>
        <v>0</v>
      </c>
      <c r="BI141" s="51">
        <f t="shared" si="80"/>
        <v>0</v>
      </c>
      <c r="BJ141" s="51">
        <f t="shared" si="81"/>
        <v>0</v>
      </c>
      <c r="BK141" s="51"/>
      <c r="BL141" s="51">
        <v>725</v>
      </c>
      <c r="BW141" s="51">
        <v>12</v>
      </c>
      <c r="BX141" s="3" t="s">
        <v>433</v>
      </c>
    </row>
    <row r="142" spans="1:76">
      <c r="A142" s="1" t="s">
        <v>434</v>
      </c>
      <c r="B142" s="2" t="s">
        <v>435</v>
      </c>
      <c r="C142" s="75" t="s">
        <v>436</v>
      </c>
      <c r="D142" s="70"/>
      <c r="E142" s="2" t="s">
        <v>115</v>
      </c>
      <c r="F142" s="51">
        <v>1</v>
      </c>
      <c r="G142" s="52">
        <v>0</v>
      </c>
      <c r="H142" s="51">
        <f t="shared" si="62"/>
        <v>0</v>
      </c>
      <c r="J142" s="41"/>
      <c r="Z142" s="51">
        <f t="shared" si="63"/>
        <v>0</v>
      </c>
      <c r="AB142" s="51">
        <f t="shared" si="64"/>
        <v>0</v>
      </c>
      <c r="AC142" s="51">
        <f t="shared" si="65"/>
        <v>0</v>
      </c>
      <c r="AD142" s="51">
        <f t="shared" si="66"/>
        <v>0</v>
      </c>
      <c r="AE142" s="51">
        <f t="shared" si="67"/>
        <v>0</v>
      </c>
      <c r="AF142" s="51">
        <f t="shared" si="68"/>
        <v>0</v>
      </c>
      <c r="AG142" s="51">
        <f t="shared" si="69"/>
        <v>0</v>
      </c>
      <c r="AH142" s="51">
        <f t="shared" si="70"/>
        <v>0</v>
      </c>
      <c r="AI142" s="35" t="s">
        <v>4</v>
      </c>
      <c r="AJ142" s="51">
        <f t="shared" si="71"/>
        <v>0</v>
      </c>
      <c r="AK142" s="51">
        <f t="shared" si="72"/>
        <v>0</v>
      </c>
      <c r="AL142" s="51">
        <f t="shared" si="73"/>
        <v>0</v>
      </c>
      <c r="AN142" s="51">
        <v>12</v>
      </c>
      <c r="AO142" s="51">
        <f>G142*0.216601901</f>
        <v>0</v>
      </c>
      <c r="AP142" s="51">
        <f>G142*(1-0.216601901)</f>
        <v>0</v>
      </c>
      <c r="AQ142" s="53" t="s">
        <v>156</v>
      </c>
      <c r="AV142" s="51">
        <f t="shared" si="74"/>
        <v>0</v>
      </c>
      <c r="AW142" s="51">
        <f t="shared" si="75"/>
        <v>0</v>
      </c>
      <c r="AX142" s="51">
        <f t="shared" si="76"/>
        <v>0</v>
      </c>
      <c r="AY142" s="53" t="s">
        <v>396</v>
      </c>
      <c r="AZ142" s="53" t="s">
        <v>316</v>
      </c>
      <c r="BA142" s="35" t="s">
        <v>118</v>
      </c>
      <c r="BC142" s="51">
        <f t="shared" si="77"/>
        <v>0</v>
      </c>
      <c r="BD142" s="51">
        <f t="shared" si="78"/>
        <v>0</v>
      </c>
      <c r="BE142" s="51">
        <v>0</v>
      </c>
      <c r="BF142" s="51">
        <f>142</f>
        <v>142</v>
      </c>
      <c r="BH142" s="51">
        <f t="shared" si="79"/>
        <v>0</v>
      </c>
      <c r="BI142" s="51">
        <f t="shared" si="80"/>
        <v>0</v>
      </c>
      <c r="BJ142" s="51">
        <f t="shared" si="81"/>
        <v>0</v>
      </c>
      <c r="BK142" s="51"/>
      <c r="BL142" s="51">
        <v>725</v>
      </c>
      <c r="BW142" s="51">
        <v>12</v>
      </c>
      <c r="BX142" s="3" t="s">
        <v>436</v>
      </c>
    </row>
    <row r="143" spans="1:76">
      <c r="A143" s="1" t="s">
        <v>437</v>
      </c>
      <c r="B143" s="2" t="s">
        <v>438</v>
      </c>
      <c r="C143" s="75" t="s">
        <v>439</v>
      </c>
      <c r="D143" s="70"/>
      <c r="E143" s="2" t="s">
        <v>115</v>
      </c>
      <c r="F143" s="51">
        <v>1</v>
      </c>
      <c r="G143" s="52">
        <v>0</v>
      </c>
      <c r="H143" s="51">
        <f t="shared" si="62"/>
        <v>0</v>
      </c>
      <c r="J143" s="41"/>
      <c r="Z143" s="51">
        <f t="shared" si="63"/>
        <v>0</v>
      </c>
      <c r="AB143" s="51">
        <f t="shared" si="64"/>
        <v>0</v>
      </c>
      <c r="AC143" s="51">
        <f t="shared" si="65"/>
        <v>0</v>
      </c>
      <c r="AD143" s="51">
        <f t="shared" si="66"/>
        <v>0</v>
      </c>
      <c r="AE143" s="51">
        <f t="shared" si="67"/>
        <v>0</v>
      </c>
      <c r="AF143" s="51">
        <f t="shared" si="68"/>
        <v>0</v>
      </c>
      <c r="AG143" s="51">
        <f t="shared" si="69"/>
        <v>0</v>
      </c>
      <c r="AH143" s="51">
        <f t="shared" si="70"/>
        <v>0</v>
      </c>
      <c r="AI143" s="35" t="s">
        <v>4</v>
      </c>
      <c r="AJ143" s="51">
        <f t="shared" si="71"/>
        <v>0</v>
      </c>
      <c r="AK143" s="51">
        <f t="shared" si="72"/>
        <v>0</v>
      </c>
      <c r="AL143" s="51">
        <f t="shared" si="73"/>
        <v>0</v>
      </c>
      <c r="AN143" s="51">
        <v>12</v>
      </c>
      <c r="AO143" s="51">
        <f>G143*0.915036101</f>
        <v>0</v>
      </c>
      <c r="AP143" s="51">
        <f>G143*(1-0.915036101)</f>
        <v>0</v>
      </c>
      <c r="AQ143" s="53" t="s">
        <v>156</v>
      </c>
      <c r="AV143" s="51">
        <f t="shared" si="74"/>
        <v>0</v>
      </c>
      <c r="AW143" s="51">
        <f t="shared" si="75"/>
        <v>0</v>
      </c>
      <c r="AX143" s="51">
        <f t="shared" si="76"/>
        <v>0</v>
      </c>
      <c r="AY143" s="53" t="s">
        <v>396</v>
      </c>
      <c r="AZ143" s="53" t="s">
        <v>316</v>
      </c>
      <c r="BA143" s="35" t="s">
        <v>118</v>
      </c>
      <c r="BC143" s="51">
        <f t="shared" si="77"/>
        <v>0</v>
      </c>
      <c r="BD143" s="51">
        <f t="shared" si="78"/>
        <v>0</v>
      </c>
      <c r="BE143" s="51">
        <v>0</v>
      </c>
      <c r="BF143" s="51">
        <f>143</f>
        <v>143</v>
      </c>
      <c r="BH143" s="51">
        <f t="shared" si="79"/>
        <v>0</v>
      </c>
      <c r="BI143" s="51">
        <f t="shared" si="80"/>
        <v>0</v>
      </c>
      <c r="BJ143" s="51">
        <f t="shared" si="81"/>
        <v>0</v>
      </c>
      <c r="BK143" s="51"/>
      <c r="BL143" s="51">
        <v>725</v>
      </c>
      <c r="BW143" s="51">
        <v>12</v>
      </c>
      <c r="BX143" s="3" t="s">
        <v>439</v>
      </c>
    </row>
    <row r="144" spans="1:76">
      <c r="A144" s="1" t="s">
        <v>440</v>
      </c>
      <c r="B144" s="2" t="s">
        <v>441</v>
      </c>
      <c r="C144" s="75" t="s">
        <v>442</v>
      </c>
      <c r="D144" s="70"/>
      <c r="E144" s="2" t="s">
        <v>115</v>
      </c>
      <c r="F144" s="51">
        <v>1</v>
      </c>
      <c r="G144" s="52">
        <v>0</v>
      </c>
      <c r="H144" s="51">
        <f t="shared" si="62"/>
        <v>0</v>
      </c>
      <c r="J144" s="41"/>
      <c r="Z144" s="51">
        <f t="shared" si="63"/>
        <v>0</v>
      </c>
      <c r="AB144" s="51">
        <f t="shared" si="64"/>
        <v>0</v>
      </c>
      <c r="AC144" s="51">
        <f t="shared" si="65"/>
        <v>0</v>
      </c>
      <c r="AD144" s="51">
        <f t="shared" si="66"/>
        <v>0</v>
      </c>
      <c r="AE144" s="51">
        <f t="shared" si="67"/>
        <v>0</v>
      </c>
      <c r="AF144" s="51">
        <f t="shared" si="68"/>
        <v>0</v>
      </c>
      <c r="AG144" s="51">
        <f t="shared" si="69"/>
        <v>0</v>
      </c>
      <c r="AH144" s="51">
        <f t="shared" si="70"/>
        <v>0</v>
      </c>
      <c r="AI144" s="35" t="s">
        <v>4</v>
      </c>
      <c r="AJ144" s="51">
        <f t="shared" si="71"/>
        <v>0</v>
      </c>
      <c r="AK144" s="51">
        <f t="shared" si="72"/>
        <v>0</v>
      </c>
      <c r="AL144" s="51">
        <f t="shared" si="73"/>
        <v>0</v>
      </c>
      <c r="AN144" s="51">
        <v>12</v>
      </c>
      <c r="AO144" s="51">
        <f>G144*0.828628641</f>
        <v>0</v>
      </c>
      <c r="AP144" s="51">
        <f>G144*(1-0.828628641)</f>
        <v>0</v>
      </c>
      <c r="AQ144" s="53" t="s">
        <v>156</v>
      </c>
      <c r="AV144" s="51">
        <f t="shared" si="74"/>
        <v>0</v>
      </c>
      <c r="AW144" s="51">
        <f t="shared" si="75"/>
        <v>0</v>
      </c>
      <c r="AX144" s="51">
        <f t="shared" si="76"/>
        <v>0</v>
      </c>
      <c r="AY144" s="53" t="s">
        <v>396</v>
      </c>
      <c r="AZ144" s="53" t="s">
        <v>316</v>
      </c>
      <c r="BA144" s="35" t="s">
        <v>118</v>
      </c>
      <c r="BC144" s="51">
        <f t="shared" si="77"/>
        <v>0</v>
      </c>
      <c r="BD144" s="51">
        <f t="shared" si="78"/>
        <v>0</v>
      </c>
      <c r="BE144" s="51">
        <v>0</v>
      </c>
      <c r="BF144" s="51">
        <f>144</f>
        <v>144</v>
      </c>
      <c r="BH144" s="51">
        <f t="shared" si="79"/>
        <v>0</v>
      </c>
      <c r="BI144" s="51">
        <f t="shared" si="80"/>
        <v>0</v>
      </c>
      <c r="BJ144" s="51">
        <f t="shared" si="81"/>
        <v>0</v>
      </c>
      <c r="BK144" s="51"/>
      <c r="BL144" s="51">
        <v>725</v>
      </c>
      <c r="BW144" s="51">
        <v>12</v>
      </c>
      <c r="BX144" s="3" t="s">
        <v>442</v>
      </c>
    </row>
    <row r="145" spans="1:76">
      <c r="A145" s="1" t="s">
        <v>443</v>
      </c>
      <c r="B145" s="2" t="s">
        <v>444</v>
      </c>
      <c r="C145" s="75" t="s">
        <v>445</v>
      </c>
      <c r="D145" s="70"/>
      <c r="E145" s="2" t="s">
        <v>395</v>
      </c>
      <c r="F145" s="51">
        <v>4</v>
      </c>
      <c r="G145" s="52">
        <v>0</v>
      </c>
      <c r="H145" s="51">
        <f t="shared" si="62"/>
        <v>0</v>
      </c>
      <c r="J145" s="41"/>
      <c r="Z145" s="51">
        <f t="shared" si="63"/>
        <v>0</v>
      </c>
      <c r="AB145" s="51">
        <f t="shared" si="64"/>
        <v>0</v>
      </c>
      <c r="AC145" s="51">
        <f t="shared" si="65"/>
        <v>0</v>
      </c>
      <c r="AD145" s="51">
        <f t="shared" si="66"/>
        <v>0</v>
      </c>
      <c r="AE145" s="51">
        <f t="shared" si="67"/>
        <v>0</v>
      </c>
      <c r="AF145" s="51">
        <f t="shared" si="68"/>
        <v>0</v>
      </c>
      <c r="AG145" s="51">
        <f t="shared" si="69"/>
        <v>0</v>
      </c>
      <c r="AH145" s="51">
        <f t="shared" si="70"/>
        <v>0</v>
      </c>
      <c r="AI145" s="35" t="s">
        <v>4</v>
      </c>
      <c r="AJ145" s="51">
        <f t="shared" si="71"/>
        <v>0</v>
      </c>
      <c r="AK145" s="51">
        <f t="shared" si="72"/>
        <v>0</v>
      </c>
      <c r="AL145" s="51">
        <f t="shared" si="73"/>
        <v>0</v>
      </c>
      <c r="AN145" s="51">
        <v>12</v>
      </c>
      <c r="AO145" s="51">
        <f>G145*0.522710623</f>
        <v>0</v>
      </c>
      <c r="AP145" s="51">
        <f>G145*(1-0.522710623)</f>
        <v>0</v>
      </c>
      <c r="AQ145" s="53" t="s">
        <v>156</v>
      </c>
      <c r="AV145" s="51">
        <f t="shared" si="74"/>
        <v>0</v>
      </c>
      <c r="AW145" s="51">
        <f t="shared" si="75"/>
        <v>0</v>
      </c>
      <c r="AX145" s="51">
        <f t="shared" si="76"/>
        <v>0</v>
      </c>
      <c r="AY145" s="53" t="s">
        <v>396</v>
      </c>
      <c r="AZ145" s="53" t="s">
        <v>316</v>
      </c>
      <c r="BA145" s="35" t="s">
        <v>118</v>
      </c>
      <c r="BC145" s="51">
        <f t="shared" si="77"/>
        <v>0</v>
      </c>
      <c r="BD145" s="51">
        <f t="shared" si="78"/>
        <v>0</v>
      </c>
      <c r="BE145" s="51">
        <v>0</v>
      </c>
      <c r="BF145" s="51">
        <f>145</f>
        <v>145</v>
      </c>
      <c r="BH145" s="51">
        <f t="shared" si="79"/>
        <v>0</v>
      </c>
      <c r="BI145" s="51">
        <f t="shared" si="80"/>
        <v>0</v>
      </c>
      <c r="BJ145" s="51">
        <f t="shared" si="81"/>
        <v>0</v>
      </c>
      <c r="BK145" s="51"/>
      <c r="BL145" s="51">
        <v>725</v>
      </c>
      <c r="BW145" s="51">
        <v>12</v>
      </c>
      <c r="BX145" s="3" t="s">
        <v>445</v>
      </c>
    </row>
    <row r="146" spans="1:76">
      <c r="A146" s="1" t="s">
        <v>446</v>
      </c>
      <c r="B146" s="2" t="s">
        <v>447</v>
      </c>
      <c r="C146" s="75" t="s">
        <v>448</v>
      </c>
      <c r="D146" s="70"/>
      <c r="E146" s="2" t="s">
        <v>395</v>
      </c>
      <c r="F146" s="51">
        <v>1</v>
      </c>
      <c r="G146" s="52">
        <v>0</v>
      </c>
      <c r="H146" s="51">
        <f t="shared" si="62"/>
        <v>0</v>
      </c>
      <c r="J146" s="41"/>
      <c r="Z146" s="51">
        <f t="shared" si="63"/>
        <v>0</v>
      </c>
      <c r="AB146" s="51">
        <f t="shared" si="64"/>
        <v>0</v>
      </c>
      <c r="AC146" s="51">
        <f t="shared" si="65"/>
        <v>0</v>
      </c>
      <c r="AD146" s="51">
        <f t="shared" si="66"/>
        <v>0</v>
      </c>
      <c r="AE146" s="51">
        <f t="shared" si="67"/>
        <v>0</v>
      </c>
      <c r="AF146" s="51">
        <f t="shared" si="68"/>
        <v>0</v>
      </c>
      <c r="AG146" s="51">
        <f t="shared" si="69"/>
        <v>0</v>
      </c>
      <c r="AH146" s="51">
        <f t="shared" si="70"/>
        <v>0</v>
      </c>
      <c r="AI146" s="35" t="s">
        <v>4</v>
      </c>
      <c r="AJ146" s="51">
        <f t="shared" si="71"/>
        <v>0</v>
      </c>
      <c r="AK146" s="51">
        <f t="shared" si="72"/>
        <v>0</v>
      </c>
      <c r="AL146" s="51">
        <f t="shared" si="73"/>
        <v>0</v>
      </c>
      <c r="AN146" s="51">
        <v>12</v>
      </c>
      <c r="AO146" s="51">
        <f>G146*0.318425141</f>
        <v>0</v>
      </c>
      <c r="AP146" s="51">
        <f>G146*(1-0.318425141)</f>
        <v>0</v>
      </c>
      <c r="AQ146" s="53" t="s">
        <v>156</v>
      </c>
      <c r="AV146" s="51">
        <f t="shared" si="74"/>
        <v>0</v>
      </c>
      <c r="AW146" s="51">
        <f t="shared" si="75"/>
        <v>0</v>
      </c>
      <c r="AX146" s="51">
        <f t="shared" si="76"/>
        <v>0</v>
      </c>
      <c r="AY146" s="53" t="s">
        <v>396</v>
      </c>
      <c r="AZ146" s="53" t="s">
        <v>316</v>
      </c>
      <c r="BA146" s="35" t="s">
        <v>118</v>
      </c>
      <c r="BC146" s="51">
        <f t="shared" si="77"/>
        <v>0</v>
      </c>
      <c r="BD146" s="51">
        <f t="shared" si="78"/>
        <v>0</v>
      </c>
      <c r="BE146" s="51">
        <v>0</v>
      </c>
      <c r="BF146" s="51">
        <f>146</f>
        <v>146</v>
      </c>
      <c r="BH146" s="51">
        <f t="shared" si="79"/>
        <v>0</v>
      </c>
      <c r="BI146" s="51">
        <f t="shared" si="80"/>
        <v>0</v>
      </c>
      <c r="BJ146" s="51">
        <f t="shared" si="81"/>
        <v>0</v>
      </c>
      <c r="BK146" s="51"/>
      <c r="BL146" s="51">
        <v>725</v>
      </c>
      <c r="BW146" s="51">
        <v>12</v>
      </c>
      <c r="BX146" s="3" t="s">
        <v>448</v>
      </c>
    </row>
    <row r="147" spans="1:76">
      <c r="A147" s="1" t="s">
        <v>449</v>
      </c>
      <c r="B147" s="2" t="s">
        <v>450</v>
      </c>
      <c r="C147" s="75" t="s">
        <v>451</v>
      </c>
      <c r="D147" s="70"/>
      <c r="E147" s="2" t="s">
        <v>115</v>
      </c>
      <c r="F147" s="51">
        <v>1</v>
      </c>
      <c r="G147" s="52">
        <v>0</v>
      </c>
      <c r="H147" s="51">
        <f t="shared" si="62"/>
        <v>0</v>
      </c>
      <c r="J147" s="41"/>
      <c r="Z147" s="51">
        <f t="shared" si="63"/>
        <v>0</v>
      </c>
      <c r="AB147" s="51">
        <f t="shared" si="64"/>
        <v>0</v>
      </c>
      <c r="AC147" s="51">
        <f t="shared" si="65"/>
        <v>0</v>
      </c>
      <c r="AD147" s="51">
        <f t="shared" si="66"/>
        <v>0</v>
      </c>
      <c r="AE147" s="51">
        <f t="shared" si="67"/>
        <v>0</v>
      </c>
      <c r="AF147" s="51">
        <f t="shared" si="68"/>
        <v>0</v>
      </c>
      <c r="AG147" s="51">
        <f t="shared" si="69"/>
        <v>0</v>
      </c>
      <c r="AH147" s="51">
        <f t="shared" si="70"/>
        <v>0</v>
      </c>
      <c r="AI147" s="35" t="s">
        <v>4</v>
      </c>
      <c r="AJ147" s="51">
        <f t="shared" si="71"/>
        <v>0</v>
      </c>
      <c r="AK147" s="51">
        <f t="shared" si="72"/>
        <v>0</v>
      </c>
      <c r="AL147" s="51">
        <f t="shared" si="73"/>
        <v>0</v>
      </c>
      <c r="AN147" s="51">
        <v>12</v>
      </c>
      <c r="AO147" s="51">
        <f>G147*0.902765125</f>
        <v>0</v>
      </c>
      <c r="AP147" s="51">
        <f>G147*(1-0.902765125)</f>
        <v>0</v>
      </c>
      <c r="AQ147" s="53" t="s">
        <v>156</v>
      </c>
      <c r="AV147" s="51">
        <f t="shared" si="74"/>
        <v>0</v>
      </c>
      <c r="AW147" s="51">
        <f t="shared" si="75"/>
        <v>0</v>
      </c>
      <c r="AX147" s="51">
        <f t="shared" si="76"/>
        <v>0</v>
      </c>
      <c r="AY147" s="53" t="s">
        <v>396</v>
      </c>
      <c r="AZ147" s="53" t="s">
        <v>316</v>
      </c>
      <c r="BA147" s="35" t="s">
        <v>118</v>
      </c>
      <c r="BC147" s="51">
        <f t="shared" si="77"/>
        <v>0</v>
      </c>
      <c r="BD147" s="51">
        <f t="shared" si="78"/>
        <v>0</v>
      </c>
      <c r="BE147" s="51">
        <v>0</v>
      </c>
      <c r="BF147" s="51">
        <f>147</f>
        <v>147</v>
      </c>
      <c r="BH147" s="51">
        <f t="shared" si="79"/>
        <v>0</v>
      </c>
      <c r="BI147" s="51">
        <f t="shared" si="80"/>
        <v>0</v>
      </c>
      <c r="BJ147" s="51">
        <f t="shared" si="81"/>
        <v>0</v>
      </c>
      <c r="BK147" s="51"/>
      <c r="BL147" s="51">
        <v>725</v>
      </c>
      <c r="BW147" s="51">
        <v>12</v>
      </c>
      <c r="BX147" s="3" t="s">
        <v>451</v>
      </c>
    </row>
    <row r="148" spans="1:76">
      <c r="A148" s="1" t="s">
        <v>452</v>
      </c>
      <c r="B148" s="2" t="s">
        <v>453</v>
      </c>
      <c r="C148" s="75" t="s">
        <v>454</v>
      </c>
      <c r="D148" s="70"/>
      <c r="E148" s="2" t="s">
        <v>115</v>
      </c>
      <c r="F148" s="51">
        <v>1</v>
      </c>
      <c r="G148" s="52">
        <v>0</v>
      </c>
      <c r="H148" s="51">
        <f t="shared" si="62"/>
        <v>0</v>
      </c>
      <c r="J148" s="41"/>
      <c r="Z148" s="51">
        <f t="shared" si="63"/>
        <v>0</v>
      </c>
      <c r="AB148" s="51">
        <f t="shared" si="64"/>
        <v>0</v>
      </c>
      <c r="AC148" s="51">
        <f t="shared" si="65"/>
        <v>0</v>
      </c>
      <c r="AD148" s="51">
        <f t="shared" si="66"/>
        <v>0</v>
      </c>
      <c r="AE148" s="51">
        <f t="shared" si="67"/>
        <v>0</v>
      </c>
      <c r="AF148" s="51">
        <f t="shared" si="68"/>
        <v>0</v>
      </c>
      <c r="AG148" s="51">
        <f t="shared" si="69"/>
        <v>0</v>
      </c>
      <c r="AH148" s="51">
        <f t="shared" si="70"/>
        <v>0</v>
      </c>
      <c r="AI148" s="35" t="s">
        <v>4</v>
      </c>
      <c r="AJ148" s="51">
        <f t="shared" si="71"/>
        <v>0</v>
      </c>
      <c r="AK148" s="51">
        <f t="shared" si="72"/>
        <v>0</v>
      </c>
      <c r="AL148" s="51">
        <f t="shared" si="73"/>
        <v>0</v>
      </c>
      <c r="AN148" s="51">
        <v>12</v>
      </c>
      <c r="AO148" s="51">
        <f>G148*0.88622221</f>
        <v>0</v>
      </c>
      <c r="AP148" s="51">
        <f>G148*(1-0.88622221)</f>
        <v>0</v>
      </c>
      <c r="AQ148" s="53" t="s">
        <v>156</v>
      </c>
      <c r="AV148" s="51">
        <f t="shared" si="74"/>
        <v>0</v>
      </c>
      <c r="AW148" s="51">
        <f t="shared" si="75"/>
        <v>0</v>
      </c>
      <c r="AX148" s="51">
        <f t="shared" si="76"/>
        <v>0</v>
      </c>
      <c r="AY148" s="53" t="s">
        <v>396</v>
      </c>
      <c r="AZ148" s="53" t="s">
        <v>316</v>
      </c>
      <c r="BA148" s="35" t="s">
        <v>118</v>
      </c>
      <c r="BC148" s="51">
        <f t="shared" si="77"/>
        <v>0</v>
      </c>
      <c r="BD148" s="51">
        <f t="shared" si="78"/>
        <v>0</v>
      </c>
      <c r="BE148" s="51">
        <v>0</v>
      </c>
      <c r="BF148" s="51">
        <f>148</f>
        <v>148</v>
      </c>
      <c r="BH148" s="51">
        <f t="shared" si="79"/>
        <v>0</v>
      </c>
      <c r="BI148" s="51">
        <f t="shared" si="80"/>
        <v>0</v>
      </c>
      <c r="BJ148" s="51">
        <f t="shared" si="81"/>
        <v>0</v>
      </c>
      <c r="BK148" s="51"/>
      <c r="BL148" s="51">
        <v>725</v>
      </c>
      <c r="BW148" s="51">
        <v>12</v>
      </c>
      <c r="BX148" s="3" t="s">
        <v>454</v>
      </c>
    </row>
    <row r="149" spans="1:76">
      <c r="A149" s="1" t="s">
        <v>455</v>
      </c>
      <c r="B149" s="2" t="s">
        <v>456</v>
      </c>
      <c r="C149" s="75" t="s">
        <v>457</v>
      </c>
      <c r="D149" s="70"/>
      <c r="E149" s="2" t="s">
        <v>115</v>
      </c>
      <c r="F149" s="51">
        <v>1</v>
      </c>
      <c r="G149" s="52">
        <v>0</v>
      </c>
      <c r="H149" s="51">
        <f t="shared" si="62"/>
        <v>0</v>
      </c>
      <c r="J149" s="41"/>
      <c r="Z149" s="51">
        <f t="shared" si="63"/>
        <v>0</v>
      </c>
      <c r="AB149" s="51">
        <f t="shared" si="64"/>
        <v>0</v>
      </c>
      <c r="AC149" s="51">
        <f t="shared" si="65"/>
        <v>0</v>
      </c>
      <c r="AD149" s="51">
        <f t="shared" si="66"/>
        <v>0</v>
      </c>
      <c r="AE149" s="51">
        <f t="shared" si="67"/>
        <v>0</v>
      </c>
      <c r="AF149" s="51">
        <f t="shared" si="68"/>
        <v>0</v>
      </c>
      <c r="AG149" s="51">
        <f t="shared" si="69"/>
        <v>0</v>
      </c>
      <c r="AH149" s="51">
        <f t="shared" si="70"/>
        <v>0</v>
      </c>
      <c r="AI149" s="35" t="s">
        <v>4</v>
      </c>
      <c r="AJ149" s="51">
        <f t="shared" si="71"/>
        <v>0</v>
      </c>
      <c r="AK149" s="51">
        <f t="shared" si="72"/>
        <v>0</v>
      </c>
      <c r="AL149" s="51">
        <f t="shared" si="73"/>
        <v>0</v>
      </c>
      <c r="AN149" s="51">
        <v>12</v>
      </c>
      <c r="AO149" s="51">
        <f>G149*0.852864629</f>
        <v>0</v>
      </c>
      <c r="AP149" s="51">
        <f>G149*(1-0.852864629)</f>
        <v>0</v>
      </c>
      <c r="AQ149" s="53" t="s">
        <v>156</v>
      </c>
      <c r="AV149" s="51">
        <f t="shared" si="74"/>
        <v>0</v>
      </c>
      <c r="AW149" s="51">
        <f t="shared" si="75"/>
        <v>0</v>
      </c>
      <c r="AX149" s="51">
        <f t="shared" si="76"/>
        <v>0</v>
      </c>
      <c r="AY149" s="53" t="s">
        <v>396</v>
      </c>
      <c r="AZ149" s="53" t="s">
        <v>316</v>
      </c>
      <c r="BA149" s="35" t="s">
        <v>118</v>
      </c>
      <c r="BC149" s="51">
        <f t="shared" si="77"/>
        <v>0</v>
      </c>
      <c r="BD149" s="51">
        <f t="shared" si="78"/>
        <v>0</v>
      </c>
      <c r="BE149" s="51">
        <v>0</v>
      </c>
      <c r="BF149" s="51">
        <f>149</f>
        <v>149</v>
      </c>
      <c r="BH149" s="51">
        <f t="shared" si="79"/>
        <v>0</v>
      </c>
      <c r="BI149" s="51">
        <f t="shared" si="80"/>
        <v>0</v>
      </c>
      <c r="BJ149" s="51">
        <f t="shared" si="81"/>
        <v>0</v>
      </c>
      <c r="BK149" s="51"/>
      <c r="BL149" s="51">
        <v>725</v>
      </c>
      <c r="BW149" s="51">
        <v>12</v>
      </c>
      <c r="BX149" s="3" t="s">
        <v>457</v>
      </c>
    </row>
    <row r="150" spans="1:76">
      <c r="A150" s="1" t="s">
        <v>458</v>
      </c>
      <c r="B150" s="2" t="s">
        <v>459</v>
      </c>
      <c r="C150" s="75" t="s">
        <v>460</v>
      </c>
      <c r="D150" s="70"/>
      <c r="E150" s="2" t="s">
        <v>395</v>
      </c>
      <c r="F150" s="51">
        <v>1</v>
      </c>
      <c r="G150" s="52">
        <v>0</v>
      </c>
      <c r="H150" s="51">
        <f t="shared" si="62"/>
        <v>0</v>
      </c>
      <c r="J150" s="41"/>
      <c r="Z150" s="51">
        <f t="shared" si="63"/>
        <v>0</v>
      </c>
      <c r="AB150" s="51">
        <f t="shared" si="64"/>
        <v>0</v>
      </c>
      <c r="AC150" s="51">
        <f t="shared" si="65"/>
        <v>0</v>
      </c>
      <c r="AD150" s="51">
        <f t="shared" si="66"/>
        <v>0</v>
      </c>
      <c r="AE150" s="51">
        <f t="shared" si="67"/>
        <v>0</v>
      </c>
      <c r="AF150" s="51">
        <f t="shared" si="68"/>
        <v>0</v>
      </c>
      <c r="AG150" s="51">
        <f t="shared" si="69"/>
        <v>0</v>
      </c>
      <c r="AH150" s="51">
        <f t="shared" si="70"/>
        <v>0</v>
      </c>
      <c r="AI150" s="35" t="s">
        <v>4</v>
      </c>
      <c r="AJ150" s="51">
        <f t="shared" si="71"/>
        <v>0</v>
      </c>
      <c r="AK150" s="51">
        <f t="shared" si="72"/>
        <v>0</v>
      </c>
      <c r="AL150" s="51">
        <f t="shared" si="73"/>
        <v>0</v>
      </c>
      <c r="AN150" s="51">
        <v>12</v>
      </c>
      <c r="AO150" s="51">
        <f>G150*0.908404118</f>
        <v>0</v>
      </c>
      <c r="AP150" s="51">
        <f>G150*(1-0.908404118)</f>
        <v>0</v>
      </c>
      <c r="AQ150" s="53" t="s">
        <v>156</v>
      </c>
      <c r="AV150" s="51">
        <f t="shared" si="74"/>
        <v>0</v>
      </c>
      <c r="AW150" s="51">
        <f t="shared" si="75"/>
        <v>0</v>
      </c>
      <c r="AX150" s="51">
        <f t="shared" si="76"/>
        <v>0</v>
      </c>
      <c r="AY150" s="53" t="s">
        <v>396</v>
      </c>
      <c r="AZ150" s="53" t="s">
        <v>316</v>
      </c>
      <c r="BA150" s="35" t="s">
        <v>118</v>
      </c>
      <c r="BC150" s="51">
        <f t="shared" si="77"/>
        <v>0</v>
      </c>
      <c r="BD150" s="51">
        <f t="shared" si="78"/>
        <v>0</v>
      </c>
      <c r="BE150" s="51">
        <v>0</v>
      </c>
      <c r="BF150" s="51">
        <f>150</f>
        <v>150</v>
      </c>
      <c r="BH150" s="51">
        <f t="shared" si="79"/>
        <v>0</v>
      </c>
      <c r="BI150" s="51">
        <f t="shared" si="80"/>
        <v>0</v>
      </c>
      <c r="BJ150" s="51">
        <f t="shared" si="81"/>
        <v>0</v>
      </c>
      <c r="BK150" s="51"/>
      <c r="BL150" s="51">
        <v>725</v>
      </c>
      <c r="BW150" s="51">
        <v>12</v>
      </c>
      <c r="BX150" s="3" t="s">
        <v>460</v>
      </c>
    </row>
    <row r="151" spans="1:76">
      <c r="A151" s="1" t="s">
        <v>461</v>
      </c>
      <c r="B151" s="2" t="s">
        <v>462</v>
      </c>
      <c r="C151" s="75" t="s">
        <v>463</v>
      </c>
      <c r="D151" s="70"/>
      <c r="E151" s="2" t="s">
        <v>395</v>
      </c>
      <c r="F151" s="51">
        <v>1</v>
      </c>
      <c r="G151" s="52">
        <v>0</v>
      </c>
      <c r="H151" s="51">
        <f t="shared" si="62"/>
        <v>0</v>
      </c>
      <c r="J151" s="41"/>
      <c r="Z151" s="51">
        <f t="shared" si="63"/>
        <v>0</v>
      </c>
      <c r="AB151" s="51">
        <f t="shared" si="64"/>
        <v>0</v>
      </c>
      <c r="AC151" s="51">
        <f t="shared" si="65"/>
        <v>0</v>
      </c>
      <c r="AD151" s="51">
        <f t="shared" si="66"/>
        <v>0</v>
      </c>
      <c r="AE151" s="51">
        <f t="shared" si="67"/>
        <v>0</v>
      </c>
      <c r="AF151" s="51">
        <f t="shared" si="68"/>
        <v>0</v>
      </c>
      <c r="AG151" s="51">
        <f t="shared" si="69"/>
        <v>0</v>
      </c>
      <c r="AH151" s="51">
        <f t="shared" si="70"/>
        <v>0</v>
      </c>
      <c r="AI151" s="35" t="s">
        <v>4</v>
      </c>
      <c r="AJ151" s="51">
        <f t="shared" si="71"/>
        <v>0</v>
      </c>
      <c r="AK151" s="51">
        <f t="shared" si="72"/>
        <v>0</v>
      </c>
      <c r="AL151" s="51">
        <f t="shared" si="73"/>
        <v>0</v>
      </c>
      <c r="AN151" s="51">
        <v>12</v>
      </c>
      <c r="AO151" s="51">
        <f>G151*0.460774648</f>
        <v>0</v>
      </c>
      <c r="AP151" s="51">
        <f>G151*(1-0.460774648)</f>
        <v>0</v>
      </c>
      <c r="AQ151" s="53" t="s">
        <v>156</v>
      </c>
      <c r="AV151" s="51">
        <f t="shared" si="74"/>
        <v>0</v>
      </c>
      <c r="AW151" s="51">
        <f t="shared" si="75"/>
        <v>0</v>
      </c>
      <c r="AX151" s="51">
        <f t="shared" si="76"/>
        <v>0</v>
      </c>
      <c r="AY151" s="53" t="s">
        <v>396</v>
      </c>
      <c r="AZ151" s="53" t="s">
        <v>316</v>
      </c>
      <c r="BA151" s="35" t="s">
        <v>118</v>
      </c>
      <c r="BC151" s="51">
        <f t="shared" si="77"/>
        <v>0</v>
      </c>
      <c r="BD151" s="51">
        <f t="shared" si="78"/>
        <v>0</v>
      </c>
      <c r="BE151" s="51">
        <v>0</v>
      </c>
      <c r="BF151" s="51">
        <f>151</f>
        <v>151</v>
      </c>
      <c r="BH151" s="51">
        <f t="shared" si="79"/>
        <v>0</v>
      </c>
      <c r="BI151" s="51">
        <f t="shared" si="80"/>
        <v>0</v>
      </c>
      <c r="BJ151" s="51">
        <f t="shared" si="81"/>
        <v>0</v>
      </c>
      <c r="BK151" s="51"/>
      <c r="BL151" s="51">
        <v>725</v>
      </c>
      <c r="BW151" s="51">
        <v>12</v>
      </c>
      <c r="BX151" s="3" t="s">
        <v>463</v>
      </c>
    </row>
    <row r="152" spans="1:76">
      <c r="A152" s="1" t="s">
        <v>464</v>
      </c>
      <c r="B152" s="2" t="s">
        <v>465</v>
      </c>
      <c r="C152" s="75" t="s">
        <v>466</v>
      </c>
      <c r="D152" s="70"/>
      <c r="E152" s="2" t="s">
        <v>395</v>
      </c>
      <c r="F152" s="51">
        <v>1</v>
      </c>
      <c r="G152" s="52">
        <v>0</v>
      </c>
      <c r="H152" s="51">
        <f t="shared" si="62"/>
        <v>0</v>
      </c>
      <c r="J152" s="41"/>
      <c r="Z152" s="51">
        <f t="shared" si="63"/>
        <v>0</v>
      </c>
      <c r="AB152" s="51">
        <f t="shared" si="64"/>
        <v>0</v>
      </c>
      <c r="AC152" s="51">
        <f t="shared" si="65"/>
        <v>0</v>
      </c>
      <c r="AD152" s="51">
        <f t="shared" si="66"/>
        <v>0</v>
      </c>
      <c r="AE152" s="51">
        <f t="shared" si="67"/>
        <v>0</v>
      </c>
      <c r="AF152" s="51">
        <f t="shared" si="68"/>
        <v>0</v>
      </c>
      <c r="AG152" s="51">
        <f t="shared" si="69"/>
        <v>0</v>
      </c>
      <c r="AH152" s="51">
        <f t="shared" si="70"/>
        <v>0</v>
      </c>
      <c r="AI152" s="35" t="s">
        <v>4</v>
      </c>
      <c r="AJ152" s="51">
        <f t="shared" si="71"/>
        <v>0</v>
      </c>
      <c r="AK152" s="51">
        <f t="shared" si="72"/>
        <v>0</v>
      </c>
      <c r="AL152" s="51">
        <f t="shared" si="73"/>
        <v>0</v>
      </c>
      <c r="AN152" s="51">
        <v>12</v>
      </c>
      <c r="AO152" s="51">
        <f>G152*0.861823964</f>
        <v>0</v>
      </c>
      <c r="AP152" s="51">
        <f>G152*(1-0.861823964)</f>
        <v>0</v>
      </c>
      <c r="AQ152" s="53" t="s">
        <v>156</v>
      </c>
      <c r="AV152" s="51">
        <f t="shared" si="74"/>
        <v>0</v>
      </c>
      <c r="AW152" s="51">
        <f t="shared" si="75"/>
        <v>0</v>
      </c>
      <c r="AX152" s="51">
        <f t="shared" si="76"/>
        <v>0</v>
      </c>
      <c r="AY152" s="53" t="s">
        <v>396</v>
      </c>
      <c r="AZ152" s="53" t="s">
        <v>316</v>
      </c>
      <c r="BA152" s="35" t="s">
        <v>118</v>
      </c>
      <c r="BC152" s="51">
        <f t="shared" si="77"/>
        <v>0</v>
      </c>
      <c r="BD152" s="51">
        <f t="shared" si="78"/>
        <v>0</v>
      </c>
      <c r="BE152" s="51">
        <v>0</v>
      </c>
      <c r="BF152" s="51">
        <f>152</f>
        <v>152</v>
      </c>
      <c r="BH152" s="51">
        <f t="shared" si="79"/>
        <v>0</v>
      </c>
      <c r="BI152" s="51">
        <f t="shared" si="80"/>
        <v>0</v>
      </c>
      <c r="BJ152" s="51">
        <f t="shared" si="81"/>
        <v>0</v>
      </c>
      <c r="BK152" s="51"/>
      <c r="BL152" s="51">
        <v>725</v>
      </c>
      <c r="BW152" s="51">
        <v>12</v>
      </c>
      <c r="BX152" s="3" t="s">
        <v>466</v>
      </c>
    </row>
    <row r="153" spans="1:76">
      <c r="A153" s="1" t="s">
        <v>467</v>
      </c>
      <c r="B153" s="2" t="s">
        <v>468</v>
      </c>
      <c r="C153" s="75" t="s">
        <v>469</v>
      </c>
      <c r="D153" s="70"/>
      <c r="E153" s="2" t="s">
        <v>115</v>
      </c>
      <c r="F153" s="51">
        <v>1</v>
      </c>
      <c r="G153" s="52">
        <v>0</v>
      </c>
      <c r="H153" s="51">
        <f t="shared" si="62"/>
        <v>0</v>
      </c>
      <c r="J153" s="41"/>
      <c r="Z153" s="51">
        <f t="shared" si="63"/>
        <v>0</v>
      </c>
      <c r="AB153" s="51">
        <f t="shared" si="64"/>
        <v>0</v>
      </c>
      <c r="AC153" s="51">
        <f t="shared" si="65"/>
        <v>0</v>
      </c>
      <c r="AD153" s="51">
        <f t="shared" si="66"/>
        <v>0</v>
      </c>
      <c r="AE153" s="51">
        <f t="shared" si="67"/>
        <v>0</v>
      </c>
      <c r="AF153" s="51">
        <f t="shared" si="68"/>
        <v>0</v>
      </c>
      <c r="AG153" s="51">
        <f t="shared" si="69"/>
        <v>0</v>
      </c>
      <c r="AH153" s="51">
        <f t="shared" si="70"/>
        <v>0</v>
      </c>
      <c r="AI153" s="35" t="s">
        <v>4</v>
      </c>
      <c r="AJ153" s="51">
        <f t="shared" si="71"/>
        <v>0</v>
      </c>
      <c r="AK153" s="51">
        <f t="shared" si="72"/>
        <v>0</v>
      </c>
      <c r="AL153" s="51">
        <f t="shared" si="73"/>
        <v>0</v>
      </c>
      <c r="AN153" s="51">
        <v>12</v>
      </c>
      <c r="AO153" s="51">
        <f>G153*1</f>
        <v>0</v>
      </c>
      <c r="AP153" s="51">
        <f>G153*(1-1)</f>
        <v>0</v>
      </c>
      <c r="AQ153" s="53" t="s">
        <v>156</v>
      </c>
      <c r="AV153" s="51">
        <f t="shared" si="74"/>
        <v>0</v>
      </c>
      <c r="AW153" s="51">
        <f t="shared" si="75"/>
        <v>0</v>
      </c>
      <c r="AX153" s="51">
        <f t="shared" si="76"/>
        <v>0</v>
      </c>
      <c r="AY153" s="53" t="s">
        <v>396</v>
      </c>
      <c r="AZ153" s="53" t="s">
        <v>316</v>
      </c>
      <c r="BA153" s="35" t="s">
        <v>118</v>
      </c>
      <c r="BC153" s="51">
        <f t="shared" si="77"/>
        <v>0</v>
      </c>
      <c r="BD153" s="51">
        <f t="shared" si="78"/>
        <v>0</v>
      </c>
      <c r="BE153" s="51">
        <v>0</v>
      </c>
      <c r="BF153" s="51">
        <f>153</f>
        <v>153</v>
      </c>
      <c r="BH153" s="51">
        <f t="shared" si="79"/>
        <v>0</v>
      </c>
      <c r="BI153" s="51">
        <f t="shared" si="80"/>
        <v>0</v>
      </c>
      <c r="BJ153" s="51">
        <f t="shared" si="81"/>
        <v>0</v>
      </c>
      <c r="BK153" s="51"/>
      <c r="BL153" s="51">
        <v>725</v>
      </c>
      <c r="BW153" s="51">
        <v>12</v>
      </c>
      <c r="BX153" s="3" t="s">
        <v>469</v>
      </c>
    </row>
    <row r="154" spans="1:76">
      <c r="A154" s="1" t="s">
        <v>470</v>
      </c>
      <c r="B154" s="2" t="s">
        <v>471</v>
      </c>
      <c r="C154" s="75" t="s">
        <v>472</v>
      </c>
      <c r="D154" s="70"/>
      <c r="E154" s="2" t="s">
        <v>115</v>
      </c>
      <c r="F154" s="51">
        <v>1</v>
      </c>
      <c r="G154" s="52">
        <v>0</v>
      </c>
      <c r="H154" s="51">
        <f t="shared" si="62"/>
        <v>0</v>
      </c>
      <c r="J154" s="41"/>
      <c r="Z154" s="51">
        <f t="shared" si="63"/>
        <v>0</v>
      </c>
      <c r="AB154" s="51">
        <f t="shared" si="64"/>
        <v>0</v>
      </c>
      <c r="AC154" s="51">
        <f t="shared" si="65"/>
        <v>0</v>
      </c>
      <c r="AD154" s="51">
        <f t="shared" si="66"/>
        <v>0</v>
      </c>
      <c r="AE154" s="51">
        <f t="shared" si="67"/>
        <v>0</v>
      </c>
      <c r="AF154" s="51">
        <f t="shared" si="68"/>
        <v>0</v>
      </c>
      <c r="AG154" s="51">
        <f t="shared" si="69"/>
        <v>0</v>
      </c>
      <c r="AH154" s="51">
        <f t="shared" si="70"/>
        <v>0</v>
      </c>
      <c r="AI154" s="35" t="s">
        <v>4</v>
      </c>
      <c r="AJ154" s="51">
        <f t="shared" si="71"/>
        <v>0</v>
      </c>
      <c r="AK154" s="51">
        <f t="shared" si="72"/>
        <v>0</v>
      </c>
      <c r="AL154" s="51">
        <f t="shared" si="73"/>
        <v>0</v>
      </c>
      <c r="AN154" s="51">
        <v>12</v>
      </c>
      <c r="AO154" s="51">
        <f>G154*1</f>
        <v>0</v>
      </c>
      <c r="AP154" s="51">
        <f>G154*(1-1)</f>
        <v>0</v>
      </c>
      <c r="AQ154" s="53" t="s">
        <v>156</v>
      </c>
      <c r="AV154" s="51">
        <f t="shared" si="74"/>
        <v>0</v>
      </c>
      <c r="AW154" s="51">
        <f t="shared" si="75"/>
        <v>0</v>
      </c>
      <c r="AX154" s="51">
        <f t="shared" si="76"/>
        <v>0</v>
      </c>
      <c r="AY154" s="53" t="s">
        <v>396</v>
      </c>
      <c r="AZ154" s="53" t="s">
        <v>316</v>
      </c>
      <c r="BA154" s="35" t="s">
        <v>118</v>
      </c>
      <c r="BC154" s="51">
        <f t="shared" si="77"/>
        <v>0</v>
      </c>
      <c r="BD154" s="51">
        <f t="shared" si="78"/>
        <v>0</v>
      </c>
      <c r="BE154" s="51">
        <v>0</v>
      </c>
      <c r="BF154" s="51">
        <f>154</f>
        <v>154</v>
      </c>
      <c r="BH154" s="51">
        <f t="shared" si="79"/>
        <v>0</v>
      </c>
      <c r="BI154" s="51">
        <f t="shared" si="80"/>
        <v>0</v>
      </c>
      <c r="BJ154" s="51">
        <f t="shared" si="81"/>
        <v>0</v>
      </c>
      <c r="BK154" s="51"/>
      <c r="BL154" s="51">
        <v>725</v>
      </c>
      <c r="BW154" s="51">
        <v>12</v>
      </c>
      <c r="BX154" s="3" t="s">
        <v>472</v>
      </c>
    </row>
    <row r="155" spans="1:76">
      <c r="A155" s="1" t="s">
        <v>473</v>
      </c>
      <c r="B155" s="2" t="s">
        <v>474</v>
      </c>
      <c r="C155" s="75" t="s">
        <v>475</v>
      </c>
      <c r="D155" s="70"/>
      <c r="E155" s="2" t="s">
        <v>248</v>
      </c>
      <c r="F155" s="51">
        <v>0.16400000000000001</v>
      </c>
      <c r="G155" s="52">
        <v>0</v>
      </c>
      <c r="H155" s="51">
        <f t="shared" si="62"/>
        <v>0</v>
      </c>
      <c r="J155" s="41"/>
      <c r="Z155" s="51">
        <f t="shared" si="63"/>
        <v>0</v>
      </c>
      <c r="AB155" s="51">
        <f t="shared" si="64"/>
        <v>0</v>
      </c>
      <c r="AC155" s="51">
        <f t="shared" si="65"/>
        <v>0</v>
      </c>
      <c r="AD155" s="51">
        <f t="shared" si="66"/>
        <v>0</v>
      </c>
      <c r="AE155" s="51">
        <f t="shared" si="67"/>
        <v>0</v>
      </c>
      <c r="AF155" s="51">
        <f t="shared" si="68"/>
        <v>0</v>
      </c>
      <c r="AG155" s="51">
        <f t="shared" si="69"/>
        <v>0</v>
      </c>
      <c r="AH155" s="51">
        <f t="shared" si="70"/>
        <v>0</v>
      </c>
      <c r="AI155" s="35" t="s">
        <v>4</v>
      </c>
      <c r="AJ155" s="51">
        <f t="shared" si="71"/>
        <v>0</v>
      </c>
      <c r="AK155" s="51">
        <f t="shared" si="72"/>
        <v>0</v>
      </c>
      <c r="AL155" s="51">
        <f t="shared" si="73"/>
        <v>0</v>
      </c>
      <c r="AN155" s="51">
        <v>12</v>
      </c>
      <c r="AO155" s="51">
        <f>G155*0</f>
        <v>0</v>
      </c>
      <c r="AP155" s="51">
        <f>G155*(1-0)</f>
        <v>0</v>
      </c>
      <c r="AQ155" s="53" t="s">
        <v>139</v>
      </c>
      <c r="AV155" s="51">
        <f t="shared" si="74"/>
        <v>0</v>
      </c>
      <c r="AW155" s="51">
        <f t="shared" si="75"/>
        <v>0</v>
      </c>
      <c r="AX155" s="51">
        <f t="shared" si="76"/>
        <v>0</v>
      </c>
      <c r="AY155" s="53" t="s">
        <v>396</v>
      </c>
      <c r="AZ155" s="53" t="s">
        <v>316</v>
      </c>
      <c r="BA155" s="35" t="s">
        <v>118</v>
      </c>
      <c r="BC155" s="51">
        <f t="shared" si="77"/>
        <v>0</v>
      </c>
      <c r="BD155" s="51">
        <f t="shared" si="78"/>
        <v>0</v>
      </c>
      <c r="BE155" s="51">
        <v>0</v>
      </c>
      <c r="BF155" s="51">
        <f>155</f>
        <v>155</v>
      </c>
      <c r="BH155" s="51">
        <f t="shared" si="79"/>
        <v>0</v>
      </c>
      <c r="BI155" s="51">
        <f t="shared" si="80"/>
        <v>0</v>
      </c>
      <c r="BJ155" s="51">
        <f t="shared" si="81"/>
        <v>0</v>
      </c>
      <c r="BK155" s="51"/>
      <c r="BL155" s="51">
        <v>725</v>
      </c>
      <c r="BW155" s="51">
        <v>12</v>
      </c>
      <c r="BX155" s="3" t="s">
        <v>475</v>
      </c>
    </row>
    <row r="156" spans="1:76">
      <c r="A156" s="47" t="s">
        <v>4</v>
      </c>
      <c r="B156" s="48" t="s">
        <v>476</v>
      </c>
      <c r="C156" s="150" t="s">
        <v>477</v>
      </c>
      <c r="D156" s="151"/>
      <c r="E156" s="49" t="s">
        <v>80</v>
      </c>
      <c r="F156" s="49" t="s">
        <v>80</v>
      </c>
      <c r="G156" s="50" t="s">
        <v>80</v>
      </c>
      <c r="H156" s="28">
        <f>SUM(H157:H158)</f>
        <v>0</v>
      </c>
      <c r="J156" s="41"/>
      <c r="AI156" s="35" t="s">
        <v>4</v>
      </c>
      <c r="AS156" s="28">
        <f>SUM(AJ157:AJ158)</f>
        <v>0</v>
      </c>
      <c r="AT156" s="28">
        <f>SUM(AK157:AK158)</f>
        <v>0</v>
      </c>
      <c r="AU156" s="28">
        <f>SUM(AL157:AL158)</f>
        <v>0</v>
      </c>
    </row>
    <row r="157" spans="1:76">
      <c r="A157" s="1" t="s">
        <v>478</v>
      </c>
      <c r="B157" s="2" t="s">
        <v>479</v>
      </c>
      <c r="C157" s="75" t="s">
        <v>480</v>
      </c>
      <c r="D157" s="70"/>
      <c r="E157" s="2" t="s">
        <v>221</v>
      </c>
      <c r="F157" s="51">
        <v>1</v>
      </c>
      <c r="G157" s="52">
        <v>0</v>
      </c>
      <c r="H157" s="51">
        <f>F157*G157</f>
        <v>0</v>
      </c>
      <c r="J157" s="41"/>
      <c r="Z157" s="51">
        <f>IF(AQ157="5",BJ157,0)</f>
        <v>0</v>
      </c>
      <c r="AB157" s="51">
        <f>IF(AQ157="1",BH157,0)</f>
        <v>0</v>
      </c>
      <c r="AC157" s="51">
        <f>IF(AQ157="1",BI157,0)</f>
        <v>0</v>
      </c>
      <c r="AD157" s="51">
        <f>IF(AQ157="7",BH157,0)</f>
        <v>0</v>
      </c>
      <c r="AE157" s="51">
        <f>IF(AQ157="7",BI157,0)</f>
        <v>0</v>
      </c>
      <c r="AF157" s="51">
        <f>IF(AQ157="2",BH157,0)</f>
        <v>0</v>
      </c>
      <c r="AG157" s="51">
        <f>IF(AQ157="2",BI157,0)</f>
        <v>0</v>
      </c>
      <c r="AH157" s="51">
        <f>IF(AQ157="0",BJ157,0)</f>
        <v>0</v>
      </c>
      <c r="AI157" s="35" t="s">
        <v>4</v>
      </c>
      <c r="AJ157" s="51">
        <f>IF(AN157=0,H157,0)</f>
        <v>0</v>
      </c>
      <c r="AK157" s="51">
        <f>IF(AN157=12,H157,0)</f>
        <v>0</v>
      </c>
      <c r="AL157" s="51">
        <f>IF(AN157=21,H157,0)</f>
        <v>0</v>
      </c>
      <c r="AN157" s="51">
        <v>12</v>
      </c>
      <c r="AO157" s="51">
        <f>G157*0.3452</f>
        <v>0</v>
      </c>
      <c r="AP157" s="51">
        <f>G157*(1-0.3452)</f>
        <v>0</v>
      </c>
      <c r="AQ157" s="53" t="s">
        <v>156</v>
      </c>
      <c r="AV157" s="51">
        <f>AW157+AX157</f>
        <v>0</v>
      </c>
      <c r="AW157" s="51">
        <f>F157*AO157</f>
        <v>0</v>
      </c>
      <c r="AX157" s="51">
        <f>F157*AP157</f>
        <v>0</v>
      </c>
      <c r="AY157" s="53" t="s">
        <v>481</v>
      </c>
      <c r="AZ157" s="53" t="s">
        <v>482</v>
      </c>
      <c r="BA157" s="35" t="s">
        <v>118</v>
      </c>
      <c r="BC157" s="51">
        <f>AW157+AX157</f>
        <v>0</v>
      </c>
      <c r="BD157" s="51">
        <f>G157/(100-BE157)*100</f>
        <v>0</v>
      </c>
      <c r="BE157" s="51">
        <v>0</v>
      </c>
      <c r="BF157" s="51">
        <f>157</f>
        <v>157</v>
      </c>
      <c r="BH157" s="51">
        <f>F157*AO157</f>
        <v>0</v>
      </c>
      <c r="BI157" s="51">
        <f>F157*AP157</f>
        <v>0</v>
      </c>
      <c r="BJ157" s="51">
        <f>F157*G157</f>
        <v>0</v>
      </c>
      <c r="BK157" s="51"/>
      <c r="BL157" s="51">
        <v>735</v>
      </c>
      <c r="BW157" s="51">
        <v>12</v>
      </c>
      <c r="BX157" s="3" t="s">
        <v>480</v>
      </c>
    </row>
    <row r="158" spans="1:76">
      <c r="A158" s="1" t="s">
        <v>483</v>
      </c>
      <c r="B158" s="2" t="s">
        <v>484</v>
      </c>
      <c r="C158" s="75" t="s">
        <v>485</v>
      </c>
      <c r="D158" s="70"/>
      <c r="E158" s="2" t="s">
        <v>395</v>
      </c>
      <c r="F158" s="51">
        <v>1</v>
      </c>
      <c r="G158" s="52">
        <v>0</v>
      </c>
      <c r="H158" s="51">
        <f>F158*G158</f>
        <v>0</v>
      </c>
      <c r="J158" s="41"/>
      <c r="Z158" s="51">
        <f>IF(AQ158="5",BJ158,0)</f>
        <v>0</v>
      </c>
      <c r="AB158" s="51">
        <f>IF(AQ158="1",BH158,0)</f>
        <v>0</v>
      </c>
      <c r="AC158" s="51">
        <f>IF(AQ158="1",BI158,0)</f>
        <v>0</v>
      </c>
      <c r="AD158" s="51">
        <f>IF(AQ158="7",BH158,0)</f>
        <v>0</v>
      </c>
      <c r="AE158" s="51">
        <f>IF(AQ158="7",BI158,0)</f>
        <v>0</v>
      </c>
      <c r="AF158" s="51">
        <f>IF(AQ158="2",BH158,0)</f>
        <v>0</v>
      </c>
      <c r="AG158" s="51">
        <f>IF(AQ158="2",BI158,0)</f>
        <v>0</v>
      </c>
      <c r="AH158" s="51">
        <f>IF(AQ158="0",BJ158,0)</f>
        <v>0</v>
      </c>
      <c r="AI158" s="35" t="s">
        <v>4</v>
      </c>
      <c r="AJ158" s="51">
        <f>IF(AN158=0,H158,0)</f>
        <v>0</v>
      </c>
      <c r="AK158" s="51">
        <f>IF(AN158=12,H158,0)</f>
        <v>0</v>
      </c>
      <c r="AL158" s="51">
        <f>IF(AN158=21,H158,0)</f>
        <v>0</v>
      </c>
      <c r="AN158" s="51">
        <v>12</v>
      </c>
      <c r="AO158" s="51">
        <f>G158*0.629222</f>
        <v>0</v>
      </c>
      <c r="AP158" s="51">
        <f>G158*(1-0.629222)</f>
        <v>0</v>
      </c>
      <c r="AQ158" s="53" t="s">
        <v>156</v>
      </c>
      <c r="AV158" s="51">
        <f>AW158+AX158</f>
        <v>0</v>
      </c>
      <c r="AW158" s="51">
        <f>F158*AO158</f>
        <v>0</v>
      </c>
      <c r="AX158" s="51">
        <f>F158*AP158</f>
        <v>0</v>
      </c>
      <c r="AY158" s="53" t="s">
        <v>481</v>
      </c>
      <c r="AZ158" s="53" t="s">
        <v>482</v>
      </c>
      <c r="BA158" s="35" t="s">
        <v>118</v>
      </c>
      <c r="BC158" s="51">
        <f>AW158+AX158</f>
        <v>0</v>
      </c>
      <c r="BD158" s="51">
        <f>G158/(100-BE158)*100</f>
        <v>0</v>
      </c>
      <c r="BE158" s="51">
        <v>0</v>
      </c>
      <c r="BF158" s="51">
        <f>158</f>
        <v>158</v>
      </c>
      <c r="BH158" s="51">
        <f>F158*AO158</f>
        <v>0</v>
      </c>
      <c r="BI158" s="51">
        <f>F158*AP158</f>
        <v>0</v>
      </c>
      <c r="BJ158" s="51">
        <f>F158*G158</f>
        <v>0</v>
      </c>
      <c r="BK158" s="51"/>
      <c r="BL158" s="51">
        <v>735</v>
      </c>
      <c r="BW158" s="51">
        <v>12</v>
      </c>
      <c r="BX158" s="3" t="s">
        <v>485</v>
      </c>
    </row>
    <row r="159" spans="1:76">
      <c r="A159" s="47" t="s">
        <v>4</v>
      </c>
      <c r="B159" s="48" t="s">
        <v>486</v>
      </c>
      <c r="C159" s="150" t="s">
        <v>487</v>
      </c>
      <c r="D159" s="151"/>
      <c r="E159" s="49" t="s">
        <v>80</v>
      </c>
      <c r="F159" s="49" t="s">
        <v>80</v>
      </c>
      <c r="G159" s="50" t="s">
        <v>80</v>
      </c>
      <c r="H159" s="28">
        <f>SUM(H160:H175)</f>
        <v>0</v>
      </c>
      <c r="J159" s="41"/>
      <c r="AI159" s="35" t="s">
        <v>4</v>
      </c>
      <c r="AS159" s="28">
        <f>SUM(AJ160:AJ175)</f>
        <v>0</v>
      </c>
      <c r="AT159" s="28">
        <f>SUM(AK160:AK175)</f>
        <v>0</v>
      </c>
      <c r="AU159" s="28">
        <f>SUM(AL160:AL175)</f>
        <v>0</v>
      </c>
    </row>
    <row r="160" spans="1:76">
      <c r="A160" s="1" t="s">
        <v>488</v>
      </c>
      <c r="B160" s="2" t="s">
        <v>489</v>
      </c>
      <c r="C160" s="75" t="s">
        <v>490</v>
      </c>
      <c r="D160" s="70"/>
      <c r="E160" s="2" t="s">
        <v>115</v>
      </c>
      <c r="F160" s="51">
        <v>4</v>
      </c>
      <c r="G160" s="52">
        <v>0</v>
      </c>
      <c r="H160" s="51">
        <f t="shared" ref="H160:H168" si="82">F160*G160</f>
        <v>0</v>
      </c>
      <c r="J160" s="41"/>
      <c r="Z160" s="51">
        <f t="shared" ref="Z160:Z168" si="83">IF(AQ160="5",BJ160,0)</f>
        <v>0</v>
      </c>
      <c r="AB160" s="51">
        <f t="shared" ref="AB160:AB168" si="84">IF(AQ160="1",BH160,0)</f>
        <v>0</v>
      </c>
      <c r="AC160" s="51">
        <f t="shared" ref="AC160:AC168" si="85">IF(AQ160="1",BI160,0)</f>
        <v>0</v>
      </c>
      <c r="AD160" s="51">
        <f t="shared" ref="AD160:AD168" si="86">IF(AQ160="7",BH160,0)</f>
        <v>0</v>
      </c>
      <c r="AE160" s="51">
        <f t="shared" ref="AE160:AE168" si="87">IF(AQ160="7",BI160,0)</f>
        <v>0</v>
      </c>
      <c r="AF160" s="51">
        <f t="shared" ref="AF160:AF168" si="88">IF(AQ160="2",BH160,0)</f>
        <v>0</v>
      </c>
      <c r="AG160" s="51">
        <f t="shared" ref="AG160:AG168" si="89">IF(AQ160="2",BI160,0)</f>
        <v>0</v>
      </c>
      <c r="AH160" s="51">
        <f t="shared" ref="AH160:AH168" si="90">IF(AQ160="0",BJ160,0)</f>
        <v>0</v>
      </c>
      <c r="AI160" s="35" t="s">
        <v>4</v>
      </c>
      <c r="AJ160" s="51">
        <f t="shared" ref="AJ160:AJ168" si="91">IF(AN160=0,H160,0)</f>
        <v>0</v>
      </c>
      <c r="AK160" s="51">
        <f t="shared" ref="AK160:AK168" si="92">IF(AN160=12,H160,0)</f>
        <v>0</v>
      </c>
      <c r="AL160" s="51">
        <f t="shared" ref="AL160:AL168" si="93">IF(AN160=21,H160,0)</f>
        <v>0</v>
      </c>
      <c r="AN160" s="51">
        <v>12</v>
      </c>
      <c r="AO160" s="51">
        <f t="shared" ref="AO160:AO168" si="94">G160*0</f>
        <v>0</v>
      </c>
      <c r="AP160" s="51">
        <f t="shared" ref="AP160:AP168" si="95">G160*(1-0)</f>
        <v>0</v>
      </c>
      <c r="AQ160" s="53" t="s">
        <v>156</v>
      </c>
      <c r="AV160" s="51">
        <f t="shared" ref="AV160:AV168" si="96">AW160+AX160</f>
        <v>0</v>
      </c>
      <c r="AW160" s="51">
        <f t="shared" ref="AW160:AW168" si="97">F160*AO160</f>
        <v>0</v>
      </c>
      <c r="AX160" s="51">
        <f t="shared" ref="AX160:AX168" si="98">F160*AP160</f>
        <v>0</v>
      </c>
      <c r="AY160" s="53" t="s">
        <v>491</v>
      </c>
      <c r="AZ160" s="53" t="s">
        <v>492</v>
      </c>
      <c r="BA160" s="35" t="s">
        <v>118</v>
      </c>
      <c r="BC160" s="51">
        <f t="shared" ref="BC160:BC168" si="99">AW160+AX160</f>
        <v>0</v>
      </c>
      <c r="BD160" s="51">
        <f t="shared" ref="BD160:BD168" si="100">G160/(100-BE160)*100</f>
        <v>0</v>
      </c>
      <c r="BE160" s="51">
        <v>0</v>
      </c>
      <c r="BF160" s="51">
        <f>160</f>
        <v>160</v>
      </c>
      <c r="BH160" s="51">
        <f t="shared" ref="BH160:BH168" si="101">F160*AO160</f>
        <v>0</v>
      </c>
      <c r="BI160" s="51">
        <f t="shared" ref="BI160:BI168" si="102">F160*AP160</f>
        <v>0</v>
      </c>
      <c r="BJ160" s="51">
        <f t="shared" ref="BJ160:BJ168" si="103">F160*G160</f>
        <v>0</v>
      </c>
      <c r="BK160" s="51"/>
      <c r="BL160" s="51">
        <v>766</v>
      </c>
      <c r="BW160" s="51">
        <v>12</v>
      </c>
      <c r="BX160" s="3" t="s">
        <v>490</v>
      </c>
    </row>
    <row r="161" spans="1:76">
      <c r="A161" s="1" t="s">
        <v>493</v>
      </c>
      <c r="B161" s="2" t="s">
        <v>494</v>
      </c>
      <c r="C161" s="75" t="s">
        <v>495</v>
      </c>
      <c r="D161" s="70"/>
      <c r="E161" s="2" t="s">
        <v>115</v>
      </c>
      <c r="F161" s="51">
        <v>1</v>
      </c>
      <c r="G161" s="52">
        <v>0</v>
      </c>
      <c r="H161" s="51">
        <f t="shared" si="82"/>
        <v>0</v>
      </c>
      <c r="J161" s="41"/>
      <c r="Z161" s="51">
        <f t="shared" si="83"/>
        <v>0</v>
      </c>
      <c r="AB161" s="51">
        <f t="shared" si="84"/>
        <v>0</v>
      </c>
      <c r="AC161" s="51">
        <f t="shared" si="85"/>
        <v>0</v>
      </c>
      <c r="AD161" s="51">
        <f t="shared" si="86"/>
        <v>0</v>
      </c>
      <c r="AE161" s="51">
        <f t="shared" si="87"/>
        <v>0</v>
      </c>
      <c r="AF161" s="51">
        <f t="shared" si="88"/>
        <v>0</v>
      </c>
      <c r="AG161" s="51">
        <f t="shared" si="89"/>
        <v>0</v>
      </c>
      <c r="AH161" s="51">
        <f t="shared" si="90"/>
        <v>0</v>
      </c>
      <c r="AI161" s="35" t="s">
        <v>4</v>
      </c>
      <c r="AJ161" s="51">
        <f t="shared" si="91"/>
        <v>0</v>
      </c>
      <c r="AK161" s="51">
        <f t="shared" si="92"/>
        <v>0</v>
      </c>
      <c r="AL161" s="51">
        <f t="shared" si="93"/>
        <v>0</v>
      </c>
      <c r="AN161" s="51">
        <v>12</v>
      </c>
      <c r="AO161" s="51">
        <f t="shared" si="94"/>
        <v>0</v>
      </c>
      <c r="AP161" s="51">
        <f t="shared" si="95"/>
        <v>0</v>
      </c>
      <c r="AQ161" s="53" t="s">
        <v>156</v>
      </c>
      <c r="AV161" s="51">
        <f t="shared" si="96"/>
        <v>0</v>
      </c>
      <c r="AW161" s="51">
        <f t="shared" si="97"/>
        <v>0</v>
      </c>
      <c r="AX161" s="51">
        <f t="shared" si="98"/>
        <v>0</v>
      </c>
      <c r="AY161" s="53" t="s">
        <v>491</v>
      </c>
      <c r="AZ161" s="53" t="s">
        <v>492</v>
      </c>
      <c r="BA161" s="35" t="s">
        <v>118</v>
      </c>
      <c r="BC161" s="51">
        <f t="shared" si="99"/>
        <v>0</v>
      </c>
      <c r="BD161" s="51">
        <f t="shared" si="100"/>
        <v>0</v>
      </c>
      <c r="BE161" s="51">
        <v>0</v>
      </c>
      <c r="BF161" s="51">
        <f>161</f>
        <v>161</v>
      </c>
      <c r="BH161" s="51">
        <f t="shared" si="101"/>
        <v>0</v>
      </c>
      <c r="BI161" s="51">
        <f t="shared" si="102"/>
        <v>0</v>
      </c>
      <c r="BJ161" s="51">
        <f t="shared" si="103"/>
        <v>0</v>
      </c>
      <c r="BK161" s="51"/>
      <c r="BL161" s="51">
        <v>766</v>
      </c>
      <c r="BW161" s="51">
        <v>12</v>
      </c>
      <c r="BX161" s="3" t="s">
        <v>495</v>
      </c>
    </row>
    <row r="162" spans="1:76">
      <c r="A162" s="1" t="s">
        <v>496</v>
      </c>
      <c r="B162" s="2" t="s">
        <v>497</v>
      </c>
      <c r="C162" s="75" t="s">
        <v>498</v>
      </c>
      <c r="D162" s="70"/>
      <c r="E162" s="2" t="s">
        <v>115</v>
      </c>
      <c r="F162" s="51">
        <v>1</v>
      </c>
      <c r="G162" s="52">
        <v>0</v>
      </c>
      <c r="H162" s="51">
        <f t="shared" si="82"/>
        <v>0</v>
      </c>
      <c r="J162" s="41"/>
      <c r="Z162" s="51">
        <f t="shared" si="83"/>
        <v>0</v>
      </c>
      <c r="AB162" s="51">
        <f t="shared" si="84"/>
        <v>0</v>
      </c>
      <c r="AC162" s="51">
        <f t="shared" si="85"/>
        <v>0</v>
      </c>
      <c r="AD162" s="51">
        <f t="shared" si="86"/>
        <v>0</v>
      </c>
      <c r="AE162" s="51">
        <f t="shared" si="87"/>
        <v>0</v>
      </c>
      <c r="AF162" s="51">
        <f t="shared" si="88"/>
        <v>0</v>
      </c>
      <c r="AG162" s="51">
        <f t="shared" si="89"/>
        <v>0</v>
      </c>
      <c r="AH162" s="51">
        <f t="shared" si="90"/>
        <v>0</v>
      </c>
      <c r="AI162" s="35" t="s">
        <v>4</v>
      </c>
      <c r="AJ162" s="51">
        <f t="shared" si="91"/>
        <v>0</v>
      </c>
      <c r="AK162" s="51">
        <f t="shared" si="92"/>
        <v>0</v>
      </c>
      <c r="AL162" s="51">
        <f t="shared" si="93"/>
        <v>0</v>
      </c>
      <c r="AN162" s="51">
        <v>12</v>
      </c>
      <c r="AO162" s="51">
        <f t="shared" si="94"/>
        <v>0</v>
      </c>
      <c r="AP162" s="51">
        <f t="shared" si="95"/>
        <v>0</v>
      </c>
      <c r="AQ162" s="53" t="s">
        <v>156</v>
      </c>
      <c r="AV162" s="51">
        <f t="shared" si="96"/>
        <v>0</v>
      </c>
      <c r="AW162" s="51">
        <f t="shared" si="97"/>
        <v>0</v>
      </c>
      <c r="AX162" s="51">
        <f t="shared" si="98"/>
        <v>0</v>
      </c>
      <c r="AY162" s="53" t="s">
        <v>491</v>
      </c>
      <c r="AZ162" s="53" t="s">
        <v>492</v>
      </c>
      <c r="BA162" s="35" t="s">
        <v>118</v>
      </c>
      <c r="BC162" s="51">
        <f t="shared" si="99"/>
        <v>0</v>
      </c>
      <c r="BD162" s="51">
        <f t="shared" si="100"/>
        <v>0</v>
      </c>
      <c r="BE162" s="51">
        <v>0</v>
      </c>
      <c r="BF162" s="51">
        <f>162</f>
        <v>162</v>
      </c>
      <c r="BH162" s="51">
        <f t="shared" si="101"/>
        <v>0</v>
      </c>
      <c r="BI162" s="51">
        <f t="shared" si="102"/>
        <v>0</v>
      </c>
      <c r="BJ162" s="51">
        <f t="shared" si="103"/>
        <v>0</v>
      </c>
      <c r="BK162" s="51"/>
      <c r="BL162" s="51">
        <v>766</v>
      </c>
      <c r="BW162" s="51">
        <v>12</v>
      </c>
      <c r="BX162" s="3" t="s">
        <v>498</v>
      </c>
    </row>
    <row r="163" spans="1:76">
      <c r="A163" s="1" t="s">
        <v>202</v>
      </c>
      <c r="B163" s="2" t="s">
        <v>499</v>
      </c>
      <c r="C163" s="75" t="s">
        <v>500</v>
      </c>
      <c r="D163" s="70"/>
      <c r="E163" s="2" t="s">
        <v>115</v>
      </c>
      <c r="F163" s="51">
        <v>1</v>
      </c>
      <c r="G163" s="52">
        <v>0</v>
      </c>
      <c r="H163" s="51">
        <f t="shared" si="82"/>
        <v>0</v>
      </c>
      <c r="J163" s="41"/>
      <c r="Z163" s="51">
        <f t="shared" si="83"/>
        <v>0</v>
      </c>
      <c r="AB163" s="51">
        <f t="shared" si="84"/>
        <v>0</v>
      </c>
      <c r="AC163" s="51">
        <f t="shared" si="85"/>
        <v>0</v>
      </c>
      <c r="AD163" s="51">
        <f t="shared" si="86"/>
        <v>0</v>
      </c>
      <c r="AE163" s="51">
        <f t="shared" si="87"/>
        <v>0</v>
      </c>
      <c r="AF163" s="51">
        <f t="shared" si="88"/>
        <v>0</v>
      </c>
      <c r="AG163" s="51">
        <f t="shared" si="89"/>
        <v>0</v>
      </c>
      <c r="AH163" s="51">
        <f t="shared" si="90"/>
        <v>0</v>
      </c>
      <c r="AI163" s="35" t="s">
        <v>4</v>
      </c>
      <c r="AJ163" s="51">
        <f t="shared" si="91"/>
        <v>0</v>
      </c>
      <c r="AK163" s="51">
        <f t="shared" si="92"/>
        <v>0</v>
      </c>
      <c r="AL163" s="51">
        <f t="shared" si="93"/>
        <v>0</v>
      </c>
      <c r="AN163" s="51">
        <v>12</v>
      </c>
      <c r="AO163" s="51">
        <f t="shared" si="94"/>
        <v>0</v>
      </c>
      <c r="AP163" s="51">
        <f t="shared" si="95"/>
        <v>0</v>
      </c>
      <c r="AQ163" s="53" t="s">
        <v>156</v>
      </c>
      <c r="AV163" s="51">
        <f t="shared" si="96"/>
        <v>0</v>
      </c>
      <c r="AW163" s="51">
        <f t="shared" si="97"/>
        <v>0</v>
      </c>
      <c r="AX163" s="51">
        <f t="shared" si="98"/>
        <v>0</v>
      </c>
      <c r="AY163" s="53" t="s">
        <v>491</v>
      </c>
      <c r="AZ163" s="53" t="s">
        <v>492</v>
      </c>
      <c r="BA163" s="35" t="s">
        <v>118</v>
      </c>
      <c r="BC163" s="51">
        <f t="shared" si="99"/>
        <v>0</v>
      </c>
      <c r="BD163" s="51">
        <f t="shared" si="100"/>
        <v>0</v>
      </c>
      <c r="BE163" s="51">
        <v>0</v>
      </c>
      <c r="BF163" s="51">
        <f>163</f>
        <v>163</v>
      </c>
      <c r="BH163" s="51">
        <f t="shared" si="101"/>
        <v>0</v>
      </c>
      <c r="BI163" s="51">
        <f t="shared" si="102"/>
        <v>0</v>
      </c>
      <c r="BJ163" s="51">
        <f t="shared" si="103"/>
        <v>0</v>
      </c>
      <c r="BK163" s="51"/>
      <c r="BL163" s="51">
        <v>766</v>
      </c>
      <c r="BW163" s="51">
        <v>12</v>
      </c>
      <c r="BX163" s="3" t="s">
        <v>500</v>
      </c>
    </row>
    <row r="164" spans="1:76">
      <c r="A164" s="1" t="s">
        <v>223</v>
      </c>
      <c r="B164" s="2" t="s">
        <v>501</v>
      </c>
      <c r="C164" s="75" t="s">
        <v>502</v>
      </c>
      <c r="D164" s="70"/>
      <c r="E164" s="2" t="s">
        <v>115</v>
      </c>
      <c r="F164" s="51">
        <v>3</v>
      </c>
      <c r="G164" s="52">
        <v>0</v>
      </c>
      <c r="H164" s="51">
        <f t="shared" si="82"/>
        <v>0</v>
      </c>
      <c r="J164" s="41"/>
      <c r="Z164" s="51">
        <f t="shared" si="83"/>
        <v>0</v>
      </c>
      <c r="AB164" s="51">
        <f t="shared" si="84"/>
        <v>0</v>
      </c>
      <c r="AC164" s="51">
        <f t="shared" si="85"/>
        <v>0</v>
      </c>
      <c r="AD164" s="51">
        <f t="shared" si="86"/>
        <v>0</v>
      </c>
      <c r="AE164" s="51">
        <f t="shared" si="87"/>
        <v>0</v>
      </c>
      <c r="AF164" s="51">
        <f t="shared" si="88"/>
        <v>0</v>
      </c>
      <c r="AG164" s="51">
        <f t="shared" si="89"/>
        <v>0</v>
      </c>
      <c r="AH164" s="51">
        <f t="shared" si="90"/>
        <v>0</v>
      </c>
      <c r="AI164" s="35" t="s">
        <v>4</v>
      </c>
      <c r="AJ164" s="51">
        <f t="shared" si="91"/>
        <v>0</v>
      </c>
      <c r="AK164" s="51">
        <f t="shared" si="92"/>
        <v>0</v>
      </c>
      <c r="AL164" s="51">
        <f t="shared" si="93"/>
        <v>0</v>
      </c>
      <c r="AN164" s="51">
        <v>12</v>
      </c>
      <c r="AO164" s="51">
        <f t="shared" si="94"/>
        <v>0</v>
      </c>
      <c r="AP164" s="51">
        <f t="shared" si="95"/>
        <v>0</v>
      </c>
      <c r="AQ164" s="53" t="s">
        <v>156</v>
      </c>
      <c r="AV164" s="51">
        <f t="shared" si="96"/>
        <v>0</v>
      </c>
      <c r="AW164" s="51">
        <f t="shared" si="97"/>
        <v>0</v>
      </c>
      <c r="AX164" s="51">
        <f t="shared" si="98"/>
        <v>0</v>
      </c>
      <c r="AY164" s="53" t="s">
        <v>491</v>
      </c>
      <c r="AZ164" s="53" t="s">
        <v>492</v>
      </c>
      <c r="BA164" s="35" t="s">
        <v>118</v>
      </c>
      <c r="BC164" s="51">
        <f t="shared" si="99"/>
        <v>0</v>
      </c>
      <c r="BD164" s="51">
        <f t="shared" si="100"/>
        <v>0</v>
      </c>
      <c r="BE164" s="51">
        <v>0</v>
      </c>
      <c r="BF164" s="51">
        <f>164</f>
        <v>164</v>
      </c>
      <c r="BH164" s="51">
        <f t="shared" si="101"/>
        <v>0</v>
      </c>
      <c r="BI164" s="51">
        <f t="shared" si="102"/>
        <v>0</v>
      </c>
      <c r="BJ164" s="51">
        <f t="shared" si="103"/>
        <v>0</v>
      </c>
      <c r="BK164" s="51"/>
      <c r="BL164" s="51">
        <v>766</v>
      </c>
      <c r="BW164" s="51">
        <v>12</v>
      </c>
      <c r="BX164" s="3" t="s">
        <v>502</v>
      </c>
    </row>
    <row r="165" spans="1:76">
      <c r="A165" s="1" t="s">
        <v>503</v>
      </c>
      <c r="B165" s="2" t="s">
        <v>504</v>
      </c>
      <c r="C165" s="75" t="s">
        <v>505</v>
      </c>
      <c r="D165" s="70"/>
      <c r="E165" s="2" t="s">
        <v>115</v>
      </c>
      <c r="F165" s="51">
        <v>1</v>
      </c>
      <c r="G165" s="52">
        <v>0</v>
      </c>
      <c r="H165" s="51">
        <f t="shared" si="82"/>
        <v>0</v>
      </c>
      <c r="J165" s="41"/>
      <c r="Z165" s="51">
        <f t="shared" si="83"/>
        <v>0</v>
      </c>
      <c r="AB165" s="51">
        <f t="shared" si="84"/>
        <v>0</v>
      </c>
      <c r="AC165" s="51">
        <f t="shared" si="85"/>
        <v>0</v>
      </c>
      <c r="AD165" s="51">
        <f t="shared" si="86"/>
        <v>0</v>
      </c>
      <c r="AE165" s="51">
        <f t="shared" si="87"/>
        <v>0</v>
      </c>
      <c r="AF165" s="51">
        <f t="shared" si="88"/>
        <v>0</v>
      </c>
      <c r="AG165" s="51">
        <f t="shared" si="89"/>
        <v>0</v>
      </c>
      <c r="AH165" s="51">
        <f t="shared" si="90"/>
        <v>0</v>
      </c>
      <c r="AI165" s="35" t="s">
        <v>4</v>
      </c>
      <c r="AJ165" s="51">
        <f t="shared" si="91"/>
        <v>0</v>
      </c>
      <c r="AK165" s="51">
        <f t="shared" si="92"/>
        <v>0</v>
      </c>
      <c r="AL165" s="51">
        <f t="shared" si="93"/>
        <v>0</v>
      </c>
      <c r="AN165" s="51">
        <v>12</v>
      </c>
      <c r="AO165" s="51">
        <f t="shared" si="94"/>
        <v>0</v>
      </c>
      <c r="AP165" s="51">
        <f t="shared" si="95"/>
        <v>0</v>
      </c>
      <c r="AQ165" s="53" t="s">
        <v>156</v>
      </c>
      <c r="AV165" s="51">
        <f t="shared" si="96"/>
        <v>0</v>
      </c>
      <c r="AW165" s="51">
        <f t="shared" si="97"/>
        <v>0</v>
      </c>
      <c r="AX165" s="51">
        <f t="shared" si="98"/>
        <v>0</v>
      </c>
      <c r="AY165" s="53" t="s">
        <v>491</v>
      </c>
      <c r="AZ165" s="53" t="s">
        <v>492</v>
      </c>
      <c r="BA165" s="35" t="s">
        <v>118</v>
      </c>
      <c r="BC165" s="51">
        <f t="shared" si="99"/>
        <v>0</v>
      </c>
      <c r="BD165" s="51">
        <f t="shared" si="100"/>
        <v>0</v>
      </c>
      <c r="BE165" s="51">
        <v>0</v>
      </c>
      <c r="BF165" s="51">
        <f>165</f>
        <v>165</v>
      </c>
      <c r="BH165" s="51">
        <f t="shared" si="101"/>
        <v>0</v>
      </c>
      <c r="BI165" s="51">
        <f t="shared" si="102"/>
        <v>0</v>
      </c>
      <c r="BJ165" s="51">
        <f t="shared" si="103"/>
        <v>0</v>
      </c>
      <c r="BK165" s="51"/>
      <c r="BL165" s="51">
        <v>766</v>
      </c>
      <c r="BW165" s="51">
        <v>12</v>
      </c>
      <c r="BX165" s="3" t="s">
        <v>505</v>
      </c>
    </row>
    <row r="166" spans="1:76">
      <c r="A166" s="1" t="s">
        <v>506</v>
      </c>
      <c r="B166" s="2" t="s">
        <v>507</v>
      </c>
      <c r="C166" s="75" t="s">
        <v>508</v>
      </c>
      <c r="D166" s="70"/>
      <c r="E166" s="2" t="s">
        <v>115</v>
      </c>
      <c r="F166" s="51">
        <v>1</v>
      </c>
      <c r="G166" s="52">
        <v>0</v>
      </c>
      <c r="H166" s="51">
        <f t="shared" si="82"/>
        <v>0</v>
      </c>
      <c r="J166" s="41"/>
      <c r="Z166" s="51">
        <f t="shared" si="83"/>
        <v>0</v>
      </c>
      <c r="AB166" s="51">
        <f t="shared" si="84"/>
        <v>0</v>
      </c>
      <c r="AC166" s="51">
        <f t="shared" si="85"/>
        <v>0</v>
      </c>
      <c r="AD166" s="51">
        <f t="shared" si="86"/>
        <v>0</v>
      </c>
      <c r="AE166" s="51">
        <f t="shared" si="87"/>
        <v>0</v>
      </c>
      <c r="AF166" s="51">
        <f t="shared" si="88"/>
        <v>0</v>
      </c>
      <c r="AG166" s="51">
        <f t="shared" si="89"/>
        <v>0</v>
      </c>
      <c r="AH166" s="51">
        <f t="shared" si="90"/>
        <v>0</v>
      </c>
      <c r="AI166" s="35" t="s">
        <v>4</v>
      </c>
      <c r="AJ166" s="51">
        <f t="shared" si="91"/>
        <v>0</v>
      </c>
      <c r="AK166" s="51">
        <f t="shared" si="92"/>
        <v>0</v>
      </c>
      <c r="AL166" s="51">
        <f t="shared" si="93"/>
        <v>0</v>
      </c>
      <c r="AN166" s="51">
        <v>12</v>
      </c>
      <c r="AO166" s="51">
        <f t="shared" si="94"/>
        <v>0</v>
      </c>
      <c r="AP166" s="51">
        <f t="shared" si="95"/>
        <v>0</v>
      </c>
      <c r="AQ166" s="53" t="s">
        <v>156</v>
      </c>
      <c r="AV166" s="51">
        <f t="shared" si="96"/>
        <v>0</v>
      </c>
      <c r="AW166" s="51">
        <f t="shared" si="97"/>
        <v>0</v>
      </c>
      <c r="AX166" s="51">
        <f t="shared" si="98"/>
        <v>0</v>
      </c>
      <c r="AY166" s="53" t="s">
        <v>491</v>
      </c>
      <c r="AZ166" s="53" t="s">
        <v>492</v>
      </c>
      <c r="BA166" s="35" t="s">
        <v>118</v>
      </c>
      <c r="BC166" s="51">
        <f t="shared" si="99"/>
        <v>0</v>
      </c>
      <c r="BD166" s="51">
        <f t="shared" si="100"/>
        <v>0</v>
      </c>
      <c r="BE166" s="51">
        <v>0</v>
      </c>
      <c r="BF166" s="51">
        <f>166</f>
        <v>166</v>
      </c>
      <c r="BH166" s="51">
        <f t="shared" si="101"/>
        <v>0</v>
      </c>
      <c r="BI166" s="51">
        <f t="shared" si="102"/>
        <v>0</v>
      </c>
      <c r="BJ166" s="51">
        <f t="shared" si="103"/>
        <v>0</v>
      </c>
      <c r="BK166" s="51"/>
      <c r="BL166" s="51">
        <v>766</v>
      </c>
      <c r="BW166" s="51">
        <v>12</v>
      </c>
      <c r="BX166" s="3" t="s">
        <v>508</v>
      </c>
    </row>
    <row r="167" spans="1:76">
      <c r="A167" s="1" t="s">
        <v>277</v>
      </c>
      <c r="B167" s="2" t="s">
        <v>509</v>
      </c>
      <c r="C167" s="75" t="s">
        <v>510</v>
      </c>
      <c r="D167" s="70"/>
      <c r="E167" s="2" t="s">
        <v>511</v>
      </c>
      <c r="F167" s="51">
        <v>2</v>
      </c>
      <c r="G167" s="52">
        <v>0</v>
      </c>
      <c r="H167" s="51">
        <f t="shared" si="82"/>
        <v>0</v>
      </c>
      <c r="J167" s="41"/>
      <c r="Z167" s="51">
        <f t="shared" si="83"/>
        <v>0</v>
      </c>
      <c r="AB167" s="51">
        <f t="shared" si="84"/>
        <v>0</v>
      </c>
      <c r="AC167" s="51">
        <f t="shared" si="85"/>
        <v>0</v>
      </c>
      <c r="AD167" s="51">
        <f t="shared" si="86"/>
        <v>0</v>
      </c>
      <c r="AE167" s="51">
        <f t="shared" si="87"/>
        <v>0</v>
      </c>
      <c r="AF167" s="51">
        <f t="shared" si="88"/>
        <v>0</v>
      </c>
      <c r="AG167" s="51">
        <f t="shared" si="89"/>
        <v>0</v>
      </c>
      <c r="AH167" s="51">
        <f t="shared" si="90"/>
        <v>0</v>
      </c>
      <c r="AI167" s="35" t="s">
        <v>4</v>
      </c>
      <c r="AJ167" s="51">
        <f t="shared" si="91"/>
        <v>0</v>
      </c>
      <c r="AK167" s="51">
        <f t="shared" si="92"/>
        <v>0</v>
      </c>
      <c r="AL167" s="51">
        <f t="shared" si="93"/>
        <v>0</v>
      </c>
      <c r="AN167" s="51">
        <v>12</v>
      </c>
      <c r="AO167" s="51">
        <f t="shared" si="94"/>
        <v>0</v>
      </c>
      <c r="AP167" s="51">
        <f t="shared" si="95"/>
        <v>0</v>
      </c>
      <c r="AQ167" s="53" t="s">
        <v>156</v>
      </c>
      <c r="AV167" s="51">
        <f t="shared" si="96"/>
        <v>0</v>
      </c>
      <c r="AW167" s="51">
        <f t="shared" si="97"/>
        <v>0</v>
      </c>
      <c r="AX167" s="51">
        <f t="shared" si="98"/>
        <v>0</v>
      </c>
      <c r="AY167" s="53" t="s">
        <v>491</v>
      </c>
      <c r="AZ167" s="53" t="s">
        <v>492</v>
      </c>
      <c r="BA167" s="35" t="s">
        <v>118</v>
      </c>
      <c r="BC167" s="51">
        <f t="shared" si="99"/>
        <v>0</v>
      </c>
      <c r="BD167" s="51">
        <f t="shared" si="100"/>
        <v>0</v>
      </c>
      <c r="BE167" s="51">
        <v>0</v>
      </c>
      <c r="BF167" s="51">
        <f>167</f>
        <v>167</v>
      </c>
      <c r="BH167" s="51">
        <f t="shared" si="101"/>
        <v>0</v>
      </c>
      <c r="BI167" s="51">
        <f t="shared" si="102"/>
        <v>0</v>
      </c>
      <c r="BJ167" s="51">
        <f t="shared" si="103"/>
        <v>0</v>
      </c>
      <c r="BK167" s="51"/>
      <c r="BL167" s="51">
        <v>766</v>
      </c>
      <c r="BW167" s="51">
        <v>12</v>
      </c>
      <c r="BX167" s="3" t="s">
        <v>510</v>
      </c>
    </row>
    <row r="168" spans="1:76">
      <c r="A168" s="1" t="s">
        <v>512</v>
      </c>
      <c r="B168" s="2" t="s">
        <v>513</v>
      </c>
      <c r="C168" s="75" t="s">
        <v>514</v>
      </c>
      <c r="D168" s="70"/>
      <c r="E168" s="2" t="s">
        <v>115</v>
      </c>
      <c r="F168" s="51">
        <v>1</v>
      </c>
      <c r="G168" s="52">
        <v>0</v>
      </c>
      <c r="H168" s="51">
        <f t="shared" si="82"/>
        <v>0</v>
      </c>
      <c r="J168" s="41"/>
      <c r="Z168" s="51">
        <f t="shared" si="83"/>
        <v>0</v>
      </c>
      <c r="AB168" s="51">
        <f t="shared" si="84"/>
        <v>0</v>
      </c>
      <c r="AC168" s="51">
        <f t="shared" si="85"/>
        <v>0</v>
      </c>
      <c r="AD168" s="51">
        <f t="shared" si="86"/>
        <v>0</v>
      </c>
      <c r="AE168" s="51">
        <f t="shared" si="87"/>
        <v>0</v>
      </c>
      <c r="AF168" s="51">
        <f t="shared" si="88"/>
        <v>0</v>
      </c>
      <c r="AG168" s="51">
        <f t="shared" si="89"/>
        <v>0</v>
      </c>
      <c r="AH168" s="51">
        <f t="shared" si="90"/>
        <v>0</v>
      </c>
      <c r="AI168" s="35" t="s">
        <v>4</v>
      </c>
      <c r="AJ168" s="51">
        <f t="shared" si="91"/>
        <v>0</v>
      </c>
      <c r="AK168" s="51">
        <f t="shared" si="92"/>
        <v>0</v>
      </c>
      <c r="AL168" s="51">
        <f t="shared" si="93"/>
        <v>0</v>
      </c>
      <c r="AN168" s="51">
        <v>12</v>
      </c>
      <c r="AO168" s="51">
        <f t="shared" si="94"/>
        <v>0</v>
      </c>
      <c r="AP168" s="51">
        <f t="shared" si="95"/>
        <v>0</v>
      </c>
      <c r="AQ168" s="53" t="s">
        <v>156</v>
      </c>
      <c r="AV168" s="51">
        <f t="shared" si="96"/>
        <v>0</v>
      </c>
      <c r="AW168" s="51">
        <f t="shared" si="97"/>
        <v>0</v>
      </c>
      <c r="AX168" s="51">
        <f t="shared" si="98"/>
        <v>0</v>
      </c>
      <c r="AY168" s="53" t="s">
        <v>491</v>
      </c>
      <c r="AZ168" s="53" t="s">
        <v>492</v>
      </c>
      <c r="BA168" s="35" t="s">
        <v>118</v>
      </c>
      <c r="BC168" s="51">
        <f t="shared" si="99"/>
        <v>0</v>
      </c>
      <c r="BD168" s="51">
        <f t="shared" si="100"/>
        <v>0</v>
      </c>
      <c r="BE168" s="51">
        <v>0</v>
      </c>
      <c r="BF168" s="51">
        <f>168</f>
        <v>168</v>
      </c>
      <c r="BH168" s="51">
        <f t="shared" si="101"/>
        <v>0</v>
      </c>
      <c r="BI168" s="51">
        <f t="shared" si="102"/>
        <v>0</v>
      </c>
      <c r="BJ168" s="51">
        <f t="shared" si="103"/>
        <v>0</v>
      </c>
      <c r="BK168" s="51"/>
      <c r="BL168" s="51">
        <v>766</v>
      </c>
      <c r="BW168" s="51">
        <v>12</v>
      </c>
      <c r="BX168" s="3" t="s">
        <v>514</v>
      </c>
    </row>
    <row r="169" spans="1:76">
      <c r="A169" s="54"/>
      <c r="C169" s="56" t="s">
        <v>112</v>
      </c>
      <c r="D169" s="57" t="s">
        <v>515</v>
      </c>
      <c r="F169" s="58">
        <v>1</v>
      </c>
      <c r="J169" s="41"/>
    </row>
    <row r="170" spans="1:76">
      <c r="A170" s="1" t="s">
        <v>516</v>
      </c>
      <c r="B170" s="2" t="s">
        <v>517</v>
      </c>
      <c r="C170" s="75" t="s">
        <v>518</v>
      </c>
      <c r="D170" s="70"/>
      <c r="E170" s="2" t="s">
        <v>115</v>
      </c>
      <c r="F170" s="51">
        <v>1</v>
      </c>
      <c r="G170" s="52">
        <v>0</v>
      </c>
      <c r="H170" s="51">
        <f>F170*G170</f>
        <v>0</v>
      </c>
      <c r="J170" s="41"/>
      <c r="Z170" s="51">
        <f>IF(AQ170="5",BJ170,0)</f>
        <v>0</v>
      </c>
      <c r="AB170" s="51">
        <f>IF(AQ170="1",BH170,0)</f>
        <v>0</v>
      </c>
      <c r="AC170" s="51">
        <f>IF(AQ170="1",BI170,0)</f>
        <v>0</v>
      </c>
      <c r="AD170" s="51">
        <f>IF(AQ170="7",BH170,0)</f>
        <v>0</v>
      </c>
      <c r="AE170" s="51">
        <f>IF(AQ170="7",BI170,0)</f>
        <v>0</v>
      </c>
      <c r="AF170" s="51">
        <f>IF(AQ170="2",BH170,0)</f>
        <v>0</v>
      </c>
      <c r="AG170" s="51">
        <f>IF(AQ170="2",BI170,0)</f>
        <v>0</v>
      </c>
      <c r="AH170" s="51">
        <f>IF(AQ170="0",BJ170,0)</f>
        <v>0</v>
      </c>
      <c r="AI170" s="35" t="s">
        <v>4</v>
      </c>
      <c r="AJ170" s="51">
        <f>IF(AN170=0,H170,0)</f>
        <v>0</v>
      </c>
      <c r="AK170" s="51">
        <f>IF(AN170=12,H170,0)</f>
        <v>0</v>
      </c>
      <c r="AL170" s="51">
        <f>IF(AN170=21,H170,0)</f>
        <v>0</v>
      </c>
      <c r="AN170" s="51">
        <v>12</v>
      </c>
      <c r="AO170" s="51">
        <f>G170*0.036979861</f>
        <v>0</v>
      </c>
      <c r="AP170" s="51">
        <f>G170*(1-0.036979861)</f>
        <v>0</v>
      </c>
      <c r="AQ170" s="53" t="s">
        <v>156</v>
      </c>
      <c r="AV170" s="51">
        <f>AW170+AX170</f>
        <v>0</v>
      </c>
      <c r="AW170" s="51">
        <f>F170*AO170</f>
        <v>0</v>
      </c>
      <c r="AX170" s="51">
        <f>F170*AP170</f>
        <v>0</v>
      </c>
      <c r="AY170" s="53" t="s">
        <v>491</v>
      </c>
      <c r="AZ170" s="53" t="s">
        <v>492</v>
      </c>
      <c r="BA170" s="35" t="s">
        <v>118</v>
      </c>
      <c r="BC170" s="51">
        <f>AW170+AX170</f>
        <v>0</v>
      </c>
      <c r="BD170" s="51">
        <f>G170/(100-BE170)*100</f>
        <v>0</v>
      </c>
      <c r="BE170" s="51">
        <v>0</v>
      </c>
      <c r="BF170" s="51">
        <f>170</f>
        <v>170</v>
      </c>
      <c r="BH170" s="51">
        <f>F170*AO170</f>
        <v>0</v>
      </c>
      <c r="BI170" s="51">
        <f>F170*AP170</f>
        <v>0</v>
      </c>
      <c r="BJ170" s="51">
        <f>F170*G170</f>
        <v>0</v>
      </c>
      <c r="BK170" s="51"/>
      <c r="BL170" s="51">
        <v>766</v>
      </c>
      <c r="BW170" s="51">
        <v>12</v>
      </c>
      <c r="BX170" s="3" t="s">
        <v>518</v>
      </c>
    </row>
    <row r="171" spans="1:76">
      <c r="A171" s="54"/>
      <c r="C171" s="56" t="s">
        <v>112</v>
      </c>
      <c r="D171" s="57" t="s">
        <v>519</v>
      </c>
      <c r="F171" s="58">
        <v>1</v>
      </c>
      <c r="J171" s="41"/>
    </row>
    <row r="172" spans="1:76" ht="25.5">
      <c r="A172" s="1" t="s">
        <v>520</v>
      </c>
      <c r="B172" s="2" t="s">
        <v>521</v>
      </c>
      <c r="C172" s="75" t="s">
        <v>522</v>
      </c>
      <c r="D172" s="70"/>
      <c r="E172" s="2" t="s">
        <v>115</v>
      </c>
      <c r="F172" s="51">
        <v>2</v>
      </c>
      <c r="G172" s="52">
        <v>0</v>
      </c>
      <c r="H172" s="51">
        <f>F172*G172</f>
        <v>0</v>
      </c>
      <c r="J172" s="41"/>
      <c r="Z172" s="51">
        <f>IF(AQ172="5",BJ172,0)</f>
        <v>0</v>
      </c>
      <c r="AB172" s="51">
        <f>IF(AQ172="1",BH172,0)</f>
        <v>0</v>
      </c>
      <c r="AC172" s="51">
        <f>IF(AQ172="1",BI172,0)</f>
        <v>0</v>
      </c>
      <c r="AD172" s="51">
        <f>IF(AQ172="7",BH172,0)</f>
        <v>0</v>
      </c>
      <c r="AE172" s="51">
        <f>IF(AQ172="7",BI172,0)</f>
        <v>0</v>
      </c>
      <c r="AF172" s="51">
        <f>IF(AQ172="2",BH172,0)</f>
        <v>0</v>
      </c>
      <c r="AG172" s="51">
        <f>IF(AQ172="2",BI172,0)</f>
        <v>0</v>
      </c>
      <c r="AH172" s="51">
        <f>IF(AQ172="0",BJ172,0)</f>
        <v>0</v>
      </c>
      <c r="AI172" s="35" t="s">
        <v>4</v>
      </c>
      <c r="AJ172" s="51">
        <f>IF(AN172=0,H172,0)</f>
        <v>0</v>
      </c>
      <c r="AK172" s="51">
        <f>IF(AN172=12,H172,0)</f>
        <v>0</v>
      </c>
      <c r="AL172" s="51">
        <f>IF(AN172=21,H172,0)</f>
        <v>0</v>
      </c>
      <c r="AN172" s="51">
        <v>12</v>
      </c>
      <c r="AO172" s="51">
        <f>G172*1</f>
        <v>0</v>
      </c>
      <c r="AP172" s="51">
        <f>G172*(1-1)</f>
        <v>0</v>
      </c>
      <c r="AQ172" s="53" t="s">
        <v>156</v>
      </c>
      <c r="AV172" s="51">
        <f>AW172+AX172</f>
        <v>0</v>
      </c>
      <c r="AW172" s="51">
        <f>F172*AO172</f>
        <v>0</v>
      </c>
      <c r="AX172" s="51">
        <f>F172*AP172</f>
        <v>0</v>
      </c>
      <c r="AY172" s="53" t="s">
        <v>491</v>
      </c>
      <c r="AZ172" s="53" t="s">
        <v>492</v>
      </c>
      <c r="BA172" s="35" t="s">
        <v>118</v>
      </c>
      <c r="BC172" s="51">
        <f>AW172+AX172</f>
        <v>0</v>
      </c>
      <c r="BD172" s="51">
        <f>G172/(100-BE172)*100</f>
        <v>0</v>
      </c>
      <c r="BE172" s="51">
        <v>0</v>
      </c>
      <c r="BF172" s="51">
        <f>172</f>
        <v>172</v>
      </c>
      <c r="BH172" s="51">
        <f>F172*AO172</f>
        <v>0</v>
      </c>
      <c r="BI172" s="51">
        <f>F172*AP172</f>
        <v>0</v>
      </c>
      <c r="BJ172" s="51">
        <f>F172*G172</f>
        <v>0</v>
      </c>
      <c r="BK172" s="51"/>
      <c r="BL172" s="51">
        <v>766</v>
      </c>
      <c r="BW172" s="51">
        <v>12</v>
      </c>
      <c r="BX172" s="3" t="s">
        <v>522</v>
      </c>
    </row>
    <row r="173" spans="1:76" ht="25.5">
      <c r="A173" s="1" t="s">
        <v>523</v>
      </c>
      <c r="B173" s="2" t="s">
        <v>524</v>
      </c>
      <c r="C173" s="75" t="s">
        <v>525</v>
      </c>
      <c r="D173" s="70"/>
      <c r="E173" s="2" t="s">
        <v>115</v>
      </c>
      <c r="F173" s="51">
        <v>1</v>
      </c>
      <c r="G173" s="52">
        <v>0</v>
      </c>
      <c r="H173" s="51">
        <f>F173*G173</f>
        <v>0</v>
      </c>
      <c r="J173" s="41"/>
      <c r="Z173" s="51">
        <f>IF(AQ173="5",BJ173,0)</f>
        <v>0</v>
      </c>
      <c r="AB173" s="51">
        <f>IF(AQ173="1",BH173,0)</f>
        <v>0</v>
      </c>
      <c r="AC173" s="51">
        <f>IF(AQ173="1",BI173,0)</f>
        <v>0</v>
      </c>
      <c r="AD173" s="51">
        <f>IF(AQ173="7",BH173,0)</f>
        <v>0</v>
      </c>
      <c r="AE173" s="51">
        <f>IF(AQ173="7",BI173,0)</f>
        <v>0</v>
      </c>
      <c r="AF173" s="51">
        <f>IF(AQ173="2",BH173,0)</f>
        <v>0</v>
      </c>
      <c r="AG173" s="51">
        <f>IF(AQ173="2",BI173,0)</f>
        <v>0</v>
      </c>
      <c r="AH173" s="51">
        <f>IF(AQ173="0",BJ173,0)</f>
        <v>0</v>
      </c>
      <c r="AI173" s="35" t="s">
        <v>4</v>
      </c>
      <c r="AJ173" s="51">
        <f>IF(AN173=0,H173,0)</f>
        <v>0</v>
      </c>
      <c r="AK173" s="51">
        <f>IF(AN173=12,H173,0)</f>
        <v>0</v>
      </c>
      <c r="AL173" s="51">
        <f>IF(AN173=21,H173,0)</f>
        <v>0</v>
      </c>
      <c r="AN173" s="51">
        <v>12</v>
      </c>
      <c r="AO173" s="51">
        <f>G173*1</f>
        <v>0</v>
      </c>
      <c r="AP173" s="51">
        <f>G173*(1-1)</f>
        <v>0</v>
      </c>
      <c r="AQ173" s="53" t="s">
        <v>156</v>
      </c>
      <c r="AV173" s="51">
        <f>AW173+AX173</f>
        <v>0</v>
      </c>
      <c r="AW173" s="51">
        <f>F173*AO173</f>
        <v>0</v>
      </c>
      <c r="AX173" s="51">
        <f>F173*AP173</f>
        <v>0</v>
      </c>
      <c r="AY173" s="53" t="s">
        <v>491</v>
      </c>
      <c r="AZ173" s="53" t="s">
        <v>492</v>
      </c>
      <c r="BA173" s="35" t="s">
        <v>118</v>
      </c>
      <c r="BC173" s="51">
        <f>AW173+AX173</f>
        <v>0</v>
      </c>
      <c r="BD173" s="51">
        <f>G173/(100-BE173)*100</f>
        <v>0</v>
      </c>
      <c r="BE173" s="51">
        <v>0</v>
      </c>
      <c r="BF173" s="51">
        <f>173</f>
        <v>173</v>
      </c>
      <c r="BH173" s="51">
        <f>F173*AO173</f>
        <v>0</v>
      </c>
      <c r="BI173" s="51">
        <f>F173*AP173</f>
        <v>0</v>
      </c>
      <c r="BJ173" s="51">
        <f>F173*G173</f>
        <v>0</v>
      </c>
      <c r="BK173" s="51"/>
      <c r="BL173" s="51">
        <v>766</v>
      </c>
      <c r="BW173" s="51">
        <v>12</v>
      </c>
      <c r="BX173" s="3" t="s">
        <v>525</v>
      </c>
    </row>
    <row r="174" spans="1:76">
      <c r="A174" s="1" t="s">
        <v>526</v>
      </c>
      <c r="B174" s="2" t="s">
        <v>527</v>
      </c>
      <c r="C174" s="75" t="s">
        <v>528</v>
      </c>
      <c r="D174" s="70"/>
      <c r="E174" s="2" t="s">
        <v>115</v>
      </c>
      <c r="F174" s="51">
        <v>1</v>
      </c>
      <c r="G174" s="52">
        <v>0</v>
      </c>
      <c r="H174" s="51">
        <f>F174*G174</f>
        <v>0</v>
      </c>
      <c r="J174" s="41"/>
      <c r="Z174" s="51">
        <f>IF(AQ174="5",BJ174,0)</f>
        <v>0</v>
      </c>
      <c r="AB174" s="51">
        <f>IF(AQ174="1",BH174,0)</f>
        <v>0</v>
      </c>
      <c r="AC174" s="51">
        <f>IF(AQ174="1",BI174,0)</f>
        <v>0</v>
      </c>
      <c r="AD174" s="51">
        <f>IF(AQ174="7",BH174,0)</f>
        <v>0</v>
      </c>
      <c r="AE174" s="51">
        <f>IF(AQ174="7",BI174,0)</f>
        <v>0</v>
      </c>
      <c r="AF174" s="51">
        <f>IF(AQ174="2",BH174,0)</f>
        <v>0</v>
      </c>
      <c r="AG174" s="51">
        <f>IF(AQ174="2",BI174,0)</f>
        <v>0</v>
      </c>
      <c r="AH174" s="51">
        <f>IF(AQ174="0",BJ174,0)</f>
        <v>0</v>
      </c>
      <c r="AI174" s="35" t="s">
        <v>4</v>
      </c>
      <c r="AJ174" s="51">
        <f>IF(AN174=0,H174,0)</f>
        <v>0</v>
      </c>
      <c r="AK174" s="51">
        <f>IF(AN174=12,H174,0)</f>
        <v>0</v>
      </c>
      <c r="AL174" s="51">
        <f>IF(AN174=21,H174,0)</f>
        <v>0</v>
      </c>
      <c r="AN174" s="51">
        <v>12</v>
      </c>
      <c r="AO174" s="51">
        <f>G174*1</f>
        <v>0</v>
      </c>
      <c r="AP174" s="51">
        <f>G174*(1-1)</f>
        <v>0</v>
      </c>
      <c r="AQ174" s="53" t="s">
        <v>156</v>
      </c>
      <c r="AV174" s="51">
        <f>AW174+AX174</f>
        <v>0</v>
      </c>
      <c r="AW174" s="51">
        <f>F174*AO174</f>
        <v>0</v>
      </c>
      <c r="AX174" s="51">
        <f>F174*AP174</f>
        <v>0</v>
      </c>
      <c r="AY174" s="53" t="s">
        <v>491</v>
      </c>
      <c r="AZ174" s="53" t="s">
        <v>492</v>
      </c>
      <c r="BA174" s="35" t="s">
        <v>118</v>
      </c>
      <c r="BC174" s="51">
        <f>AW174+AX174</f>
        <v>0</v>
      </c>
      <c r="BD174" s="51">
        <f>G174/(100-BE174)*100</f>
        <v>0</v>
      </c>
      <c r="BE174" s="51">
        <v>0</v>
      </c>
      <c r="BF174" s="51">
        <f>174</f>
        <v>174</v>
      </c>
      <c r="BH174" s="51">
        <f>F174*AO174</f>
        <v>0</v>
      </c>
      <c r="BI174" s="51">
        <f>F174*AP174</f>
        <v>0</v>
      </c>
      <c r="BJ174" s="51">
        <f>F174*G174</f>
        <v>0</v>
      </c>
      <c r="BK174" s="51"/>
      <c r="BL174" s="51">
        <v>766</v>
      </c>
      <c r="BW174" s="51">
        <v>12</v>
      </c>
      <c r="BX174" s="3" t="s">
        <v>528</v>
      </c>
    </row>
    <row r="175" spans="1:76">
      <c r="A175" s="1" t="s">
        <v>529</v>
      </c>
      <c r="B175" s="2" t="s">
        <v>530</v>
      </c>
      <c r="C175" s="75" t="s">
        <v>531</v>
      </c>
      <c r="D175" s="70"/>
      <c r="E175" s="2" t="s">
        <v>248</v>
      </c>
      <c r="F175" s="51">
        <v>0.54200000000000004</v>
      </c>
      <c r="G175" s="52">
        <v>0</v>
      </c>
      <c r="H175" s="51">
        <f>F175*G175</f>
        <v>0</v>
      </c>
      <c r="J175" s="41"/>
      <c r="Z175" s="51">
        <f>IF(AQ175="5",BJ175,0)</f>
        <v>0</v>
      </c>
      <c r="AB175" s="51">
        <f>IF(AQ175="1",BH175,0)</f>
        <v>0</v>
      </c>
      <c r="AC175" s="51">
        <f>IF(AQ175="1",BI175,0)</f>
        <v>0</v>
      </c>
      <c r="AD175" s="51">
        <f>IF(AQ175="7",BH175,0)</f>
        <v>0</v>
      </c>
      <c r="AE175" s="51">
        <f>IF(AQ175="7",BI175,0)</f>
        <v>0</v>
      </c>
      <c r="AF175" s="51">
        <f>IF(AQ175="2",BH175,0)</f>
        <v>0</v>
      </c>
      <c r="AG175" s="51">
        <f>IF(AQ175="2",BI175,0)</f>
        <v>0</v>
      </c>
      <c r="AH175" s="51">
        <f>IF(AQ175="0",BJ175,0)</f>
        <v>0</v>
      </c>
      <c r="AI175" s="35" t="s">
        <v>4</v>
      </c>
      <c r="AJ175" s="51">
        <f>IF(AN175=0,H175,0)</f>
        <v>0</v>
      </c>
      <c r="AK175" s="51">
        <f>IF(AN175=12,H175,0)</f>
        <v>0</v>
      </c>
      <c r="AL175" s="51">
        <f>IF(AN175=21,H175,0)</f>
        <v>0</v>
      </c>
      <c r="AN175" s="51">
        <v>12</v>
      </c>
      <c r="AO175" s="51">
        <f>G175*0</f>
        <v>0</v>
      </c>
      <c r="AP175" s="51">
        <f>G175*(1-0)</f>
        <v>0</v>
      </c>
      <c r="AQ175" s="53" t="s">
        <v>139</v>
      </c>
      <c r="AV175" s="51">
        <f>AW175+AX175</f>
        <v>0</v>
      </c>
      <c r="AW175" s="51">
        <f>F175*AO175</f>
        <v>0</v>
      </c>
      <c r="AX175" s="51">
        <f>F175*AP175</f>
        <v>0</v>
      </c>
      <c r="AY175" s="53" t="s">
        <v>491</v>
      </c>
      <c r="AZ175" s="53" t="s">
        <v>492</v>
      </c>
      <c r="BA175" s="35" t="s">
        <v>118</v>
      </c>
      <c r="BC175" s="51">
        <f>AW175+AX175</f>
        <v>0</v>
      </c>
      <c r="BD175" s="51">
        <f>G175/(100-BE175)*100</f>
        <v>0</v>
      </c>
      <c r="BE175" s="51">
        <v>0</v>
      </c>
      <c r="BF175" s="51">
        <f>175</f>
        <v>175</v>
      </c>
      <c r="BH175" s="51">
        <f>F175*AO175</f>
        <v>0</v>
      </c>
      <c r="BI175" s="51">
        <f>F175*AP175</f>
        <v>0</v>
      </c>
      <c r="BJ175" s="51">
        <f>F175*G175</f>
        <v>0</v>
      </c>
      <c r="BK175" s="51"/>
      <c r="BL175" s="51">
        <v>766</v>
      </c>
      <c r="BW175" s="51">
        <v>12</v>
      </c>
      <c r="BX175" s="3" t="s">
        <v>531</v>
      </c>
    </row>
    <row r="176" spans="1:76">
      <c r="A176" s="47" t="s">
        <v>4</v>
      </c>
      <c r="B176" s="48" t="s">
        <v>532</v>
      </c>
      <c r="C176" s="150" t="s">
        <v>533</v>
      </c>
      <c r="D176" s="151"/>
      <c r="E176" s="49" t="s">
        <v>80</v>
      </c>
      <c r="F176" s="49" t="s">
        <v>80</v>
      </c>
      <c r="G176" s="50" t="s">
        <v>80</v>
      </c>
      <c r="H176" s="28">
        <f>SUM(H177:H188)</f>
        <v>0</v>
      </c>
      <c r="J176" s="41"/>
      <c r="AI176" s="35" t="s">
        <v>4</v>
      </c>
      <c r="AS176" s="28">
        <f>SUM(AJ177:AJ188)</f>
        <v>0</v>
      </c>
      <c r="AT176" s="28">
        <f>SUM(AK177:AK188)</f>
        <v>0</v>
      </c>
      <c r="AU176" s="28">
        <f>SUM(AL177:AL188)</f>
        <v>0</v>
      </c>
    </row>
    <row r="177" spans="1:76">
      <c r="A177" s="1" t="s">
        <v>534</v>
      </c>
      <c r="B177" s="2" t="s">
        <v>535</v>
      </c>
      <c r="C177" s="75" t="s">
        <v>536</v>
      </c>
      <c r="D177" s="70"/>
      <c r="E177" s="2" t="s">
        <v>127</v>
      </c>
      <c r="F177" s="51">
        <v>2.6</v>
      </c>
      <c r="G177" s="52">
        <v>0</v>
      </c>
      <c r="H177" s="51">
        <f>F177*G177</f>
        <v>0</v>
      </c>
      <c r="J177" s="41"/>
      <c r="Z177" s="51">
        <f>IF(AQ177="5",BJ177,0)</f>
        <v>0</v>
      </c>
      <c r="AB177" s="51">
        <f>IF(AQ177="1",BH177,0)</f>
        <v>0</v>
      </c>
      <c r="AC177" s="51">
        <f>IF(AQ177="1",BI177,0)</f>
        <v>0</v>
      </c>
      <c r="AD177" s="51">
        <f>IF(AQ177="7",BH177,0)</f>
        <v>0</v>
      </c>
      <c r="AE177" s="51">
        <f>IF(AQ177="7",BI177,0)</f>
        <v>0</v>
      </c>
      <c r="AF177" s="51">
        <f>IF(AQ177="2",BH177,0)</f>
        <v>0</v>
      </c>
      <c r="AG177" s="51">
        <f>IF(AQ177="2",BI177,0)</f>
        <v>0</v>
      </c>
      <c r="AH177" s="51">
        <f>IF(AQ177="0",BJ177,0)</f>
        <v>0</v>
      </c>
      <c r="AI177" s="35" t="s">
        <v>4</v>
      </c>
      <c r="AJ177" s="51">
        <f>IF(AN177=0,H177,0)</f>
        <v>0</v>
      </c>
      <c r="AK177" s="51">
        <f>IF(AN177=12,H177,0)</f>
        <v>0</v>
      </c>
      <c r="AL177" s="51">
        <f>IF(AN177=21,H177,0)</f>
        <v>0</v>
      </c>
      <c r="AN177" s="51">
        <v>12</v>
      </c>
      <c r="AO177" s="51">
        <f>G177*0.472426471</f>
        <v>0</v>
      </c>
      <c r="AP177" s="51">
        <f>G177*(1-0.472426471)</f>
        <v>0</v>
      </c>
      <c r="AQ177" s="53" t="s">
        <v>156</v>
      </c>
      <c r="AV177" s="51">
        <f>AW177+AX177</f>
        <v>0</v>
      </c>
      <c r="AW177" s="51">
        <f>F177*AO177</f>
        <v>0</v>
      </c>
      <c r="AX177" s="51">
        <f>F177*AP177</f>
        <v>0</v>
      </c>
      <c r="AY177" s="53" t="s">
        <v>537</v>
      </c>
      <c r="AZ177" s="53" t="s">
        <v>538</v>
      </c>
      <c r="BA177" s="35" t="s">
        <v>118</v>
      </c>
      <c r="BC177" s="51">
        <f>AW177+AX177</f>
        <v>0</v>
      </c>
      <c r="BD177" s="51">
        <f>G177/(100-BE177)*100</f>
        <v>0</v>
      </c>
      <c r="BE177" s="51">
        <v>0</v>
      </c>
      <c r="BF177" s="51">
        <f>177</f>
        <v>177</v>
      </c>
      <c r="BH177" s="51">
        <f>F177*AO177</f>
        <v>0</v>
      </c>
      <c r="BI177" s="51">
        <f>F177*AP177</f>
        <v>0</v>
      </c>
      <c r="BJ177" s="51">
        <f>F177*G177</f>
        <v>0</v>
      </c>
      <c r="BK177" s="51"/>
      <c r="BL177" s="51">
        <v>771</v>
      </c>
      <c r="BW177" s="51">
        <v>12</v>
      </c>
      <c r="BX177" s="3" t="s">
        <v>536</v>
      </c>
    </row>
    <row r="178" spans="1:76">
      <c r="A178" s="1" t="s">
        <v>539</v>
      </c>
      <c r="B178" s="2" t="s">
        <v>540</v>
      </c>
      <c r="C178" s="75" t="s">
        <v>541</v>
      </c>
      <c r="D178" s="70"/>
      <c r="E178" s="2" t="s">
        <v>127</v>
      </c>
      <c r="F178" s="51">
        <v>2.6</v>
      </c>
      <c r="G178" s="52">
        <v>0</v>
      </c>
      <c r="H178" s="51">
        <f>F178*G178</f>
        <v>0</v>
      </c>
      <c r="J178" s="41"/>
      <c r="Z178" s="51">
        <f>IF(AQ178="5",BJ178,0)</f>
        <v>0</v>
      </c>
      <c r="AB178" s="51">
        <f>IF(AQ178="1",BH178,0)</f>
        <v>0</v>
      </c>
      <c r="AC178" s="51">
        <f>IF(AQ178="1",BI178,0)</f>
        <v>0</v>
      </c>
      <c r="AD178" s="51">
        <f>IF(AQ178="7",BH178,0)</f>
        <v>0</v>
      </c>
      <c r="AE178" s="51">
        <f>IF(AQ178="7",BI178,0)</f>
        <v>0</v>
      </c>
      <c r="AF178" s="51">
        <f>IF(AQ178="2",BH178,0)</f>
        <v>0</v>
      </c>
      <c r="AG178" s="51">
        <f>IF(AQ178="2",BI178,0)</f>
        <v>0</v>
      </c>
      <c r="AH178" s="51">
        <f>IF(AQ178="0",BJ178,0)</f>
        <v>0</v>
      </c>
      <c r="AI178" s="35" t="s">
        <v>4</v>
      </c>
      <c r="AJ178" s="51">
        <f>IF(AN178=0,H178,0)</f>
        <v>0</v>
      </c>
      <c r="AK178" s="51">
        <f>IF(AN178=12,H178,0)</f>
        <v>0</v>
      </c>
      <c r="AL178" s="51">
        <f>IF(AN178=21,H178,0)</f>
        <v>0</v>
      </c>
      <c r="AN178" s="51">
        <v>12</v>
      </c>
      <c r="AO178" s="51">
        <f>G178*0</f>
        <v>0</v>
      </c>
      <c r="AP178" s="51">
        <f>G178*(1-0)</f>
        <v>0</v>
      </c>
      <c r="AQ178" s="53" t="s">
        <v>156</v>
      </c>
      <c r="AV178" s="51">
        <f>AW178+AX178</f>
        <v>0</v>
      </c>
      <c r="AW178" s="51">
        <f>F178*AO178</f>
        <v>0</v>
      </c>
      <c r="AX178" s="51">
        <f>F178*AP178</f>
        <v>0</v>
      </c>
      <c r="AY178" s="53" t="s">
        <v>537</v>
      </c>
      <c r="AZ178" s="53" t="s">
        <v>538</v>
      </c>
      <c r="BA178" s="35" t="s">
        <v>118</v>
      </c>
      <c r="BC178" s="51">
        <f>AW178+AX178</f>
        <v>0</v>
      </c>
      <c r="BD178" s="51">
        <f>G178/(100-BE178)*100</f>
        <v>0</v>
      </c>
      <c r="BE178" s="51">
        <v>0</v>
      </c>
      <c r="BF178" s="51">
        <f>178</f>
        <v>178</v>
      </c>
      <c r="BH178" s="51">
        <f>F178*AO178</f>
        <v>0</v>
      </c>
      <c r="BI178" s="51">
        <f>F178*AP178</f>
        <v>0</v>
      </c>
      <c r="BJ178" s="51">
        <f>F178*G178</f>
        <v>0</v>
      </c>
      <c r="BK178" s="51"/>
      <c r="BL178" s="51">
        <v>771</v>
      </c>
      <c r="BW178" s="51">
        <v>12</v>
      </c>
      <c r="BX178" s="3" t="s">
        <v>541</v>
      </c>
    </row>
    <row r="179" spans="1:76">
      <c r="A179" s="54"/>
      <c r="C179" s="56" t="s">
        <v>542</v>
      </c>
      <c r="D179" s="57" t="s">
        <v>294</v>
      </c>
      <c r="F179" s="58">
        <v>2.6</v>
      </c>
      <c r="J179" s="41"/>
    </row>
    <row r="180" spans="1:76">
      <c r="A180" s="1" t="s">
        <v>543</v>
      </c>
      <c r="B180" s="2" t="s">
        <v>544</v>
      </c>
      <c r="C180" s="75" t="s">
        <v>545</v>
      </c>
      <c r="D180" s="70"/>
      <c r="E180" s="2" t="s">
        <v>127</v>
      </c>
      <c r="F180" s="51">
        <v>2.6</v>
      </c>
      <c r="G180" s="52">
        <v>0</v>
      </c>
      <c r="H180" s="51">
        <f>F180*G180</f>
        <v>0</v>
      </c>
      <c r="J180" s="41"/>
      <c r="Z180" s="51">
        <f>IF(AQ180="5",BJ180,0)</f>
        <v>0</v>
      </c>
      <c r="AB180" s="51">
        <f>IF(AQ180="1",BH180,0)</f>
        <v>0</v>
      </c>
      <c r="AC180" s="51">
        <f>IF(AQ180="1",BI180,0)</f>
        <v>0</v>
      </c>
      <c r="AD180" s="51">
        <f>IF(AQ180="7",BH180,0)</f>
        <v>0</v>
      </c>
      <c r="AE180" s="51">
        <f>IF(AQ180="7",BI180,0)</f>
        <v>0</v>
      </c>
      <c r="AF180" s="51">
        <f>IF(AQ180="2",BH180,0)</f>
        <v>0</v>
      </c>
      <c r="AG180" s="51">
        <f>IF(AQ180="2",BI180,0)</f>
        <v>0</v>
      </c>
      <c r="AH180" s="51">
        <f>IF(AQ180="0",BJ180,0)</f>
        <v>0</v>
      </c>
      <c r="AI180" s="35" t="s">
        <v>4</v>
      </c>
      <c r="AJ180" s="51">
        <f>IF(AN180=0,H180,0)</f>
        <v>0</v>
      </c>
      <c r="AK180" s="51">
        <f>IF(AN180=12,H180,0)</f>
        <v>0</v>
      </c>
      <c r="AL180" s="51">
        <f>IF(AN180=21,H180,0)</f>
        <v>0</v>
      </c>
      <c r="AN180" s="51">
        <v>12</v>
      </c>
      <c r="AO180" s="51">
        <f>G180*0.245838926</f>
        <v>0</v>
      </c>
      <c r="AP180" s="51">
        <f>G180*(1-0.245838926)</f>
        <v>0</v>
      </c>
      <c r="AQ180" s="53" t="s">
        <v>156</v>
      </c>
      <c r="AV180" s="51">
        <f>AW180+AX180</f>
        <v>0</v>
      </c>
      <c r="AW180" s="51">
        <f>F180*AO180</f>
        <v>0</v>
      </c>
      <c r="AX180" s="51">
        <f>F180*AP180</f>
        <v>0</v>
      </c>
      <c r="AY180" s="53" t="s">
        <v>537</v>
      </c>
      <c r="AZ180" s="53" t="s">
        <v>538</v>
      </c>
      <c r="BA180" s="35" t="s">
        <v>118</v>
      </c>
      <c r="BC180" s="51">
        <f>AW180+AX180</f>
        <v>0</v>
      </c>
      <c r="BD180" s="51">
        <f>G180/(100-BE180)*100</f>
        <v>0</v>
      </c>
      <c r="BE180" s="51">
        <v>0</v>
      </c>
      <c r="BF180" s="51">
        <f>180</f>
        <v>180</v>
      </c>
      <c r="BH180" s="51">
        <f>F180*AO180</f>
        <v>0</v>
      </c>
      <c r="BI180" s="51">
        <f>F180*AP180</f>
        <v>0</v>
      </c>
      <c r="BJ180" s="51">
        <f>F180*G180</f>
        <v>0</v>
      </c>
      <c r="BK180" s="51"/>
      <c r="BL180" s="51">
        <v>771</v>
      </c>
      <c r="BW180" s="51">
        <v>12</v>
      </c>
      <c r="BX180" s="3" t="s">
        <v>545</v>
      </c>
    </row>
    <row r="181" spans="1:76">
      <c r="A181" s="54"/>
      <c r="C181" s="56" t="s">
        <v>542</v>
      </c>
      <c r="D181" s="57" t="s">
        <v>294</v>
      </c>
      <c r="F181" s="58">
        <v>2.6</v>
      </c>
      <c r="J181" s="41"/>
    </row>
    <row r="182" spans="1:76">
      <c r="A182" s="1" t="s">
        <v>546</v>
      </c>
      <c r="B182" s="2" t="s">
        <v>547</v>
      </c>
      <c r="C182" s="75" t="s">
        <v>548</v>
      </c>
      <c r="D182" s="70"/>
      <c r="E182" s="2" t="s">
        <v>127</v>
      </c>
      <c r="F182" s="51">
        <v>2.6</v>
      </c>
      <c r="G182" s="52">
        <v>0</v>
      </c>
      <c r="H182" s="51">
        <f>F182*G182</f>
        <v>0</v>
      </c>
      <c r="J182" s="41"/>
      <c r="Z182" s="51">
        <f>IF(AQ182="5",BJ182,0)</f>
        <v>0</v>
      </c>
      <c r="AB182" s="51">
        <f>IF(AQ182="1",BH182,0)</f>
        <v>0</v>
      </c>
      <c r="AC182" s="51">
        <f>IF(AQ182="1",BI182,0)</f>
        <v>0</v>
      </c>
      <c r="AD182" s="51">
        <f>IF(AQ182="7",BH182,0)</f>
        <v>0</v>
      </c>
      <c r="AE182" s="51">
        <f>IF(AQ182="7",BI182,0)</f>
        <v>0</v>
      </c>
      <c r="AF182" s="51">
        <f>IF(AQ182="2",BH182,0)</f>
        <v>0</v>
      </c>
      <c r="AG182" s="51">
        <f>IF(AQ182="2",BI182,0)</f>
        <v>0</v>
      </c>
      <c r="AH182" s="51">
        <f>IF(AQ182="0",BJ182,0)</f>
        <v>0</v>
      </c>
      <c r="AI182" s="35" t="s">
        <v>4</v>
      </c>
      <c r="AJ182" s="51">
        <f>IF(AN182=0,H182,0)</f>
        <v>0</v>
      </c>
      <c r="AK182" s="51">
        <f>IF(AN182=12,H182,0)</f>
        <v>0</v>
      </c>
      <c r="AL182" s="51">
        <f>IF(AN182=21,H182,0)</f>
        <v>0</v>
      </c>
      <c r="AN182" s="51">
        <v>12</v>
      </c>
      <c r="AO182" s="51">
        <f>G182*0</f>
        <v>0</v>
      </c>
      <c r="AP182" s="51">
        <f>G182*(1-0)</f>
        <v>0</v>
      </c>
      <c r="AQ182" s="53" t="s">
        <v>156</v>
      </c>
      <c r="AV182" s="51">
        <f>AW182+AX182</f>
        <v>0</v>
      </c>
      <c r="AW182" s="51">
        <f>F182*AO182</f>
        <v>0</v>
      </c>
      <c r="AX182" s="51">
        <f>F182*AP182</f>
        <v>0</v>
      </c>
      <c r="AY182" s="53" t="s">
        <v>537</v>
      </c>
      <c r="AZ182" s="53" t="s">
        <v>538</v>
      </c>
      <c r="BA182" s="35" t="s">
        <v>118</v>
      </c>
      <c r="BC182" s="51">
        <f>AW182+AX182</f>
        <v>0</v>
      </c>
      <c r="BD182" s="51">
        <f>G182/(100-BE182)*100</f>
        <v>0</v>
      </c>
      <c r="BE182" s="51">
        <v>0</v>
      </c>
      <c r="BF182" s="51">
        <f>182</f>
        <v>182</v>
      </c>
      <c r="BH182" s="51">
        <f>F182*AO182</f>
        <v>0</v>
      </c>
      <c r="BI182" s="51">
        <f>F182*AP182</f>
        <v>0</v>
      </c>
      <c r="BJ182" s="51">
        <f>F182*G182</f>
        <v>0</v>
      </c>
      <c r="BK182" s="51"/>
      <c r="BL182" s="51">
        <v>771</v>
      </c>
      <c r="BW182" s="51">
        <v>12</v>
      </c>
      <c r="BX182" s="3" t="s">
        <v>548</v>
      </c>
    </row>
    <row r="183" spans="1:76">
      <c r="A183" s="1" t="s">
        <v>549</v>
      </c>
      <c r="B183" s="2" t="s">
        <v>550</v>
      </c>
      <c r="C183" s="75" t="s">
        <v>551</v>
      </c>
      <c r="D183" s="70"/>
      <c r="E183" s="2" t="s">
        <v>134</v>
      </c>
      <c r="F183" s="51">
        <v>15.25</v>
      </c>
      <c r="G183" s="52">
        <v>0</v>
      </c>
      <c r="H183" s="51">
        <f>F183*G183</f>
        <v>0</v>
      </c>
      <c r="J183" s="41"/>
      <c r="Z183" s="51">
        <f>IF(AQ183="5",BJ183,0)</f>
        <v>0</v>
      </c>
      <c r="AB183" s="51">
        <f>IF(AQ183="1",BH183,0)</f>
        <v>0</v>
      </c>
      <c r="AC183" s="51">
        <f>IF(AQ183="1",BI183,0)</f>
        <v>0</v>
      </c>
      <c r="AD183" s="51">
        <f>IF(AQ183="7",BH183,0)</f>
        <v>0</v>
      </c>
      <c r="AE183" s="51">
        <f>IF(AQ183="7",BI183,0)</f>
        <v>0</v>
      </c>
      <c r="AF183" s="51">
        <f>IF(AQ183="2",BH183,0)</f>
        <v>0</v>
      </c>
      <c r="AG183" s="51">
        <f>IF(AQ183="2",BI183,0)</f>
        <v>0</v>
      </c>
      <c r="AH183" s="51">
        <f>IF(AQ183="0",BJ183,0)</f>
        <v>0</v>
      </c>
      <c r="AI183" s="35" t="s">
        <v>4</v>
      </c>
      <c r="AJ183" s="51">
        <f>IF(AN183=0,H183,0)</f>
        <v>0</v>
      </c>
      <c r="AK183" s="51">
        <f>IF(AN183=12,H183,0)</f>
        <v>0</v>
      </c>
      <c r="AL183" s="51">
        <f>IF(AN183=21,H183,0)</f>
        <v>0</v>
      </c>
      <c r="AN183" s="51">
        <v>12</v>
      </c>
      <c r="AO183" s="51">
        <f>G183*0.495226131</f>
        <v>0</v>
      </c>
      <c r="AP183" s="51">
        <f>G183*(1-0.495226131)</f>
        <v>0</v>
      </c>
      <c r="AQ183" s="53" t="s">
        <v>156</v>
      </c>
      <c r="AV183" s="51">
        <f>AW183+AX183</f>
        <v>0</v>
      </c>
      <c r="AW183" s="51">
        <f>F183*AO183</f>
        <v>0</v>
      </c>
      <c r="AX183" s="51">
        <f>F183*AP183</f>
        <v>0</v>
      </c>
      <c r="AY183" s="53" t="s">
        <v>537</v>
      </c>
      <c r="AZ183" s="53" t="s">
        <v>538</v>
      </c>
      <c r="BA183" s="35" t="s">
        <v>118</v>
      </c>
      <c r="BC183" s="51">
        <f>AW183+AX183</f>
        <v>0</v>
      </c>
      <c r="BD183" s="51">
        <f>G183/(100-BE183)*100</f>
        <v>0</v>
      </c>
      <c r="BE183" s="51">
        <v>0</v>
      </c>
      <c r="BF183" s="51">
        <f>183</f>
        <v>183</v>
      </c>
      <c r="BH183" s="51">
        <f>F183*AO183</f>
        <v>0</v>
      </c>
      <c r="BI183" s="51">
        <f>F183*AP183</f>
        <v>0</v>
      </c>
      <c r="BJ183" s="51">
        <f>F183*G183</f>
        <v>0</v>
      </c>
      <c r="BK183" s="51"/>
      <c r="BL183" s="51">
        <v>771</v>
      </c>
      <c r="BW183" s="51">
        <v>12</v>
      </c>
      <c r="BX183" s="3" t="s">
        <v>551</v>
      </c>
    </row>
    <row r="184" spans="1:76">
      <c r="A184" s="54"/>
      <c r="C184" s="56" t="s">
        <v>303</v>
      </c>
      <c r="D184" s="57" t="s">
        <v>552</v>
      </c>
      <c r="F184" s="58">
        <v>5.65</v>
      </c>
      <c r="J184" s="41"/>
    </row>
    <row r="185" spans="1:76">
      <c r="A185" s="54"/>
      <c r="C185" s="56" t="s">
        <v>553</v>
      </c>
      <c r="D185" s="57" t="s">
        <v>554</v>
      </c>
      <c r="F185" s="58">
        <v>8.4</v>
      </c>
      <c r="J185" s="41"/>
    </row>
    <row r="186" spans="1:76">
      <c r="A186" s="54"/>
      <c r="C186" s="56" t="s">
        <v>555</v>
      </c>
      <c r="D186" s="57" t="s">
        <v>556</v>
      </c>
      <c r="F186" s="58">
        <v>1.2</v>
      </c>
      <c r="J186" s="41"/>
    </row>
    <row r="187" spans="1:76">
      <c r="A187" s="1" t="s">
        <v>557</v>
      </c>
      <c r="B187" s="2" t="s">
        <v>558</v>
      </c>
      <c r="C187" s="75" t="s">
        <v>559</v>
      </c>
      <c r="D187" s="70"/>
      <c r="E187" s="2" t="s">
        <v>127</v>
      </c>
      <c r="F187" s="51">
        <v>3</v>
      </c>
      <c r="G187" s="52">
        <v>0</v>
      </c>
      <c r="H187" s="51">
        <f>F187*G187</f>
        <v>0</v>
      </c>
      <c r="J187" s="41"/>
      <c r="Z187" s="51">
        <f>IF(AQ187="5",BJ187,0)</f>
        <v>0</v>
      </c>
      <c r="AB187" s="51">
        <f>IF(AQ187="1",BH187,0)</f>
        <v>0</v>
      </c>
      <c r="AC187" s="51">
        <f>IF(AQ187="1",BI187,0)</f>
        <v>0</v>
      </c>
      <c r="AD187" s="51">
        <f>IF(AQ187="7",BH187,0)</f>
        <v>0</v>
      </c>
      <c r="AE187" s="51">
        <f>IF(AQ187="7",BI187,0)</f>
        <v>0</v>
      </c>
      <c r="AF187" s="51">
        <f>IF(AQ187="2",BH187,0)</f>
        <v>0</v>
      </c>
      <c r="AG187" s="51">
        <f>IF(AQ187="2",BI187,0)</f>
        <v>0</v>
      </c>
      <c r="AH187" s="51">
        <f>IF(AQ187="0",BJ187,0)</f>
        <v>0</v>
      </c>
      <c r="AI187" s="35" t="s">
        <v>4</v>
      </c>
      <c r="AJ187" s="51">
        <f>IF(AN187=0,H187,0)</f>
        <v>0</v>
      </c>
      <c r="AK187" s="51">
        <f>IF(AN187=12,H187,0)</f>
        <v>0</v>
      </c>
      <c r="AL187" s="51">
        <f>IF(AN187=21,H187,0)</f>
        <v>0</v>
      </c>
      <c r="AN187" s="51">
        <v>12</v>
      </c>
      <c r="AO187" s="51">
        <f>G187*1</f>
        <v>0</v>
      </c>
      <c r="AP187" s="51">
        <f>G187*(1-1)</f>
        <v>0</v>
      </c>
      <c r="AQ187" s="53" t="s">
        <v>156</v>
      </c>
      <c r="AV187" s="51">
        <f>AW187+AX187</f>
        <v>0</v>
      </c>
      <c r="AW187" s="51">
        <f>F187*AO187</f>
        <v>0</v>
      </c>
      <c r="AX187" s="51">
        <f>F187*AP187</f>
        <v>0</v>
      </c>
      <c r="AY187" s="53" t="s">
        <v>537</v>
      </c>
      <c r="AZ187" s="53" t="s">
        <v>538</v>
      </c>
      <c r="BA187" s="35" t="s">
        <v>118</v>
      </c>
      <c r="BC187" s="51">
        <f>AW187+AX187</f>
        <v>0</v>
      </c>
      <c r="BD187" s="51">
        <f>G187/(100-BE187)*100</f>
        <v>0</v>
      </c>
      <c r="BE187" s="51">
        <v>0</v>
      </c>
      <c r="BF187" s="51">
        <f>187</f>
        <v>187</v>
      </c>
      <c r="BH187" s="51">
        <f>F187*AO187</f>
        <v>0</v>
      </c>
      <c r="BI187" s="51">
        <f>F187*AP187</f>
        <v>0</v>
      </c>
      <c r="BJ187" s="51">
        <f>F187*G187</f>
        <v>0</v>
      </c>
      <c r="BK187" s="51"/>
      <c r="BL187" s="51">
        <v>771</v>
      </c>
      <c r="BW187" s="51">
        <v>12</v>
      </c>
      <c r="BX187" s="3" t="s">
        <v>559</v>
      </c>
    </row>
    <row r="188" spans="1:76">
      <c r="A188" s="1" t="s">
        <v>560</v>
      </c>
      <c r="B188" s="2" t="s">
        <v>561</v>
      </c>
      <c r="C188" s="75" t="s">
        <v>562</v>
      </c>
      <c r="D188" s="70"/>
      <c r="E188" s="2" t="s">
        <v>248</v>
      </c>
      <c r="F188" s="51">
        <v>7.1999999999999995E-2</v>
      </c>
      <c r="G188" s="52">
        <v>0</v>
      </c>
      <c r="H188" s="51">
        <f>F188*G188</f>
        <v>0</v>
      </c>
      <c r="J188" s="41"/>
      <c r="Z188" s="51">
        <f>IF(AQ188="5",BJ188,0)</f>
        <v>0</v>
      </c>
      <c r="AB188" s="51">
        <f>IF(AQ188="1",BH188,0)</f>
        <v>0</v>
      </c>
      <c r="AC188" s="51">
        <f>IF(AQ188="1",BI188,0)</f>
        <v>0</v>
      </c>
      <c r="AD188" s="51">
        <f>IF(AQ188="7",BH188,0)</f>
        <v>0</v>
      </c>
      <c r="AE188" s="51">
        <f>IF(AQ188="7",BI188,0)</f>
        <v>0</v>
      </c>
      <c r="AF188" s="51">
        <f>IF(AQ188="2",BH188,0)</f>
        <v>0</v>
      </c>
      <c r="AG188" s="51">
        <f>IF(AQ188="2",BI188,0)</f>
        <v>0</v>
      </c>
      <c r="AH188" s="51">
        <f>IF(AQ188="0",BJ188,0)</f>
        <v>0</v>
      </c>
      <c r="AI188" s="35" t="s">
        <v>4</v>
      </c>
      <c r="AJ188" s="51">
        <f>IF(AN188=0,H188,0)</f>
        <v>0</v>
      </c>
      <c r="AK188" s="51">
        <f>IF(AN188=12,H188,0)</f>
        <v>0</v>
      </c>
      <c r="AL188" s="51">
        <f>IF(AN188=21,H188,0)</f>
        <v>0</v>
      </c>
      <c r="AN188" s="51">
        <v>12</v>
      </c>
      <c r="AO188" s="51">
        <f>G188*0</f>
        <v>0</v>
      </c>
      <c r="AP188" s="51">
        <f>G188*(1-0)</f>
        <v>0</v>
      </c>
      <c r="AQ188" s="53" t="s">
        <v>139</v>
      </c>
      <c r="AV188" s="51">
        <f>AW188+AX188</f>
        <v>0</v>
      </c>
      <c r="AW188" s="51">
        <f>F188*AO188</f>
        <v>0</v>
      </c>
      <c r="AX188" s="51">
        <f>F188*AP188</f>
        <v>0</v>
      </c>
      <c r="AY188" s="53" t="s">
        <v>537</v>
      </c>
      <c r="AZ188" s="53" t="s">
        <v>538</v>
      </c>
      <c r="BA188" s="35" t="s">
        <v>118</v>
      </c>
      <c r="BC188" s="51">
        <f>AW188+AX188</f>
        <v>0</v>
      </c>
      <c r="BD188" s="51">
        <f>G188/(100-BE188)*100</f>
        <v>0</v>
      </c>
      <c r="BE188" s="51">
        <v>0</v>
      </c>
      <c r="BF188" s="51">
        <f>188</f>
        <v>188</v>
      </c>
      <c r="BH188" s="51">
        <f>F188*AO188</f>
        <v>0</v>
      </c>
      <c r="BI188" s="51">
        <f>F188*AP188</f>
        <v>0</v>
      </c>
      <c r="BJ188" s="51">
        <f>F188*G188</f>
        <v>0</v>
      </c>
      <c r="BK188" s="51"/>
      <c r="BL188" s="51">
        <v>771</v>
      </c>
      <c r="BW188" s="51">
        <v>12</v>
      </c>
      <c r="BX188" s="3" t="s">
        <v>562</v>
      </c>
    </row>
    <row r="189" spans="1:76">
      <c r="A189" s="47" t="s">
        <v>4</v>
      </c>
      <c r="B189" s="48" t="s">
        <v>563</v>
      </c>
      <c r="C189" s="150" t="s">
        <v>564</v>
      </c>
      <c r="D189" s="151"/>
      <c r="E189" s="49" t="s">
        <v>80</v>
      </c>
      <c r="F189" s="49" t="s">
        <v>80</v>
      </c>
      <c r="G189" s="50" t="s">
        <v>80</v>
      </c>
      <c r="H189" s="28">
        <f>SUM(H190:H207)</f>
        <v>0</v>
      </c>
      <c r="J189" s="41"/>
      <c r="AI189" s="35" t="s">
        <v>4</v>
      </c>
      <c r="AS189" s="28">
        <f>SUM(AJ190:AJ207)</f>
        <v>0</v>
      </c>
      <c r="AT189" s="28">
        <f>SUM(AK190:AK207)</f>
        <v>0</v>
      </c>
      <c r="AU189" s="28">
        <f>SUM(AL190:AL207)</f>
        <v>0</v>
      </c>
    </row>
    <row r="190" spans="1:76">
      <c r="A190" s="1" t="s">
        <v>565</v>
      </c>
      <c r="B190" s="2" t="s">
        <v>566</v>
      </c>
      <c r="C190" s="75" t="s">
        <v>567</v>
      </c>
      <c r="D190" s="70"/>
      <c r="E190" s="2" t="s">
        <v>134</v>
      </c>
      <c r="F190" s="51">
        <v>30.29</v>
      </c>
      <c r="G190" s="52">
        <v>0</v>
      </c>
      <c r="H190" s="51">
        <f>F190*G190</f>
        <v>0</v>
      </c>
      <c r="J190" s="41"/>
      <c r="Z190" s="51">
        <f>IF(AQ190="5",BJ190,0)</f>
        <v>0</v>
      </c>
      <c r="AB190" s="51">
        <f>IF(AQ190="1",BH190,0)</f>
        <v>0</v>
      </c>
      <c r="AC190" s="51">
        <f>IF(AQ190="1",BI190,0)</f>
        <v>0</v>
      </c>
      <c r="AD190" s="51">
        <f>IF(AQ190="7",BH190,0)</f>
        <v>0</v>
      </c>
      <c r="AE190" s="51">
        <f>IF(AQ190="7",BI190,0)</f>
        <v>0</v>
      </c>
      <c r="AF190" s="51">
        <f>IF(AQ190="2",BH190,0)</f>
        <v>0</v>
      </c>
      <c r="AG190" s="51">
        <f>IF(AQ190="2",BI190,0)</f>
        <v>0</v>
      </c>
      <c r="AH190" s="51">
        <f>IF(AQ190="0",BJ190,0)</f>
        <v>0</v>
      </c>
      <c r="AI190" s="35" t="s">
        <v>4</v>
      </c>
      <c r="AJ190" s="51">
        <f>IF(AN190=0,H190,0)</f>
        <v>0</v>
      </c>
      <c r="AK190" s="51">
        <f>IF(AN190=12,H190,0)</f>
        <v>0</v>
      </c>
      <c r="AL190" s="51">
        <f>IF(AN190=21,H190,0)</f>
        <v>0</v>
      </c>
      <c r="AN190" s="51">
        <v>12</v>
      </c>
      <c r="AO190" s="51">
        <f>G190*0</f>
        <v>0</v>
      </c>
      <c r="AP190" s="51">
        <f>G190*(1-0)</f>
        <v>0</v>
      </c>
      <c r="AQ190" s="53" t="s">
        <v>156</v>
      </c>
      <c r="AV190" s="51">
        <f>AW190+AX190</f>
        <v>0</v>
      </c>
      <c r="AW190" s="51">
        <f>F190*AO190</f>
        <v>0</v>
      </c>
      <c r="AX190" s="51">
        <f>F190*AP190</f>
        <v>0</v>
      </c>
      <c r="AY190" s="53" t="s">
        <v>568</v>
      </c>
      <c r="AZ190" s="53" t="s">
        <v>538</v>
      </c>
      <c r="BA190" s="35" t="s">
        <v>118</v>
      </c>
      <c r="BC190" s="51">
        <f>AW190+AX190</f>
        <v>0</v>
      </c>
      <c r="BD190" s="51">
        <f>G190/(100-BE190)*100</f>
        <v>0</v>
      </c>
      <c r="BE190" s="51">
        <v>0</v>
      </c>
      <c r="BF190" s="51">
        <f>190</f>
        <v>190</v>
      </c>
      <c r="BH190" s="51">
        <f>F190*AO190</f>
        <v>0</v>
      </c>
      <c r="BI190" s="51">
        <f>F190*AP190</f>
        <v>0</v>
      </c>
      <c r="BJ190" s="51">
        <f>F190*G190</f>
        <v>0</v>
      </c>
      <c r="BK190" s="51"/>
      <c r="BL190" s="51">
        <v>776</v>
      </c>
      <c r="BW190" s="51">
        <v>12</v>
      </c>
      <c r="BX190" s="3" t="s">
        <v>567</v>
      </c>
    </row>
    <row r="191" spans="1:76">
      <c r="A191" s="54"/>
      <c r="C191" s="56" t="s">
        <v>569</v>
      </c>
      <c r="D191" s="57" t="s">
        <v>570</v>
      </c>
      <c r="F191" s="58">
        <v>4.49</v>
      </c>
      <c r="J191" s="41"/>
    </row>
    <row r="192" spans="1:76">
      <c r="A192" s="54"/>
      <c r="C192" s="56" t="s">
        <v>571</v>
      </c>
      <c r="D192" s="57" t="s">
        <v>152</v>
      </c>
      <c r="F192" s="58">
        <v>14.65</v>
      </c>
      <c r="J192" s="41"/>
    </row>
    <row r="193" spans="1:76">
      <c r="A193" s="54"/>
      <c r="C193" s="56" t="s">
        <v>572</v>
      </c>
      <c r="D193" s="57" t="s">
        <v>150</v>
      </c>
      <c r="F193" s="58">
        <v>11.15</v>
      </c>
      <c r="J193" s="41"/>
    </row>
    <row r="194" spans="1:76">
      <c r="A194" s="1" t="s">
        <v>573</v>
      </c>
      <c r="B194" s="2" t="s">
        <v>574</v>
      </c>
      <c r="C194" s="75" t="s">
        <v>575</v>
      </c>
      <c r="D194" s="70"/>
      <c r="E194" s="2" t="s">
        <v>127</v>
      </c>
      <c r="F194" s="51">
        <v>26.428999999999998</v>
      </c>
      <c r="G194" s="52">
        <v>0</v>
      </c>
      <c r="H194" s="51">
        <f>F194*G194</f>
        <v>0</v>
      </c>
      <c r="J194" s="41"/>
      <c r="Z194" s="51">
        <f>IF(AQ194="5",BJ194,0)</f>
        <v>0</v>
      </c>
      <c r="AB194" s="51">
        <f>IF(AQ194="1",BH194,0)</f>
        <v>0</v>
      </c>
      <c r="AC194" s="51">
        <f>IF(AQ194="1",BI194,0)</f>
        <v>0</v>
      </c>
      <c r="AD194" s="51">
        <f>IF(AQ194="7",BH194,0)</f>
        <v>0</v>
      </c>
      <c r="AE194" s="51">
        <f>IF(AQ194="7",BI194,0)</f>
        <v>0</v>
      </c>
      <c r="AF194" s="51">
        <f>IF(AQ194="2",BH194,0)</f>
        <v>0</v>
      </c>
      <c r="AG194" s="51">
        <f>IF(AQ194="2",BI194,0)</f>
        <v>0</v>
      </c>
      <c r="AH194" s="51">
        <f>IF(AQ194="0",BJ194,0)</f>
        <v>0</v>
      </c>
      <c r="AI194" s="35" t="s">
        <v>4</v>
      </c>
      <c r="AJ194" s="51">
        <f>IF(AN194=0,H194,0)</f>
        <v>0</v>
      </c>
      <c r="AK194" s="51">
        <f>IF(AN194=12,H194,0)</f>
        <v>0</v>
      </c>
      <c r="AL194" s="51">
        <f>IF(AN194=21,H194,0)</f>
        <v>0</v>
      </c>
      <c r="AN194" s="51">
        <v>12</v>
      </c>
      <c r="AO194" s="51">
        <f>G194*0</f>
        <v>0</v>
      </c>
      <c r="AP194" s="51">
        <f>G194*(1-0)</f>
        <v>0</v>
      </c>
      <c r="AQ194" s="53" t="s">
        <v>156</v>
      </c>
      <c r="AV194" s="51">
        <f>AW194+AX194</f>
        <v>0</v>
      </c>
      <c r="AW194" s="51">
        <f>F194*AO194</f>
        <v>0</v>
      </c>
      <c r="AX194" s="51">
        <f>F194*AP194</f>
        <v>0</v>
      </c>
      <c r="AY194" s="53" t="s">
        <v>568</v>
      </c>
      <c r="AZ194" s="53" t="s">
        <v>538</v>
      </c>
      <c r="BA194" s="35" t="s">
        <v>118</v>
      </c>
      <c r="BC194" s="51">
        <f>AW194+AX194</f>
        <v>0</v>
      </c>
      <c r="BD194" s="51">
        <f>G194/(100-BE194)*100</f>
        <v>0</v>
      </c>
      <c r="BE194" s="51">
        <v>0</v>
      </c>
      <c r="BF194" s="51">
        <f>194</f>
        <v>194</v>
      </c>
      <c r="BH194" s="51">
        <f>F194*AO194</f>
        <v>0</v>
      </c>
      <c r="BI194" s="51">
        <f>F194*AP194</f>
        <v>0</v>
      </c>
      <c r="BJ194" s="51">
        <f>F194*G194</f>
        <v>0</v>
      </c>
      <c r="BK194" s="51"/>
      <c r="BL194" s="51">
        <v>776</v>
      </c>
      <c r="BW194" s="51">
        <v>12</v>
      </c>
      <c r="BX194" s="3" t="s">
        <v>575</v>
      </c>
    </row>
    <row r="195" spans="1:76">
      <c r="A195" s="54"/>
      <c r="C195" s="56" t="s">
        <v>576</v>
      </c>
      <c r="D195" s="57" t="s">
        <v>570</v>
      </c>
      <c r="F195" s="58">
        <v>2.9620000000000002</v>
      </c>
      <c r="J195" s="41"/>
    </row>
    <row r="196" spans="1:76">
      <c r="A196" s="54"/>
      <c r="C196" s="56" t="s">
        <v>577</v>
      </c>
      <c r="D196" s="57" t="s">
        <v>152</v>
      </c>
      <c r="F196" s="58">
        <v>14.805</v>
      </c>
      <c r="J196" s="41"/>
    </row>
    <row r="197" spans="1:76">
      <c r="A197" s="54"/>
      <c r="C197" s="56" t="s">
        <v>578</v>
      </c>
      <c r="D197" s="57" t="s">
        <v>150</v>
      </c>
      <c r="F197" s="58">
        <v>8.6620000000000008</v>
      </c>
      <c r="J197" s="41"/>
    </row>
    <row r="198" spans="1:76">
      <c r="A198" s="1" t="s">
        <v>579</v>
      </c>
      <c r="B198" s="2" t="s">
        <v>580</v>
      </c>
      <c r="C198" s="75" t="s">
        <v>581</v>
      </c>
      <c r="D198" s="70"/>
      <c r="E198" s="2" t="s">
        <v>134</v>
      </c>
      <c r="F198" s="51">
        <v>30.29</v>
      </c>
      <c r="G198" s="52">
        <v>0</v>
      </c>
      <c r="H198" s="51">
        <f>F198*G198</f>
        <v>0</v>
      </c>
      <c r="J198" s="41"/>
      <c r="Z198" s="51">
        <f>IF(AQ198="5",BJ198,0)</f>
        <v>0</v>
      </c>
      <c r="AB198" s="51">
        <f>IF(AQ198="1",BH198,0)</f>
        <v>0</v>
      </c>
      <c r="AC198" s="51">
        <f>IF(AQ198="1",BI198,0)</f>
        <v>0</v>
      </c>
      <c r="AD198" s="51">
        <f>IF(AQ198="7",BH198,0)</f>
        <v>0</v>
      </c>
      <c r="AE198" s="51">
        <f>IF(AQ198="7",BI198,0)</f>
        <v>0</v>
      </c>
      <c r="AF198" s="51">
        <f>IF(AQ198="2",BH198,0)</f>
        <v>0</v>
      </c>
      <c r="AG198" s="51">
        <f>IF(AQ198="2",BI198,0)</f>
        <v>0</v>
      </c>
      <c r="AH198" s="51">
        <f>IF(AQ198="0",BJ198,0)</f>
        <v>0</v>
      </c>
      <c r="AI198" s="35" t="s">
        <v>4</v>
      </c>
      <c r="AJ198" s="51">
        <f>IF(AN198=0,H198,0)</f>
        <v>0</v>
      </c>
      <c r="AK198" s="51">
        <f>IF(AN198=12,H198,0)</f>
        <v>0</v>
      </c>
      <c r="AL198" s="51">
        <f>IF(AN198=21,H198,0)</f>
        <v>0</v>
      </c>
      <c r="AN198" s="51">
        <v>12</v>
      </c>
      <c r="AO198" s="51">
        <f>G198*0.357142376</f>
        <v>0</v>
      </c>
      <c r="AP198" s="51">
        <f>G198*(1-0.357142376)</f>
        <v>0</v>
      </c>
      <c r="AQ198" s="53" t="s">
        <v>156</v>
      </c>
      <c r="AV198" s="51">
        <f>AW198+AX198</f>
        <v>0</v>
      </c>
      <c r="AW198" s="51">
        <f>F198*AO198</f>
        <v>0</v>
      </c>
      <c r="AX198" s="51">
        <f>F198*AP198</f>
        <v>0</v>
      </c>
      <c r="AY198" s="53" t="s">
        <v>568</v>
      </c>
      <c r="AZ198" s="53" t="s">
        <v>538</v>
      </c>
      <c r="BA198" s="35" t="s">
        <v>118</v>
      </c>
      <c r="BC198" s="51">
        <f>AW198+AX198</f>
        <v>0</v>
      </c>
      <c r="BD198" s="51">
        <f>G198/(100-BE198)*100</f>
        <v>0</v>
      </c>
      <c r="BE198" s="51">
        <v>0</v>
      </c>
      <c r="BF198" s="51">
        <f>198</f>
        <v>198</v>
      </c>
      <c r="BH198" s="51">
        <f>F198*AO198</f>
        <v>0</v>
      </c>
      <c r="BI198" s="51">
        <f>F198*AP198</f>
        <v>0</v>
      </c>
      <c r="BJ198" s="51">
        <f>F198*G198</f>
        <v>0</v>
      </c>
      <c r="BK198" s="51"/>
      <c r="BL198" s="51">
        <v>776</v>
      </c>
      <c r="BW198" s="51">
        <v>12</v>
      </c>
      <c r="BX198" s="3" t="s">
        <v>581</v>
      </c>
    </row>
    <row r="199" spans="1:76" ht="13.5" customHeight="1">
      <c r="A199" s="54"/>
      <c r="B199" s="55" t="s">
        <v>119</v>
      </c>
      <c r="C199" s="152" t="s">
        <v>582</v>
      </c>
      <c r="D199" s="153"/>
      <c r="E199" s="153"/>
      <c r="F199" s="153"/>
      <c r="G199" s="154"/>
      <c r="H199" s="153"/>
      <c r="I199" s="153"/>
      <c r="J199" s="155"/>
    </row>
    <row r="200" spans="1:76">
      <c r="A200" s="54"/>
      <c r="C200" s="56" t="s">
        <v>569</v>
      </c>
      <c r="D200" s="57" t="s">
        <v>583</v>
      </c>
      <c r="F200" s="58">
        <v>4.49</v>
      </c>
      <c r="J200" s="41"/>
    </row>
    <row r="201" spans="1:76">
      <c r="A201" s="54"/>
      <c r="C201" s="56" t="s">
        <v>571</v>
      </c>
      <c r="D201" s="57" t="s">
        <v>152</v>
      </c>
      <c r="F201" s="58">
        <v>14.65</v>
      </c>
      <c r="J201" s="41"/>
    </row>
    <row r="202" spans="1:76">
      <c r="A202" s="54"/>
      <c r="C202" s="56" t="s">
        <v>572</v>
      </c>
      <c r="D202" s="57" t="s">
        <v>150</v>
      </c>
      <c r="F202" s="58">
        <v>11.15</v>
      </c>
      <c r="J202" s="41"/>
    </row>
    <row r="203" spans="1:76">
      <c r="A203" s="1" t="s">
        <v>584</v>
      </c>
      <c r="B203" s="2" t="s">
        <v>585</v>
      </c>
      <c r="C203" s="75" t="s">
        <v>586</v>
      </c>
      <c r="D203" s="70"/>
      <c r="E203" s="2" t="s">
        <v>127</v>
      </c>
      <c r="F203" s="51">
        <v>26.425000000000001</v>
      </c>
      <c r="G203" s="52">
        <v>0</v>
      </c>
      <c r="H203" s="51">
        <f>F203*G203</f>
        <v>0</v>
      </c>
      <c r="J203" s="41"/>
      <c r="Z203" s="51">
        <f>IF(AQ203="5",BJ203,0)</f>
        <v>0</v>
      </c>
      <c r="AB203" s="51">
        <f>IF(AQ203="1",BH203,0)</f>
        <v>0</v>
      </c>
      <c r="AC203" s="51">
        <f>IF(AQ203="1",BI203,0)</f>
        <v>0</v>
      </c>
      <c r="AD203" s="51">
        <f>IF(AQ203="7",BH203,0)</f>
        <v>0</v>
      </c>
      <c r="AE203" s="51">
        <f>IF(AQ203="7",BI203,0)</f>
        <v>0</v>
      </c>
      <c r="AF203" s="51">
        <f>IF(AQ203="2",BH203,0)</f>
        <v>0</v>
      </c>
      <c r="AG203" s="51">
        <f>IF(AQ203="2",BI203,0)</f>
        <v>0</v>
      </c>
      <c r="AH203" s="51">
        <f>IF(AQ203="0",BJ203,0)</f>
        <v>0</v>
      </c>
      <c r="AI203" s="35" t="s">
        <v>4</v>
      </c>
      <c r="AJ203" s="51">
        <f>IF(AN203=0,H203,0)</f>
        <v>0</v>
      </c>
      <c r="AK203" s="51">
        <f>IF(AN203=12,H203,0)</f>
        <v>0</v>
      </c>
      <c r="AL203" s="51">
        <f>IF(AN203=21,H203,0)</f>
        <v>0</v>
      </c>
      <c r="AN203" s="51">
        <v>12</v>
      </c>
      <c r="AO203" s="51">
        <f>G203*0.207381377</f>
        <v>0</v>
      </c>
      <c r="AP203" s="51">
        <f>G203*(1-0.207381377)</f>
        <v>0</v>
      </c>
      <c r="AQ203" s="53" t="s">
        <v>156</v>
      </c>
      <c r="AV203" s="51">
        <f>AW203+AX203</f>
        <v>0</v>
      </c>
      <c r="AW203" s="51">
        <f>F203*AO203</f>
        <v>0</v>
      </c>
      <c r="AX203" s="51">
        <f>F203*AP203</f>
        <v>0</v>
      </c>
      <c r="AY203" s="53" t="s">
        <v>568</v>
      </c>
      <c r="AZ203" s="53" t="s">
        <v>538</v>
      </c>
      <c r="BA203" s="35" t="s">
        <v>118</v>
      </c>
      <c r="BC203" s="51">
        <f>AW203+AX203</f>
        <v>0</v>
      </c>
      <c r="BD203" s="51">
        <f>G203/(100-BE203)*100</f>
        <v>0</v>
      </c>
      <c r="BE203" s="51">
        <v>0</v>
      </c>
      <c r="BF203" s="51">
        <f>203</f>
        <v>203</v>
      </c>
      <c r="BH203" s="51">
        <f>F203*AO203</f>
        <v>0</v>
      </c>
      <c r="BI203" s="51">
        <f>F203*AP203</f>
        <v>0</v>
      </c>
      <c r="BJ203" s="51">
        <f>F203*G203</f>
        <v>0</v>
      </c>
      <c r="BK203" s="51"/>
      <c r="BL203" s="51">
        <v>776</v>
      </c>
      <c r="BW203" s="51">
        <v>12</v>
      </c>
      <c r="BX203" s="3" t="s">
        <v>586</v>
      </c>
    </row>
    <row r="204" spans="1:76">
      <c r="A204" s="1" t="s">
        <v>587</v>
      </c>
      <c r="B204" s="2" t="s">
        <v>588</v>
      </c>
      <c r="C204" s="75" t="s">
        <v>589</v>
      </c>
      <c r="D204" s="70"/>
      <c r="E204" s="2" t="s">
        <v>511</v>
      </c>
      <c r="F204" s="51">
        <v>1</v>
      </c>
      <c r="G204" s="52">
        <v>0</v>
      </c>
      <c r="H204" s="51">
        <f>F204*G204</f>
        <v>0</v>
      </c>
      <c r="J204" s="41"/>
      <c r="Z204" s="51">
        <f>IF(AQ204="5",BJ204,0)</f>
        <v>0</v>
      </c>
      <c r="AB204" s="51">
        <f>IF(AQ204="1",BH204,0)</f>
        <v>0</v>
      </c>
      <c r="AC204" s="51">
        <f>IF(AQ204="1",BI204,0)</f>
        <v>0</v>
      </c>
      <c r="AD204" s="51">
        <f>IF(AQ204="7",BH204,0)</f>
        <v>0</v>
      </c>
      <c r="AE204" s="51">
        <f>IF(AQ204="7",BI204,0)</f>
        <v>0</v>
      </c>
      <c r="AF204" s="51">
        <f>IF(AQ204="2",BH204,0)</f>
        <v>0</v>
      </c>
      <c r="AG204" s="51">
        <f>IF(AQ204="2",BI204,0)</f>
        <v>0</v>
      </c>
      <c r="AH204" s="51">
        <f>IF(AQ204="0",BJ204,0)</f>
        <v>0</v>
      </c>
      <c r="AI204" s="35" t="s">
        <v>4</v>
      </c>
      <c r="AJ204" s="51">
        <f>IF(AN204=0,H204,0)</f>
        <v>0</v>
      </c>
      <c r="AK204" s="51">
        <f>IF(AN204=12,H204,0)</f>
        <v>0</v>
      </c>
      <c r="AL204" s="51">
        <f>IF(AN204=21,H204,0)</f>
        <v>0</v>
      </c>
      <c r="AN204" s="51">
        <v>12</v>
      </c>
      <c r="AO204" s="51">
        <f>G204*0</f>
        <v>0</v>
      </c>
      <c r="AP204" s="51">
        <f>G204*(1-0)</f>
        <v>0</v>
      </c>
      <c r="AQ204" s="53" t="s">
        <v>156</v>
      </c>
      <c r="AV204" s="51">
        <f>AW204+AX204</f>
        <v>0</v>
      </c>
      <c r="AW204" s="51">
        <f>F204*AO204</f>
        <v>0</v>
      </c>
      <c r="AX204" s="51">
        <f>F204*AP204</f>
        <v>0</v>
      </c>
      <c r="AY204" s="53" t="s">
        <v>568</v>
      </c>
      <c r="AZ204" s="53" t="s">
        <v>538</v>
      </c>
      <c r="BA204" s="35" t="s">
        <v>118</v>
      </c>
      <c r="BC204" s="51">
        <f>AW204+AX204</f>
        <v>0</v>
      </c>
      <c r="BD204" s="51">
        <f>G204/(100-BE204)*100</f>
        <v>0</v>
      </c>
      <c r="BE204" s="51">
        <v>0</v>
      </c>
      <c r="BF204" s="51">
        <f>204</f>
        <v>204</v>
      </c>
      <c r="BH204" s="51">
        <f>F204*AO204</f>
        <v>0</v>
      </c>
      <c r="BI204" s="51">
        <f>F204*AP204</f>
        <v>0</v>
      </c>
      <c r="BJ204" s="51">
        <f>F204*G204</f>
        <v>0</v>
      </c>
      <c r="BK204" s="51"/>
      <c r="BL204" s="51">
        <v>776</v>
      </c>
      <c r="BW204" s="51">
        <v>12</v>
      </c>
      <c r="BX204" s="3" t="s">
        <v>589</v>
      </c>
    </row>
    <row r="205" spans="1:76">
      <c r="A205" s="1" t="s">
        <v>590</v>
      </c>
      <c r="B205" s="2" t="s">
        <v>591</v>
      </c>
      <c r="C205" s="75" t="s">
        <v>592</v>
      </c>
      <c r="D205" s="70"/>
      <c r="E205" s="2" t="s">
        <v>127</v>
      </c>
      <c r="F205" s="51">
        <v>29.071999999999999</v>
      </c>
      <c r="G205" s="52">
        <v>0</v>
      </c>
      <c r="H205" s="51">
        <f>F205*G205</f>
        <v>0</v>
      </c>
      <c r="J205" s="41"/>
      <c r="Z205" s="51">
        <f>IF(AQ205="5",BJ205,0)</f>
        <v>0</v>
      </c>
      <c r="AB205" s="51">
        <f>IF(AQ205="1",BH205,0)</f>
        <v>0</v>
      </c>
      <c r="AC205" s="51">
        <f>IF(AQ205="1",BI205,0)</f>
        <v>0</v>
      </c>
      <c r="AD205" s="51">
        <f>IF(AQ205="7",BH205,0)</f>
        <v>0</v>
      </c>
      <c r="AE205" s="51">
        <f>IF(AQ205="7",BI205,0)</f>
        <v>0</v>
      </c>
      <c r="AF205" s="51">
        <f>IF(AQ205="2",BH205,0)</f>
        <v>0</v>
      </c>
      <c r="AG205" s="51">
        <f>IF(AQ205="2",BI205,0)</f>
        <v>0</v>
      </c>
      <c r="AH205" s="51">
        <f>IF(AQ205="0",BJ205,0)</f>
        <v>0</v>
      </c>
      <c r="AI205" s="35" t="s">
        <v>4</v>
      </c>
      <c r="AJ205" s="51">
        <f>IF(AN205=0,H205,0)</f>
        <v>0</v>
      </c>
      <c r="AK205" s="51">
        <f>IF(AN205=12,H205,0)</f>
        <v>0</v>
      </c>
      <c r="AL205" s="51">
        <f>IF(AN205=21,H205,0)</f>
        <v>0</v>
      </c>
      <c r="AN205" s="51">
        <v>12</v>
      </c>
      <c r="AO205" s="51">
        <f>G205*1</f>
        <v>0</v>
      </c>
      <c r="AP205" s="51">
        <f>G205*(1-1)</f>
        <v>0</v>
      </c>
      <c r="AQ205" s="53" t="s">
        <v>156</v>
      </c>
      <c r="AV205" s="51">
        <f>AW205+AX205</f>
        <v>0</v>
      </c>
      <c r="AW205" s="51">
        <f>F205*AO205</f>
        <v>0</v>
      </c>
      <c r="AX205" s="51">
        <f>F205*AP205</f>
        <v>0</v>
      </c>
      <c r="AY205" s="53" t="s">
        <v>568</v>
      </c>
      <c r="AZ205" s="53" t="s">
        <v>538</v>
      </c>
      <c r="BA205" s="35" t="s">
        <v>118</v>
      </c>
      <c r="BC205" s="51">
        <f>AW205+AX205</f>
        <v>0</v>
      </c>
      <c r="BD205" s="51">
        <f>G205/(100-BE205)*100</f>
        <v>0</v>
      </c>
      <c r="BE205" s="51">
        <v>0</v>
      </c>
      <c r="BF205" s="51">
        <f>205</f>
        <v>205</v>
      </c>
      <c r="BH205" s="51">
        <f>F205*AO205</f>
        <v>0</v>
      </c>
      <c r="BI205" s="51">
        <f>F205*AP205</f>
        <v>0</v>
      </c>
      <c r="BJ205" s="51">
        <f>F205*G205</f>
        <v>0</v>
      </c>
      <c r="BK205" s="51"/>
      <c r="BL205" s="51">
        <v>776</v>
      </c>
      <c r="BW205" s="51">
        <v>12</v>
      </c>
      <c r="BX205" s="3" t="s">
        <v>592</v>
      </c>
    </row>
    <row r="206" spans="1:76">
      <c r="A206" s="54"/>
      <c r="C206" s="56" t="s">
        <v>593</v>
      </c>
      <c r="D206" s="57" t="s">
        <v>4</v>
      </c>
      <c r="F206" s="58">
        <v>29.071999999999999</v>
      </c>
      <c r="J206" s="41"/>
    </row>
    <row r="207" spans="1:76">
      <c r="A207" s="1" t="s">
        <v>594</v>
      </c>
      <c r="B207" s="2" t="s">
        <v>595</v>
      </c>
      <c r="C207" s="75" t="s">
        <v>596</v>
      </c>
      <c r="D207" s="70"/>
      <c r="E207" s="2" t="s">
        <v>248</v>
      </c>
      <c r="F207" s="51">
        <v>0.183</v>
      </c>
      <c r="G207" s="52">
        <v>0</v>
      </c>
      <c r="H207" s="51">
        <f>F207*G207</f>
        <v>0</v>
      </c>
      <c r="J207" s="41"/>
      <c r="Z207" s="51">
        <f>IF(AQ207="5",BJ207,0)</f>
        <v>0</v>
      </c>
      <c r="AB207" s="51">
        <f>IF(AQ207="1",BH207,0)</f>
        <v>0</v>
      </c>
      <c r="AC207" s="51">
        <f>IF(AQ207="1",BI207,0)</f>
        <v>0</v>
      </c>
      <c r="AD207" s="51">
        <f>IF(AQ207="7",BH207,0)</f>
        <v>0</v>
      </c>
      <c r="AE207" s="51">
        <f>IF(AQ207="7",BI207,0)</f>
        <v>0</v>
      </c>
      <c r="AF207" s="51">
        <f>IF(AQ207="2",BH207,0)</f>
        <v>0</v>
      </c>
      <c r="AG207" s="51">
        <f>IF(AQ207="2",BI207,0)</f>
        <v>0</v>
      </c>
      <c r="AH207" s="51">
        <f>IF(AQ207="0",BJ207,0)</f>
        <v>0</v>
      </c>
      <c r="AI207" s="35" t="s">
        <v>4</v>
      </c>
      <c r="AJ207" s="51">
        <f>IF(AN207=0,H207,0)</f>
        <v>0</v>
      </c>
      <c r="AK207" s="51">
        <f>IF(AN207=12,H207,0)</f>
        <v>0</v>
      </c>
      <c r="AL207" s="51">
        <f>IF(AN207=21,H207,0)</f>
        <v>0</v>
      </c>
      <c r="AN207" s="51">
        <v>12</v>
      </c>
      <c r="AO207" s="51">
        <f>G207*0</f>
        <v>0</v>
      </c>
      <c r="AP207" s="51">
        <f>G207*(1-0)</f>
        <v>0</v>
      </c>
      <c r="AQ207" s="53" t="s">
        <v>139</v>
      </c>
      <c r="AV207" s="51">
        <f>AW207+AX207</f>
        <v>0</v>
      </c>
      <c r="AW207" s="51">
        <f>F207*AO207</f>
        <v>0</v>
      </c>
      <c r="AX207" s="51">
        <f>F207*AP207</f>
        <v>0</v>
      </c>
      <c r="AY207" s="53" t="s">
        <v>568</v>
      </c>
      <c r="AZ207" s="53" t="s">
        <v>538</v>
      </c>
      <c r="BA207" s="35" t="s">
        <v>118</v>
      </c>
      <c r="BC207" s="51">
        <f>AW207+AX207</f>
        <v>0</v>
      </c>
      <c r="BD207" s="51">
        <f>G207/(100-BE207)*100</f>
        <v>0</v>
      </c>
      <c r="BE207" s="51">
        <v>0</v>
      </c>
      <c r="BF207" s="51">
        <f>207</f>
        <v>207</v>
      </c>
      <c r="BH207" s="51">
        <f>F207*AO207</f>
        <v>0</v>
      </c>
      <c r="BI207" s="51">
        <f>F207*AP207</f>
        <v>0</v>
      </c>
      <c r="BJ207" s="51">
        <f>F207*G207</f>
        <v>0</v>
      </c>
      <c r="BK207" s="51"/>
      <c r="BL207" s="51">
        <v>776</v>
      </c>
      <c r="BW207" s="51">
        <v>12</v>
      </c>
      <c r="BX207" s="3" t="s">
        <v>596</v>
      </c>
    </row>
    <row r="208" spans="1:76">
      <c r="A208" s="47" t="s">
        <v>4</v>
      </c>
      <c r="B208" s="48" t="s">
        <v>597</v>
      </c>
      <c r="C208" s="150" t="s">
        <v>598</v>
      </c>
      <c r="D208" s="151"/>
      <c r="E208" s="49" t="s">
        <v>80</v>
      </c>
      <c r="F208" s="49" t="s">
        <v>80</v>
      </c>
      <c r="G208" s="50" t="s">
        <v>80</v>
      </c>
      <c r="H208" s="28">
        <f>SUM(H209:H220)</f>
        <v>0</v>
      </c>
      <c r="J208" s="41"/>
      <c r="AI208" s="35" t="s">
        <v>4</v>
      </c>
      <c r="AS208" s="28">
        <f>SUM(AJ209:AJ220)</f>
        <v>0</v>
      </c>
      <c r="AT208" s="28">
        <f>SUM(AK209:AK220)</f>
        <v>0</v>
      </c>
      <c r="AU208" s="28">
        <f>SUM(AL209:AL220)</f>
        <v>0</v>
      </c>
    </row>
    <row r="209" spans="1:76">
      <c r="A209" s="1" t="s">
        <v>599</v>
      </c>
      <c r="B209" s="2" t="s">
        <v>600</v>
      </c>
      <c r="C209" s="75" t="s">
        <v>601</v>
      </c>
      <c r="D209" s="70"/>
      <c r="E209" s="2" t="s">
        <v>127</v>
      </c>
      <c r="F209" s="51">
        <v>13.555</v>
      </c>
      <c r="G209" s="52">
        <v>0</v>
      </c>
      <c r="H209" s="51">
        <f>F209*G209</f>
        <v>0</v>
      </c>
      <c r="J209" s="41"/>
      <c r="Z209" s="51">
        <f>IF(AQ209="5",BJ209,0)</f>
        <v>0</v>
      </c>
      <c r="AB209" s="51">
        <f>IF(AQ209="1",BH209,0)</f>
        <v>0</v>
      </c>
      <c r="AC209" s="51">
        <f>IF(AQ209="1",BI209,0)</f>
        <v>0</v>
      </c>
      <c r="AD209" s="51">
        <f>IF(AQ209="7",BH209,0)</f>
        <v>0</v>
      </c>
      <c r="AE209" s="51">
        <f>IF(AQ209="7",BI209,0)</f>
        <v>0</v>
      </c>
      <c r="AF209" s="51">
        <f>IF(AQ209="2",BH209,0)</f>
        <v>0</v>
      </c>
      <c r="AG209" s="51">
        <f>IF(AQ209="2",BI209,0)</f>
        <v>0</v>
      </c>
      <c r="AH209" s="51">
        <f>IF(AQ209="0",BJ209,0)</f>
        <v>0</v>
      </c>
      <c r="AI209" s="35" t="s">
        <v>4</v>
      </c>
      <c r="AJ209" s="51">
        <f>IF(AN209=0,H209,0)</f>
        <v>0</v>
      </c>
      <c r="AK209" s="51">
        <f>IF(AN209=12,H209,0)</f>
        <v>0</v>
      </c>
      <c r="AL209" s="51">
        <f>IF(AN209=21,H209,0)</f>
        <v>0</v>
      </c>
      <c r="AN209" s="51">
        <v>12</v>
      </c>
      <c r="AO209" s="51">
        <f>G209*0.182075209</f>
        <v>0</v>
      </c>
      <c r="AP209" s="51">
        <f>G209*(1-0.182075209)</f>
        <v>0</v>
      </c>
      <c r="AQ209" s="53" t="s">
        <v>156</v>
      </c>
      <c r="AV209" s="51">
        <f>AW209+AX209</f>
        <v>0</v>
      </c>
      <c r="AW209" s="51">
        <f>F209*AO209</f>
        <v>0</v>
      </c>
      <c r="AX209" s="51">
        <f>F209*AP209</f>
        <v>0</v>
      </c>
      <c r="AY209" s="53" t="s">
        <v>602</v>
      </c>
      <c r="AZ209" s="53" t="s">
        <v>603</v>
      </c>
      <c r="BA209" s="35" t="s">
        <v>118</v>
      </c>
      <c r="BC209" s="51">
        <f>AW209+AX209</f>
        <v>0</v>
      </c>
      <c r="BD209" s="51">
        <f>G209/(100-BE209)*100</f>
        <v>0</v>
      </c>
      <c r="BE209" s="51">
        <v>0</v>
      </c>
      <c r="BF209" s="51">
        <f>209</f>
        <v>209</v>
      </c>
      <c r="BH209" s="51">
        <f>F209*AO209</f>
        <v>0</v>
      </c>
      <c r="BI209" s="51">
        <f>F209*AP209</f>
        <v>0</v>
      </c>
      <c r="BJ209" s="51">
        <f>F209*G209</f>
        <v>0</v>
      </c>
      <c r="BK209" s="51"/>
      <c r="BL209" s="51">
        <v>781</v>
      </c>
      <c r="BW209" s="51">
        <v>12</v>
      </c>
      <c r="BX209" s="3" t="s">
        <v>601</v>
      </c>
    </row>
    <row r="210" spans="1:76">
      <c r="A210" s="54"/>
      <c r="C210" s="56" t="s">
        <v>244</v>
      </c>
      <c r="D210" s="57" t="s">
        <v>148</v>
      </c>
      <c r="F210" s="58">
        <v>10.17</v>
      </c>
      <c r="J210" s="41"/>
    </row>
    <row r="211" spans="1:76">
      <c r="A211" s="54"/>
      <c r="C211" s="56" t="s">
        <v>604</v>
      </c>
      <c r="D211" s="57" t="s">
        <v>4</v>
      </c>
      <c r="F211" s="58">
        <v>0.6</v>
      </c>
      <c r="J211" s="41"/>
    </row>
    <row r="212" spans="1:76">
      <c r="A212" s="54"/>
      <c r="C212" s="56" t="s">
        <v>162</v>
      </c>
      <c r="D212" s="57" t="s">
        <v>556</v>
      </c>
      <c r="F212" s="58">
        <v>2.2050000000000001</v>
      </c>
      <c r="J212" s="41"/>
    </row>
    <row r="213" spans="1:76">
      <c r="A213" s="54"/>
      <c r="C213" s="56" t="s">
        <v>164</v>
      </c>
      <c r="D213" s="57" t="s">
        <v>4</v>
      </c>
      <c r="F213" s="58">
        <v>0.57999999999999996</v>
      </c>
      <c r="J213" s="41"/>
    </row>
    <row r="214" spans="1:76">
      <c r="A214" s="1" t="s">
        <v>605</v>
      </c>
      <c r="B214" s="2" t="s">
        <v>606</v>
      </c>
      <c r="C214" s="75" t="s">
        <v>607</v>
      </c>
      <c r="D214" s="70"/>
      <c r="E214" s="2" t="s">
        <v>127</v>
      </c>
      <c r="F214" s="51">
        <v>2.7850000000000001</v>
      </c>
      <c r="G214" s="52">
        <v>0</v>
      </c>
      <c r="H214" s="51">
        <f>F214*G214</f>
        <v>0</v>
      </c>
      <c r="J214" s="41"/>
      <c r="Z214" s="51">
        <f>IF(AQ214="5",BJ214,0)</f>
        <v>0</v>
      </c>
      <c r="AB214" s="51">
        <f>IF(AQ214="1",BH214,0)</f>
        <v>0</v>
      </c>
      <c r="AC214" s="51">
        <f>IF(AQ214="1",BI214,0)</f>
        <v>0</v>
      </c>
      <c r="AD214" s="51">
        <f>IF(AQ214="7",BH214,0)</f>
        <v>0</v>
      </c>
      <c r="AE214" s="51">
        <f>IF(AQ214="7",BI214,0)</f>
        <v>0</v>
      </c>
      <c r="AF214" s="51">
        <f>IF(AQ214="2",BH214,0)</f>
        <v>0</v>
      </c>
      <c r="AG214" s="51">
        <f>IF(AQ214="2",BI214,0)</f>
        <v>0</v>
      </c>
      <c r="AH214" s="51">
        <f>IF(AQ214="0",BJ214,0)</f>
        <v>0</v>
      </c>
      <c r="AI214" s="35" t="s">
        <v>4</v>
      </c>
      <c r="AJ214" s="51">
        <f>IF(AN214=0,H214,0)</f>
        <v>0</v>
      </c>
      <c r="AK214" s="51">
        <f>IF(AN214=12,H214,0)</f>
        <v>0</v>
      </c>
      <c r="AL214" s="51">
        <f>IF(AN214=21,H214,0)</f>
        <v>0</v>
      </c>
      <c r="AN214" s="51">
        <v>12</v>
      </c>
      <c r="AO214" s="51">
        <f>G214*0</f>
        <v>0</v>
      </c>
      <c r="AP214" s="51">
        <f>G214*(1-0)</f>
        <v>0</v>
      </c>
      <c r="AQ214" s="53" t="s">
        <v>156</v>
      </c>
      <c r="AV214" s="51">
        <f>AW214+AX214</f>
        <v>0</v>
      </c>
      <c r="AW214" s="51">
        <f>F214*AO214</f>
        <v>0</v>
      </c>
      <c r="AX214" s="51">
        <f>F214*AP214</f>
        <v>0</v>
      </c>
      <c r="AY214" s="53" t="s">
        <v>602</v>
      </c>
      <c r="AZ214" s="53" t="s">
        <v>603</v>
      </c>
      <c r="BA214" s="35" t="s">
        <v>118</v>
      </c>
      <c r="BC214" s="51">
        <f>AW214+AX214</f>
        <v>0</v>
      </c>
      <c r="BD214" s="51">
        <f>G214/(100-BE214)*100</f>
        <v>0</v>
      </c>
      <c r="BE214" s="51">
        <v>0</v>
      </c>
      <c r="BF214" s="51">
        <f>214</f>
        <v>214</v>
      </c>
      <c r="BH214" s="51">
        <f>F214*AO214</f>
        <v>0</v>
      </c>
      <c r="BI214" s="51">
        <f>F214*AP214</f>
        <v>0</v>
      </c>
      <c r="BJ214" s="51">
        <f>F214*G214</f>
        <v>0</v>
      </c>
      <c r="BK214" s="51"/>
      <c r="BL214" s="51">
        <v>781</v>
      </c>
      <c r="BW214" s="51">
        <v>12</v>
      </c>
      <c r="BX214" s="3" t="s">
        <v>607</v>
      </c>
    </row>
    <row r="215" spans="1:76">
      <c r="A215" s="1" t="s">
        <v>608</v>
      </c>
      <c r="B215" s="2" t="s">
        <v>609</v>
      </c>
      <c r="C215" s="75" t="s">
        <v>610</v>
      </c>
      <c r="D215" s="70"/>
      <c r="E215" s="2" t="s">
        <v>134</v>
      </c>
      <c r="F215" s="51">
        <v>7.5</v>
      </c>
      <c r="G215" s="52">
        <v>0</v>
      </c>
      <c r="H215" s="51">
        <f>F215*G215</f>
        <v>0</v>
      </c>
      <c r="J215" s="41"/>
      <c r="Z215" s="51">
        <f>IF(AQ215="5",BJ215,0)</f>
        <v>0</v>
      </c>
      <c r="AB215" s="51">
        <f>IF(AQ215="1",BH215,0)</f>
        <v>0</v>
      </c>
      <c r="AC215" s="51">
        <f>IF(AQ215="1",BI215,0)</f>
        <v>0</v>
      </c>
      <c r="AD215" s="51">
        <f>IF(AQ215="7",BH215,0)</f>
        <v>0</v>
      </c>
      <c r="AE215" s="51">
        <f>IF(AQ215="7",BI215,0)</f>
        <v>0</v>
      </c>
      <c r="AF215" s="51">
        <f>IF(AQ215="2",BH215,0)</f>
        <v>0</v>
      </c>
      <c r="AG215" s="51">
        <f>IF(AQ215="2",BI215,0)</f>
        <v>0</v>
      </c>
      <c r="AH215" s="51">
        <f>IF(AQ215="0",BJ215,0)</f>
        <v>0</v>
      </c>
      <c r="AI215" s="35" t="s">
        <v>4</v>
      </c>
      <c r="AJ215" s="51">
        <f>IF(AN215=0,H215,0)</f>
        <v>0</v>
      </c>
      <c r="AK215" s="51">
        <f>IF(AN215=12,H215,0)</f>
        <v>0</v>
      </c>
      <c r="AL215" s="51">
        <f>IF(AN215=21,H215,0)</f>
        <v>0</v>
      </c>
      <c r="AN215" s="51">
        <v>12</v>
      </c>
      <c r="AO215" s="51">
        <f>G215*0.05314554</f>
        <v>0</v>
      </c>
      <c r="AP215" s="51">
        <f>G215*(1-0.05314554)</f>
        <v>0</v>
      </c>
      <c r="AQ215" s="53" t="s">
        <v>156</v>
      </c>
      <c r="AV215" s="51">
        <f>AW215+AX215</f>
        <v>0</v>
      </c>
      <c r="AW215" s="51">
        <f>F215*AO215</f>
        <v>0</v>
      </c>
      <c r="AX215" s="51">
        <f>F215*AP215</f>
        <v>0</v>
      </c>
      <c r="AY215" s="53" t="s">
        <v>602</v>
      </c>
      <c r="AZ215" s="53" t="s">
        <v>603</v>
      </c>
      <c r="BA215" s="35" t="s">
        <v>118</v>
      </c>
      <c r="BC215" s="51">
        <f>AW215+AX215</f>
        <v>0</v>
      </c>
      <c r="BD215" s="51">
        <f>G215/(100-BE215)*100</f>
        <v>0</v>
      </c>
      <c r="BE215" s="51">
        <v>0</v>
      </c>
      <c r="BF215" s="51">
        <f>215</f>
        <v>215</v>
      </c>
      <c r="BH215" s="51">
        <f>F215*AO215</f>
        <v>0</v>
      </c>
      <c r="BI215" s="51">
        <f>F215*AP215</f>
        <v>0</v>
      </c>
      <c r="BJ215" s="51">
        <f>F215*G215</f>
        <v>0</v>
      </c>
      <c r="BK215" s="51"/>
      <c r="BL215" s="51">
        <v>781</v>
      </c>
      <c r="BW215" s="51">
        <v>12</v>
      </c>
      <c r="BX215" s="3" t="s">
        <v>610</v>
      </c>
    </row>
    <row r="216" spans="1:76">
      <c r="A216" s="54"/>
      <c r="C216" s="56" t="s">
        <v>611</v>
      </c>
      <c r="D216" s="57" t="s">
        <v>4</v>
      </c>
      <c r="F216" s="58">
        <v>7.5</v>
      </c>
      <c r="J216" s="41"/>
    </row>
    <row r="217" spans="1:76">
      <c r="A217" s="1" t="s">
        <v>612</v>
      </c>
      <c r="B217" s="2" t="s">
        <v>613</v>
      </c>
      <c r="C217" s="75" t="s">
        <v>614</v>
      </c>
      <c r="D217" s="70"/>
      <c r="E217" s="2" t="s">
        <v>115</v>
      </c>
      <c r="F217" s="51">
        <v>8</v>
      </c>
      <c r="G217" s="52">
        <v>0</v>
      </c>
      <c r="H217" s="51">
        <f>F217*G217</f>
        <v>0</v>
      </c>
      <c r="J217" s="41"/>
      <c r="Z217" s="51">
        <f>IF(AQ217="5",BJ217,0)</f>
        <v>0</v>
      </c>
      <c r="AB217" s="51">
        <f>IF(AQ217="1",BH217,0)</f>
        <v>0</v>
      </c>
      <c r="AC217" s="51">
        <f>IF(AQ217="1",BI217,0)</f>
        <v>0</v>
      </c>
      <c r="AD217" s="51">
        <f>IF(AQ217="7",BH217,0)</f>
        <v>0</v>
      </c>
      <c r="AE217" s="51">
        <f>IF(AQ217="7",BI217,0)</f>
        <v>0</v>
      </c>
      <c r="AF217" s="51">
        <f>IF(AQ217="2",BH217,0)</f>
        <v>0</v>
      </c>
      <c r="AG217" s="51">
        <f>IF(AQ217="2",BI217,0)</f>
        <v>0</v>
      </c>
      <c r="AH217" s="51">
        <f>IF(AQ217="0",BJ217,0)</f>
        <v>0</v>
      </c>
      <c r="AI217" s="35" t="s">
        <v>4</v>
      </c>
      <c r="AJ217" s="51">
        <f>IF(AN217=0,H217,0)</f>
        <v>0</v>
      </c>
      <c r="AK217" s="51">
        <f>IF(AN217=12,H217,0)</f>
        <v>0</v>
      </c>
      <c r="AL217" s="51">
        <f>IF(AN217=21,H217,0)</f>
        <v>0</v>
      </c>
      <c r="AN217" s="51">
        <v>12</v>
      </c>
      <c r="AO217" s="51">
        <f>G217*0.062462908</f>
        <v>0</v>
      </c>
      <c r="AP217" s="51">
        <f>G217*(1-0.062462908)</f>
        <v>0</v>
      </c>
      <c r="AQ217" s="53" t="s">
        <v>156</v>
      </c>
      <c r="AV217" s="51">
        <f>AW217+AX217</f>
        <v>0</v>
      </c>
      <c r="AW217" s="51">
        <f>F217*AO217</f>
        <v>0</v>
      </c>
      <c r="AX217" s="51">
        <f>F217*AP217</f>
        <v>0</v>
      </c>
      <c r="AY217" s="53" t="s">
        <v>602</v>
      </c>
      <c r="AZ217" s="53" t="s">
        <v>603</v>
      </c>
      <c r="BA217" s="35" t="s">
        <v>118</v>
      </c>
      <c r="BC217" s="51">
        <f>AW217+AX217</f>
        <v>0</v>
      </c>
      <c r="BD217" s="51">
        <f>G217/(100-BE217)*100</f>
        <v>0</v>
      </c>
      <c r="BE217" s="51">
        <v>0</v>
      </c>
      <c r="BF217" s="51">
        <f>217</f>
        <v>217</v>
      </c>
      <c r="BH217" s="51">
        <f>F217*AO217</f>
        <v>0</v>
      </c>
      <c r="BI217" s="51">
        <f>F217*AP217</f>
        <v>0</v>
      </c>
      <c r="BJ217" s="51">
        <f>F217*G217</f>
        <v>0</v>
      </c>
      <c r="BK217" s="51"/>
      <c r="BL217" s="51">
        <v>781</v>
      </c>
      <c r="BW217" s="51">
        <v>12</v>
      </c>
      <c r="BX217" s="3" t="s">
        <v>614</v>
      </c>
    </row>
    <row r="218" spans="1:76">
      <c r="A218" s="1" t="s">
        <v>615</v>
      </c>
      <c r="B218" s="2" t="s">
        <v>616</v>
      </c>
      <c r="C218" s="75" t="s">
        <v>617</v>
      </c>
      <c r="D218" s="70"/>
      <c r="E218" s="2" t="s">
        <v>127</v>
      </c>
      <c r="F218" s="51">
        <v>14.911</v>
      </c>
      <c r="G218" s="52">
        <v>0</v>
      </c>
      <c r="H218" s="51">
        <f>F218*G218</f>
        <v>0</v>
      </c>
      <c r="J218" s="41"/>
      <c r="Z218" s="51">
        <f>IF(AQ218="5",BJ218,0)</f>
        <v>0</v>
      </c>
      <c r="AB218" s="51">
        <f>IF(AQ218="1",BH218,0)</f>
        <v>0</v>
      </c>
      <c r="AC218" s="51">
        <f>IF(AQ218="1",BI218,0)</f>
        <v>0</v>
      </c>
      <c r="AD218" s="51">
        <f>IF(AQ218="7",BH218,0)</f>
        <v>0</v>
      </c>
      <c r="AE218" s="51">
        <f>IF(AQ218="7",BI218,0)</f>
        <v>0</v>
      </c>
      <c r="AF218" s="51">
        <f>IF(AQ218="2",BH218,0)</f>
        <v>0</v>
      </c>
      <c r="AG218" s="51">
        <f>IF(AQ218="2",BI218,0)</f>
        <v>0</v>
      </c>
      <c r="AH218" s="51">
        <f>IF(AQ218="0",BJ218,0)</f>
        <v>0</v>
      </c>
      <c r="AI218" s="35" t="s">
        <v>4</v>
      </c>
      <c r="AJ218" s="51">
        <f>IF(AN218=0,H218,0)</f>
        <v>0</v>
      </c>
      <c r="AK218" s="51">
        <f>IF(AN218=12,H218,0)</f>
        <v>0</v>
      </c>
      <c r="AL218" s="51">
        <f>IF(AN218=21,H218,0)</f>
        <v>0</v>
      </c>
      <c r="AN218" s="51">
        <v>12</v>
      </c>
      <c r="AO218" s="51">
        <f>G218*1</f>
        <v>0</v>
      </c>
      <c r="AP218" s="51">
        <f>G218*(1-1)</f>
        <v>0</v>
      </c>
      <c r="AQ218" s="53" t="s">
        <v>156</v>
      </c>
      <c r="AV218" s="51">
        <f>AW218+AX218</f>
        <v>0</v>
      </c>
      <c r="AW218" s="51">
        <f>F218*AO218</f>
        <v>0</v>
      </c>
      <c r="AX218" s="51">
        <f>F218*AP218</f>
        <v>0</v>
      </c>
      <c r="AY218" s="53" t="s">
        <v>602</v>
      </c>
      <c r="AZ218" s="53" t="s">
        <v>603</v>
      </c>
      <c r="BA218" s="35" t="s">
        <v>118</v>
      </c>
      <c r="BC218" s="51">
        <f>AW218+AX218</f>
        <v>0</v>
      </c>
      <c r="BD218" s="51">
        <f>G218/(100-BE218)*100</f>
        <v>0</v>
      </c>
      <c r="BE218" s="51">
        <v>0</v>
      </c>
      <c r="BF218" s="51">
        <f>218</f>
        <v>218</v>
      </c>
      <c r="BH218" s="51">
        <f>F218*AO218</f>
        <v>0</v>
      </c>
      <c r="BI218" s="51">
        <f>F218*AP218</f>
        <v>0</v>
      </c>
      <c r="BJ218" s="51">
        <f>F218*G218</f>
        <v>0</v>
      </c>
      <c r="BK218" s="51"/>
      <c r="BL218" s="51">
        <v>781</v>
      </c>
      <c r="BW218" s="51">
        <v>12</v>
      </c>
      <c r="BX218" s="3" t="s">
        <v>617</v>
      </c>
    </row>
    <row r="219" spans="1:76">
      <c r="A219" s="54"/>
      <c r="C219" s="56" t="s">
        <v>618</v>
      </c>
      <c r="D219" s="57" t="s">
        <v>4</v>
      </c>
      <c r="F219" s="58">
        <v>14.911</v>
      </c>
      <c r="J219" s="41"/>
    </row>
    <row r="220" spans="1:76">
      <c r="A220" s="1" t="s">
        <v>619</v>
      </c>
      <c r="B220" s="2" t="s">
        <v>620</v>
      </c>
      <c r="C220" s="75" t="s">
        <v>621</v>
      </c>
      <c r="D220" s="70"/>
      <c r="E220" s="2" t="s">
        <v>248</v>
      </c>
      <c r="F220" s="51">
        <v>0.249</v>
      </c>
      <c r="G220" s="52">
        <v>0</v>
      </c>
      <c r="H220" s="51">
        <f>F220*G220</f>
        <v>0</v>
      </c>
      <c r="J220" s="41"/>
      <c r="Z220" s="51">
        <f>IF(AQ220="5",BJ220,0)</f>
        <v>0</v>
      </c>
      <c r="AB220" s="51">
        <f>IF(AQ220="1",BH220,0)</f>
        <v>0</v>
      </c>
      <c r="AC220" s="51">
        <f>IF(AQ220="1",BI220,0)</f>
        <v>0</v>
      </c>
      <c r="AD220" s="51">
        <f>IF(AQ220="7",BH220,0)</f>
        <v>0</v>
      </c>
      <c r="AE220" s="51">
        <f>IF(AQ220="7",BI220,0)</f>
        <v>0</v>
      </c>
      <c r="AF220" s="51">
        <f>IF(AQ220="2",BH220,0)</f>
        <v>0</v>
      </c>
      <c r="AG220" s="51">
        <f>IF(AQ220="2",BI220,0)</f>
        <v>0</v>
      </c>
      <c r="AH220" s="51">
        <f>IF(AQ220="0",BJ220,0)</f>
        <v>0</v>
      </c>
      <c r="AI220" s="35" t="s">
        <v>4</v>
      </c>
      <c r="AJ220" s="51">
        <f>IF(AN220=0,H220,0)</f>
        <v>0</v>
      </c>
      <c r="AK220" s="51">
        <f>IF(AN220=12,H220,0)</f>
        <v>0</v>
      </c>
      <c r="AL220" s="51">
        <f>IF(AN220=21,H220,0)</f>
        <v>0</v>
      </c>
      <c r="AN220" s="51">
        <v>12</v>
      </c>
      <c r="AO220" s="51">
        <f>G220*0</f>
        <v>0</v>
      </c>
      <c r="AP220" s="51">
        <f>G220*(1-0)</f>
        <v>0</v>
      </c>
      <c r="AQ220" s="53" t="s">
        <v>139</v>
      </c>
      <c r="AV220" s="51">
        <f>AW220+AX220</f>
        <v>0</v>
      </c>
      <c r="AW220" s="51">
        <f>F220*AO220</f>
        <v>0</v>
      </c>
      <c r="AX220" s="51">
        <f>F220*AP220</f>
        <v>0</v>
      </c>
      <c r="AY220" s="53" t="s">
        <v>602</v>
      </c>
      <c r="AZ220" s="53" t="s">
        <v>603</v>
      </c>
      <c r="BA220" s="35" t="s">
        <v>118</v>
      </c>
      <c r="BC220" s="51">
        <f>AW220+AX220</f>
        <v>0</v>
      </c>
      <c r="BD220" s="51">
        <f>G220/(100-BE220)*100</f>
        <v>0</v>
      </c>
      <c r="BE220" s="51">
        <v>0</v>
      </c>
      <c r="BF220" s="51">
        <f>220</f>
        <v>220</v>
      </c>
      <c r="BH220" s="51">
        <f>F220*AO220</f>
        <v>0</v>
      </c>
      <c r="BI220" s="51">
        <f>F220*AP220</f>
        <v>0</v>
      </c>
      <c r="BJ220" s="51">
        <f>F220*G220</f>
        <v>0</v>
      </c>
      <c r="BK220" s="51"/>
      <c r="BL220" s="51">
        <v>781</v>
      </c>
      <c r="BW220" s="51">
        <v>12</v>
      </c>
      <c r="BX220" s="3" t="s">
        <v>621</v>
      </c>
    </row>
    <row r="221" spans="1:76">
      <c r="A221" s="47" t="s">
        <v>4</v>
      </c>
      <c r="B221" s="48" t="s">
        <v>622</v>
      </c>
      <c r="C221" s="150" t="s">
        <v>623</v>
      </c>
      <c r="D221" s="151"/>
      <c r="E221" s="49" t="s">
        <v>80</v>
      </c>
      <c r="F221" s="49" t="s">
        <v>80</v>
      </c>
      <c r="G221" s="50" t="s">
        <v>80</v>
      </c>
      <c r="H221" s="28">
        <f>SUM(H222:H225)</f>
        <v>0</v>
      </c>
      <c r="J221" s="41"/>
      <c r="AI221" s="35" t="s">
        <v>4</v>
      </c>
      <c r="AS221" s="28">
        <f>SUM(AJ222:AJ225)</f>
        <v>0</v>
      </c>
      <c r="AT221" s="28">
        <f>SUM(AK222:AK225)</f>
        <v>0</v>
      </c>
      <c r="AU221" s="28">
        <f>SUM(AL222:AL225)</f>
        <v>0</v>
      </c>
    </row>
    <row r="222" spans="1:76">
      <c r="A222" s="1" t="s">
        <v>624</v>
      </c>
      <c r="B222" s="2" t="s">
        <v>625</v>
      </c>
      <c r="C222" s="75" t="s">
        <v>626</v>
      </c>
      <c r="D222" s="70"/>
      <c r="E222" s="2" t="s">
        <v>511</v>
      </c>
      <c r="F222" s="51">
        <v>4</v>
      </c>
      <c r="G222" s="52">
        <v>0</v>
      </c>
      <c r="H222" s="51">
        <f>F222*G222</f>
        <v>0</v>
      </c>
      <c r="J222" s="41"/>
      <c r="Z222" s="51">
        <f>IF(AQ222="5",BJ222,0)</f>
        <v>0</v>
      </c>
      <c r="AB222" s="51">
        <f>IF(AQ222="1",BH222,0)</f>
        <v>0</v>
      </c>
      <c r="AC222" s="51">
        <f>IF(AQ222="1",BI222,0)</f>
        <v>0</v>
      </c>
      <c r="AD222" s="51">
        <f>IF(AQ222="7",BH222,0)</f>
        <v>0</v>
      </c>
      <c r="AE222" s="51">
        <f>IF(AQ222="7",BI222,0)</f>
        <v>0</v>
      </c>
      <c r="AF222" s="51">
        <f>IF(AQ222="2",BH222,0)</f>
        <v>0</v>
      </c>
      <c r="AG222" s="51">
        <f>IF(AQ222="2",BI222,0)</f>
        <v>0</v>
      </c>
      <c r="AH222" s="51">
        <f>IF(AQ222="0",BJ222,0)</f>
        <v>0</v>
      </c>
      <c r="AI222" s="35" t="s">
        <v>4</v>
      </c>
      <c r="AJ222" s="51">
        <f>IF(AN222=0,H222,0)</f>
        <v>0</v>
      </c>
      <c r="AK222" s="51">
        <f>IF(AN222=12,H222,0)</f>
        <v>0</v>
      </c>
      <c r="AL222" s="51">
        <f>IF(AN222=21,H222,0)</f>
        <v>0</v>
      </c>
      <c r="AN222" s="51">
        <v>12</v>
      </c>
      <c r="AO222" s="51">
        <f>G222*0.194314286</f>
        <v>0</v>
      </c>
      <c r="AP222" s="51">
        <f>G222*(1-0.194314286)</f>
        <v>0</v>
      </c>
      <c r="AQ222" s="53" t="s">
        <v>156</v>
      </c>
      <c r="AV222" s="51">
        <f>AW222+AX222</f>
        <v>0</v>
      </c>
      <c r="AW222" s="51">
        <f>F222*AO222</f>
        <v>0</v>
      </c>
      <c r="AX222" s="51">
        <f>F222*AP222</f>
        <v>0</v>
      </c>
      <c r="AY222" s="53" t="s">
        <v>627</v>
      </c>
      <c r="AZ222" s="53" t="s">
        <v>603</v>
      </c>
      <c r="BA222" s="35" t="s">
        <v>118</v>
      </c>
      <c r="BC222" s="51">
        <f>AW222+AX222</f>
        <v>0</v>
      </c>
      <c r="BD222" s="51">
        <f>G222/(100-BE222)*100</f>
        <v>0</v>
      </c>
      <c r="BE222" s="51">
        <v>0</v>
      </c>
      <c r="BF222" s="51">
        <f>222</f>
        <v>222</v>
      </c>
      <c r="BH222" s="51">
        <f>F222*AO222</f>
        <v>0</v>
      </c>
      <c r="BI222" s="51">
        <f>F222*AP222</f>
        <v>0</v>
      </c>
      <c r="BJ222" s="51">
        <f>F222*G222</f>
        <v>0</v>
      </c>
      <c r="BK222" s="51"/>
      <c r="BL222" s="51">
        <v>783</v>
      </c>
      <c r="BW222" s="51">
        <v>12</v>
      </c>
      <c r="BX222" s="3" t="s">
        <v>626</v>
      </c>
    </row>
    <row r="223" spans="1:76" ht="13.5" customHeight="1">
      <c r="A223" s="54"/>
      <c r="B223" s="55" t="s">
        <v>119</v>
      </c>
      <c r="C223" s="152" t="s">
        <v>628</v>
      </c>
      <c r="D223" s="153"/>
      <c r="E223" s="153"/>
      <c r="F223" s="153"/>
      <c r="G223" s="154"/>
      <c r="H223" s="153"/>
      <c r="I223" s="153"/>
      <c r="J223" s="155"/>
    </row>
    <row r="224" spans="1:76">
      <c r="A224" s="1" t="s">
        <v>629</v>
      </c>
      <c r="B224" s="2" t="s">
        <v>630</v>
      </c>
      <c r="C224" s="75" t="s">
        <v>631</v>
      </c>
      <c r="D224" s="70"/>
      <c r="E224" s="2" t="s">
        <v>127</v>
      </c>
      <c r="F224" s="51">
        <v>6</v>
      </c>
      <c r="G224" s="52">
        <v>0</v>
      </c>
      <c r="H224" s="51">
        <f>F224*G224</f>
        <v>0</v>
      </c>
      <c r="J224" s="41"/>
      <c r="Z224" s="51">
        <f>IF(AQ224="5",BJ224,0)</f>
        <v>0</v>
      </c>
      <c r="AB224" s="51">
        <f>IF(AQ224="1",BH224,0)</f>
        <v>0</v>
      </c>
      <c r="AC224" s="51">
        <f>IF(AQ224="1",BI224,0)</f>
        <v>0</v>
      </c>
      <c r="AD224" s="51">
        <f>IF(AQ224="7",BH224,0)</f>
        <v>0</v>
      </c>
      <c r="AE224" s="51">
        <f>IF(AQ224="7",BI224,0)</f>
        <v>0</v>
      </c>
      <c r="AF224" s="51">
        <f>IF(AQ224="2",BH224,0)</f>
        <v>0</v>
      </c>
      <c r="AG224" s="51">
        <f>IF(AQ224="2",BI224,0)</f>
        <v>0</v>
      </c>
      <c r="AH224" s="51">
        <f>IF(AQ224="0",BJ224,0)</f>
        <v>0</v>
      </c>
      <c r="AI224" s="35" t="s">
        <v>4</v>
      </c>
      <c r="AJ224" s="51">
        <f>IF(AN224=0,H224,0)</f>
        <v>0</v>
      </c>
      <c r="AK224" s="51">
        <f>IF(AN224=12,H224,0)</f>
        <v>0</v>
      </c>
      <c r="AL224" s="51">
        <f>IF(AN224=21,H224,0)</f>
        <v>0</v>
      </c>
      <c r="AN224" s="51">
        <v>12</v>
      </c>
      <c r="AO224" s="51">
        <f>G224*0.032470588</f>
        <v>0</v>
      </c>
      <c r="AP224" s="51">
        <f>G224*(1-0.032470588)</f>
        <v>0</v>
      </c>
      <c r="AQ224" s="53" t="s">
        <v>156</v>
      </c>
      <c r="AV224" s="51">
        <f>AW224+AX224</f>
        <v>0</v>
      </c>
      <c r="AW224" s="51">
        <f>F224*AO224</f>
        <v>0</v>
      </c>
      <c r="AX224" s="51">
        <f>F224*AP224</f>
        <v>0</v>
      </c>
      <c r="AY224" s="53" t="s">
        <v>627</v>
      </c>
      <c r="AZ224" s="53" t="s">
        <v>603</v>
      </c>
      <c r="BA224" s="35" t="s">
        <v>118</v>
      </c>
      <c r="BC224" s="51">
        <f>AW224+AX224</f>
        <v>0</v>
      </c>
      <c r="BD224" s="51">
        <f>G224/(100-BE224)*100</f>
        <v>0</v>
      </c>
      <c r="BE224" s="51">
        <v>0</v>
      </c>
      <c r="BF224" s="51">
        <f>224</f>
        <v>224</v>
      </c>
      <c r="BH224" s="51">
        <f>F224*AO224</f>
        <v>0</v>
      </c>
      <c r="BI224" s="51">
        <f>F224*AP224</f>
        <v>0</v>
      </c>
      <c r="BJ224" s="51">
        <f>F224*G224</f>
        <v>0</v>
      </c>
      <c r="BK224" s="51"/>
      <c r="BL224" s="51">
        <v>783</v>
      </c>
      <c r="BW224" s="51">
        <v>12</v>
      </c>
      <c r="BX224" s="3" t="s">
        <v>631</v>
      </c>
    </row>
    <row r="225" spans="1:76">
      <c r="A225" s="1" t="s">
        <v>632</v>
      </c>
      <c r="B225" s="2" t="s">
        <v>633</v>
      </c>
      <c r="C225" s="75" t="s">
        <v>634</v>
      </c>
      <c r="D225" s="70"/>
      <c r="E225" s="2" t="s">
        <v>127</v>
      </c>
      <c r="F225" s="51">
        <v>6</v>
      </c>
      <c r="G225" s="52">
        <v>0</v>
      </c>
      <c r="H225" s="51">
        <f>F225*G225</f>
        <v>0</v>
      </c>
      <c r="J225" s="41"/>
      <c r="Z225" s="51">
        <f>IF(AQ225="5",BJ225,0)</f>
        <v>0</v>
      </c>
      <c r="AB225" s="51">
        <f>IF(AQ225="1",BH225,0)</f>
        <v>0</v>
      </c>
      <c r="AC225" s="51">
        <f>IF(AQ225="1",BI225,0)</f>
        <v>0</v>
      </c>
      <c r="AD225" s="51">
        <f>IF(AQ225="7",BH225,0)</f>
        <v>0</v>
      </c>
      <c r="AE225" s="51">
        <f>IF(AQ225="7",BI225,0)</f>
        <v>0</v>
      </c>
      <c r="AF225" s="51">
        <f>IF(AQ225="2",BH225,0)</f>
        <v>0</v>
      </c>
      <c r="AG225" s="51">
        <f>IF(AQ225="2",BI225,0)</f>
        <v>0</v>
      </c>
      <c r="AH225" s="51">
        <f>IF(AQ225="0",BJ225,0)</f>
        <v>0</v>
      </c>
      <c r="AI225" s="35" t="s">
        <v>4</v>
      </c>
      <c r="AJ225" s="51">
        <f>IF(AN225=0,H225,0)</f>
        <v>0</v>
      </c>
      <c r="AK225" s="51">
        <f>IF(AN225=12,H225,0)</f>
        <v>0</v>
      </c>
      <c r="AL225" s="51">
        <f>IF(AN225=21,H225,0)</f>
        <v>0</v>
      </c>
      <c r="AN225" s="51">
        <v>12</v>
      </c>
      <c r="AO225" s="51">
        <f>G225*0.421268827</f>
        <v>0</v>
      </c>
      <c r="AP225" s="51">
        <f>G225*(1-0.421268827)</f>
        <v>0</v>
      </c>
      <c r="AQ225" s="53" t="s">
        <v>156</v>
      </c>
      <c r="AV225" s="51">
        <f>AW225+AX225</f>
        <v>0</v>
      </c>
      <c r="AW225" s="51">
        <f>F225*AO225</f>
        <v>0</v>
      </c>
      <c r="AX225" s="51">
        <f>F225*AP225</f>
        <v>0</v>
      </c>
      <c r="AY225" s="53" t="s">
        <v>627</v>
      </c>
      <c r="AZ225" s="53" t="s">
        <v>603</v>
      </c>
      <c r="BA225" s="35" t="s">
        <v>118</v>
      </c>
      <c r="BC225" s="51">
        <f>AW225+AX225</f>
        <v>0</v>
      </c>
      <c r="BD225" s="51">
        <f>G225/(100-BE225)*100</f>
        <v>0</v>
      </c>
      <c r="BE225" s="51">
        <v>0</v>
      </c>
      <c r="BF225" s="51">
        <f>225</f>
        <v>225</v>
      </c>
      <c r="BH225" s="51">
        <f>F225*AO225</f>
        <v>0</v>
      </c>
      <c r="BI225" s="51">
        <f>F225*AP225</f>
        <v>0</v>
      </c>
      <c r="BJ225" s="51">
        <f>F225*G225</f>
        <v>0</v>
      </c>
      <c r="BK225" s="51"/>
      <c r="BL225" s="51">
        <v>783</v>
      </c>
      <c r="BW225" s="51">
        <v>12</v>
      </c>
      <c r="BX225" s="3" t="s">
        <v>634</v>
      </c>
    </row>
    <row r="226" spans="1:76">
      <c r="A226" s="47" t="s">
        <v>4</v>
      </c>
      <c r="B226" s="48" t="s">
        <v>635</v>
      </c>
      <c r="C226" s="150" t="s">
        <v>636</v>
      </c>
      <c r="D226" s="151"/>
      <c r="E226" s="49" t="s">
        <v>80</v>
      </c>
      <c r="F226" s="49" t="s">
        <v>80</v>
      </c>
      <c r="G226" s="50" t="s">
        <v>80</v>
      </c>
      <c r="H226" s="28">
        <f>SUM(H227:H236)</f>
        <v>0</v>
      </c>
      <c r="J226" s="41"/>
      <c r="AI226" s="35" t="s">
        <v>4</v>
      </c>
      <c r="AS226" s="28">
        <f>SUM(AJ227:AJ236)</f>
        <v>0</v>
      </c>
      <c r="AT226" s="28">
        <f>SUM(AK227:AK236)</f>
        <v>0</v>
      </c>
      <c r="AU226" s="28">
        <f>SUM(AL227:AL236)</f>
        <v>0</v>
      </c>
    </row>
    <row r="227" spans="1:76">
      <c r="A227" s="1" t="s">
        <v>637</v>
      </c>
      <c r="B227" s="2" t="s">
        <v>638</v>
      </c>
      <c r="C227" s="75" t="s">
        <v>639</v>
      </c>
      <c r="D227" s="70"/>
      <c r="E227" s="2" t="s">
        <v>127</v>
      </c>
      <c r="F227" s="51">
        <v>124.52</v>
      </c>
      <c r="G227" s="52">
        <v>0</v>
      </c>
      <c r="H227" s="51">
        <f>F227*G227</f>
        <v>0</v>
      </c>
      <c r="J227" s="41"/>
      <c r="Z227" s="51">
        <f>IF(AQ227="5",BJ227,0)</f>
        <v>0</v>
      </c>
      <c r="AB227" s="51">
        <f>IF(AQ227="1",BH227,0)</f>
        <v>0</v>
      </c>
      <c r="AC227" s="51">
        <f>IF(AQ227="1",BI227,0)</f>
        <v>0</v>
      </c>
      <c r="AD227" s="51">
        <f>IF(AQ227="7",BH227,0)</f>
        <v>0</v>
      </c>
      <c r="AE227" s="51">
        <f>IF(AQ227="7",BI227,0)</f>
        <v>0</v>
      </c>
      <c r="AF227" s="51">
        <f>IF(AQ227="2",BH227,0)</f>
        <v>0</v>
      </c>
      <c r="AG227" s="51">
        <f>IF(AQ227="2",BI227,0)</f>
        <v>0</v>
      </c>
      <c r="AH227" s="51">
        <f>IF(AQ227="0",BJ227,0)</f>
        <v>0</v>
      </c>
      <c r="AI227" s="35" t="s">
        <v>4</v>
      </c>
      <c r="AJ227" s="51">
        <f>IF(AN227=0,H227,0)</f>
        <v>0</v>
      </c>
      <c r="AK227" s="51">
        <f>IF(AN227=12,H227,0)</f>
        <v>0</v>
      </c>
      <c r="AL227" s="51">
        <f>IF(AN227=21,H227,0)</f>
        <v>0</v>
      </c>
      <c r="AN227" s="51">
        <v>12</v>
      </c>
      <c r="AO227" s="51">
        <f>G227*0.002564102</f>
        <v>0</v>
      </c>
      <c r="AP227" s="51">
        <f>G227*(1-0.002564102)</f>
        <v>0</v>
      </c>
      <c r="AQ227" s="53" t="s">
        <v>156</v>
      </c>
      <c r="AV227" s="51">
        <f>AW227+AX227</f>
        <v>0</v>
      </c>
      <c r="AW227" s="51">
        <f>F227*AO227</f>
        <v>0</v>
      </c>
      <c r="AX227" s="51">
        <f>F227*AP227</f>
        <v>0</v>
      </c>
      <c r="AY227" s="53" t="s">
        <v>640</v>
      </c>
      <c r="AZ227" s="53" t="s">
        <v>603</v>
      </c>
      <c r="BA227" s="35" t="s">
        <v>118</v>
      </c>
      <c r="BC227" s="51">
        <f>AW227+AX227</f>
        <v>0</v>
      </c>
      <c r="BD227" s="51">
        <f>G227/(100-BE227)*100</f>
        <v>0</v>
      </c>
      <c r="BE227" s="51">
        <v>0</v>
      </c>
      <c r="BF227" s="51">
        <f>227</f>
        <v>227</v>
      </c>
      <c r="BH227" s="51">
        <f>F227*AO227</f>
        <v>0</v>
      </c>
      <c r="BI227" s="51">
        <f>F227*AP227</f>
        <v>0</v>
      </c>
      <c r="BJ227" s="51">
        <f>F227*G227</f>
        <v>0</v>
      </c>
      <c r="BK227" s="51"/>
      <c r="BL227" s="51">
        <v>784</v>
      </c>
      <c r="BW227" s="51">
        <v>12</v>
      </c>
      <c r="BX227" s="3" t="s">
        <v>639</v>
      </c>
    </row>
    <row r="228" spans="1:76">
      <c r="A228" s="54"/>
      <c r="C228" s="56" t="s">
        <v>130</v>
      </c>
      <c r="D228" s="57" t="s">
        <v>641</v>
      </c>
      <c r="F228" s="58">
        <v>28.75</v>
      </c>
      <c r="J228" s="41"/>
    </row>
    <row r="229" spans="1:76">
      <c r="A229" s="54"/>
      <c r="C229" s="56" t="s">
        <v>145</v>
      </c>
      <c r="D229" s="57" t="s">
        <v>146</v>
      </c>
      <c r="F229" s="58">
        <v>13.114000000000001</v>
      </c>
      <c r="J229" s="41"/>
    </row>
    <row r="230" spans="1:76">
      <c r="A230" s="54"/>
      <c r="C230" s="56" t="s">
        <v>642</v>
      </c>
      <c r="D230" s="57" t="s">
        <v>148</v>
      </c>
      <c r="F230" s="58">
        <v>3.2250000000000001</v>
      </c>
      <c r="J230" s="41"/>
    </row>
    <row r="231" spans="1:76">
      <c r="A231" s="54"/>
      <c r="C231" s="56" t="s">
        <v>149</v>
      </c>
      <c r="D231" s="57" t="s">
        <v>150</v>
      </c>
      <c r="F231" s="58">
        <v>39.82</v>
      </c>
      <c r="J231" s="41"/>
    </row>
    <row r="232" spans="1:76">
      <c r="A232" s="54"/>
      <c r="C232" s="56" t="s">
        <v>151</v>
      </c>
      <c r="D232" s="57" t="s">
        <v>152</v>
      </c>
      <c r="F232" s="58">
        <v>36.545000000000002</v>
      </c>
      <c r="J232" s="41"/>
    </row>
    <row r="233" spans="1:76">
      <c r="A233" s="54"/>
      <c r="C233" s="56" t="s">
        <v>153</v>
      </c>
      <c r="D233" s="57" t="s">
        <v>154</v>
      </c>
      <c r="F233" s="58">
        <v>1.68</v>
      </c>
      <c r="J233" s="41"/>
    </row>
    <row r="234" spans="1:76">
      <c r="A234" s="54"/>
      <c r="C234" s="56" t="s">
        <v>155</v>
      </c>
      <c r="D234" s="57" t="s">
        <v>4</v>
      </c>
      <c r="F234" s="58">
        <v>1.3859999999999999</v>
      </c>
      <c r="J234" s="41"/>
    </row>
    <row r="235" spans="1:76">
      <c r="A235" s="1" t="s">
        <v>643</v>
      </c>
      <c r="B235" s="2" t="s">
        <v>644</v>
      </c>
      <c r="C235" s="75" t="s">
        <v>645</v>
      </c>
      <c r="D235" s="70"/>
      <c r="E235" s="2" t="s">
        <v>127</v>
      </c>
      <c r="F235" s="51">
        <v>127</v>
      </c>
      <c r="G235" s="52">
        <v>0</v>
      </c>
      <c r="H235" s="51">
        <f>F235*G235</f>
        <v>0</v>
      </c>
      <c r="J235" s="41"/>
      <c r="Z235" s="51">
        <f>IF(AQ235="5",BJ235,0)</f>
        <v>0</v>
      </c>
      <c r="AB235" s="51">
        <f>IF(AQ235="1",BH235,0)</f>
        <v>0</v>
      </c>
      <c r="AC235" s="51">
        <f>IF(AQ235="1",BI235,0)</f>
        <v>0</v>
      </c>
      <c r="AD235" s="51">
        <f>IF(AQ235="7",BH235,0)</f>
        <v>0</v>
      </c>
      <c r="AE235" s="51">
        <f>IF(AQ235="7",BI235,0)</f>
        <v>0</v>
      </c>
      <c r="AF235" s="51">
        <f>IF(AQ235="2",BH235,0)</f>
        <v>0</v>
      </c>
      <c r="AG235" s="51">
        <f>IF(AQ235="2",BI235,0)</f>
        <v>0</v>
      </c>
      <c r="AH235" s="51">
        <f>IF(AQ235="0",BJ235,0)</f>
        <v>0</v>
      </c>
      <c r="AI235" s="35" t="s">
        <v>4</v>
      </c>
      <c r="AJ235" s="51">
        <f>IF(AN235=0,H235,0)</f>
        <v>0</v>
      </c>
      <c r="AK235" s="51">
        <f>IF(AN235=12,H235,0)</f>
        <v>0</v>
      </c>
      <c r="AL235" s="51">
        <f>IF(AN235=21,H235,0)</f>
        <v>0</v>
      </c>
      <c r="AN235" s="51">
        <v>12</v>
      </c>
      <c r="AO235" s="51">
        <f>G235*0.271311794</f>
        <v>0</v>
      </c>
      <c r="AP235" s="51">
        <f>G235*(1-0.271311794)</f>
        <v>0</v>
      </c>
      <c r="AQ235" s="53" t="s">
        <v>156</v>
      </c>
      <c r="AV235" s="51">
        <f>AW235+AX235</f>
        <v>0</v>
      </c>
      <c r="AW235" s="51">
        <f>F235*AO235</f>
        <v>0</v>
      </c>
      <c r="AX235" s="51">
        <f>F235*AP235</f>
        <v>0</v>
      </c>
      <c r="AY235" s="53" t="s">
        <v>640</v>
      </c>
      <c r="AZ235" s="53" t="s">
        <v>603</v>
      </c>
      <c r="BA235" s="35" t="s">
        <v>118</v>
      </c>
      <c r="BC235" s="51">
        <f>AW235+AX235</f>
        <v>0</v>
      </c>
      <c r="BD235" s="51">
        <f>G235/(100-BE235)*100</f>
        <v>0</v>
      </c>
      <c r="BE235" s="51">
        <v>0</v>
      </c>
      <c r="BF235" s="51">
        <f>235</f>
        <v>235</v>
      </c>
      <c r="BH235" s="51">
        <f>F235*AO235</f>
        <v>0</v>
      </c>
      <c r="BI235" s="51">
        <f>F235*AP235</f>
        <v>0</v>
      </c>
      <c r="BJ235" s="51">
        <f>F235*G235</f>
        <v>0</v>
      </c>
      <c r="BK235" s="51"/>
      <c r="BL235" s="51">
        <v>784</v>
      </c>
      <c r="BW235" s="51">
        <v>12</v>
      </c>
      <c r="BX235" s="3" t="s">
        <v>645</v>
      </c>
    </row>
    <row r="236" spans="1:76">
      <c r="A236" s="1" t="s">
        <v>646</v>
      </c>
      <c r="B236" s="2" t="s">
        <v>647</v>
      </c>
      <c r="C236" s="75" t="s">
        <v>648</v>
      </c>
      <c r="D236" s="70"/>
      <c r="E236" s="2" t="s">
        <v>127</v>
      </c>
      <c r="F236" s="51">
        <v>127</v>
      </c>
      <c r="G236" s="52">
        <v>0</v>
      </c>
      <c r="H236" s="51">
        <f>F236*G236</f>
        <v>0</v>
      </c>
      <c r="J236" s="41"/>
      <c r="Z236" s="51">
        <f>IF(AQ236="5",BJ236,0)</f>
        <v>0</v>
      </c>
      <c r="AB236" s="51">
        <f>IF(AQ236="1",BH236,0)</f>
        <v>0</v>
      </c>
      <c r="AC236" s="51">
        <f>IF(AQ236="1",BI236,0)</f>
        <v>0</v>
      </c>
      <c r="AD236" s="51">
        <f>IF(AQ236="7",BH236,0)</f>
        <v>0</v>
      </c>
      <c r="AE236" s="51">
        <f>IF(AQ236="7",BI236,0)</f>
        <v>0</v>
      </c>
      <c r="AF236" s="51">
        <f>IF(AQ236="2",BH236,0)</f>
        <v>0</v>
      </c>
      <c r="AG236" s="51">
        <f>IF(AQ236="2",BI236,0)</f>
        <v>0</v>
      </c>
      <c r="AH236" s="51">
        <f>IF(AQ236="0",BJ236,0)</f>
        <v>0</v>
      </c>
      <c r="AI236" s="35" t="s">
        <v>4</v>
      </c>
      <c r="AJ236" s="51">
        <f>IF(AN236=0,H236,0)</f>
        <v>0</v>
      </c>
      <c r="AK236" s="51">
        <f>IF(AN236=12,H236,0)</f>
        <v>0</v>
      </c>
      <c r="AL236" s="51">
        <f>IF(AN236=21,H236,0)</f>
        <v>0</v>
      </c>
      <c r="AN236" s="51">
        <v>12</v>
      </c>
      <c r="AO236" s="51">
        <f>G236*0.242142026</f>
        <v>0</v>
      </c>
      <c r="AP236" s="51">
        <f>G236*(1-0.242142026)</f>
        <v>0</v>
      </c>
      <c r="AQ236" s="53" t="s">
        <v>156</v>
      </c>
      <c r="AV236" s="51">
        <f>AW236+AX236</f>
        <v>0</v>
      </c>
      <c r="AW236" s="51">
        <f>F236*AO236</f>
        <v>0</v>
      </c>
      <c r="AX236" s="51">
        <f>F236*AP236</f>
        <v>0</v>
      </c>
      <c r="AY236" s="53" t="s">
        <v>640</v>
      </c>
      <c r="AZ236" s="53" t="s">
        <v>603</v>
      </c>
      <c r="BA236" s="35" t="s">
        <v>118</v>
      </c>
      <c r="BC236" s="51">
        <f>AW236+AX236</f>
        <v>0</v>
      </c>
      <c r="BD236" s="51">
        <f>G236/(100-BE236)*100</f>
        <v>0</v>
      </c>
      <c r="BE236" s="51">
        <v>0</v>
      </c>
      <c r="BF236" s="51">
        <f>236</f>
        <v>236</v>
      </c>
      <c r="BH236" s="51">
        <f>F236*AO236</f>
        <v>0</v>
      </c>
      <c r="BI236" s="51">
        <f>F236*AP236</f>
        <v>0</v>
      </c>
      <c r="BJ236" s="51">
        <f>F236*G236</f>
        <v>0</v>
      </c>
      <c r="BK236" s="51"/>
      <c r="BL236" s="51">
        <v>784</v>
      </c>
      <c r="BW236" s="51">
        <v>12</v>
      </c>
      <c r="BX236" s="3" t="s">
        <v>648</v>
      </c>
    </row>
    <row r="237" spans="1:76">
      <c r="A237" s="54"/>
      <c r="C237" s="56" t="s">
        <v>649</v>
      </c>
      <c r="D237" s="57" t="s">
        <v>4</v>
      </c>
      <c r="F237" s="58">
        <v>127</v>
      </c>
      <c r="J237" s="41"/>
    </row>
    <row r="238" spans="1:76">
      <c r="A238" s="47" t="s">
        <v>4</v>
      </c>
      <c r="B238" s="48" t="s">
        <v>650</v>
      </c>
      <c r="C238" s="150" t="s">
        <v>651</v>
      </c>
      <c r="D238" s="151"/>
      <c r="E238" s="49" t="s">
        <v>80</v>
      </c>
      <c r="F238" s="49" t="s">
        <v>80</v>
      </c>
      <c r="G238" s="50" t="s">
        <v>80</v>
      </c>
      <c r="H238" s="28">
        <f>SUM(H239:H243)</f>
        <v>0</v>
      </c>
      <c r="J238" s="41"/>
      <c r="AI238" s="35" t="s">
        <v>4</v>
      </c>
      <c r="AS238" s="28">
        <f>SUM(AJ239:AJ243)</f>
        <v>0</v>
      </c>
      <c r="AT238" s="28">
        <f>SUM(AK239:AK243)</f>
        <v>0</v>
      </c>
      <c r="AU238" s="28">
        <f>SUM(AL239:AL243)</f>
        <v>0</v>
      </c>
    </row>
    <row r="239" spans="1:76">
      <c r="A239" s="1" t="s">
        <v>652</v>
      </c>
      <c r="B239" s="2" t="s">
        <v>653</v>
      </c>
      <c r="C239" s="75" t="s">
        <v>654</v>
      </c>
      <c r="D239" s="70"/>
      <c r="E239" s="2" t="s">
        <v>115</v>
      </c>
      <c r="F239" s="51">
        <v>1</v>
      </c>
      <c r="G239" s="52">
        <v>0</v>
      </c>
      <c r="H239" s="51">
        <f>F239*G239</f>
        <v>0</v>
      </c>
      <c r="J239" s="41"/>
      <c r="Z239" s="51">
        <f>IF(AQ239="5",BJ239,0)</f>
        <v>0</v>
      </c>
      <c r="AB239" s="51">
        <f>IF(AQ239="1",BH239,0)</f>
        <v>0</v>
      </c>
      <c r="AC239" s="51">
        <f>IF(AQ239="1",BI239,0)</f>
        <v>0</v>
      </c>
      <c r="AD239" s="51">
        <f>IF(AQ239="7",BH239,0)</f>
        <v>0</v>
      </c>
      <c r="AE239" s="51">
        <f>IF(AQ239="7",BI239,0)</f>
        <v>0</v>
      </c>
      <c r="AF239" s="51">
        <f>IF(AQ239="2",BH239,0)</f>
        <v>0</v>
      </c>
      <c r="AG239" s="51">
        <f>IF(AQ239="2",BI239,0)</f>
        <v>0</v>
      </c>
      <c r="AH239" s="51">
        <f>IF(AQ239="0",BJ239,0)</f>
        <v>0</v>
      </c>
      <c r="AI239" s="35" t="s">
        <v>4</v>
      </c>
      <c r="AJ239" s="51">
        <f>IF(AN239=0,H239,0)</f>
        <v>0</v>
      </c>
      <c r="AK239" s="51">
        <f>IF(AN239=12,H239,0)</f>
        <v>0</v>
      </c>
      <c r="AL239" s="51">
        <f>IF(AN239=21,H239,0)</f>
        <v>0</v>
      </c>
      <c r="AN239" s="51">
        <v>12</v>
      </c>
      <c r="AO239" s="51">
        <f>G239*0</f>
        <v>0</v>
      </c>
      <c r="AP239" s="51">
        <f>G239*(1-0)</f>
        <v>0</v>
      </c>
      <c r="AQ239" s="53" t="s">
        <v>121</v>
      </c>
      <c r="AV239" s="51">
        <f>AW239+AX239</f>
        <v>0</v>
      </c>
      <c r="AW239" s="51">
        <f>F239*AO239</f>
        <v>0</v>
      </c>
      <c r="AX239" s="51">
        <f>F239*AP239</f>
        <v>0</v>
      </c>
      <c r="AY239" s="53" t="s">
        <v>655</v>
      </c>
      <c r="AZ239" s="53" t="s">
        <v>209</v>
      </c>
      <c r="BA239" s="35" t="s">
        <v>118</v>
      </c>
      <c r="BC239" s="51">
        <f>AW239+AX239</f>
        <v>0</v>
      </c>
      <c r="BD239" s="51">
        <f>G239/(100-BE239)*100</f>
        <v>0</v>
      </c>
      <c r="BE239" s="51">
        <v>0</v>
      </c>
      <c r="BF239" s="51">
        <f>239</f>
        <v>239</v>
      </c>
      <c r="BH239" s="51">
        <f>F239*AO239</f>
        <v>0</v>
      </c>
      <c r="BI239" s="51">
        <f>F239*AP239</f>
        <v>0</v>
      </c>
      <c r="BJ239" s="51">
        <f>F239*G239</f>
        <v>0</v>
      </c>
      <c r="BK239" s="51"/>
      <c r="BL239" s="51"/>
      <c r="BW239" s="51">
        <v>12</v>
      </c>
      <c r="BX239" s="3" t="s">
        <v>654</v>
      </c>
    </row>
    <row r="240" spans="1:76">
      <c r="A240" s="1" t="s">
        <v>656</v>
      </c>
      <c r="B240" s="2" t="s">
        <v>657</v>
      </c>
      <c r="C240" s="75" t="s">
        <v>658</v>
      </c>
      <c r="D240" s="70"/>
      <c r="E240" s="2" t="s">
        <v>115</v>
      </c>
      <c r="F240" s="51">
        <v>1</v>
      </c>
      <c r="G240" s="52">
        <v>0</v>
      </c>
      <c r="H240" s="51">
        <f>F240*G240</f>
        <v>0</v>
      </c>
      <c r="J240" s="41"/>
      <c r="Z240" s="51">
        <f>IF(AQ240="5",BJ240,0)</f>
        <v>0</v>
      </c>
      <c r="AB240" s="51">
        <f>IF(AQ240="1",BH240,0)</f>
        <v>0</v>
      </c>
      <c r="AC240" s="51">
        <f>IF(AQ240="1",BI240,0)</f>
        <v>0</v>
      </c>
      <c r="AD240" s="51">
        <f>IF(AQ240="7",BH240,0)</f>
        <v>0</v>
      </c>
      <c r="AE240" s="51">
        <f>IF(AQ240="7",BI240,0)</f>
        <v>0</v>
      </c>
      <c r="AF240" s="51">
        <f>IF(AQ240="2",BH240,0)</f>
        <v>0</v>
      </c>
      <c r="AG240" s="51">
        <f>IF(AQ240="2",BI240,0)</f>
        <v>0</v>
      </c>
      <c r="AH240" s="51">
        <f>IF(AQ240="0",BJ240,0)</f>
        <v>0</v>
      </c>
      <c r="AI240" s="35" t="s">
        <v>4</v>
      </c>
      <c r="AJ240" s="51">
        <f>IF(AN240=0,H240,0)</f>
        <v>0</v>
      </c>
      <c r="AK240" s="51">
        <f>IF(AN240=12,H240,0)</f>
        <v>0</v>
      </c>
      <c r="AL240" s="51">
        <f>IF(AN240=21,H240,0)</f>
        <v>0</v>
      </c>
      <c r="AN240" s="51">
        <v>12</v>
      </c>
      <c r="AO240" s="51">
        <f>G240*0</f>
        <v>0</v>
      </c>
      <c r="AP240" s="51">
        <f>G240*(1-0)</f>
        <v>0</v>
      </c>
      <c r="AQ240" s="53" t="s">
        <v>121</v>
      </c>
      <c r="AV240" s="51">
        <f>AW240+AX240</f>
        <v>0</v>
      </c>
      <c r="AW240" s="51">
        <f>F240*AO240</f>
        <v>0</v>
      </c>
      <c r="AX240" s="51">
        <f>F240*AP240</f>
        <v>0</v>
      </c>
      <c r="AY240" s="53" t="s">
        <v>655</v>
      </c>
      <c r="AZ240" s="53" t="s">
        <v>209</v>
      </c>
      <c r="BA240" s="35" t="s">
        <v>118</v>
      </c>
      <c r="BC240" s="51">
        <f>AW240+AX240</f>
        <v>0</v>
      </c>
      <c r="BD240" s="51">
        <f>G240/(100-BE240)*100</f>
        <v>0</v>
      </c>
      <c r="BE240" s="51">
        <v>0</v>
      </c>
      <c r="BF240" s="51">
        <f>240</f>
        <v>240</v>
      </c>
      <c r="BH240" s="51">
        <f>F240*AO240</f>
        <v>0</v>
      </c>
      <c r="BI240" s="51">
        <f>F240*AP240</f>
        <v>0</v>
      </c>
      <c r="BJ240" s="51">
        <f>F240*G240</f>
        <v>0</v>
      </c>
      <c r="BK240" s="51"/>
      <c r="BL240" s="51"/>
      <c r="BW240" s="51">
        <v>12</v>
      </c>
      <c r="BX240" s="3" t="s">
        <v>658</v>
      </c>
    </row>
    <row r="241" spans="1:76">
      <c r="A241" s="1" t="s">
        <v>659</v>
      </c>
      <c r="B241" s="2" t="s">
        <v>660</v>
      </c>
      <c r="C241" s="75" t="s">
        <v>661</v>
      </c>
      <c r="D241" s="70"/>
      <c r="E241" s="2" t="s">
        <v>115</v>
      </c>
      <c r="F241" s="51">
        <v>1</v>
      </c>
      <c r="G241" s="52">
        <v>0</v>
      </c>
      <c r="H241" s="51">
        <f>F241*G241</f>
        <v>0</v>
      </c>
      <c r="J241" s="41"/>
      <c r="Z241" s="51">
        <f>IF(AQ241="5",BJ241,0)</f>
        <v>0</v>
      </c>
      <c r="AB241" s="51">
        <f>IF(AQ241="1",BH241,0)</f>
        <v>0</v>
      </c>
      <c r="AC241" s="51">
        <f>IF(AQ241="1",BI241,0)</f>
        <v>0</v>
      </c>
      <c r="AD241" s="51">
        <f>IF(AQ241="7",BH241,0)</f>
        <v>0</v>
      </c>
      <c r="AE241" s="51">
        <f>IF(AQ241="7",BI241,0)</f>
        <v>0</v>
      </c>
      <c r="AF241" s="51">
        <f>IF(AQ241="2",BH241,0)</f>
        <v>0</v>
      </c>
      <c r="AG241" s="51">
        <f>IF(AQ241="2",BI241,0)</f>
        <v>0</v>
      </c>
      <c r="AH241" s="51">
        <f>IF(AQ241="0",BJ241,0)</f>
        <v>0</v>
      </c>
      <c r="AI241" s="35" t="s">
        <v>4</v>
      </c>
      <c r="AJ241" s="51">
        <f>IF(AN241=0,H241,0)</f>
        <v>0</v>
      </c>
      <c r="AK241" s="51">
        <f>IF(AN241=12,H241,0)</f>
        <v>0</v>
      </c>
      <c r="AL241" s="51">
        <f>IF(AN241=21,H241,0)</f>
        <v>0</v>
      </c>
      <c r="AN241" s="51">
        <v>12</v>
      </c>
      <c r="AO241" s="51">
        <f>G241*0</f>
        <v>0</v>
      </c>
      <c r="AP241" s="51">
        <f>G241*(1-0)</f>
        <v>0</v>
      </c>
      <c r="AQ241" s="53" t="s">
        <v>121</v>
      </c>
      <c r="AV241" s="51">
        <f>AW241+AX241</f>
        <v>0</v>
      </c>
      <c r="AW241" s="51">
        <f>F241*AO241</f>
        <v>0</v>
      </c>
      <c r="AX241" s="51">
        <f>F241*AP241</f>
        <v>0</v>
      </c>
      <c r="AY241" s="53" t="s">
        <v>655</v>
      </c>
      <c r="AZ241" s="53" t="s">
        <v>209</v>
      </c>
      <c r="BA241" s="35" t="s">
        <v>118</v>
      </c>
      <c r="BC241" s="51">
        <f>AW241+AX241</f>
        <v>0</v>
      </c>
      <c r="BD241" s="51">
        <f>G241/(100-BE241)*100</f>
        <v>0</v>
      </c>
      <c r="BE241" s="51">
        <v>0</v>
      </c>
      <c r="BF241" s="51">
        <f>241</f>
        <v>241</v>
      </c>
      <c r="BH241" s="51">
        <f>F241*AO241</f>
        <v>0</v>
      </c>
      <c r="BI241" s="51">
        <f>F241*AP241</f>
        <v>0</v>
      </c>
      <c r="BJ241" s="51">
        <f>F241*G241</f>
        <v>0</v>
      </c>
      <c r="BK241" s="51"/>
      <c r="BL241" s="51"/>
      <c r="BW241" s="51">
        <v>12</v>
      </c>
      <c r="BX241" s="3" t="s">
        <v>661</v>
      </c>
    </row>
    <row r="242" spans="1:76">
      <c r="A242" s="1" t="s">
        <v>662</v>
      </c>
      <c r="B242" s="2" t="s">
        <v>663</v>
      </c>
      <c r="C242" s="75" t="s">
        <v>664</v>
      </c>
      <c r="D242" s="70"/>
      <c r="E242" s="2" t="s">
        <v>395</v>
      </c>
      <c r="F242" s="51">
        <v>1</v>
      </c>
      <c r="G242" s="52">
        <v>0</v>
      </c>
      <c r="H242" s="51">
        <f>F242*G242</f>
        <v>0</v>
      </c>
      <c r="J242" s="41"/>
      <c r="Z242" s="51">
        <f>IF(AQ242="5",BJ242,0)</f>
        <v>0</v>
      </c>
      <c r="AB242" s="51">
        <f>IF(AQ242="1",BH242,0)</f>
        <v>0</v>
      </c>
      <c r="AC242" s="51">
        <f>IF(AQ242="1",BI242,0)</f>
        <v>0</v>
      </c>
      <c r="AD242" s="51">
        <f>IF(AQ242="7",BH242,0)</f>
        <v>0</v>
      </c>
      <c r="AE242" s="51">
        <f>IF(AQ242="7",BI242,0)</f>
        <v>0</v>
      </c>
      <c r="AF242" s="51">
        <f>IF(AQ242="2",BH242,0)</f>
        <v>0</v>
      </c>
      <c r="AG242" s="51">
        <f>IF(AQ242="2",BI242,0)</f>
        <v>0</v>
      </c>
      <c r="AH242" s="51">
        <f>IF(AQ242="0",BJ242,0)</f>
        <v>0</v>
      </c>
      <c r="AI242" s="35" t="s">
        <v>4</v>
      </c>
      <c r="AJ242" s="51">
        <f>IF(AN242=0,H242,0)</f>
        <v>0</v>
      </c>
      <c r="AK242" s="51">
        <f>IF(AN242=12,H242,0)</f>
        <v>0</v>
      </c>
      <c r="AL242" s="51">
        <f>IF(AN242=21,H242,0)</f>
        <v>0</v>
      </c>
      <c r="AN242" s="51">
        <v>12</v>
      </c>
      <c r="AO242" s="51">
        <f>G242*0</f>
        <v>0</v>
      </c>
      <c r="AP242" s="51">
        <f>G242*(1-0)</f>
        <v>0</v>
      </c>
      <c r="AQ242" s="53" t="s">
        <v>121</v>
      </c>
      <c r="AV242" s="51">
        <f>AW242+AX242</f>
        <v>0</v>
      </c>
      <c r="AW242" s="51">
        <f>F242*AO242</f>
        <v>0</v>
      </c>
      <c r="AX242" s="51">
        <f>F242*AP242</f>
        <v>0</v>
      </c>
      <c r="AY242" s="53" t="s">
        <v>655</v>
      </c>
      <c r="AZ242" s="53" t="s">
        <v>209</v>
      </c>
      <c r="BA242" s="35" t="s">
        <v>118</v>
      </c>
      <c r="BC242" s="51">
        <f>AW242+AX242</f>
        <v>0</v>
      </c>
      <c r="BD242" s="51">
        <f>G242/(100-BE242)*100</f>
        <v>0</v>
      </c>
      <c r="BE242" s="51">
        <v>0</v>
      </c>
      <c r="BF242" s="51">
        <f>242</f>
        <v>242</v>
      </c>
      <c r="BH242" s="51">
        <f>F242*AO242</f>
        <v>0</v>
      </c>
      <c r="BI242" s="51">
        <f>F242*AP242</f>
        <v>0</v>
      </c>
      <c r="BJ242" s="51">
        <f>F242*G242</f>
        <v>0</v>
      </c>
      <c r="BK242" s="51"/>
      <c r="BL242" s="51"/>
      <c r="BW242" s="51">
        <v>12</v>
      </c>
      <c r="BX242" s="3" t="s">
        <v>664</v>
      </c>
    </row>
    <row r="243" spans="1:76">
      <c r="A243" s="1" t="s">
        <v>665</v>
      </c>
      <c r="B243" s="2" t="s">
        <v>666</v>
      </c>
      <c r="C243" s="75" t="s">
        <v>667</v>
      </c>
      <c r="D243" s="70"/>
      <c r="E243" s="2" t="s">
        <v>395</v>
      </c>
      <c r="F243" s="51">
        <v>1</v>
      </c>
      <c r="G243" s="52">
        <v>0</v>
      </c>
      <c r="H243" s="51">
        <f>F243*G243</f>
        <v>0</v>
      </c>
      <c r="J243" s="41"/>
      <c r="Z243" s="51">
        <f>IF(AQ243="5",BJ243,0)</f>
        <v>0</v>
      </c>
      <c r="AB243" s="51">
        <f>IF(AQ243="1",BH243,0)</f>
        <v>0</v>
      </c>
      <c r="AC243" s="51">
        <f>IF(AQ243="1",BI243,0)</f>
        <v>0</v>
      </c>
      <c r="AD243" s="51">
        <f>IF(AQ243="7",BH243,0)</f>
        <v>0</v>
      </c>
      <c r="AE243" s="51">
        <f>IF(AQ243="7",BI243,0)</f>
        <v>0</v>
      </c>
      <c r="AF243" s="51">
        <f>IF(AQ243="2",BH243,0)</f>
        <v>0</v>
      </c>
      <c r="AG243" s="51">
        <f>IF(AQ243="2",BI243,0)</f>
        <v>0</v>
      </c>
      <c r="AH243" s="51">
        <f>IF(AQ243="0",BJ243,0)</f>
        <v>0</v>
      </c>
      <c r="AI243" s="35" t="s">
        <v>4</v>
      </c>
      <c r="AJ243" s="51">
        <f>IF(AN243=0,H243,0)</f>
        <v>0</v>
      </c>
      <c r="AK243" s="51">
        <f>IF(AN243=12,H243,0)</f>
        <v>0</v>
      </c>
      <c r="AL243" s="51">
        <f>IF(AN243=21,H243,0)</f>
        <v>0</v>
      </c>
      <c r="AN243" s="51">
        <v>12</v>
      </c>
      <c r="AO243" s="51">
        <f>G243*0</f>
        <v>0</v>
      </c>
      <c r="AP243" s="51">
        <f>G243*(1-0)</f>
        <v>0</v>
      </c>
      <c r="AQ243" s="53" t="s">
        <v>121</v>
      </c>
      <c r="AV243" s="51">
        <f>AW243+AX243</f>
        <v>0</v>
      </c>
      <c r="AW243" s="51">
        <f>F243*AO243</f>
        <v>0</v>
      </c>
      <c r="AX243" s="51">
        <f>F243*AP243</f>
        <v>0</v>
      </c>
      <c r="AY243" s="53" t="s">
        <v>655</v>
      </c>
      <c r="AZ243" s="53" t="s">
        <v>209</v>
      </c>
      <c r="BA243" s="35" t="s">
        <v>118</v>
      </c>
      <c r="BC243" s="51">
        <f>AW243+AX243</f>
        <v>0</v>
      </c>
      <c r="BD243" s="51">
        <f>G243/(100-BE243)*100</f>
        <v>0</v>
      </c>
      <c r="BE243" s="51">
        <v>0</v>
      </c>
      <c r="BF243" s="51">
        <f>243</f>
        <v>243</v>
      </c>
      <c r="BH243" s="51">
        <f>F243*AO243</f>
        <v>0</v>
      </c>
      <c r="BI243" s="51">
        <f>F243*AP243</f>
        <v>0</v>
      </c>
      <c r="BJ243" s="51">
        <f>F243*G243</f>
        <v>0</v>
      </c>
      <c r="BK243" s="51"/>
      <c r="BL243" s="51"/>
      <c r="BW243" s="51">
        <v>12</v>
      </c>
      <c r="BX243" s="3" t="s">
        <v>667</v>
      </c>
    </row>
    <row r="244" spans="1:76">
      <c r="A244" s="47" t="s">
        <v>4</v>
      </c>
      <c r="B244" s="48" t="s">
        <v>668</v>
      </c>
      <c r="C244" s="150" t="s">
        <v>58</v>
      </c>
      <c r="D244" s="151"/>
      <c r="E244" s="49" t="s">
        <v>80</v>
      </c>
      <c r="F244" s="49" t="s">
        <v>80</v>
      </c>
      <c r="G244" s="50" t="s">
        <v>80</v>
      </c>
      <c r="H244" s="28">
        <f>H245+H247</f>
        <v>0</v>
      </c>
      <c r="J244" s="41"/>
      <c r="AI244" s="35" t="s">
        <v>4</v>
      </c>
    </row>
    <row r="245" spans="1:76">
      <c r="A245" s="47" t="s">
        <v>4</v>
      </c>
      <c r="B245" s="48" t="s">
        <v>669</v>
      </c>
      <c r="C245" s="150" t="s">
        <v>25</v>
      </c>
      <c r="D245" s="151"/>
      <c r="E245" s="49" t="s">
        <v>80</v>
      </c>
      <c r="F245" s="49" t="s">
        <v>80</v>
      </c>
      <c r="G245" s="50" t="s">
        <v>80</v>
      </c>
      <c r="H245" s="28">
        <f>SUM(H246:H246)</f>
        <v>0</v>
      </c>
      <c r="J245" s="41"/>
      <c r="AI245" s="35" t="s">
        <v>4</v>
      </c>
      <c r="AS245" s="28">
        <f>SUM(AJ246:AJ246)</f>
        <v>0</v>
      </c>
      <c r="AT245" s="28">
        <f>SUM(AK246:AK246)</f>
        <v>0</v>
      </c>
      <c r="AU245" s="28">
        <f>SUM(AL246:AL246)</f>
        <v>0</v>
      </c>
    </row>
    <row r="246" spans="1:76">
      <c r="A246" s="1" t="s">
        <v>670</v>
      </c>
      <c r="B246" s="2" t="s">
        <v>671</v>
      </c>
      <c r="C246" s="75" t="s">
        <v>25</v>
      </c>
      <c r="D246" s="70"/>
      <c r="E246" s="2" t="s">
        <v>672</v>
      </c>
      <c r="F246" s="51">
        <v>1</v>
      </c>
      <c r="G246" s="52">
        <v>0</v>
      </c>
      <c r="H246" s="51">
        <f>F246*G246</f>
        <v>0</v>
      </c>
      <c r="J246" s="41"/>
      <c r="Z246" s="51">
        <f>IF(AQ246="5",BJ246,0)</f>
        <v>0</v>
      </c>
      <c r="AB246" s="51">
        <f>IF(AQ246="1",BH246,0)</f>
        <v>0</v>
      </c>
      <c r="AC246" s="51">
        <f>IF(AQ246="1",BI246,0)</f>
        <v>0</v>
      </c>
      <c r="AD246" s="51">
        <f>IF(AQ246="7",BH246,0)</f>
        <v>0</v>
      </c>
      <c r="AE246" s="51">
        <f>IF(AQ246="7",BI246,0)</f>
        <v>0</v>
      </c>
      <c r="AF246" s="51">
        <f>IF(AQ246="2",BH246,0)</f>
        <v>0</v>
      </c>
      <c r="AG246" s="51">
        <f>IF(AQ246="2",BI246,0)</f>
        <v>0</v>
      </c>
      <c r="AH246" s="51">
        <f>IF(AQ246="0",BJ246,0)</f>
        <v>0</v>
      </c>
      <c r="AI246" s="35" t="s">
        <v>4</v>
      </c>
      <c r="AJ246" s="51">
        <f>IF(AN246=0,H246,0)</f>
        <v>0</v>
      </c>
      <c r="AK246" s="51">
        <f>IF(AN246=12,H246,0)</f>
        <v>0</v>
      </c>
      <c r="AL246" s="51">
        <f>IF(AN246=21,H246,0)</f>
        <v>0</v>
      </c>
      <c r="AN246" s="51">
        <v>12</v>
      </c>
      <c r="AO246" s="51">
        <f>G246*0</f>
        <v>0</v>
      </c>
      <c r="AP246" s="51">
        <f>G246*(1-0)</f>
        <v>0</v>
      </c>
      <c r="AQ246" s="53" t="s">
        <v>277</v>
      </c>
      <c r="AV246" s="51">
        <f>AW246+AX246</f>
        <v>0</v>
      </c>
      <c r="AW246" s="51">
        <f>F246*AO246</f>
        <v>0</v>
      </c>
      <c r="AX246" s="51">
        <f>F246*AP246</f>
        <v>0</v>
      </c>
      <c r="AY246" s="53" t="s">
        <v>673</v>
      </c>
      <c r="AZ246" s="53" t="s">
        <v>674</v>
      </c>
      <c r="BA246" s="35" t="s">
        <v>118</v>
      </c>
      <c r="BC246" s="51">
        <f>AW246+AX246</f>
        <v>0</v>
      </c>
      <c r="BD246" s="51">
        <f>G246/(100-BE246)*100</f>
        <v>0</v>
      </c>
      <c r="BE246" s="51">
        <v>0</v>
      </c>
      <c r="BF246" s="51">
        <f>246</f>
        <v>246</v>
      </c>
      <c r="BH246" s="51">
        <f>F246*AO246</f>
        <v>0</v>
      </c>
      <c r="BI246" s="51">
        <f>F246*AP246</f>
        <v>0</v>
      </c>
      <c r="BJ246" s="51">
        <f>F246*G246</f>
        <v>0</v>
      </c>
      <c r="BK246" s="51"/>
      <c r="BL246" s="51"/>
      <c r="BO246" s="51">
        <f>F246*G246</f>
        <v>0</v>
      </c>
      <c r="BW246" s="51">
        <v>12</v>
      </c>
      <c r="BX246" s="3" t="s">
        <v>25</v>
      </c>
    </row>
    <row r="247" spans="1:76">
      <c r="A247" s="47" t="s">
        <v>4</v>
      </c>
      <c r="B247" s="48" t="s">
        <v>675</v>
      </c>
      <c r="C247" s="150" t="s">
        <v>31</v>
      </c>
      <c r="D247" s="151"/>
      <c r="E247" s="49" t="s">
        <v>80</v>
      </c>
      <c r="F247" s="49" t="s">
        <v>80</v>
      </c>
      <c r="G247" s="50" t="s">
        <v>80</v>
      </c>
      <c r="H247" s="28">
        <f>SUM(H248:H248)</f>
        <v>0</v>
      </c>
      <c r="J247" s="41"/>
      <c r="AI247" s="35" t="s">
        <v>4</v>
      </c>
      <c r="AS247" s="28">
        <f>SUM(AJ248:AJ248)</f>
        <v>0</v>
      </c>
      <c r="AT247" s="28">
        <f>SUM(AK248:AK248)</f>
        <v>0</v>
      </c>
      <c r="AU247" s="28">
        <f>SUM(AL248:AL248)</f>
        <v>0</v>
      </c>
    </row>
    <row r="248" spans="1:76">
      <c r="A248" s="4" t="s">
        <v>676</v>
      </c>
      <c r="B248" s="5" t="s">
        <v>677</v>
      </c>
      <c r="C248" s="156" t="s">
        <v>678</v>
      </c>
      <c r="D248" s="73"/>
      <c r="E248" s="5" t="s">
        <v>672</v>
      </c>
      <c r="F248" s="59">
        <v>1</v>
      </c>
      <c r="G248" s="60">
        <v>0</v>
      </c>
      <c r="H248" s="59">
        <f>F248*G248</f>
        <v>0</v>
      </c>
      <c r="I248" s="61"/>
      <c r="J248" s="62"/>
      <c r="Z248" s="51">
        <f>IF(AQ248="5",BJ248,0)</f>
        <v>0</v>
      </c>
      <c r="AB248" s="51">
        <f>IF(AQ248="1",BH248,0)</f>
        <v>0</v>
      </c>
      <c r="AC248" s="51">
        <f>IF(AQ248="1",BI248,0)</f>
        <v>0</v>
      </c>
      <c r="AD248" s="51">
        <f>IF(AQ248="7",BH248,0)</f>
        <v>0</v>
      </c>
      <c r="AE248" s="51">
        <f>IF(AQ248="7",BI248,0)</f>
        <v>0</v>
      </c>
      <c r="AF248" s="51">
        <f>IF(AQ248="2",BH248,0)</f>
        <v>0</v>
      </c>
      <c r="AG248" s="51">
        <f>IF(AQ248="2",BI248,0)</f>
        <v>0</v>
      </c>
      <c r="AH248" s="51">
        <f>IF(AQ248="0",BJ248,0)</f>
        <v>0</v>
      </c>
      <c r="AI248" s="35" t="s">
        <v>4</v>
      </c>
      <c r="AJ248" s="51">
        <f>IF(AN248=0,H248,0)</f>
        <v>0</v>
      </c>
      <c r="AK248" s="51">
        <f>IF(AN248=12,H248,0)</f>
        <v>0</v>
      </c>
      <c r="AL248" s="51">
        <f>IF(AN248=21,H248,0)</f>
        <v>0</v>
      </c>
      <c r="AN248" s="51">
        <v>12</v>
      </c>
      <c r="AO248" s="51">
        <f>G248*0</f>
        <v>0</v>
      </c>
      <c r="AP248" s="51">
        <f>G248*(1-0)</f>
        <v>0</v>
      </c>
      <c r="AQ248" s="53" t="s">
        <v>277</v>
      </c>
      <c r="AV248" s="51">
        <f>AW248+AX248</f>
        <v>0</v>
      </c>
      <c r="AW248" s="51">
        <f>F248*AO248</f>
        <v>0</v>
      </c>
      <c r="AX248" s="51">
        <f>F248*AP248</f>
        <v>0</v>
      </c>
      <c r="AY248" s="53" t="s">
        <v>679</v>
      </c>
      <c r="AZ248" s="53" t="s">
        <v>674</v>
      </c>
      <c r="BA248" s="35" t="s">
        <v>118</v>
      </c>
      <c r="BC248" s="51">
        <f>AW248+AX248</f>
        <v>0</v>
      </c>
      <c r="BD248" s="51">
        <f>G248/(100-BE248)*100</f>
        <v>0</v>
      </c>
      <c r="BE248" s="51">
        <v>0</v>
      </c>
      <c r="BF248" s="51">
        <f>248</f>
        <v>248</v>
      </c>
      <c r="BH248" s="51">
        <f>F248*AO248</f>
        <v>0</v>
      </c>
      <c r="BI248" s="51">
        <f>F248*AP248</f>
        <v>0</v>
      </c>
      <c r="BJ248" s="51">
        <f>F248*G248</f>
        <v>0</v>
      </c>
      <c r="BK248" s="51"/>
      <c r="BL248" s="51"/>
      <c r="BR248" s="51">
        <f>F248*G248</f>
        <v>0</v>
      </c>
      <c r="BW248" s="51">
        <v>12</v>
      </c>
      <c r="BX248" s="3" t="s">
        <v>678</v>
      </c>
    </row>
    <row r="249" spans="1:76">
      <c r="H249" s="63">
        <f>H13+H17+H46+H53+H61+H85+H87+H99+H114+H126+H156+H159+H176+H189+H208+H221+H226+H238+H245+H247</f>
        <v>0</v>
      </c>
    </row>
    <row r="250" spans="1:76">
      <c r="A250" s="64" t="s">
        <v>56</v>
      </c>
    </row>
    <row r="251" spans="1:76" ht="13.5" customHeight="1">
      <c r="A251" s="75" t="s">
        <v>680</v>
      </c>
      <c r="B251" s="70"/>
      <c r="C251" s="70"/>
      <c r="D251" s="70"/>
      <c r="E251" s="70"/>
      <c r="F251" s="70"/>
      <c r="G251" s="70"/>
      <c r="H251" s="70"/>
      <c r="I251" s="70"/>
      <c r="J251" s="70"/>
    </row>
  </sheetData>
  <sheetProtection password="CF7A" sheet="1"/>
  <mergeCells count="198">
    <mergeCell ref="C248:D248"/>
    <mergeCell ref="A251:J251"/>
    <mergeCell ref="C243:D243"/>
    <mergeCell ref="C244:D244"/>
    <mergeCell ref="C245:D245"/>
    <mergeCell ref="C246:D246"/>
    <mergeCell ref="C247:D247"/>
    <mergeCell ref="C238:D238"/>
    <mergeCell ref="C239:D239"/>
    <mergeCell ref="C240:D240"/>
    <mergeCell ref="C241:D241"/>
    <mergeCell ref="C242:D242"/>
    <mergeCell ref="C225:D225"/>
    <mergeCell ref="C226:D226"/>
    <mergeCell ref="C227:D227"/>
    <mergeCell ref="C235:D235"/>
    <mergeCell ref="C236:D236"/>
    <mergeCell ref="C220:D220"/>
    <mergeCell ref="C221:D221"/>
    <mergeCell ref="C222:D222"/>
    <mergeCell ref="C223:J223"/>
    <mergeCell ref="C224:D224"/>
    <mergeCell ref="C209:D209"/>
    <mergeCell ref="C214:D214"/>
    <mergeCell ref="C215:D215"/>
    <mergeCell ref="C217:D217"/>
    <mergeCell ref="C218:D218"/>
    <mergeCell ref="C203:D203"/>
    <mergeCell ref="C204:D204"/>
    <mergeCell ref="C205:D205"/>
    <mergeCell ref="C207:D207"/>
    <mergeCell ref="C208:D208"/>
    <mergeCell ref="C189:D189"/>
    <mergeCell ref="C190:D190"/>
    <mergeCell ref="C194:D194"/>
    <mergeCell ref="C198:D198"/>
    <mergeCell ref="C199:J199"/>
    <mergeCell ref="C180:D180"/>
    <mergeCell ref="C182:D182"/>
    <mergeCell ref="C183:D183"/>
    <mergeCell ref="C187:D187"/>
    <mergeCell ref="C188:D188"/>
    <mergeCell ref="C174:D174"/>
    <mergeCell ref="C175:D175"/>
    <mergeCell ref="C176:D176"/>
    <mergeCell ref="C177:D177"/>
    <mergeCell ref="C178:D178"/>
    <mergeCell ref="C167:D167"/>
    <mergeCell ref="C168:D168"/>
    <mergeCell ref="C170:D170"/>
    <mergeCell ref="C172:D172"/>
    <mergeCell ref="C173:D173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31:D131"/>
    <mergeCell ref="C132:D132"/>
    <mergeCell ref="C133:D133"/>
    <mergeCell ref="C134:D134"/>
    <mergeCell ref="C135:D135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16:D116"/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05:D105"/>
    <mergeCell ref="C106:D106"/>
    <mergeCell ref="C107:D107"/>
    <mergeCell ref="C108:D108"/>
    <mergeCell ref="C109:D109"/>
    <mergeCell ref="C100:D100"/>
    <mergeCell ref="C101:D101"/>
    <mergeCell ref="C102:D102"/>
    <mergeCell ref="C103:D103"/>
    <mergeCell ref="C104:D104"/>
    <mergeCell ref="C90:J90"/>
    <mergeCell ref="C94:D94"/>
    <mergeCell ref="C95:J95"/>
    <mergeCell ref="C98:D98"/>
    <mergeCell ref="C99:D99"/>
    <mergeCell ref="C85:D85"/>
    <mergeCell ref="C86:D86"/>
    <mergeCell ref="C87:D87"/>
    <mergeCell ref="C88:D88"/>
    <mergeCell ref="C89:D89"/>
    <mergeCell ref="C75:D75"/>
    <mergeCell ref="C77:D77"/>
    <mergeCell ref="C78:D78"/>
    <mergeCell ref="C80:D80"/>
    <mergeCell ref="C82:D82"/>
    <mergeCell ref="C67:D67"/>
    <mergeCell ref="C69:D69"/>
    <mergeCell ref="C71:D71"/>
    <mergeCell ref="C72:D72"/>
    <mergeCell ref="C74:D74"/>
    <mergeCell ref="C59:D59"/>
    <mergeCell ref="C61:D61"/>
    <mergeCell ref="C62:D62"/>
    <mergeCell ref="C63:D63"/>
    <mergeCell ref="C65:D65"/>
    <mergeCell ref="C54:D54"/>
    <mergeCell ref="C55:J55"/>
    <mergeCell ref="C56:D56"/>
    <mergeCell ref="C57:D57"/>
    <mergeCell ref="C58:J58"/>
    <mergeCell ref="C47:D47"/>
    <mergeCell ref="C49:D49"/>
    <mergeCell ref="C50:J50"/>
    <mergeCell ref="C52:D52"/>
    <mergeCell ref="C53:D53"/>
    <mergeCell ref="C40:J40"/>
    <mergeCell ref="C41:D41"/>
    <mergeCell ref="C43:D43"/>
    <mergeCell ref="C44:J44"/>
    <mergeCell ref="C46:D46"/>
    <mergeCell ref="C24:D24"/>
    <mergeCell ref="C31:D31"/>
    <mergeCell ref="C36:D36"/>
    <mergeCell ref="C38:D38"/>
    <mergeCell ref="C39:D39"/>
    <mergeCell ref="C17:D17"/>
    <mergeCell ref="C18:D18"/>
    <mergeCell ref="C20:D20"/>
    <mergeCell ref="C22:D22"/>
    <mergeCell ref="C23:D23"/>
    <mergeCell ref="C11:D11"/>
    <mergeCell ref="C12:D12"/>
    <mergeCell ref="C13:D13"/>
    <mergeCell ref="C14:D14"/>
    <mergeCell ref="C15:J15"/>
    <mergeCell ref="I2:J3"/>
    <mergeCell ref="I4:J5"/>
    <mergeCell ref="I6:J7"/>
    <mergeCell ref="I8:J9"/>
    <mergeCell ref="C10:D10"/>
    <mergeCell ref="C8:D9"/>
    <mergeCell ref="G2:G3"/>
    <mergeCell ref="G4:G5"/>
    <mergeCell ref="G6:G7"/>
    <mergeCell ref="G8:G9"/>
    <mergeCell ref="A1:J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Franta</cp:lastModifiedBy>
  <dcterms:created xsi:type="dcterms:W3CDTF">2021-06-10T20:06:38Z</dcterms:created>
  <dcterms:modified xsi:type="dcterms:W3CDTF">2025-02-11T15:10:34Z</dcterms:modified>
</cp:coreProperties>
</file>