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87" i="3"/>
  <c r="BJ287"/>
  <c r="BF287"/>
  <c r="BD287"/>
  <c r="AX287"/>
  <c r="AP287"/>
  <c r="BI287" s="1"/>
  <c r="AO287"/>
  <c r="AW287" s="1"/>
  <c r="AL287"/>
  <c r="AJ287"/>
  <c r="AH287"/>
  <c r="AG287"/>
  <c r="AF287"/>
  <c r="AE287"/>
  <c r="AD287"/>
  <c r="AC287"/>
  <c r="AB287"/>
  <c r="Z287"/>
  <c r="H287"/>
  <c r="AK287" s="1"/>
  <c r="AT286" s="1"/>
  <c r="AU286"/>
  <c r="AS286"/>
  <c r="BO285"/>
  <c r="BJ285"/>
  <c r="BF285"/>
  <c r="BD285"/>
  <c r="AX285"/>
  <c r="AP285"/>
  <c r="BI285" s="1"/>
  <c r="AO285"/>
  <c r="AW285" s="1"/>
  <c r="AL285"/>
  <c r="AJ285"/>
  <c r="AH285"/>
  <c r="AG285"/>
  <c r="AF285"/>
  <c r="AE285"/>
  <c r="AD285"/>
  <c r="AC285"/>
  <c r="AB285"/>
  <c r="Z285"/>
  <c r="H285"/>
  <c r="AK285" s="1"/>
  <c r="AT284" s="1"/>
  <c r="AU284"/>
  <c r="AS284"/>
  <c r="H284"/>
  <c r="BJ282"/>
  <c r="BF282"/>
  <c r="BD282"/>
  <c r="AX282"/>
  <c r="AP282"/>
  <c r="BI282" s="1"/>
  <c r="AG282" s="1"/>
  <c r="AO282"/>
  <c r="AW282" s="1"/>
  <c r="AL282"/>
  <c r="AJ282"/>
  <c r="AH282"/>
  <c r="AE282"/>
  <c r="AD282"/>
  <c r="AC282"/>
  <c r="AB282"/>
  <c r="Z282"/>
  <c r="H282"/>
  <c r="AK282" s="1"/>
  <c r="BJ281"/>
  <c r="BF281"/>
  <c r="BD281"/>
  <c r="AX281"/>
  <c r="AW281"/>
  <c r="AP281"/>
  <c r="BI281" s="1"/>
  <c r="AO281"/>
  <c r="BH281" s="1"/>
  <c r="AF281" s="1"/>
  <c r="AL281"/>
  <c r="AU277" s="1"/>
  <c r="AJ281"/>
  <c r="AH281"/>
  <c r="AG281"/>
  <c r="AE281"/>
  <c r="AD281"/>
  <c r="AC281"/>
  <c r="AB281"/>
  <c r="Z281"/>
  <c r="H281"/>
  <c r="AK281" s="1"/>
  <c r="BJ280"/>
  <c r="BF280"/>
  <c r="BD280"/>
  <c r="AX280"/>
  <c r="AW280"/>
  <c r="BC280" s="1"/>
  <c r="AV280"/>
  <c r="AP280"/>
  <c r="BI280" s="1"/>
  <c r="AG280" s="1"/>
  <c r="AO280"/>
  <c r="BH280" s="1"/>
  <c r="AL280"/>
  <c r="AK280"/>
  <c r="AJ280"/>
  <c r="AH280"/>
  <c r="AF280"/>
  <c r="AE280"/>
  <c r="AD280"/>
  <c r="AC280"/>
  <c r="AB280"/>
  <c r="Z280"/>
  <c r="H280"/>
  <c r="BJ279"/>
  <c r="BF279"/>
  <c r="BD279"/>
  <c r="AW279"/>
  <c r="AP279"/>
  <c r="AX279" s="1"/>
  <c r="AV279" s="1"/>
  <c r="AO279"/>
  <c r="BH279" s="1"/>
  <c r="AF279" s="1"/>
  <c r="AL279"/>
  <c r="AK279"/>
  <c r="AJ279"/>
  <c r="AS277" s="1"/>
  <c r="AH279"/>
  <c r="AE279"/>
  <c r="AD279"/>
  <c r="AC279"/>
  <c r="AB279"/>
  <c r="Z279"/>
  <c r="H279"/>
  <c r="BJ278"/>
  <c r="BH278"/>
  <c r="AF278" s="1"/>
  <c r="BF278"/>
  <c r="BD278"/>
  <c r="AX278"/>
  <c r="AP278"/>
  <c r="BI278" s="1"/>
  <c r="AG278" s="1"/>
  <c r="AO278"/>
  <c r="AW278" s="1"/>
  <c r="AL278"/>
  <c r="AJ278"/>
  <c r="AH278"/>
  <c r="AE278"/>
  <c r="AD278"/>
  <c r="AC278"/>
  <c r="AB278"/>
  <c r="Z278"/>
  <c r="H278"/>
  <c r="AK278" s="1"/>
  <c r="BJ275"/>
  <c r="BF275"/>
  <c r="BD275"/>
  <c r="AX275"/>
  <c r="AW275"/>
  <c r="AP275"/>
  <c r="BI275" s="1"/>
  <c r="AE275" s="1"/>
  <c r="AO275"/>
  <c r="BH275" s="1"/>
  <c r="AD275" s="1"/>
  <c r="AL275"/>
  <c r="AJ275"/>
  <c r="AH275"/>
  <c r="AG275"/>
  <c r="AF275"/>
  <c r="AC275"/>
  <c r="AB275"/>
  <c r="Z275"/>
  <c r="H275"/>
  <c r="AK275" s="1"/>
  <c r="BJ274"/>
  <c r="BF274"/>
  <c r="BD274"/>
  <c r="AW274"/>
  <c r="BC274" s="1"/>
  <c r="AV274"/>
  <c r="AP274"/>
  <c r="AX274" s="1"/>
  <c r="AO274"/>
  <c r="BH274" s="1"/>
  <c r="AD274" s="1"/>
  <c r="AL274"/>
  <c r="AU265" s="1"/>
  <c r="AK274"/>
  <c r="AT265" s="1"/>
  <c r="AJ274"/>
  <c r="AH274"/>
  <c r="AG274"/>
  <c r="AF274"/>
  <c r="AC274"/>
  <c r="AB274"/>
  <c r="Z274"/>
  <c r="H274"/>
  <c r="BJ266"/>
  <c r="BF266"/>
  <c r="BD266"/>
  <c r="AP266"/>
  <c r="AX266" s="1"/>
  <c r="AO266"/>
  <c r="AW266" s="1"/>
  <c r="BC266" s="1"/>
  <c r="AL266"/>
  <c r="AK266"/>
  <c r="AJ266"/>
  <c r="AS265" s="1"/>
  <c r="AH266"/>
  <c r="AG266"/>
  <c r="AF266"/>
  <c r="AC266"/>
  <c r="AB266"/>
  <c r="Z266"/>
  <c r="H266"/>
  <c r="BJ264"/>
  <c r="BF264"/>
  <c r="BD264"/>
  <c r="AX264"/>
  <c r="AP264"/>
  <c r="BI264" s="1"/>
  <c r="AE264" s="1"/>
  <c r="AO264"/>
  <c r="AW264" s="1"/>
  <c r="AL264"/>
  <c r="AJ264"/>
  <c r="AS260" s="1"/>
  <c r="AH264"/>
  <c r="AG264"/>
  <c r="AF264"/>
  <c r="AC264"/>
  <c r="AB264"/>
  <c r="Z264"/>
  <c r="H264"/>
  <c r="AK264" s="1"/>
  <c r="BJ263"/>
  <c r="BF263"/>
  <c r="BD263"/>
  <c r="AX263"/>
  <c r="AW263"/>
  <c r="AP263"/>
  <c r="BI263" s="1"/>
  <c r="AE263" s="1"/>
  <c r="AO263"/>
  <c r="BH263" s="1"/>
  <c r="AD263" s="1"/>
  <c r="AL263"/>
  <c r="AU260" s="1"/>
  <c r="AJ263"/>
  <c r="AH263"/>
  <c r="AG263"/>
  <c r="AF263"/>
  <c r="AC263"/>
  <c r="AB263"/>
  <c r="Z263"/>
  <c r="H263"/>
  <c r="H260" s="1"/>
  <c r="BJ261"/>
  <c r="BF261"/>
  <c r="BD261"/>
  <c r="AW261"/>
  <c r="BC261" s="1"/>
  <c r="AP261"/>
  <c r="AX261" s="1"/>
  <c r="AV261" s="1"/>
  <c r="AO261"/>
  <c r="BH261" s="1"/>
  <c r="AD261" s="1"/>
  <c r="AL261"/>
  <c r="AK261"/>
  <c r="AJ261"/>
  <c r="AH261"/>
  <c r="AG261"/>
  <c r="AF261"/>
  <c r="AC261"/>
  <c r="AB261"/>
  <c r="Z261"/>
  <c r="H261"/>
  <c r="BJ259"/>
  <c r="BF259"/>
  <c r="BD259"/>
  <c r="AP259"/>
  <c r="AX259" s="1"/>
  <c r="BC259" s="1"/>
  <c r="AO259"/>
  <c r="AW259" s="1"/>
  <c r="AL259"/>
  <c r="AK259"/>
  <c r="AJ259"/>
  <c r="AH259"/>
  <c r="AG259"/>
  <c r="AF259"/>
  <c r="AE259"/>
  <c r="AD259"/>
  <c r="AC259"/>
  <c r="AB259"/>
  <c r="Z259"/>
  <c r="H259"/>
  <c r="BJ257"/>
  <c r="BF257"/>
  <c r="BD257"/>
  <c r="AX257"/>
  <c r="AP257"/>
  <c r="BI257" s="1"/>
  <c r="AE257" s="1"/>
  <c r="AO257"/>
  <c r="AW257" s="1"/>
  <c r="AL257"/>
  <c r="AJ257"/>
  <c r="AH257"/>
  <c r="AG257"/>
  <c r="AF257"/>
  <c r="AC257"/>
  <c r="AB257"/>
  <c r="Z257"/>
  <c r="H257"/>
  <c r="AK257" s="1"/>
  <c r="BJ256"/>
  <c r="BF256"/>
  <c r="BD256"/>
  <c r="AX256"/>
  <c r="AW256"/>
  <c r="AP256"/>
  <c r="BI256" s="1"/>
  <c r="AE256" s="1"/>
  <c r="AO256"/>
  <c r="BH256" s="1"/>
  <c r="AD256" s="1"/>
  <c r="AL256"/>
  <c r="AJ256"/>
  <c r="AH256"/>
  <c r="AG256"/>
  <c r="AF256"/>
  <c r="AC256"/>
  <c r="AB256"/>
  <c r="Z256"/>
  <c r="H256"/>
  <c r="AK256" s="1"/>
  <c r="BJ254"/>
  <c r="BF254"/>
  <c r="BD254"/>
  <c r="AW254"/>
  <c r="AP254"/>
  <c r="AX254" s="1"/>
  <c r="AV254" s="1"/>
  <c r="AO254"/>
  <c r="BH254" s="1"/>
  <c r="AD254" s="1"/>
  <c r="AL254"/>
  <c r="AU247" s="1"/>
  <c r="AK254"/>
  <c r="AJ254"/>
  <c r="AH254"/>
  <c r="AG254"/>
  <c r="AF254"/>
  <c r="AC254"/>
  <c r="AB254"/>
  <c r="Z254"/>
  <c r="H254"/>
  <c r="BJ253"/>
  <c r="BF253"/>
  <c r="BD253"/>
  <c r="BC253"/>
  <c r="AP253"/>
  <c r="AX253" s="1"/>
  <c r="AO253"/>
  <c r="AW253" s="1"/>
  <c r="AV253" s="1"/>
  <c r="AL253"/>
  <c r="AK253"/>
  <c r="AJ253"/>
  <c r="AH253"/>
  <c r="AG253"/>
  <c r="AF253"/>
  <c r="AC253"/>
  <c r="AB253"/>
  <c r="Z253"/>
  <c r="H253"/>
  <c r="BJ248"/>
  <c r="BF248"/>
  <c r="BD248"/>
  <c r="AX248"/>
  <c r="AP248"/>
  <c r="BI248" s="1"/>
  <c r="AE248" s="1"/>
  <c r="AO248"/>
  <c r="AW248" s="1"/>
  <c r="AL248"/>
  <c r="AJ248"/>
  <c r="AH248"/>
  <c r="AG248"/>
  <c r="AF248"/>
  <c r="AC248"/>
  <c r="AB248"/>
  <c r="Z248"/>
  <c r="H248"/>
  <c r="AK248" s="1"/>
  <c r="AT247" s="1"/>
  <c r="H247"/>
  <c r="BJ246"/>
  <c r="BF246"/>
  <c r="BD246"/>
  <c r="AX246"/>
  <c r="AW246"/>
  <c r="AP246"/>
  <c r="BI246" s="1"/>
  <c r="AO246"/>
  <c r="BH246" s="1"/>
  <c r="AL246"/>
  <c r="AJ246"/>
  <c r="AH246"/>
  <c r="AG246"/>
  <c r="AF246"/>
  <c r="AE246"/>
  <c r="AD246"/>
  <c r="AC246"/>
  <c r="AB246"/>
  <c r="Z246"/>
  <c r="H246"/>
  <c r="AK246" s="1"/>
  <c r="BJ245"/>
  <c r="BF245"/>
  <c r="BD245"/>
  <c r="AW245"/>
  <c r="AP245"/>
  <c r="AX245" s="1"/>
  <c r="AV245" s="1"/>
  <c r="AO245"/>
  <c r="BH245" s="1"/>
  <c r="AD245" s="1"/>
  <c r="AL245"/>
  <c r="AK245"/>
  <c r="AT240" s="1"/>
  <c r="AJ245"/>
  <c r="AH245"/>
  <c r="AG245"/>
  <c r="AF245"/>
  <c r="AC245"/>
  <c r="AB245"/>
  <c r="Z245"/>
  <c r="H245"/>
  <c r="BJ241"/>
  <c r="BF241"/>
  <c r="BD241"/>
  <c r="AP241"/>
  <c r="AX241" s="1"/>
  <c r="BC241" s="1"/>
  <c r="AO241"/>
  <c r="AW241" s="1"/>
  <c r="AL241"/>
  <c r="AK241"/>
  <c r="AJ241"/>
  <c r="AS240" s="1"/>
  <c r="AH241"/>
  <c r="AG241"/>
  <c r="AF241"/>
  <c r="AC241"/>
  <c r="AB241"/>
  <c r="Z241"/>
  <c r="H241"/>
  <c r="BJ239"/>
  <c r="BF239"/>
  <c r="BD239"/>
  <c r="AX239"/>
  <c r="AP239"/>
  <c r="BI239" s="1"/>
  <c r="AO239"/>
  <c r="AW239" s="1"/>
  <c r="AL239"/>
  <c r="AJ239"/>
  <c r="AH239"/>
  <c r="AG239"/>
  <c r="AF239"/>
  <c r="AE239"/>
  <c r="AD239"/>
  <c r="AC239"/>
  <c r="AB239"/>
  <c r="Z239"/>
  <c r="H239"/>
  <c r="AK239" s="1"/>
  <c r="BJ237"/>
  <c r="BF237"/>
  <c r="BD237"/>
  <c r="AX237"/>
  <c r="AW237"/>
  <c r="AP237"/>
  <c r="BI237" s="1"/>
  <c r="AE237" s="1"/>
  <c r="AO237"/>
  <c r="BH237" s="1"/>
  <c r="AD237" s="1"/>
  <c r="AL237"/>
  <c r="AJ237"/>
  <c r="AH237"/>
  <c r="AG237"/>
  <c r="AF237"/>
  <c r="AC237"/>
  <c r="AB237"/>
  <c r="Z237"/>
  <c r="H237"/>
  <c r="AK237" s="1"/>
  <c r="BJ236"/>
  <c r="BF236"/>
  <c r="BD236"/>
  <c r="AW236"/>
  <c r="BC236" s="1"/>
  <c r="AV236"/>
  <c r="AP236"/>
  <c r="AX236" s="1"/>
  <c r="AO236"/>
  <c r="BH236" s="1"/>
  <c r="AD236" s="1"/>
  <c r="AL236"/>
  <c r="AK236"/>
  <c r="AJ236"/>
  <c r="AH236"/>
  <c r="AG236"/>
  <c r="AF236"/>
  <c r="AC236"/>
  <c r="AB236"/>
  <c r="Z236"/>
  <c r="H236"/>
  <c r="BJ235"/>
  <c r="BF235"/>
  <c r="BD235"/>
  <c r="AP235"/>
  <c r="AX235" s="1"/>
  <c r="AO235"/>
  <c r="AW235" s="1"/>
  <c r="AV235" s="1"/>
  <c r="AL235"/>
  <c r="AK235"/>
  <c r="AJ235"/>
  <c r="AH235"/>
  <c r="AG235"/>
  <c r="AF235"/>
  <c r="AC235"/>
  <c r="AB235"/>
  <c r="Z235"/>
  <c r="H235"/>
  <c r="BJ230"/>
  <c r="BH230"/>
  <c r="AD230" s="1"/>
  <c r="BF230"/>
  <c r="BD230"/>
  <c r="AX230"/>
  <c r="AP230"/>
  <c r="BI230" s="1"/>
  <c r="AE230" s="1"/>
  <c r="AO230"/>
  <c r="AW230" s="1"/>
  <c r="AL230"/>
  <c r="AJ230"/>
  <c r="AS221" s="1"/>
  <c r="AH230"/>
  <c r="AG230"/>
  <c r="AF230"/>
  <c r="AC230"/>
  <c r="AB230"/>
  <c r="Z230"/>
  <c r="H230"/>
  <c r="AK230" s="1"/>
  <c r="BJ226"/>
  <c r="BF226"/>
  <c r="BD226"/>
  <c r="AX226"/>
  <c r="AW226"/>
  <c r="AP226"/>
  <c r="BI226" s="1"/>
  <c r="AE226" s="1"/>
  <c r="AO226"/>
  <c r="BH226" s="1"/>
  <c r="AD226" s="1"/>
  <c r="AL226"/>
  <c r="AU221" s="1"/>
  <c r="AJ226"/>
  <c r="AH226"/>
  <c r="AG226"/>
  <c r="AF226"/>
  <c r="AC226"/>
  <c r="AB226"/>
  <c r="Z226"/>
  <c r="H226"/>
  <c r="H221" s="1"/>
  <c r="BJ222"/>
  <c r="BF222"/>
  <c r="BD222"/>
  <c r="AW222"/>
  <c r="BC222" s="1"/>
  <c r="AV222"/>
  <c r="AP222"/>
  <c r="AX222" s="1"/>
  <c r="AO222"/>
  <c r="BH222" s="1"/>
  <c r="AD222" s="1"/>
  <c r="AL222"/>
  <c r="AK222"/>
  <c r="AJ222"/>
  <c r="AH222"/>
  <c r="AG222"/>
  <c r="AF222"/>
  <c r="AC222"/>
  <c r="AB222"/>
  <c r="Z222"/>
  <c r="H222"/>
  <c r="BJ220"/>
  <c r="BF220"/>
  <c r="BD220"/>
  <c r="AP220"/>
  <c r="AX220" s="1"/>
  <c r="AO220"/>
  <c r="AW220" s="1"/>
  <c r="AV220" s="1"/>
  <c r="AL220"/>
  <c r="AK220"/>
  <c r="AJ220"/>
  <c r="AH220"/>
  <c r="AG220"/>
  <c r="AF220"/>
  <c r="AE220"/>
  <c r="AD220"/>
  <c r="AC220"/>
  <c r="AB220"/>
  <c r="Z220"/>
  <c r="H220"/>
  <c r="BJ219"/>
  <c r="BF219"/>
  <c r="BD219"/>
  <c r="AX219"/>
  <c r="AP219"/>
  <c r="BI219" s="1"/>
  <c r="AE219" s="1"/>
  <c r="AO219"/>
  <c r="AW219" s="1"/>
  <c r="AL219"/>
  <c r="AJ219"/>
  <c r="AH219"/>
  <c r="AG219"/>
  <c r="AF219"/>
  <c r="AC219"/>
  <c r="AB219"/>
  <c r="Z219"/>
  <c r="H219"/>
  <c r="AK219" s="1"/>
  <c r="BJ215"/>
  <c r="BF215"/>
  <c r="BD215"/>
  <c r="AX215"/>
  <c r="AW215"/>
  <c r="AP215"/>
  <c r="BI215" s="1"/>
  <c r="AE215" s="1"/>
  <c r="AO215"/>
  <c r="BH215" s="1"/>
  <c r="AD215" s="1"/>
  <c r="AL215"/>
  <c r="AJ215"/>
  <c r="AH215"/>
  <c r="AG215"/>
  <c r="AF215"/>
  <c r="AC215"/>
  <c r="AB215"/>
  <c r="Z215"/>
  <c r="H215"/>
  <c r="AK215" s="1"/>
  <c r="BJ214"/>
  <c r="BF214"/>
  <c r="BD214"/>
  <c r="AW214"/>
  <c r="AP214"/>
  <c r="AX214" s="1"/>
  <c r="AV214" s="1"/>
  <c r="AO214"/>
  <c r="BH214" s="1"/>
  <c r="AD214" s="1"/>
  <c r="AL214"/>
  <c r="AK214"/>
  <c r="AJ214"/>
  <c r="AH214"/>
  <c r="AG214"/>
  <c r="AF214"/>
  <c r="AC214"/>
  <c r="AB214"/>
  <c r="Z214"/>
  <c r="H214"/>
  <c r="BJ212"/>
  <c r="BF212"/>
  <c r="BD212"/>
  <c r="AP212"/>
  <c r="AX212" s="1"/>
  <c r="BC212" s="1"/>
  <c r="AO212"/>
  <c r="AW212" s="1"/>
  <c r="AL212"/>
  <c r="AK212"/>
  <c r="AJ212"/>
  <c r="AH212"/>
  <c r="AG212"/>
  <c r="AF212"/>
  <c r="AC212"/>
  <c r="AB212"/>
  <c r="Z212"/>
  <c r="H212"/>
  <c r="BJ210"/>
  <c r="BF210"/>
  <c r="BD210"/>
  <c r="AX210"/>
  <c r="AP210"/>
  <c r="BI210" s="1"/>
  <c r="AE210" s="1"/>
  <c r="AO210"/>
  <c r="AW210" s="1"/>
  <c r="AL210"/>
  <c r="AJ210"/>
  <c r="AH210"/>
  <c r="AG210"/>
  <c r="AF210"/>
  <c r="AC210"/>
  <c r="AB210"/>
  <c r="Z210"/>
  <c r="H210"/>
  <c r="BJ209"/>
  <c r="BF209"/>
  <c r="BD209"/>
  <c r="AX209"/>
  <c r="AW209"/>
  <c r="AP209"/>
  <c r="BI209" s="1"/>
  <c r="AE209" s="1"/>
  <c r="AO209"/>
  <c r="BH209" s="1"/>
  <c r="AD209" s="1"/>
  <c r="AL209"/>
  <c r="AJ209"/>
  <c r="AH209"/>
  <c r="AG209"/>
  <c r="AF209"/>
  <c r="AC209"/>
  <c r="AB209"/>
  <c r="Z209"/>
  <c r="H209"/>
  <c r="AK209" s="1"/>
  <c r="AU208"/>
  <c r="BJ207"/>
  <c r="Z207" s="1"/>
  <c r="BF207"/>
  <c r="BD207"/>
  <c r="AX207"/>
  <c r="AW207"/>
  <c r="BC207" s="1"/>
  <c r="AV207"/>
  <c r="AP207"/>
  <c r="BI207" s="1"/>
  <c r="AO207"/>
  <c r="BH207" s="1"/>
  <c r="AL207"/>
  <c r="AK207"/>
  <c r="AJ207"/>
  <c r="AH207"/>
  <c r="AG207"/>
  <c r="AF207"/>
  <c r="AE207"/>
  <c r="AD207"/>
  <c r="AC207"/>
  <c r="AB207"/>
  <c r="H207"/>
  <c r="BJ206"/>
  <c r="BF206"/>
  <c r="BD206"/>
  <c r="AW206"/>
  <c r="AP206"/>
  <c r="AX206" s="1"/>
  <c r="AV206" s="1"/>
  <c r="AO206"/>
  <c r="BH206" s="1"/>
  <c r="AD206" s="1"/>
  <c r="AL206"/>
  <c r="AK206"/>
  <c r="AJ206"/>
  <c r="AH206"/>
  <c r="AG206"/>
  <c r="AF206"/>
  <c r="AC206"/>
  <c r="AB206"/>
  <c r="Z206"/>
  <c r="H206"/>
  <c r="BJ205"/>
  <c r="BF205"/>
  <c r="BD205"/>
  <c r="AX205"/>
  <c r="AP205"/>
  <c r="BI205" s="1"/>
  <c r="AE205" s="1"/>
  <c r="AO205"/>
  <c r="AW205" s="1"/>
  <c r="AL205"/>
  <c r="AJ205"/>
  <c r="AH205"/>
  <c r="AG205"/>
  <c r="AF205"/>
  <c r="AC205"/>
  <c r="AB205"/>
  <c r="Z205"/>
  <c r="H205"/>
  <c r="AK205" s="1"/>
  <c r="BJ204"/>
  <c r="BF204"/>
  <c r="BD204"/>
  <c r="AX204"/>
  <c r="AW204"/>
  <c r="AP204"/>
  <c r="BI204" s="1"/>
  <c r="AE204" s="1"/>
  <c r="AO204"/>
  <c r="BH204" s="1"/>
  <c r="AD204" s="1"/>
  <c r="AL204"/>
  <c r="AJ204"/>
  <c r="AH204"/>
  <c r="AG204"/>
  <c r="AF204"/>
  <c r="AC204"/>
  <c r="AB204"/>
  <c r="Z204"/>
  <c r="H204"/>
  <c r="AK204" s="1"/>
  <c r="BJ203"/>
  <c r="BF203"/>
  <c r="BD203"/>
  <c r="AW203"/>
  <c r="AP203"/>
  <c r="AX203" s="1"/>
  <c r="AV203" s="1"/>
  <c r="AO203"/>
  <c r="BH203" s="1"/>
  <c r="AD203" s="1"/>
  <c r="AL203"/>
  <c r="AK203"/>
  <c r="AJ203"/>
  <c r="AH203"/>
  <c r="AG203"/>
  <c r="AF203"/>
  <c r="AC203"/>
  <c r="AB203"/>
  <c r="Z203"/>
  <c r="H203"/>
  <c r="BJ201"/>
  <c r="BF201"/>
  <c r="BD201"/>
  <c r="AP201"/>
  <c r="AX201" s="1"/>
  <c r="BC201" s="1"/>
  <c r="AO201"/>
  <c r="AW201" s="1"/>
  <c r="AL201"/>
  <c r="AK201"/>
  <c r="AJ201"/>
  <c r="AH201"/>
  <c r="AG201"/>
  <c r="AF201"/>
  <c r="AC201"/>
  <c r="AB201"/>
  <c r="Z201"/>
  <c r="H201"/>
  <c r="BJ200"/>
  <c r="BF200"/>
  <c r="BD200"/>
  <c r="AX200"/>
  <c r="AP200"/>
  <c r="BI200" s="1"/>
  <c r="AE200" s="1"/>
  <c r="AO200"/>
  <c r="AW200" s="1"/>
  <c r="AL200"/>
  <c r="AJ200"/>
  <c r="AH200"/>
  <c r="AG200"/>
  <c r="AF200"/>
  <c r="AC200"/>
  <c r="AB200"/>
  <c r="Z200"/>
  <c r="H200"/>
  <c r="AK200" s="1"/>
  <c r="BJ199"/>
  <c r="BF199"/>
  <c r="BD199"/>
  <c r="AX199"/>
  <c r="AW199"/>
  <c r="AP199"/>
  <c r="BI199" s="1"/>
  <c r="AE199" s="1"/>
  <c r="AO199"/>
  <c r="BH199" s="1"/>
  <c r="AD199" s="1"/>
  <c r="AL199"/>
  <c r="AJ199"/>
  <c r="AH199"/>
  <c r="AG199"/>
  <c r="AF199"/>
  <c r="AC199"/>
  <c r="AB199"/>
  <c r="Z199"/>
  <c r="H199"/>
  <c r="AK199" s="1"/>
  <c r="BJ198"/>
  <c r="BF198"/>
  <c r="BD198"/>
  <c r="AW198"/>
  <c r="AV198"/>
  <c r="AP198"/>
  <c r="AX198" s="1"/>
  <c r="AO198"/>
  <c r="BH198" s="1"/>
  <c r="AD198" s="1"/>
  <c r="AL198"/>
  <c r="AK198"/>
  <c r="AJ198"/>
  <c r="AH198"/>
  <c r="AG198"/>
  <c r="AF198"/>
  <c r="AC198"/>
  <c r="AB198"/>
  <c r="Z198"/>
  <c r="H198"/>
  <c r="BJ197"/>
  <c r="BF197"/>
  <c r="BD197"/>
  <c r="AP197"/>
  <c r="AX197" s="1"/>
  <c r="BC197" s="1"/>
  <c r="AO197"/>
  <c r="AW197" s="1"/>
  <c r="AL197"/>
  <c r="AK197"/>
  <c r="AJ197"/>
  <c r="AH197"/>
  <c r="AG197"/>
  <c r="AF197"/>
  <c r="AC197"/>
  <c r="AB197"/>
  <c r="Z197"/>
  <c r="H197"/>
  <c r="BJ196"/>
  <c r="BH196"/>
  <c r="AD196" s="1"/>
  <c r="BF196"/>
  <c r="BD196"/>
  <c r="AX196"/>
  <c r="AP196"/>
  <c r="BI196" s="1"/>
  <c r="AE196" s="1"/>
  <c r="AO196"/>
  <c r="AW196" s="1"/>
  <c r="AL196"/>
  <c r="AJ196"/>
  <c r="AH196"/>
  <c r="AG196"/>
  <c r="AF196"/>
  <c r="AC196"/>
  <c r="AB196"/>
  <c r="Z196"/>
  <c r="H196"/>
  <c r="AK196" s="1"/>
  <c r="BJ195"/>
  <c r="BF195"/>
  <c r="BD195"/>
  <c r="AX195"/>
  <c r="AW195"/>
  <c r="AP195"/>
  <c r="BI195" s="1"/>
  <c r="AE195" s="1"/>
  <c r="AO195"/>
  <c r="BH195" s="1"/>
  <c r="AD195" s="1"/>
  <c r="AL195"/>
  <c r="AJ195"/>
  <c r="AH195"/>
  <c r="AG195"/>
  <c r="AF195"/>
  <c r="AC195"/>
  <c r="AB195"/>
  <c r="Z195"/>
  <c r="H195"/>
  <c r="AK195" s="1"/>
  <c r="BJ194"/>
  <c r="BF194"/>
  <c r="BD194"/>
  <c r="AW194"/>
  <c r="AV194"/>
  <c r="AP194"/>
  <c r="AX194" s="1"/>
  <c r="AO194"/>
  <c r="BH194" s="1"/>
  <c r="AD194" s="1"/>
  <c r="AL194"/>
  <c r="AU191" s="1"/>
  <c r="AK194"/>
  <c r="AJ194"/>
  <c r="AH194"/>
  <c r="AG194"/>
  <c r="AF194"/>
  <c r="AC194"/>
  <c r="AB194"/>
  <c r="Z194"/>
  <c r="H194"/>
  <c r="BJ193"/>
  <c r="BF193"/>
  <c r="BD193"/>
  <c r="AP193"/>
  <c r="AX193" s="1"/>
  <c r="BC193" s="1"/>
  <c r="AO193"/>
  <c r="AW193" s="1"/>
  <c r="AL193"/>
  <c r="AK193"/>
  <c r="AJ193"/>
  <c r="AS191" s="1"/>
  <c r="AH193"/>
  <c r="AG193"/>
  <c r="AF193"/>
  <c r="AC193"/>
  <c r="AB193"/>
  <c r="Z193"/>
  <c r="H193"/>
  <c r="BJ192"/>
  <c r="BH192"/>
  <c r="AD192" s="1"/>
  <c r="BF192"/>
  <c r="BD192"/>
  <c r="AX192"/>
  <c r="AP192"/>
  <c r="BI192" s="1"/>
  <c r="AE192" s="1"/>
  <c r="AO192"/>
  <c r="AW192" s="1"/>
  <c r="AL192"/>
  <c r="AJ192"/>
  <c r="AH192"/>
  <c r="AG192"/>
  <c r="AF192"/>
  <c r="AC192"/>
  <c r="AB192"/>
  <c r="Z192"/>
  <c r="H192"/>
  <c r="AK192" s="1"/>
  <c r="H191"/>
  <c r="BJ190"/>
  <c r="BF190"/>
  <c r="BD190"/>
  <c r="AX190"/>
  <c r="AW190"/>
  <c r="AP190"/>
  <c r="BI190" s="1"/>
  <c r="AE190" s="1"/>
  <c r="AO190"/>
  <c r="BH190" s="1"/>
  <c r="AD190" s="1"/>
  <c r="AL190"/>
  <c r="AU188" s="1"/>
  <c r="AJ190"/>
  <c r="AH190"/>
  <c r="AG190"/>
  <c r="AF190"/>
  <c r="AC190"/>
  <c r="AB190"/>
  <c r="Z190"/>
  <c r="H190"/>
  <c r="H188" s="1"/>
  <c r="BJ189"/>
  <c r="BF189"/>
  <c r="BD189"/>
  <c r="AW189"/>
  <c r="AP189"/>
  <c r="AX189" s="1"/>
  <c r="AV189" s="1"/>
  <c r="AO189"/>
  <c r="BH189" s="1"/>
  <c r="AD189" s="1"/>
  <c r="AL189"/>
  <c r="AK189"/>
  <c r="AJ189"/>
  <c r="AH189"/>
  <c r="AG189"/>
  <c r="AF189"/>
  <c r="AC189"/>
  <c r="AB189"/>
  <c r="Z189"/>
  <c r="H189"/>
  <c r="AS188"/>
  <c r="BJ187"/>
  <c r="BF187"/>
  <c r="BD187"/>
  <c r="AP187"/>
  <c r="AX187" s="1"/>
  <c r="AO187"/>
  <c r="AW187" s="1"/>
  <c r="AV187" s="1"/>
  <c r="AL187"/>
  <c r="AK187"/>
  <c r="AJ187"/>
  <c r="AH187"/>
  <c r="AG187"/>
  <c r="AF187"/>
  <c r="AE187"/>
  <c r="AD187"/>
  <c r="AC187"/>
  <c r="AB187"/>
  <c r="Z187"/>
  <c r="H187"/>
  <c r="BJ186"/>
  <c r="BH186"/>
  <c r="AD186" s="1"/>
  <c r="BF186"/>
  <c r="BD186"/>
  <c r="AX186"/>
  <c r="AP186"/>
  <c r="BI186" s="1"/>
  <c r="AE186" s="1"/>
  <c r="AO186"/>
  <c r="AW186" s="1"/>
  <c r="AL186"/>
  <c r="AJ186"/>
  <c r="AH186"/>
  <c r="AG186"/>
  <c r="AF186"/>
  <c r="AC186"/>
  <c r="AB186"/>
  <c r="Z186"/>
  <c r="H186"/>
  <c r="AK186" s="1"/>
  <c r="BJ185"/>
  <c r="BF185"/>
  <c r="BD185"/>
  <c r="AX185"/>
  <c r="AW185"/>
  <c r="AP185"/>
  <c r="BI185" s="1"/>
  <c r="AE185" s="1"/>
  <c r="AO185"/>
  <c r="BH185" s="1"/>
  <c r="AD185" s="1"/>
  <c r="AL185"/>
  <c r="AJ185"/>
  <c r="AH185"/>
  <c r="AG185"/>
  <c r="AF185"/>
  <c r="AC185"/>
  <c r="AB185"/>
  <c r="Z185"/>
  <c r="H185"/>
  <c r="AK185" s="1"/>
  <c r="BJ184"/>
  <c r="BF184"/>
  <c r="BD184"/>
  <c r="AW184"/>
  <c r="AV184"/>
  <c r="AP184"/>
  <c r="AX184" s="1"/>
  <c r="AO184"/>
  <c r="BH184" s="1"/>
  <c r="AD184" s="1"/>
  <c r="AL184"/>
  <c r="AK184"/>
  <c r="AJ184"/>
  <c r="AH184"/>
  <c r="AG184"/>
  <c r="AF184"/>
  <c r="AC184"/>
  <c r="AB184"/>
  <c r="Z184"/>
  <c r="H184"/>
  <c r="BJ183"/>
  <c r="BF183"/>
  <c r="BD183"/>
  <c r="AP183"/>
  <c r="AX183" s="1"/>
  <c r="BC183" s="1"/>
  <c r="AO183"/>
  <c r="AW183" s="1"/>
  <c r="AL183"/>
  <c r="AK183"/>
  <c r="AJ183"/>
  <c r="AH183"/>
  <c r="AG183"/>
  <c r="AF183"/>
  <c r="AC183"/>
  <c r="AB183"/>
  <c r="Z183"/>
  <c r="H183"/>
  <c r="BJ182"/>
  <c r="BH182"/>
  <c r="AD182" s="1"/>
  <c r="BF182"/>
  <c r="BD182"/>
  <c r="AX182"/>
  <c r="AP182"/>
  <c r="BI182" s="1"/>
  <c r="AE182" s="1"/>
  <c r="AO182"/>
  <c r="AW182" s="1"/>
  <c r="AL182"/>
  <c r="AJ182"/>
  <c r="AH182"/>
  <c r="AG182"/>
  <c r="AF182"/>
  <c r="AC182"/>
  <c r="AB182"/>
  <c r="Z182"/>
  <c r="H182"/>
  <c r="AK182" s="1"/>
  <c r="BJ181"/>
  <c r="BF181"/>
  <c r="BD181"/>
  <c r="AX181"/>
  <c r="AW181"/>
  <c r="AP181"/>
  <c r="BI181" s="1"/>
  <c r="AE181" s="1"/>
  <c r="AO181"/>
  <c r="BH181" s="1"/>
  <c r="AD181" s="1"/>
  <c r="AL181"/>
  <c r="AJ181"/>
  <c r="AH181"/>
  <c r="AG181"/>
  <c r="AF181"/>
  <c r="AC181"/>
  <c r="AB181"/>
  <c r="Z181"/>
  <c r="H181"/>
  <c r="AK181" s="1"/>
  <c r="BJ180"/>
  <c r="BF180"/>
  <c r="BD180"/>
  <c r="AW180"/>
  <c r="AV180"/>
  <c r="AP180"/>
  <c r="AX180" s="1"/>
  <c r="AO180"/>
  <c r="BH180" s="1"/>
  <c r="AD180" s="1"/>
  <c r="AL180"/>
  <c r="AK180"/>
  <c r="AJ180"/>
  <c r="AH180"/>
  <c r="AG180"/>
  <c r="AF180"/>
  <c r="AC180"/>
  <c r="AB180"/>
  <c r="Z180"/>
  <c r="H180"/>
  <c r="BJ179"/>
  <c r="BF179"/>
  <c r="BD179"/>
  <c r="AP179"/>
  <c r="AX179" s="1"/>
  <c r="BC179" s="1"/>
  <c r="AO179"/>
  <c r="AW179" s="1"/>
  <c r="AL179"/>
  <c r="AK179"/>
  <c r="AJ179"/>
  <c r="AH179"/>
  <c r="AG179"/>
  <c r="AF179"/>
  <c r="AC179"/>
  <c r="AB179"/>
  <c r="Z179"/>
  <c r="H179"/>
  <c r="BJ178"/>
  <c r="BH178"/>
  <c r="AD178" s="1"/>
  <c r="BF178"/>
  <c r="BD178"/>
  <c r="AX178"/>
  <c r="AP178"/>
  <c r="BI178" s="1"/>
  <c r="AE178" s="1"/>
  <c r="AO178"/>
  <c r="AW178" s="1"/>
  <c r="AL178"/>
  <c r="AJ178"/>
  <c r="AH178"/>
  <c r="AG178"/>
  <c r="AF178"/>
  <c r="AC178"/>
  <c r="AB178"/>
  <c r="Z178"/>
  <c r="H178"/>
  <c r="AK178" s="1"/>
  <c r="BJ177"/>
  <c r="BF177"/>
  <c r="BD177"/>
  <c r="AX177"/>
  <c r="AW177"/>
  <c r="AP177"/>
  <c r="BI177" s="1"/>
  <c r="AE177" s="1"/>
  <c r="AO177"/>
  <c r="BH177" s="1"/>
  <c r="AD177" s="1"/>
  <c r="AL177"/>
  <c r="AJ177"/>
  <c r="AH177"/>
  <c r="AG177"/>
  <c r="AF177"/>
  <c r="AC177"/>
  <c r="AB177"/>
  <c r="Z177"/>
  <c r="H177"/>
  <c r="AK177" s="1"/>
  <c r="BJ176"/>
  <c r="BF176"/>
  <c r="BD176"/>
  <c r="AW176"/>
  <c r="AV176"/>
  <c r="AP176"/>
  <c r="AX176" s="1"/>
  <c r="AO176"/>
  <c r="BH176" s="1"/>
  <c r="AD176" s="1"/>
  <c r="AL176"/>
  <c r="AK176"/>
  <c r="AJ176"/>
  <c r="AH176"/>
  <c r="AG176"/>
  <c r="AF176"/>
  <c r="AC176"/>
  <c r="AB176"/>
  <c r="Z176"/>
  <c r="H176"/>
  <c r="BJ175"/>
  <c r="BI175"/>
  <c r="BF175"/>
  <c r="BD175"/>
  <c r="AP175"/>
  <c r="AX175" s="1"/>
  <c r="BC175" s="1"/>
  <c r="AO175"/>
  <c r="AW175" s="1"/>
  <c r="AL175"/>
  <c r="AK175"/>
  <c r="AJ175"/>
  <c r="AH175"/>
  <c r="AG175"/>
  <c r="AF175"/>
  <c r="AE175"/>
  <c r="AC175"/>
  <c r="AB175"/>
  <c r="Z175"/>
  <c r="H175"/>
  <c r="BJ174"/>
  <c r="BH174"/>
  <c r="AD174" s="1"/>
  <c r="BF174"/>
  <c r="BD174"/>
  <c r="AX174"/>
  <c r="AP174"/>
  <c r="BI174" s="1"/>
  <c r="AE174" s="1"/>
  <c r="AO174"/>
  <c r="AW174" s="1"/>
  <c r="AL174"/>
  <c r="AJ174"/>
  <c r="AH174"/>
  <c r="AG174"/>
  <c r="AF174"/>
  <c r="AC174"/>
  <c r="AB174"/>
  <c r="Z174"/>
  <c r="H174"/>
  <c r="AK174" s="1"/>
  <c r="BJ173"/>
  <c r="BF173"/>
  <c r="BD173"/>
  <c r="AX173"/>
  <c r="AW173"/>
  <c r="AP173"/>
  <c r="BI173" s="1"/>
  <c r="AE173" s="1"/>
  <c r="AO173"/>
  <c r="BH173" s="1"/>
  <c r="AD173" s="1"/>
  <c r="AL173"/>
  <c r="AJ173"/>
  <c r="AH173"/>
  <c r="AG173"/>
  <c r="AF173"/>
  <c r="AC173"/>
  <c r="AB173"/>
  <c r="Z173"/>
  <c r="H173"/>
  <c r="AK173" s="1"/>
  <c r="BJ172"/>
  <c r="BF172"/>
  <c r="BD172"/>
  <c r="AW172"/>
  <c r="AV172"/>
  <c r="AP172"/>
  <c r="AX172" s="1"/>
  <c r="AO172"/>
  <c r="BH172" s="1"/>
  <c r="AD172" s="1"/>
  <c r="AL172"/>
  <c r="AK172"/>
  <c r="AJ172"/>
  <c r="AH172"/>
  <c r="AG172"/>
  <c r="AF172"/>
  <c r="AC172"/>
  <c r="AB172"/>
  <c r="Z172"/>
  <c r="H172"/>
  <c r="BJ171"/>
  <c r="BI171"/>
  <c r="BF171"/>
  <c r="BD171"/>
  <c r="AP171"/>
  <c r="AX171" s="1"/>
  <c r="BC171" s="1"/>
  <c r="AO171"/>
  <c r="AW171" s="1"/>
  <c r="AL171"/>
  <c r="AK171"/>
  <c r="AJ171"/>
  <c r="AH171"/>
  <c r="AG171"/>
  <c r="AF171"/>
  <c r="AE171"/>
  <c r="AC171"/>
  <c r="AB171"/>
  <c r="Z171"/>
  <c r="H171"/>
  <c r="BJ170"/>
  <c r="BH170"/>
  <c r="AD170" s="1"/>
  <c r="BF170"/>
  <c r="BD170"/>
  <c r="AX170"/>
  <c r="AP170"/>
  <c r="BI170" s="1"/>
  <c r="AE170" s="1"/>
  <c r="AO170"/>
  <c r="AW170" s="1"/>
  <c r="AL170"/>
  <c r="AJ170"/>
  <c r="AH170"/>
  <c r="AG170"/>
  <c r="AF170"/>
  <c r="AC170"/>
  <c r="AB170"/>
  <c r="Z170"/>
  <c r="H170"/>
  <c r="AK170" s="1"/>
  <c r="BJ169"/>
  <c r="BF169"/>
  <c r="BD169"/>
  <c r="AX169"/>
  <c r="AW169"/>
  <c r="AP169"/>
  <c r="BI169" s="1"/>
  <c r="AE169" s="1"/>
  <c r="AO169"/>
  <c r="BH169" s="1"/>
  <c r="AD169" s="1"/>
  <c r="AL169"/>
  <c r="AJ169"/>
  <c r="AH169"/>
  <c r="AG169"/>
  <c r="AF169"/>
  <c r="AC169"/>
  <c r="AB169"/>
  <c r="Z169"/>
  <c r="H169"/>
  <c r="AK169" s="1"/>
  <c r="BJ167"/>
  <c r="BF167"/>
  <c r="BD167"/>
  <c r="AW167"/>
  <c r="AV167"/>
  <c r="AP167"/>
  <c r="AX167" s="1"/>
  <c r="AO167"/>
  <c r="BH167" s="1"/>
  <c r="AD167" s="1"/>
  <c r="AL167"/>
  <c r="AK167"/>
  <c r="AJ167"/>
  <c r="AH167"/>
  <c r="AG167"/>
  <c r="AF167"/>
  <c r="AC167"/>
  <c r="AB167"/>
  <c r="Z167"/>
  <c r="H167"/>
  <c r="BJ166"/>
  <c r="BF166"/>
  <c r="BD166"/>
  <c r="AP166"/>
  <c r="AX166" s="1"/>
  <c r="BC166" s="1"/>
  <c r="AO166"/>
  <c r="AW166" s="1"/>
  <c r="AL166"/>
  <c r="AK166"/>
  <c r="AJ166"/>
  <c r="AH166"/>
  <c r="AG166"/>
  <c r="AF166"/>
  <c r="AC166"/>
  <c r="AB166"/>
  <c r="Z166"/>
  <c r="H166"/>
  <c r="BJ165"/>
  <c r="BH165"/>
  <c r="AD165" s="1"/>
  <c r="BF165"/>
  <c r="BD165"/>
  <c r="AX165"/>
  <c r="AP165"/>
  <c r="BI165" s="1"/>
  <c r="AE165" s="1"/>
  <c r="AO165"/>
  <c r="AW165" s="1"/>
  <c r="AL165"/>
  <c r="AJ165"/>
  <c r="AH165"/>
  <c r="AG165"/>
  <c r="AF165"/>
  <c r="AC165"/>
  <c r="AB165"/>
  <c r="Z165"/>
  <c r="H165"/>
  <c r="AK165" s="1"/>
  <c r="BJ164"/>
  <c r="BF164"/>
  <c r="BD164"/>
  <c r="AX164"/>
  <c r="AW164"/>
  <c r="AP164"/>
  <c r="BI164" s="1"/>
  <c r="AE164" s="1"/>
  <c r="AO164"/>
  <c r="BH164" s="1"/>
  <c r="AD164" s="1"/>
  <c r="AL164"/>
  <c r="AJ164"/>
  <c r="AH164"/>
  <c r="AG164"/>
  <c r="AF164"/>
  <c r="AC164"/>
  <c r="AB164"/>
  <c r="Z164"/>
  <c r="H164"/>
  <c r="AK164" s="1"/>
  <c r="BJ163"/>
  <c r="BF163"/>
  <c r="BD163"/>
  <c r="AW163"/>
  <c r="AV163"/>
  <c r="AP163"/>
  <c r="AX163" s="1"/>
  <c r="AO163"/>
  <c r="BH163" s="1"/>
  <c r="AD163" s="1"/>
  <c r="AL163"/>
  <c r="AK163"/>
  <c r="AJ163"/>
  <c r="AH163"/>
  <c r="AG163"/>
  <c r="AF163"/>
  <c r="AC163"/>
  <c r="AB163"/>
  <c r="Z163"/>
  <c r="H163"/>
  <c r="BJ162"/>
  <c r="BF162"/>
  <c r="BD162"/>
  <c r="AP162"/>
  <c r="AX162" s="1"/>
  <c r="BC162" s="1"/>
  <c r="AO162"/>
  <c r="AW162" s="1"/>
  <c r="AL162"/>
  <c r="AK162"/>
  <c r="AJ162"/>
  <c r="AH162"/>
  <c r="AG162"/>
  <c r="AF162"/>
  <c r="AC162"/>
  <c r="AB162"/>
  <c r="Z162"/>
  <c r="H162"/>
  <c r="BJ161"/>
  <c r="BH161"/>
  <c r="AD161" s="1"/>
  <c r="BF161"/>
  <c r="BD161"/>
  <c r="AX161"/>
  <c r="AP161"/>
  <c r="BI161" s="1"/>
  <c r="AE161" s="1"/>
  <c r="AO161"/>
  <c r="AW161" s="1"/>
  <c r="AL161"/>
  <c r="AJ161"/>
  <c r="AH161"/>
  <c r="AG161"/>
  <c r="AF161"/>
  <c r="AC161"/>
  <c r="AB161"/>
  <c r="Z161"/>
  <c r="H161"/>
  <c r="AK161" s="1"/>
  <c r="BJ160"/>
  <c r="BF160"/>
  <c r="BD160"/>
  <c r="AX160"/>
  <c r="AW160"/>
  <c r="AP160"/>
  <c r="BI160" s="1"/>
  <c r="AE160" s="1"/>
  <c r="AO160"/>
  <c r="BH160" s="1"/>
  <c r="AD160" s="1"/>
  <c r="AL160"/>
  <c r="AU158" s="1"/>
  <c r="AJ160"/>
  <c r="AH160"/>
  <c r="AG160"/>
  <c r="AF160"/>
  <c r="AC160"/>
  <c r="AB160"/>
  <c r="Z160"/>
  <c r="H160"/>
  <c r="H158" s="1"/>
  <c r="BJ159"/>
  <c r="BF159"/>
  <c r="BD159"/>
  <c r="AW159"/>
  <c r="AV159"/>
  <c r="AP159"/>
  <c r="AX159" s="1"/>
  <c r="AO159"/>
  <c r="BH159" s="1"/>
  <c r="AD159" s="1"/>
  <c r="AL159"/>
  <c r="AK159"/>
  <c r="AJ159"/>
  <c r="AH159"/>
  <c r="AG159"/>
  <c r="AF159"/>
  <c r="AC159"/>
  <c r="AB159"/>
  <c r="Z159"/>
  <c r="H159"/>
  <c r="BJ157"/>
  <c r="BF157"/>
  <c r="BD157"/>
  <c r="BC157"/>
  <c r="AP157"/>
  <c r="AX157" s="1"/>
  <c r="AO157"/>
  <c r="AW157" s="1"/>
  <c r="AV157" s="1"/>
  <c r="AL157"/>
  <c r="AK157"/>
  <c r="AJ157"/>
  <c r="AH157"/>
  <c r="AG157"/>
  <c r="AF157"/>
  <c r="AE157"/>
  <c r="AD157"/>
  <c r="AC157"/>
  <c r="AB157"/>
  <c r="Z157"/>
  <c r="H157"/>
  <c r="BJ156"/>
  <c r="BH156"/>
  <c r="AD156" s="1"/>
  <c r="BF156"/>
  <c r="BD156"/>
  <c r="AX156"/>
  <c r="AP156"/>
  <c r="BI156" s="1"/>
  <c r="AE156" s="1"/>
  <c r="AO156"/>
  <c r="AW156" s="1"/>
  <c r="AL156"/>
  <c r="AJ156"/>
  <c r="AH156"/>
  <c r="AG156"/>
  <c r="AF156"/>
  <c r="AC156"/>
  <c r="AB156"/>
  <c r="Z156"/>
  <c r="H156"/>
  <c r="AK156" s="1"/>
  <c r="BJ155"/>
  <c r="BF155"/>
  <c r="BD155"/>
  <c r="AX155"/>
  <c r="AW155"/>
  <c r="AP155"/>
  <c r="BI155" s="1"/>
  <c r="AE155" s="1"/>
  <c r="AO155"/>
  <c r="BH155" s="1"/>
  <c r="AD155" s="1"/>
  <c r="AL155"/>
  <c r="AJ155"/>
  <c r="AH155"/>
  <c r="AG155"/>
  <c r="AF155"/>
  <c r="AC155"/>
  <c r="AB155"/>
  <c r="Z155"/>
  <c r="H155"/>
  <c r="AK155" s="1"/>
  <c r="BJ154"/>
  <c r="BF154"/>
  <c r="BD154"/>
  <c r="AW154"/>
  <c r="BC154" s="1"/>
  <c r="AV154"/>
  <c r="AP154"/>
  <c r="AX154" s="1"/>
  <c r="AO154"/>
  <c r="BH154" s="1"/>
  <c r="AD154" s="1"/>
  <c r="AL154"/>
  <c r="AK154"/>
  <c r="AJ154"/>
  <c r="AH154"/>
  <c r="AG154"/>
  <c r="AF154"/>
  <c r="AC154"/>
  <c r="AB154"/>
  <c r="Z154"/>
  <c r="H154"/>
  <c r="BJ153"/>
  <c r="BI153"/>
  <c r="AE153" s="1"/>
  <c r="BF153"/>
  <c r="BD153"/>
  <c r="AP153"/>
  <c r="AX153" s="1"/>
  <c r="AO153"/>
  <c r="AW153" s="1"/>
  <c r="AV153" s="1"/>
  <c r="AL153"/>
  <c r="AK153"/>
  <c r="AJ153"/>
  <c r="AH153"/>
  <c r="AG153"/>
  <c r="AF153"/>
  <c r="AC153"/>
  <c r="AB153"/>
  <c r="Z153"/>
  <c r="H153"/>
  <c r="BJ152"/>
  <c r="BF152"/>
  <c r="BD152"/>
  <c r="AX152"/>
  <c r="AP152"/>
  <c r="BI152" s="1"/>
  <c r="AE152" s="1"/>
  <c r="AO152"/>
  <c r="AW152" s="1"/>
  <c r="AV152" s="1"/>
  <c r="AL152"/>
  <c r="AJ152"/>
  <c r="AH152"/>
  <c r="AG152"/>
  <c r="AF152"/>
  <c r="AC152"/>
  <c r="AB152"/>
  <c r="Z152"/>
  <c r="H152"/>
  <c r="AK152" s="1"/>
  <c r="BJ151"/>
  <c r="BF151"/>
  <c r="BD151"/>
  <c r="AX151"/>
  <c r="AP151"/>
  <c r="BI151" s="1"/>
  <c r="AE151" s="1"/>
  <c r="AO151"/>
  <c r="BH151" s="1"/>
  <c r="AD151" s="1"/>
  <c r="AL151"/>
  <c r="AJ151"/>
  <c r="AH151"/>
  <c r="AG151"/>
  <c r="AF151"/>
  <c r="AC151"/>
  <c r="AB151"/>
  <c r="Z151"/>
  <c r="H151"/>
  <c r="AK151" s="1"/>
  <c r="BJ150"/>
  <c r="BF150"/>
  <c r="BD150"/>
  <c r="AW150"/>
  <c r="AV150"/>
  <c r="AP150"/>
  <c r="AX150" s="1"/>
  <c r="AO150"/>
  <c r="BH150" s="1"/>
  <c r="AD150" s="1"/>
  <c r="AL150"/>
  <c r="AK150"/>
  <c r="AJ150"/>
  <c r="AH150"/>
  <c r="AG150"/>
  <c r="AF150"/>
  <c r="AC150"/>
  <c r="AB150"/>
  <c r="Z150"/>
  <c r="H150"/>
  <c r="BJ149"/>
  <c r="BI149"/>
  <c r="AE149" s="1"/>
  <c r="BF149"/>
  <c r="BD149"/>
  <c r="AV149"/>
  <c r="AP149"/>
  <c r="AX149" s="1"/>
  <c r="AO149"/>
  <c r="AW149" s="1"/>
  <c r="BC149" s="1"/>
  <c r="AL149"/>
  <c r="AK149"/>
  <c r="AJ149"/>
  <c r="AH149"/>
  <c r="AG149"/>
  <c r="AF149"/>
  <c r="AC149"/>
  <c r="AB149"/>
  <c r="Z149"/>
  <c r="H149"/>
  <c r="BJ148"/>
  <c r="BI148"/>
  <c r="BH148"/>
  <c r="AD148" s="1"/>
  <c r="BF148"/>
  <c r="BD148"/>
  <c r="AX148"/>
  <c r="AP148"/>
  <c r="AO148"/>
  <c r="AW148" s="1"/>
  <c r="AL148"/>
  <c r="AJ148"/>
  <c r="AS146" s="1"/>
  <c r="AH148"/>
  <c r="AG148"/>
  <c r="AF148"/>
  <c r="AE148"/>
  <c r="AC148"/>
  <c r="AB148"/>
  <c r="Z148"/>
  <c r="H148"/>
  <c r="AK148" s="1"/>
  <c r="BJ147"/>
  <c r="BH147"/>
  <c r="BF147"/>
  <c r="BD147"/>
  <c r="AX147"/>
  <c r="AW147"/>
  <c r="AP147"/>
  <c r="BI147" s="1"/>
  <c r="AE147" s="1"/>
  <c r="AO147"/>
  <c r="AL147"/>
  <c r="AJ147"/>
  <c r="AH147"/>
  <c r="AG147"/>
  <c r="AF147"/>
  <c r="AD147"/>
  <c r="AC147"/>
  <c r="AB147"/>
  <c r="Z147"/>
  <c r="H147"/>
  <c r="AK147" s="1"/>
  <c r="AU146"/>
  <c r="BJ145"/>
  <c r="Z145" s="1"/>
  <c r="BF145"/>
  <c r="BD145"/>
  <c r="AW145"/>
  <c r="AV145"/>
  <c r="AP145"/>
  <c r="AX145" s="1"/>
  <c r="AO145"/>
  <c r="BH145" s="1"/>
  <c r="AL145"/>
  <c r="AK145"/>
  <c r="AJ145"/>
  <c r="AH145"/>
  <c r="AG145"/>
  <c r="AF145"/>
  <c r="AE145"/>
  <c r="AD145"/>
  <c r="AC145"/>
  <c r="AB145"/>
  <c r="H145"/>
  <c r="BJ144"/>
  <c r="BF144"/>
  <c r="BD144"/>
  <c r="BC144"/>
  <c r="AP144"/>
  <c r="AX144" s="1"/>
  <c r="AO144"/>
  <c r="AW144" s="1"/>
  <c r="AV144" s="1"/>
  <c r="AL144"/>
  <c r="AK144"/>
  <c r="AJ144"/>
  <c r="AH144"/>
  <c r="AG144"/>
  <c r="AF144"/>
  <c r="AC144"/>
  <c r="AB144"/>
  <c r="Z144"/>
  <c r="H144"/>
  <c r="BJ143"/>
  <c r="BI143"/>
  <c r="AE143" s="1"/>
  <c r="BF143"/>
  <c r="BD143"/>
  <c r="AP143"/>
  <c r="AX143" s="1"/>
  <c r="BC143" s="1"/>
  <c r="AO143"/>
  <c r="AW143" s="1"/>
  <c r="AL143"/>
  <c r="AJ143"/>
  <c r="AH143"/>
  <c r="AG143"/>
  <c r="AF143"/>
  <c r="AC143"/>
  <c r="AB143"/>
  <c r="Z143"/>
  <c r="H143"/>
  <c r="AK143" s="1"/>
  <c r="BJ141"/>
  <c r="BH141"/>
  <c r="AF141" s="1"/>
  <c r="BF141"/>
  <c r="BD141"/>
  <c r="AX141"/>
  <c r="AW141"/>
  <c r="AP141"/>
  <c r="BI141" s="1"/>
  <c r="AO141"/>
  <c r="AL141"/>
  <c r="AJ141"/>
  <c r="AH141"/>
  <c r="AG141"/>
  <c r="AE141"/>
  <c r="AD141"/>
  <c r="AC141"/>
  <c r="AB141"/>
  <c r="Z141"/>
  <c r="H141"/>
  <c r="AK141" s="1"/>
  <c r="BJ140"/>
  <c r="BF140"/>
  <c r="BD140"/>
  <c r="AW140"/>
  <c r="BC140" s="1"/>
  <c r="AP140"/>
  <c r="AX140" s="1"/>
  <c r="AO140"/>
  <c r="BH140" s="1"/>
  <c r="AD140" s="1"/>
  <c r="AL140"/>
  <c r="AK140"/>
  <c r="AJ140"/>
  <c r="AH140"/>
  <c r="AG140"/>
  <c r="AF140"/>
  <c r="AC140"/>
  <c r="AB140"/>
  <c r="Z140"/>
  <c r="H140"/>
  <c r="BJ139"/>
  <c r="BF139"/>
  <c r="BD139"/>
  <c r="AP139"/>
  <c r="AX139" s="1"/>
  <c r="AV139" s="1"/>
  <c r="AO139"/>
  <c r="AW139" s="1"/>
  <c r="AL139"/>
  <c r="AK139"/>
  <c r="AJ139"/>
  <c r="AH139"/>
  <c r="AG139"/>
  <c r="AF139"/>
  <c r="AC139"/>
  <c r="AB139"/>
  <c r="Z139"/>
  <c r="H139"/>
  <c r="BJ138"/>
  <c r="BH138"/>
  <c r="BF138"/>
  <c r="BD138"/>
  <c r="AP138"/>
  <c r="AX138" s="1"/>
  <c r="BC138" s="1"/>
  <c r="AO138"/>
  <c r="AW138" s="1"/>
  <c r="AL138"/>
  <c r="AJ138"/>
  <c r="AH138"/>
  <c r="AG138"/>
  <c r="AF138"/>
  <c r="AD138"/>
  <c r="AC138"/>
  <c r="AB138"/>
  <c r="Z138"/>
  <c r="H138"/>
  <c r="AK138" s="1"/>
  <c r="BJ137"/>
  <c r="BF137"/>
  <c r="BD137"/>
  <c r="AX137"/>
  <c r="AP137"/>
  <c r="BI137" s="1"/>
  <c r="AE137" s="1"/>
  <c r="AO137"/>
  <c r="BH137" s="1"/>
  <c r="AD137" s="1"/>
  <c r="AL137"/>
  <c r="AJ137"/>
  <c r="AH137"/>
  <c r="AG137"/>
  <c r="AF137"/>
  <c r="AC137"/>
  <c r="AB137"/>
  <c r="Z137"/>
  <c r="H137"/>
  <c r="AK137" s="1"/>
  <c r="BJ136"/>
  <c r="BF136"/>
  <c r="BD136"/>
  <c r="AX136"/>
  <c r="AW136"/>
  <c r="BC136" s="1"/>
  <c r="AV136"/>
  <c r="AP136"/>
  <c r="BI136" s="1"/>
  <c r="AE136" s="1"/>
  <c r="AO136"/>
  <c r="BH136" s="1"/>
  <c r="AD136" s="1"/>
  <c r="AL136"/>
  <c r="AK136"/>
  <c r="AJ136"/>
  <c r="AH136"/>
  <c r="AG136"/>
  <c r="AF136"/>
  <c r="AC136"/>
  <c r="AB136"/>
  <c r="Z136"/>
  <c r="H136"/>
  <c r="BJ135"/>
  <c r="BF135"/>
  <c r="BD135"/>
  <c r="AW135"/>
  <c r="AP135"/>
  <c r="AX135" s="1"/>
  <c r="AV135" s="1"/>
  <c r="AO135"/>
  <c r="BH135" s="1"/>
  <c r="AD135" s="1"/>
  <c r="AL135"/>
  <c r="AK135"/>
  <c r="AJ135"/>
  <c r="AH135"/>
  <c r="AG135"/>
  <c r="AF135"/>
  <c r="AC135"/>
  <c r="AB135"/>
  <c r="Z135"/>
  <c r="H135"/>
  <c r="BJ134"/>
  <c r="BH134"/>
  <c r="BF134"/>
  <c r="BD134"/>
  <c r="AP134"/>
  <c r="AX134" s="1"/>
  <c r="BC134" s="1"/>
  <c r="AO134"/>
  <c r="AW134" s="1"/>
  <c r="AL134"/>
  <c r="AJ134"/>
  <c r="AH134"/>
  <c r="AG134"/>
  <c r="AF134"/>
  <c r="AD134"/>
  <c r="AC134"/>
  <c r="AB134"/>
  <c r="Z134"/>
  <c r="H134"/>
  <c r="AK134" s="1"/>
  <c r="BJ133"/>
  <c r="BF133"/>
  <c r="BD133"/>
  <c r="AX133"/>
  <c r="AP133"/>
  <c r="BI133" s="1"/>
  <c r="AE133" s="1"/>
  <c r="AO133"/>
  <c r="BH133" s="1"/>
  <c r="AD133" s="1"/>
  <c r="AL133"/>
  <c r="AJ133"/>
  <c r="AH133"/>
  <c r="AG133"/>
  <c r="AF133"/>
  <c r="AC133"/>
  <c r="AB133"/>
  <c r="Z133"/>
  <c r="H133"/>
  <c r="BJ132"/>
  <c r="BF132"/>
  <c r="BD132"/>
  <c r="AW132"/>
  <c r="AP132"/>
  <c r="AX132" s="1"/>
  <c r="AO132"/>
  <c r="BH132" s="1"/>
  <c r="AD132" s="1"/>
  <c r="AL132"/>
  <c r="AK132"/>
  <c r="AJ132"/>
  <c r="AH132"/>
  <c r="AG132"/>
  <c r="AF132"/>
  <c r="AC132"/>
  <c r="AB132"/>
  <c r="Z132"/>
  <c r="H132"/>
  <c r="AU131"/>
  <c r="BJ130"/>
  <c r="BF130"/>
  <c r="BD130"/>
  <c r="AP130"/>
  <c r="AX130" s="1"/>
  <c r="AV130" s="1"/>
  <c r="AO130"/>
  <c r="AW130" s="1"/>
  <c r="AL130"/>
  <c r="AK130"/>
  <c r="AJ130"/>
  <c r="AH130"/>
  <c r="AG130"/>
  <c r="AF130"/>
  <c r="AE130"/>
  <c r="AD130"/>
  <c r="AC130"/>
  <c r="AB130"/>
  <c r="Z130"/>
  <c r="H130"/>
  <c r="BJ126"/>
  <c r="BI126"/>
  <c r="BH126"/>
  <c r="AD126" s="1"/>
  <c r="BF126"/>
  <c r="BD126"/>
  <c r="AX126"/>
  <c r="AP126"/>
  <c r="AO126"/>
  <c r="AW126" s="1"/>
  <c r="AL126"/>
  <c r="AJ126"/>
  <c r="AS119" s="1"/>
  <c r="AH126"/>
  <c r="AG126"/>
  <c r="AF126"/>
  <c r="AE126"/>
  <c r="AC126"/>
  <c r="AB126"/>
  <c r="Z126"/>
  <c r="H126"/>
  <c r="AK126" s="1"/>
  <c r="BJ121"/>
  <c r="BH121"/>
  <c r="BF121"/>
  <c r="BD121"/>
  <c r="AX121"/>
  <c r="AW121"/>
  <c r="AP121"/>
  <c r="BI121" s="1"/>
  <c r="AE121" s="1"/>
  <c r="AO121"/>
  <c r="AL121"/>
  <c r="AJ121"/>
  <c r="AH121"/>
  <c r="AG121"/>
  <c r="AF121"/>
  <c r="AD121"/>
  <c r="AC121"/>
  <c r="AB121"/>
  <c r="Z121"/>
  <c r="H121"/>
  <c r="BJ120"/>
  <c r="BF120"/>
  <c r="BD120"/>
  <c r="AW120"/>
  <c r="BC120" s="1"/>
  <c r="AV120"/>
  <c r="AP120"/>
  <c r="AX120" s="1"/>
  <c r="AO120"/>
  <c r="BH120" s="1"/>
  <c r="AD120" s="1"/>
  <c r="AL120"/>
  <c r="AU119" s="1"/>
  <c r="AK120"/>
  <c r="AJ120"/>
  <c r="AH120"/>
  <c r="AG120"/>
  <c r="AF120"/>
  <c r="AC120"/>
  <c r="AB120"/>
  <c r="Z120"/>
  <c r="H120"/>
  <c r="BJ118"/>
  <c r="Z118" s="1"/>
  <c r="BI118"/>
  <c r="BF118"/>
  <c r="BD118"/>
  <c r="AV118"/>
  <c r="AP118"/>
  <c r="AX118" s="1"/>
  <c r="AO118"/>
  <c r="AW118" s="1"/>
  <c r="BC118" s="1"/>
  <c r="AL118"/>
  <c r="AK118"/>
  <c r="AJ118"/>
  <c r="AH118"/>
  <c r="AG118"/>
  <c r="AF118"/>
  <c r="AE118"/>
  <c r="AD118"/>
  <c r="AC118"/>
  <c r="AB118"/>
  <c r="H118"/>
  <c r="AU117"/>
  <c r="AT117"/>
  <c r="AS117"/>
  <c r="H117"/>
  <c r="BJ114"/>
  <c r="BI114"/>
  <c r="BF114"/>
  <c r="BD114"/>
  <c r="AP114"/>
  <c r="AX114" s="1"/>
  <c r="BC114" s="1"/>
  <c r="AO114"/>
  <c r="AW114" s="1"/>
  <c r="AL114"/>
  <c r="AJ114"/>
  <c r="AH114"/>
  <c r="AG114"/>
  <c r="AF114"/>
  <c r="AE114"/>
  <c r="AD114"/>
  <c r="AC114"/>
  <c r="AB114"/>
  <c r="Z114"/>
  <c r="H114"/>
  <c r="AK114" s="1"/>
  <c r="BJ112"/>
  <c r="BF112"/>
  <c r="BD112"/>
  <c r="AX112"/>
  <c r="AP112"/>
  <c r="BI112" s="1"/>
  <c r="AO112"/>
  <c r="BH112" s="1"/>
  <c r="AL112"/>
  <c r="AJ112"/>
  <c r="AH112"/>
  <c r="AG112"/>
  <c r="AF112"/>
  <c r="AE112"/>
  <c r="AD112"/>
  <c r="AC112"/>
  <c r="AB112"/>
  <c r="Z112"/>
  <c r="H112"/>
  <c r="AK112" s="1"/>
  <c r="BJ110"/>
  <c r="BF110"/>
  <c r="BD110"/>
  <c r="AW110"/>
  <c r="BC110" s="1"/>
  <c r="AP110"/>
  <c r="AX110" s="1"/>
  <c r="AO110"/>
  <c r="BH110" s="1"/>
  <c r="AL110"/>
  <c r="AJ110"/>
  <c r="AH110"/>
  <c r="AG110"/>
  <c r="AF110"/>
  <c r="AE110"/>
  <c r="AD110"/>
  <c r="AC110"/>
  <c r="AB110"/>
  <c r="Z110"/>
  <c r="H110"/>
  <c r="AK110" s="1"/>
  <c r="BJ109"/>
  <c r="Z109" s="1"/>
  <c r="BF109"/>
  <c r="BD109"/>
  <c r="AX109"/>
  <c r="AP109"/>
  <c r="BI109" s="1"/>
  <c r="AO109"/>
  <c r="AW109" s="1"/>
  <c r="AL109"/>
  <c r="AK109"/>
  <c r="AJ109"/>
  <c r="AH109"/>
  <c r="AG109"/>
  <c r="AF109"/>
  <c r="AE109"/>
  <c r="AD109"/>
  <c r="AC109"/>
  <c r="AB109"/>
  <c r="H109"/>
  <c r="BJ107"/>
  <c r="BF107"/>
  <c r="BD107"/>
  <c r="AW107"/>
  <c r="AP107"/>
  <c r="BI107" s="1"/>
  <c r="AO107"/>
  <c r="BH107" s="1"/>
  <c r="AL107"/>
  <c r="AK107"/>
  <c r="AJ107"/>
  <c r="AH107"/>
  <c r="AG107"/>
  <c r="AF107"/>
  <c r="AE107"/>
  <c r="AD107"/>
  <c r="AC107"/>
  <c r="AB107"/>
  <c r="Z107"/>
  <c r="H107"/>
  <c r="BJ106"/>
  <c r="Z106" s="1"/>
  <c r="BF106"/>
  <c r="BD106"/>
  <c r="AX106"/>
  <c r="AP106"/>
  <c r="BI106" s="1"/>
  <c r="AO106"/>
  <c r="BH106" s="1"/>
  <c r="AL106"/>
  <c r="AJ106"/>
  <c r="AH106"/>
  <c r="AG106"/>
  <c r="AF106"/>
  <c r="AE106"/>
  <c r="AD106"/>
  <c r="AC106"/>
  <c r="AB106"/>
  <c r="H106"/>
  <c r="AK106" s="1"/>
  <c r="BJ104"/>
  <c r="BF104"/>
  <c r="BD104"/>
  <c r="AW104"/>
  <c r="BC104" s="1"/>
  <c r="AP104"/>
  <c r="AX104" s="1"/>
  <c r="AO104"/>
  <c r="BH104" s="1"/>
  <c r="AL104"/>
  <c r="AJ104"/>
  <c r="AH104"/>
  <c r="AG104"/>
  <c r="AF104"/>
  <c r="AE104"/>
  <c r="AD104"/>
  <c r="AC104"/>
  <c r="AB104"/>
  <c r="Z104"/>
  <c r="H104"/>
  <c r="AK104" s="1"/>
  <c r="BJ103"/>
  <c r="Z103" s="1"/>
  <c r="BF103"/>
  <c r="BD103"/>
  <c r="AX103"/>
  <c r="AP103"/>
  <c r="BI103" s="1"/>
  <c r="AO103"/>
  <c r="AW103" s="1"/>
  <c r="AL103"/>
  <c r="AK103"/>
  <c r="AJ103"/>
  <c r="AH103"/>
  <c r="AG103"/>
  <c r="AF103"/>
  <c r="AE103"/>
  <c r="AD103"/>
  <c r="AC103"/>
  <c r="AB103"/>
  <c r="H103"/>
  <c r="BJ100"/>
  <c r="BF100"/>
  <c r="BD100"/>
  <c r="AW100"/>
  <c r="AP100"/>
  <c r="BI100" s="1"/>
  <c r="AC100" s="1"/>
  <c r="AO100"/>
  <c r="BH100" s="1"/>
  <c r="AB100" s="1"/>
  <c r="AL100"/>
  <c r="AK100"/>
  <c r="AJ100"/>
  <c r="AH100"/>
  <c r="AG100"/>
  <c r="AF100"/>
  <c r="AE100"/>
  <c r="AD100"/>
  <c r="Z100"/>
  <c r="H100"/>
  <c r="BJ98"/>
  <c r="BF98"/>
  <c r="BD98"/>
  <c r="AX98"/>
  <c r="AP98"/>
  <c r="BI98" s="1"/>
  <c r="AC98" s="1"/>
  <c r="AO98"/>
  <c r="BH98" s="1"/>
  <c r="AB98" s="1"/>
  <c r="AL98"/>
  <c r="AJ98"/>
  <c r="AH98"/>
  <c r="AG98"/>
  <c r="AF98"/>
  <c r="AE98"/>
  <c r="AD98"/>
  <c r="Z98"/>
  <c r="H98"/>
  <c r="AK98" s="1"/>
  <c r="BJ96"/>
  <c r="BF96"/>
  <c r="BD96"/>
  <c r="AW96"/>
  <c r="AP96"/>
  <c r="AX96" s="1"/>
  <c r="AO96"/>
  <c r="BH96" s="1"/>
  <c r="AB96" s="1"/>
  <c r="AL96"/>
  <c r="AJ96"/>
  <c r="AH96"/>
  <c r="AG96"/>
  <c r="AF96"/>
  <c r="AE96"/>
  <c r="AD96"/>
  <c r="Z96"/>
  <c r="H96"/>
  <c r="AK96" s="1"/>
  <c r="BJ94"/>
  <c r="BF94"/>
  <c r="BD94"/>
  <c r="AX94"/>
  <c r="AP94"/>
  <c r="BI94" s="1"/>
  <c r="AC94" s="1"/>
  <c r="AO94"/>
  <c r="AW94" s="1"/>
  <c r="AL94"/>
  <c r="AK94"/>
  <c r="AJ94"/>
  <c r="AH94"/>
  <c r="AG94"/>
  <c r="AF94"/>
  <c r="AE94"/>
  <c r="AD94"/>
  <c r="Z94"/>
  <c r="H94"/>
  <c r="BJ92"/>
  <c r="BF92"/>
  <c r="BD92"/>
  <c r="AW92"/>
  <c r="AP92"/>
  <c r="BI92" s="1"/>
  <c r="AC92" s="1"/>
  <c r="AO92"/>
  <c r="BH92" s="1"/>
  <c r="AB92" s="1"/>
  <c r="AL92"/>
  <c r="AK92"/>
  <c r="AJ92"/>
  <c r="AH92"/>
  <c r="AG92"/>
  <c r="AF92"/>
  <c r="AE92"/>
  <c r="AD92"/>
  <c r="Z92"/>
  <c r="H92"/>
  <c r="BJ89"/>
  <c r="BF89"/>
  <c r="BD89"/>
  <c r="AX89"/>
  <c r="AP89"/>
  <c r="BI89" s="1"/>
  <c r="AC89" s="1"/>
  <c r="AO89"/>
  <c r="BH89" s="1"/>
  <c r="AB89" s="1"/>
  <c r="AL89"/>
  <c r="AJ89"/>
  <c r="AH89"/>
  <c r="AG89"/>
  <c r="AF89"/>
  <c r="AE89"/>
  <c r="AD89"/>
  <c r="Z89"/>
  <c r="H89"/>
  <c r="AK89" s="1"/>
  <c r="BJ86"/>
  <c r="BF86"/>
  <c r="BD86"/>
  <c r="AW86"/>
  <c r="BC86" s="1"/>
  <c r="AP86"/>
  <c r="AX86" s="1"/>
  <c r="AO86"/>
  <c r="BH86" s="1"/>
  <c r="AB86" s="1"/>
  <c r="AL86"/>
  <c r="AU82" s="1"/>
  <c r="AJ86"/>
  <c r="AS82" s="1"/>
  <c r="AH86"/>
  <c r="AG86"/>
  <c r="AF86"/>
  <c r="AE86"/>
  <c r="AD86"/>
  <c r="Z86"/>
  <c r="H86"/>
  <c r="AK86" s="1"/>
  <c r="BJ83"/>
  <c r="BF83"/>
  <c r="BD83"/>
  <c r="AX83"/>
  <c r="AP83"/>
  <c r="BI83" s="1"/>
  <c r="AC83" s="1"/>
  <c r="AO83"/>
  <c r="AW83" s="1"/>
  <c r="AL83"/>
  <c r="AK83"/>
  <c r="AJ83"/>
  <c r="AH83"/>
  <c r="AG83"/>
  <c r="AF83"/>
  <c r="AE83"/>
  <c r="AD83"/>
  <c r="Z83"/>
  <c r="H83"/>
  <c r="BJ80"/>
  <c r="BF80"/>
  <c r="BD80"/>
  <c r="AW80"/>
  <c r="AP80"/>
  <c r="AX80" s="1"/>
  <c r="BC80" s="1"/>
  <c r="AO80"/>
  <c r="BH80" s="1"/>
  <c r="AB80" s="1"/>
  <c r="AL80"/>
  <c r="AK80"/>
  <c r="AJ80"/>
  <c r="AH80"/>
  <c r="AG80"/>
  <c r="AF80"/>
  <c r="AE80"/>
  <c r="AD80"/>
  <c r="Z80"/>
  <c r="H80"/>
  <c r="BJ78"/>
  <c r="BF78"/>
  <c r="BD78"/>
  <c r="AX78"/>
  <c r="AP78"/>
  <c r="BI78" s="1"/>
  <c r="AC78" s="1"/>
  <c r="AO78"/>
  <c r="BH78" s="1"/>
  <c r="AB78" s="1"/>
  <c r="AL78"/>
  <c r="AJ78"/>
  <c r="AH78"/>
  <c r="AG78"/>
  <c r="AF78"/>
  <c r="AE78"/>
  <c r="AD78"/>
  <c r="Z78"/>
  <c r="H78"/>
  <c r="AK78" s="1"/>
  <c r="BJ77"/>
  <c r="BF77"/>
  <c r="BD77"/>
  <c r="AW77"/>
  <c r="AP77"/>
  <c r="AX77" s="1"/>
  <c r="AO77"/>
  <c r="BH77" s="1"/>
  <c r="AB77" s="1"/>
  <c r="AL77"/>
  <c r="AU74" s="1"/>
  <c r="AJ77"/>
  <c r="AS74" s="1"/>
  <c r="AH77"/>
  <c r="AG77"/>
  <c r="AF77"/>
  <c r="AE77"/>
  <c r="AD77"/>
  <c r="Z77"/>
  <c r="H77"/>
  <c r="AK77" s="1"/>
  <c r="AT74" s="1"/>
  <c r="BJ75"/>
  <c r="BF75"/>
  <c r="BD75"/>
  <c r="AX75"/>
  <c r="AP75"/>
  <c r="BI75" s="1"/>
  <c r="AC75" s="1"/>
  <c r="AO75"/>
  <c r="AW75" s="1"/>
  <c r="AL75"/>
  <c r="AK75"/>
  <c r="AJ75"/>
  <c r="AH75"/>
  <c r="AG75"/>
  <c r="AF75"/>
  <c r="AE75"/>
  <c r="AD75"/>
  <c r="Z75"/>
  <c r="H75"/>
  <c r="BJ73"/>
  <c r="BF73"/>
  <c r="BD73"/>
  <c r="AW73"/>
  <c r="AV73" s="1"/>
  <c r="AP73"/>
  <c r="AX73" s="1"/>
  <c r="BC73" s="1"/>
  <c r="AO73"/>
  <c r="BH73" s="1"/>
  <c r="AB73" s="1"/>
  <c r="AL73"/>
  <c r="AU68" s="1"/>
  <c r="AK73"/>
  <c r="AJ73"/>
  <c r="AS68" s="1"/>
  <c r="AH73"/>
  <c r="AG73"/>
  <c r="AF73"/>
  <c r="AE73"/>
  <c r="AD73"/>
  <c r="Z73"/>
  <c r="H73"/>
  <c r="BJ69"/>
  <c r="BF69"/>
  <c r="BD69"/>
  <c r="AX69"/>
  <c r="AP69"/>
  <c r="BI69" s="1"/>
  <c r="AC69" s="1"/>
  <c r="AO69"/>
  <c r="BH69" s="1"/>
  <c r="AB69" s="1"/>
  <c r="AL69"/>
  <c r="AJ69"/>
  <c r="AH69"/>
  <c r="AG69"/>
  <c r="AF69"/>
  <c r="AE69"/>
  <c r="AD69"/>
  <c r="Z69"/>
  <c r="H69"/>
  <c r="AK69" s="1"/>
  <c r="AT68" s="1"/>
  <c r="H68"/>
  <c r="BJ62"/>
  <c r="BF62"/>
  <c r="BD62"/>
  <c r="AW62"/>
  <c r="BC62" s="1"/>
  <c r="AP62"/>
  <c r="AX62" s="1"/>
  <c r="AO62"/>
  <c r="BH62" s="1"/>
  <c r="AB62" s="1"/>
  <c r="AL62"/>
  <c r="AJ62"/>
  <c r="AH62"/>
  <c r="AG62"/>
  <c r="AF62"/>
  <c r="AE62"/>
  <c r="AD62"/>
  <c r="Z62"/>
  <c r="H62"/>
  <c r="AK62" s="1"/>
  <c r="BJ59"/>
  <c r="BF59"/>
  <c r="BD59"/>
  <c r="AX59"/>
  <c r="AP59"/>
  <c r="BI59" s="1"/>
  <c r="AC59" s="1"/>
  <c r="AO59"/>
  <c r="AW59" s="1"/>
  <c r="AL59"/>
  <c r="AK59"/>
  <c r="AJ59"/>
  <c r="AH59"/>
  <c r="AG59"/>
  <c r="AF59"/>
  <c r="AE59"/>
  <c r="AD59"/>
  <c r="Z59"/>
  <c r="H59"/>
  <c r="BJ52"/>
  <c r="BF52"/>
  <c r="BD52"/>
  <c r="AW52"/>
  <c r="AP52"/>
  <c r="BI52" s="1"/>
  <c r="AC52" s="1"/>
  <c r="AO52"/>
  <c r="BH52" s="1"/>
  <c r="AB52" s="1"/>
  <c r="AL52"/>
  <c r="AK52"/>
  <c r="AJ52"/>
  <c r="AH52"/>
  <c r="AG52"/>
  <c r="AF52"/>
  <c r="AE52"/>
  <c r="AD52"/>
  <c r="Z52"/>
  <c r="H52"/>
  <c r="BJ49"/>
  <c r="BF49"/>
  <c r="BD49"/>
  <c r="AX49"/>
  <c r="AP49"/>
  <c r="BI49" s="1"/>
  <c r="AC49" s="1"/>
  <c r="AO49"/>
  <c r="AW49" s="1"/>
  <c r="AL49"/>
  <c r="AJ49"/>
  <c r="AH49"/>
  <c r="AG49"/>
  <c r="AF49"/>
  <c r="AE49"/>
  <c r="AD49"/>
  <c r="Z49"/>
  <c r="H49"/>
  <c r="AK49" s="1"/>
  <c r="BJ47"/>
  <c r="BF47"/>
  <c r="BD47"/>
  <c r="AW47"/>
  <c r="AP47"/>
  <c r="AX47" s="1"/>
  <c r="AO47"/>
  <c r="BH47" s="1"/>
  <c r="AB47" s="1"/>
  <c r="AL47"/>
  <c r="AJ47"/>
  <c r="AH47"/>
  <c r="AG47"/>
  <c r="AF47"/>
  <c r="AE47"/>
  <c r="AD47"/>
  <c r="Z47"/>
  <c r="H47"/>
  <c r="AK47" s="1"/>
  <c r="BJ44"/>
  <c r="BF44"/>
  <c r="BD44"/>
  <c r="AX44"/>
  <c r="AP44"/>
  <c r="BI44" s="1"/>
  <c r="AC44" s="1"/>
  <c r="AO44"/>
  <c r="AW44" s="1"/>
  <c r="AL44"/>
  <c r="AK44"/>
  <c r="AJ44"/>
  <c r="AH44"/>
  <c r="AG44"/>
  <c r="AF44"/>
  <c r="AE44"/>
  <c r="AD44"/>
  <c r="Z44"/>
  <c r="H44"/>
  <c r="BJ42"/>
  <c r="BF42"/>
  <c r="BD42"/>
  <c r="AW42"/>
  <c r="AP42"/>
  <c r="BI42" s="1"/>
  <c r="AC42" s="1"/>
  <c r="AO42"/>
  <c r="BH42" s="1"/>
  <c r="AB42" s="1"/>
  <c r="AL42"/>
  <c r="AJ42"/>
  <c r="AH42"/>
  <c r="AG42"/>
  <c r="AF42"/>
  <c r="AE42"/>
  <c r="AD42"/>
  <c r="Z42"/>
  <c r="H42"/>
  <c r="AK42" s="1"/>
  <c r="BJ38"/>
  <c r="BF38"/>
  <c r="BD38"/>
  <c r="AX38"/>
  <c r="AP38"/>
  <c r="BI38" s="1"/>
  <c r="AC38" s="1"/>
  <c r="AO38"/>
  <c r="BH38" s="1"/>
  <c r="AB38" s="1"/>
  <c r="AL38"/>
  <c r="AJ38"/>
  <c r="AH38"/>
  <c r="AG38"/>
  <c r="AF38"/>
  <c r="AE38"/>
  <c r="AD38"/>
  <c r="Z38"/>
  <c r="H38"/>
  <c r="AK38" s="1"/>
  <c r="BJ33"/>
  <c r="BF33"/>
  <c r="BD33"/>
  <c r="AW33"/>
  <c r="BC33" s="1"/>
  <c r="AP33"/>
  <c r="AX33" s="1"/>
  <c r="AO33"/>
  <c r="BH33" s="1"/>
  <c r="AB33" s="1"/>
  <c r="AL33"/>
  <c r="AJ33"/>
  <c r="AH33"/>
  <c r="AG33"/>
  <c r="AF33"/>
  <c r="AE33"/>
  <c r="AD33"/>
  <c r="Z33"/>
  <c r="H33"/>
  <c r="AK33" s="1"/>
  <c r="BJ32"/>
  <c r="BF32"/>
  <c r="BD32"/>
  <c r="AX32"/>
  <c r="AP32"/>
  <c r="BI32" s="1"/>
  <c r="AC32" s="1"/>
  <c r="AO32"/>
  <c r="AW32" s="1"/>
  <c r="AL32"/>
  <c r="AK32"/>
  <c r="AJ32"/>
  <c r="AH32"/>
  <c r="AG32"/>
  <c r="AF32"/>
  <c r="AE32"/>
  <c r="AD32"/>
  <c r="Z32"/>
  <c r="H32"/>
  <c r="BJ31"/>
  <c r="BF31"/>
  <c r="BD31"/>
  <c r="AW31"/>
  <c r="AP31"/>
  <c r="AX31" s="1"/>
  <c r="BC31" s="1"/>
  <c r="AO31"/>
  <c r="BH31" s="1"/>
  <c r="AB31" s="1"/>
  <c r="AL31"/>
  <c r="AJ31"/>
  <c r="AS26" s="1"/>
  <c r="AH31"/>
  <c r="AG31"/>
  <c r="AF31"/>
  <c r="AE31"/>
  <c r="AD31"/>
  <c r="Z31"/>
  <c r="H31"/>
  <c r="AK31" s="1"/>
  <c r="BJ29"/>
  <c r="BF29"/>
  <c r="BD29"/>
  <c r="AX29"/>
  <c r="AP29"/>
  <c r="BI29" s="1"/>
  <c r="AC29" s="1"/>
  <c r="AO29"/>
  <c r="BH29" s="1"/>
  <c r="AB29" s="1"/>
  <c r="AL29"/>
  <c r="AJ29"/>
  <c r="AH29"/>
  <c r="AG29"/>
  <c r="AF29"/>
  <c r="AE29"/>
  <c r="AD29"/>
  <c r="Z29"/>
  <c r="H29"/>
  <c r="H26" s="1"/>
  <c r="BJ27"/>
  <c r="BF27"/>
  <c r="BD27"/>
  <c r="AW27"/>
  <c r="BC27" s="1"/>
  <c r="AP27"/>
  <c r="AX27" s="1"/>
  <c r="AO27"/>
  <c r="BH27" s="1"/>
  <c r="AB27" s="1"/>
  <c r="AL27"/>
  <c r="AJ27"/>
  <c r="AH27"/>
  <c r="AG27"/>
  <c r="AF27"/>
  <c r="AE27"/>
  <c r="AD27"/>
  <c r="Z27"/>
  <c r="H27"/>
  <c r="AK27" s="1"/>
  <c r="AU26"/>
  <c r="BJ24"/>
  <c r="BF24"/>
  <c r="BD24"/>
  <c r="AX24"/>
  <c r="AP24"/>
  <c r="BI24" s="1"/>
  <c r="AC24" s="1"/>
  <c r="AO24"/>
  <c r="AW24" s="1"/>
  <c r="AL24"/>
  <c r="AK24"/>
  <c r="AJ24"/>
  <c r="AH24"/>
  <c r="AG24"/>
  <c r="AF24"/>
  <c r="AE24"/>
  <c r="AD24"/>
  <c r="Z24"/>
  <c r="H24"/>
  <c r="BJ22"/>
  <c r="BF22"/>
  <c r="BD22"/>
  <c r="AW22"/>
  <c r="AP22"/>
  <c r="BI22" s="1"/>
  <c r="AC22" s="1"/>
  <c r="AO22"/>
  <c r="BH22" s="1"/>
  <c r="AB22" s="1"/>
  <c r="AL22"/>
  <c r="AJ22"/>
  <c r="AH22"/>
  <c r="AG22"/>
  <c r="AF22"/>
  <c r="AE22"/>
  <c r="AD22"/>
  <c r="Z22"/>
  <c r="C21" i="1" s="1"/>
  <c r="H22" i="3"/>
  <c r="AK22" s="1"/>
  <c r="BJ20"/>
  <c r="BF20"/>
  <c r="BD20"/>
  <c r="AX20"/>
  <c r="AP20"/>
  <c r="BI20" s="1"/>
  <c r="AC20" s="1"/>
  <c r="AO20"/>
  <c r="AW20" s="1"/>
  <c r="AL20"/>
  <c r="AJ20"/>
  <c r="AH20"/>
  <c r="AG20"/>
  <c r="AF20"/>
  <c r="AE20"/>
  <c r="AD20"/>
  <c r="Z20"/>
  <c r="H20"/>
  <c r="AK20" s="1"/>
  <c r="BJ17"/>
  <c r="BF17"/>
  <c r="BD17"/>
  <c r="AW17"/>
  <c r="AP17"/>
  <c r="AX17" s="1"/>
  <c r="AO17"/>
  <c r="BH17" s="1"/>
  <c r="AB17" s="1"/>
  <c r="AL17"/>
  <c r="AU13" s="1"/>
  <c r="AJ17"/>
  <c r="AS13" s="1"/>
  <c r="AH17"/>
  <c r="AG17"/>
  <c r="AF17"/>
  <c r="AE17"/>
  <c r="AD17"/>
  <c r="Z17"/>
  <c r="H17"/>
  <c r="AK17" s="1"/>
  <c r="BJ14"/>
  <c r="BF14"/>
  <c r="BD14"/>
  <c r="AX14"/>
  <c r="AP14"/>
  <c r="BI14" s="1"/>
  <c r="AC14" s="1"/>
  <c r="AO14"/>
  <c r="AW14" s="1"/>
  <c r="AL14"/>
  <c r="AK14"/>
  <c r="AJ14"/>
  <c r="AH14"/>
  <c r="C20" i="1" s="1"/>
  <c r="AG14" i="3"/>
  <c r="AF14"/>
  <c r="AE14"/>
  <c r="AD14"/>
  <c r="Z14"/>
  <c r="H14"/>
  <c r="AU1"/>
  <c r="AT1"/>
  <c r="AS1"/>
  <c r="I44" i="2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I45" s="1"/>
  <c r="I24" i="1" s="1"/>
  <c r="F35" i="2"/>
  <c r="I26"/>
  <c r="I25"/>
  <c r="I24"/>
  <c r="I23"/>
  <c r="I22"/>
  <c r="I15" i="1" s="1"/>
  <c r="I21" i="2"/>
  <c r="I27" s="1"/>
  <c r="I18"/>
  <c r="F29" s="1"/>
  <c r="I17"/>
  <c r="I16"/>
  <c r="I15"/>
  <c r="I10"/>
  <c r="F10"/>
  <c r="C10"/>
  <c r="F8"/>
  <c r="C8"/>
  <c r="F6"/>
  <c r="C6"/>
  <c r="F4"/>
  <c r="C4"/>
  <c r="F2"/>
  <c r="C2"/>
  <c r="F22" i="1"/>
  <c r="I19"/>
  <c r="I18"/>
  <c r="I17"/>
  <c r="I16"/>
  <c r="F16"/>
  <c r="F15"/>
  <c r="I14"/>
  <c r="I22" s="1"/>
  <c r="F14"/>
  <c r="I10"/>
  <c r="F10"/>
  <c r="C10"/>
  <c r="F8"/>
  <c r="C8"/>
  <c r="F6"/>
  <c r="C6"/>
  <c r="F4"/>
  <c r="C4"/>
  <c r="F2"/>
  <c r="C2"/>
  <c r="BC44" i="3" l="1"/>
  <c r="AV44"/>
  <c r="AV32"/>
  <c r="BC32"/>
  <c r="AT13"/>
  <c r="BC20"/>
  <c r="AV20"/>
  <c r="BC49"/>
  <c r="AV49"/>
  <c r="BC59"/>
  <c r="AV59"/>
  <c r="BC77"/>
  <c r="BC96"/>
  <c r="BC14"/>
  <c r="AV14"/>
  <c r="BC103"/>
  <c r="AV103"/>
  <c r="AV109"/>
  <c r="BC109"/>
  <c r="AV83"/>
  <c r="BC83"/>
  <c r="BC24"/>
  <c r="AV24"/>
  <c r="BC75"/>
  <c r="AV75"/>
  <c r="AV94"/>
  <c r="BC94"/>
  <c r="AV22"/>
  <c r="BC17"/>
  <c r="AV31"/>
  <c r="BC47"/>
  <c r="AV80"/>
  <c r="AT82"/>
  <c r="BC141"/>
  <c r="AV141"/>
  <c r="BC226"/>
  <c r="AV226"/>
  <c r="BC237"/>
  <c r="AV237"/>
  <c r="BC239"/>
  <c r="AV239"/>
  <c r="BC246"/>
  <c r="AV246"/>
  <c r="BC248"/>
  <c r="AV248"/>
  <c r="BC257"/>
  <c r="AV257"/>
  <c r="BC275"/>
  <c r="AV275"/>
  <c r="BC287"/>
  <c r="AV287"/>
  <c r="BC156"/>
  <c r="AV156"/>
  <c r="H208"/>
  <c r="AK210"/>
  <c r="BC230"/>
  <c r="AV230"/>
  <c r="BC263"/>
  <c r="AV263"/>
  <c r="BC278"/>
  <c r="AV278"/>
  <c r="BC281"/>
  <c r="AV281"/>
  <c r="BH20"/>
  <c r="AB20" s="1"/>
  <c r="BI31"/>
  <c r="AC31" s="1"/>
  <c r="BH49"/>
  <c r="AB49" s="1"/>
  <c r="BI73"/>
  <c r="AC73" s="1"/>
  <c r="BI80"/>
  <c r="AC80" s="1"/>
  <c r="BI179"/>
  <c r="AE179" s="1"/>
  <c r="BI183"/>
  <c r="AE183" s="1"/>
  <c r="BI212"/>
  <c r="AE212" s="1"/>
  <c r="BI241"/>
  <c r="AE241" s="1"/>
  <c r="BI259"/>
  <c r="C27" i="1"/>
  <c r="C29"/>
  <c r="F29" s="1"/>
  <c r="AV17" i="3"/>
  <c r="AX22"/>
  <c r="BC22" s="1"/>
  <c r="AV27"/>
  <c r="AW29"/>
  <c r="AV33"/>
  <c r="AW38"/>
  <c r="AX42"/>
  <c r="BC42" s="1"/>
  <c r="AV47"/>
  <c r="AX52"/>
  <c r="BC52" s="1"/>
  <c r="AV62"/>
  <c r="AW69"/>
  <c r="AV77"/>
  <c r="AW78"/>
  <c r="AV86"/>
  <c r="AW89"/>
  <c r="AX92"/>
  <c r="BC92" s="1"/>
  <c r="AV96"/>
  <c r="AW98"/>
  <c r="AX100"/>
  <c r="BC100" s="1"/>
  <c r="AV104"/>
  <c r="AW106"/>
  <c r="AX107"/>
  <c r="BC107" s="1"/>
  <c r="AV110"/>
  <c r="AW112"/>
  <c r="BH114"/>
  <c r="AV134"/>
  <c r="BC135"/>
  <c r="AV138"/>
  <c r="AV140"/>
  <c r="BH143"/>
  <c r="AD143" s="1"/>
  <c r="BI144"/>
  <c r="AE144" s="1"/>
  <c r="BC145"/>
  <c r="H146"/>
  <c r="BC150"/>
  <c r="AW151"/>
  <c r="BC152"/>
  <c r="BC153"/>
  <c r="BI157"/>
  <c r="BC159"/>
  <c r="AS158"/>
  <c r="AV162"/>
  <c r="BC163"/>
  <c r="AV166"/>
  <c r="BC167"/>
  <c r="AV171"/>
  <c r="BC172"/>
  <c r="AV175"/>
  <c r="BC176"/>
  <c r="AV179"/>
  <c r="BC180"/>
  <c r="AV183"/>
  <c r="BC184"/>
  <c r="AT191"/>
  <c r="AV193"/>
  <c r="BC194"/>
  <c r="AV197"/>
  <c r="BC198"/>
  <c r="AV201"/>
  <c r="BC203"/>
  <c r="AT208"/>
  <c r="AS208"/>
  <c r="AV212"/>
  <c r="BC214"/>
  <c r="BC235"/>
  <c r="AV241"/>
  <c r="AU240"/>
  <c r="BC245"/>
  <c r="AS247"/>
  <c r="BI253"/>
  <c r="AE253" s="1"/>
  <c r="AV259"/>
  <c r="BH264"/>
  <c r="AD264" s="1"/>
  <c r="BC279"/>
  <c r="BH285"/>
  <c r="H131"/>
  <c r="AK133"/>
  <c r="AT131" s="1"/>
  <c r="BC160"/>
  <c r="AV160"/>
  <c r="BC164"/>
  <c r="AV164"/>
  <c r="BC169"/>
  <c r="AV169"/>
  <c r="BC173"/>
  <c r="AV173"/>
  <c r="BC177"/>
  <c r="AV177"/>
  <c r="BC181"/>
  <c r="AV181"/>
  <c r="BC185"/>
  <c r="AV185"/>
  <c r="BC195"/>
  <c r="AV195"/>
  <c r="BC199"/>
  <c r="AV199"/>
  <c r="BC204"/>
  <c r="AV204"/>
  <c r="BC209"/>
  <c r="AV209"/>
  <c r="BC215"/>
  <c r="AV215"/>
  <c r="BC264"/>
  <c r="AV264"/>
  <c r="BC285"/>
  <c r="AV285"/>
  <c r="BI166"/>
  <c r="AE166" s="1"/>
  <c r="BI193"/>
  <c r="AE193" s="1"/>
  <c r="BI201"/>
  <c r="AE201" s="1"/>
  <c r="BI17"/>
  <c r="AC17" s="1"/>
  <c r="C15" i="1" s="1"/>
  <c r="BI62" i="3"/>
  <c r="AC62" s="1"/>
  <c r="H74"/>
  <c r="BH75"/>
  <c r="AB75" s="1"/>
  <c r="BI77"/>
  <c r="AC77" s="1"/>
  <c r="H82"/>
  <c r="BH83"/>
  <c r="AB83" s="1"/>
  <c r="BI86"/>
  <c r="AC86" s="1"/>
  <c r="BH94"/>
  <c r="AB94" s="1"/>
  <c r="BI96"/>
  <c r="AC96" s="1"/>
  <c r="BH103"/>
  <c r="BI104"/>
  <c r="BH109"/>
  <c r="BI110"/>
  <c r="AV126"/>
  <c r="BC130"/>
  <c r="BC132"/>
  <c r="AW133"/>
  <c r="BI134"/>
  <c r="AE134" s="1"/>
  <c r="BI135"/>
  <c r="AE135" s="1"/>
  <c r="AW137"/>
  <c r="BI138"/>
  <c r="AE138" s="1"/>
  <c r="BC139"/>
  <c r="AV148"/>
  <c r="BH152"/>
  <c r="AD152" s="1"/>
  <c r="BC187"/>
  <c r="BC189"/>
  <c r="BH200"/>
  <c r="AD200" s="1"/>
  <c r="BH205"/>
  <c r="AD205" s="1"/>
  <c r="BC206"/>
  <c r="BH210"/>
  <c r="AD210" s="1"/>
  <c r="BH219"/>
  <c r="AD219" s="1"/>
  <c r="BC220"/>
  <c r="BI235"/>
  <c r="AE235" s="1"/>
  <c r="BC254"/>
  <c r="BI266"/>
  <c r="AE266" s="1"/>
  <c r="AT277"/>
  <c r="BI279"/>
  <c r="AG279" s="1"/>
  <c r="C19" i="1" s="1"/>
  <c r="BH282" i="3"/>
  <c r="AF282" s="1"/>
  <c r="C18" i="1" s="1"/>
  <c r="H286" i="3"/>
  <c r="H283" s="1"/>
  <c r="BC155"/>
  <c r="AV155"/>
  <c r="H119"/>
  <c r="AK121"/>
  <c r="AT119" s="1"/>
  <c r="BC121"/>
  <c r="AV121"/>
  <c r="BC147"/>
  <c r="AV147"/>
  <c r="BC161"/>
  <c r="AV161"/>
  <c r="BC165"/>
  <c r="AV165"/>
  <c r="BC170"/>
  <c r="AV170"/>
  <c r="BC174"/>
  <c r="AV174"/>
  <c r="BC178"/>
  <c r="AV178"/>
  <c r="BC182"/>
  <c r="AV182"/>
  <c r="BC186"/>
  <c r="AV186"/>
  <c r="BC190"/>
  <c r="AV190"/>
  <c r="BC192"/>
  <c r="AV192"/>
  <c r="BC196"/>
  <c r="AV196"/>
  <c r="BC200"/>
  <c r="AV200"/>
  <c r="BC205"/>
  <c r="AV205"/>
  <c r="BC210"/>
  <c r="AV210"/>
  <c r="BC219"/>
  <c r="AV219"/>
  <c r="BC256"/>
  <c r="AV256"/>
  <c r="BC282"/>
  <c r="AV282"/>
  <c r="BI162"/>
  <c r="AE162" s="1"/>
  <c r="BI197"/>
  <c r="AE197" s="1"/>
  <c r="H13"/>
  <c r="BH14"/>
  <c r="AB14" s="1"/>
  <c r="BH24"/>
  <c r="AB24" s="1"/>
  <c r="BI27"/>
  <c r="AC27" s="1"/>
  <c r="AK29"/>
  <c r="C28" i="1" s="1"/>
  <c r="F28" s="1"/>
  <c r="BH32" i="3"/>
  <c r="AB32" s="1"/>
  <c r="BI33"/>
  <c r="AC33" s="1"/>
  <c r="BH44"/>
  <c r="AB44" s="1"/>
  <c r="BI47"/>
  <c r="AC47" s="1"/>
  <c r="BH59"/>
  <c r="AB59" s="1"/>
  <c r="AV114"/>
  <c r="BC126"/>
  <c r="BI130"/>
  <c r="AV132"/>
  <c r="AS131"/>
  <c r="BI139"/>
  <c r="AE139" s="1"/>
  <c r="AV143"/>
  <c r="AT146"/>
  <c r="BC148"/>
  <c r="BI187"/>
  <c r="BI206"/>
  <c r="AE206" s="1"/>
  <c r="BI220"/>
  <c r="BH239"/>
  <c r="BH248"/>
  <c r="AD248" s="1"/>
  <c r="BH257"/>
  <c r="AD257" s="1"/>
  <c r="AV266"/>
  <c r="H277"/>
  <c r="BH287"/>
  <c r="BH118"/>
  <c r="BI120"/>
  <c r="AE120" s="1"/>
  <c r="BH130"/>
  <c r="BI132"/>
  <c r="AE132" s="1"/>
  <c r="C17" i="1" s="1"/>
  <c r="BH139" i="3"/>
  <c r="AD139" s="1"/>
  <c r="C16" i="1" s="1"/>
  <c r="BI140" i="3"/>
  <c r="AE140" s="1"/>
  <c r="BH144"/>
  <c r="AD144" s="1"/>
  <c r="BI145"/>
  <c r="BH149"/>
  <c r="AD149" s="1"/>
  <c r="BI150"/>
  <c r="AE150" s="1"/>
  <c r="BH153"/>
  <c r="AD153" s="1"/>
  <c r="BI154"/>
  <c r="AE154" s="1"/>
  <c r="BH157"/>
  <c r="BI159"/>
  <c r="AE159" s="1"/>
  <c r="AK160"/>
  <c r="AT158" s="1"/>
  <c r="BH162"/>
  <c r="AD162" s="1"/>
  <c r="BI163"/>
  <c r="AE163" s="1"/>
  <c r="BH166"/>
  <c r="AD166" s="1"/>
  <c r="BI167"/>
  <c r="AE167" s="1"/>
  <c r="BH171"/>
  <c r="AD171" s="1"/>
  <c r="BI172"/>
  <c r="AE172" s="1"/>
  <c r="BH175"/>
  <c r="AD175" s="1"/>
  <c r="BI176"/>
  <c r="AE176" s="1"/>
  <c r="BH179"/>
  <c r="AD179" s="1"/>
  <c r="BI180"/>
  <c r="AE180" s="1"/>
  <c r="BH183"/>
  <c r="AD183" s="1"/>
  <c r="BI184"/>
  <c r="AE184" s="1"/>
  <c r="BH187"/>
  <c r="BI189"/>
  <c r="AE189" s="1"/>
  <c r="AK190"/>
  <c r="AT188" s="1"/>
  <c r="BH193"/>
  <c r="AD193" s="1"/>
  <c r="BI194"/>
  <c r="AE194" s="1"/>
  <c r="BH197"/>
  <c r="AD197" s="1"/>
  <c r="BI198"/>
  <c r="AE198" s="1"/>
  <c r="BH201"/>
  <c r="AD201" s="1"/>
  <c r="BI203"/>
  <c r="AE203" s="1"/>
  <c r="BH212"/>
  <c r="AD212" s="1"/>
  <c r="BI214"/>
  <c r="AE214" s="1"/>
  <c r="BH220"/>
  <c r="BI222"/>
  <c r="AE222" s="1"/>
  <c r="AK226"/>
  <c r="AT221" s="1"/>
  <c r="BH235"/>
  <c r="AD235" s="1"/>
  <c r="BI236"/>
  <c r="AE236" s="1"/>
  <c r="H240"/>
  <c r="BH241"/>
  <c r="AD241" s="1"/>
  <c r="BI245"/>
  <c r="AE245" s="1"/>
  <c r="BH253"/>
  <c r="AD253" s="1"/>
  <c r="BI254"/>
  <c r="AE254" s="1"/>
  <c r="BH259"/>
  <c r="BI261"/>
  <c r="AE261" s="1"/>
  <c r="AK263"/>
  <c r="AT260" s="1"/>
  <c r="H265"/>
  <c r="BH266"/>
  <c r="AD266" s="1"/>
  <c r="BI274"/>
  <c r="AE274" s="1"/>
  <c r="BC106" l="1"/>
  <c r="AV106"/>
  <c r="BC98"/>
  <c r="AV98"/>
  <c r="BC38"/>
  <c r="AV38"/>
  <c r="C14" i="1"/>
  <c r="C22" s="1"/>
  <c r="AT26" i="3"/>
  <c r="AV92"/>
  <c r="H12"/>
  <c r="H288"/>
  <c r="BC78"/>
  <c r="AV78"/>
  <c r="BC137"/>
  <c r="AV137"/>
  <c r="BC151"/>
  <c r="AV151"/>
  <c r="BC89"/>
  <c r="AV89"/>
  <c r="BC69"/>
  <c r="AV69"/>
  <c r="AV52"/>
  <c r="I28" i="1"/>
  <c r="I29" s="1"/>
  <c r="AV100" i="3"/>
  <c r="BC133"/>
  <c r="AV133"/>
  <c r="BC112"/>
  <c r="AV112"/>
  <c r="BC29"/>
  <c r="AV29"/>
  <c r="AV107"/>
  <c r="AV42"/>
</calcChain>
</file>

<file path=xl/sharedStrings.xml><?xml version="1.0" encoding="utf-8"?>
<sst xmlns="http://schemas.openxmlformats.org/spreadsheetml/2006/main" count="2121" uniqueCount="741">
  <si>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</si>
  <si>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</si>
  <si>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</si>
  <si>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</si>
  <si>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</si>
  <si>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</si>
  <si>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</si>
  <si>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</si>
  <si>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</si>
  <si>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</si>
  <si>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</si>
  <si>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</si>
  <si>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</si>
  <si>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</si>
  <si>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</si>
  <si>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</si>
  <si>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</si>
  <si>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</si>
  <si>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</si>
  <si>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</si>
  <si>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</si>
  <si>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</si>
  <si>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</si>
  <si>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</si>
  <si>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</si>
  <si>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</si>
  <si>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</si>
  <si>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</si>
  <si>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</si>
  <si>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</si>
  <si>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</si>
  <si>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</si>
  <si>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</si>
  <si>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</si>
  <si>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</si>
  <si>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</si>
  <si>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</si>
  <si>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</si>
  <si>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</si>
  <si>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</si>
  <si>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</si>
  <si>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</si>
  <si>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</si>
  <si>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</si>
  <si>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</si>
  <si>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</si>
  <si>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</si>
  <si>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</si>
  <si>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</si>
  <si>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</si>
  <si>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</si>
  <si>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</si>
  <si>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</si>
  <si>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</si>
  <si>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</si>
  <si>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</si>
  <si>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</si>
  <si>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</si>
  <si>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</si>
  <si>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</si>
  <si>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</si>
  <si>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</si>
  <si>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</si>
  <si>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</si>
  <si>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</si>
  <si>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</si>
  <si>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</si>
  <si>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</si>
  <si>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</si>
  <si>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</si>
  <si>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</si>
  <si>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</si>
  <si>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</si>
  <si>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</si>
  <si>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</si>
  <si>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</si>
  <si>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</si>
  <si>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131-2024 Revoluční 1871/30  byt č. 30  1+1</t>
  </si>
  <si>
    <t>Doba výstavby:</t>
  </si>
  <si>
    <t xml:space="preserve"> </t>
  </si>
  <si>
    <t> </t>
  </si>
  <si>
    <t>Stavební úpravy byt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</si>
  <si>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</si>
  <si>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</si>
  <si>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</si>
  <si>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</si>
  <si>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</si>
  <si>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</si>
  <si>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</si>
  <si>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</si>
  <si>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</si>
  <si>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</si>
  <si>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</si>
  <si>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</si>
  <si>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</si>
  <si>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</si>
  <si>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</si>
  <si>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</si>
  <si>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</si>
  <si>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</si>
  <si>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</si>
  <si>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</si>
  <si>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</si>
  <si>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</si>
  <si>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</si>
  <si>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</si>
  <si>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</si>
  <si>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</si>
  <si>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</si>
  <si>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</si>
  <si>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</si>
  <si>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</si>
  <si>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310235251RT2</t>
  </si>
  <si>
    <t>Zazdívka otvorů pl.0,0225 m2 cihlami, tl.zdi 45 cm</t>
  </si>
  <si>
    <t>kus</t>
  </si>
  <si>
    <t>34_</t>
  </si>
  <si>
    <t>_3_</t>
  </si>
  <si>
    <t>_</t>
  </si>
  <si>
    <t>Varianta:</t>
  </si>
  <si>
    <t>s použitím suché maltové směsi</t>
  </si>
  <si>
    <t>2</t>
  </si>
  <si>
    <t>spižní otvory</t>
  </si>
  <si>
    <t>342255024R00</t>
  </si>
  <si>
    <t>Příčky z desek Ytong tl. 100 mm</t>
  </si>
  <si>
    <t>m2</t>
  </si>
  <si>
    <t>(4,2+1,795)*2,6</t>
  </si>
  <si>
    <t>-0,8*2*2</t>
  </si>
  <si>
    <t>3</t>
  </si>
  <si>
    <t>317121047RT2</t>
  </si>
  <si>
    <t>Překlad nenosný pórobetonový, světlost otvoru do 1050 mm</t>
  </si>
  <si>
    <t>překlad nenosný  124 x 24,9 x 10 cm</t>
  </si>
  <si>
    <t>4</t>
  </si>
  <si>
    <t>342948111R00</t>
  </si>
  <si>
    <t>Ukotvení příček ke konstrukci kotvami na hmoždinky</t>
  </si>
  <si>
    <t>m</t>
  </si>
  <si>
    <t>2,6*3</t>
  </si>
  <si>
    <t>svisle</t>
  </si>
  <si>
    <t>5</t>
  </si>
  <si>
    <t>342668111R00</t>
  </si>
  <si>
    <t>Těsnění styku příčky se stáv. konstrukcí PU pěnou</t>
  </si>
  <si>
    <t>(4,2+1,795)</t>
  </si>
  <si>
    <t>61</t>
  </si>
  <si>
    <t>Úprava povrchů vnitřní</t>
  </si>
  <si>
    <t>6</t>
  </si>
  <si>
    <t>611421221R00</t>
  </si>
  <si>
    <t>Oprava váp.omítek stropů do 10% plochy - hladkých</t>
  </si>
  <si>
    <t>61_</t>
  </si>
  <si>
    <t>_6_</t>
  </si>
  <si>
    <t>2,96+2,6+8,66+14,53</t>
  </si>
  <si>
    <t>7</t>
  </si>
  <si>
    <t>620991111R00</t>
  </si>
  <si>
    <t>Zakrývání spár panelů páskou</t>
  </si>
  <si>
    <t>3*4,2</t>
  </si>
  <si>
    <t>8</t>
  </si>
  <si>
    <t>601016191R00</t>
  </si>
  <si>
    <t>Penetrační nátěr stropů</t>
  </si>
  <si>
    <t>9</t>
  </si>
  <si>
    <t>611471411R00</t>
  </si>
  <si>
    <t>Úprava stropů aktivovaným štukem tl. 2 - 3 mm</t>
  </si>
  <si>
    <t>10</t>
  </si>
  <si>
    <t>612421615R00</t>
  </si>
  <si>
    <t>Omítka vnitřní zdiva, MVC, hrubá zatřená</t>
  </si>
  <si>
    <t>(0,9+0,9)*2,1</t>
  </si>
  <si>
    <t>koupelna pod obklady</t>
  </si>
  <si>
    <t>(0,675+1,65+1,575+0,75)*1,8-0,8*1,8</t>
  </si>
  <si>
    <t>(0,6+2,475+0,6)*0,6</t>
  </si>
  <si>
    <t>kuchyň linka</t>
  </si>
  <si>
    <t>(0,2*1,45)*2</t>
  </si>
  <si>
    <t>11</t>
  </si>
  <si>
    <t>602016191R00</t>
  </si>
  <si>
    <t>Penetrační nátěr stěn</t>
  </si>
  <si>
    <t>(4,2*2+1,795*2)*2,6</t>
  </si>
  <si>
    <t>nové příčky</t>
  </si>
  <si>
    <t>-(0,8*2)*4</t>
  </si>
  <si>
    <t>59,062</t>
  </si>
  <si>
    <t>stávající stěny</t>
  </si>
  <si>
    <t>12</t>
  </si>
  <si>
    <t>610991111R00</t>
  </si>
  <si>
    <t>Zakrývání výplní vnitřních otvorů</t>
  </si>
  <si>
    <t>1,5*1,35*2</t>
  </si>
  <si>
    <t>okno</t>
  </si>
  <si>
    <t>13</t>
  </si>
  <si>
    <t>648991113RT2</t>
  </si>
  <si>
    <t>Osazení parapet.desek plast. a lamin. š.nad 20cm</t>
  </si>
  <si>
    <t>včetně dodávky plastové parapetní desky š. 250 mm</t>
  </si>
  <si>
    <t>1,5+1,5</t>
  </si>
  <si>
    <t>14</t>
  </si>
  <si>
    <t>642942111RT4</t>
  </si>
  <si>
    <t>Osazení zárubní dveřních ocelových, pl. do 2,5 m2</t>
  </si>
  <si>
    <t>včetně dodávky zárubně 800 x 1970 x 100 mm</t>
  </si>
  <si>
    <t>15</t>
  </si>
  <si>
    <t>612403399RT2</t>
  </si>
  <si>
    <t>Hrubá výplň rýh ve stěnách maltou</t>
  </si>
  <si>
    <t>50*0,1</t>
  </si>
  <si>
    <t>po instalacích</t>
  </si>
  <si>
    <t>16</t>
  </si>
  <si>
    <t>612421321R00</t>
  </si>
  <si>
    <t>Oprava vápen.omítek stěn do 30 % pl. - hladkých</t>
  </si>
  <si>
    <t>(3,525*2+4,2)*2,6-1,5*1,35</t>
  </si>
  <si>
    <t>stávající stěny - pokoj</t>
  </si>
  <si>
    <t>(3,5+2,475+1,7)*2,6-1,5*1,35</t>
  </si>
  <si>
    <t>kuchyň</t>
  </si>
  <si>
    <t>(1,795+1,65)*2,6-0,8*2*2</t>
  </si>
  <si>
    <t>chodba</t>
  </si>
  <si>
    <t>(1+1)*0,5+(0,6+1,65+1,575+0,65)*0,8</t>
  </si>
  <si>
    <t>koupelna nad obklady</t>
  </si>
  <si>
    <t>(1,5+1,35*2)*0,2*2</t>
  </si>
  <si>
    <t>ostění otvorů</t>
  </si>
  <si>
    <t>(1+2,2*2)*0,35</t>
  </si>
  <si>
    <t>17</t>
  </si>
  <si>
    <t>612481211RT2</t>
  </si>
  <si>
    <t>Montáž výztužné sítě(perlinky)do stěrky-vnit.stěny</t>
  </si>
  <si>
    <t>včetně výztužné sítě a stěrkového tmelu</t>
  </si>
  <si>
    <t>24,774</t>
  </si>
  <si>
    <t>18</t>
  </si>
  <si>
    <t>612471411RT2</t>
  </si>
  <si>
    <t>Úprava vnitřních stěn aktivovaným štukem</t>
  </si>
  <si>
    <t>(3,525+4,2)*2*2,6-1,5*1,35-0,8*2</t>
  </si>
  <si>
    <t>pokoj</t>
  </si>
  <si>
    <t>(3,5+2,475)*2*2,6-1,5*1,35-0,8*2*2</t>
  </si>
  <si>
    <t>(1,795+1,65)*2*2,6-0,8*2*3</t>
  </si>
  <si>
    <t>63</t>
  </si>
  <si>
    <t>Podlahy a podlahové konstrukce</t>
  </si>
  <si>
    <t>19</t>
  </si>
  <si>
    <t>632451441R00</t>
  </si>
  <si>
    <t>Doplnění potěru plochy do 1 m2, tl. 30 - 40 mm</t>
  </si>
  <si>
    <t>63_</t>
  </si>
  <si>
    <t>1,575*1,65</t>
  </si>
  <si>
    <t>koupelna</t>
  </si>
  <si>
    <t>14,53</t>
  </si>
  <si>
    <t>8,66</t>
  </si>
  <si>
    <t>20</t>
  </si>
  <si>
    <t>632411904R00</t>
  </si>
  <si>
    <t>Penetrace savých podkladů  0,25 l/m2</t>
  </si>
  <si>
    <t>95</t>
  </si>
  <si>
    <t>Různé dokončovací konstrukce a práce na pozemních stavbách</t>
  </si>
  <si>
    <t>21</t>
  </si>
  <si>
    <t>900      R01</t>
  </si>
  <si>
    <t>HZS - drobné nezměřitelné práce</t>
  </si>
  <si>
    <t>h</t>
  </si>
  <si>
    <t>95_</t>
  </si>
  <si>
    <t>_9_</t>
  </si>
  <si>
    <t>stavební dělník</t>
  </si>
  <si>
    <t>22</t>
  </si>
  <si>
    <t>952901111R00</t>
  </si>
  <si>
    <t>Vyčištění budov o výšce podlaží do 4 m</t>
  </si>
  <si>
    <t>23</t>
  </si>
  <si>
    <t>713582115RT2</t>
  </si>
  <si>
    <t>Revizní dvířka Promat do masivních stěn, 500 x 500 mm</t>
  </si>
  <si>
    <t>typ SP, požární odolnost EI 30</t>
  </si>
  <si>
    <t>24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</si>
  <si>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</si>
  <si>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</si>
  <si>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</si>
  <si>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</si>
  <si>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</si>
  <si>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</si>
  <si>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25</t>
  </si>
  <si>
    <t>962084131R00</t>
  </si>
  <si>
    <t>Bourání příček deskových  tl.10 cm</t>
  </si>
  <si>
    <t>96_</t>
  </si>
  <si>
    <t>26</t>
  </si>
  <si>
    <t>968061125R00</t>
  </si>
  <si>
    <t>Vyvěšení dřevěných dveřních křídel pl. do 2 m2</t>
  </si>
  <si>
    <t>bytové</t>
  </si>
  <si>
    <t>vstupní</t>
  </si>
  <si>
    <t>27</t>
  </si>
  <si>
    <t>968072455R00</t>
  </si>
  <si>
    <t>Vybourání kovových dveřních zárubní pl. do 2 m2</t>
  </si>
  <si>
    <t>0,8*2*2</t>
  </si>
  <si>
    <t>dřev. příčka</t>
  </si>
  <si>
    <t>0,9*2,1</t>
  </si>
  <si>
    <t>28</t>
  </si>
  <si>
    <t>965081713R00</t>
  </si>
  <si>
    <t>Bourání dlažeb keramických tl.10 mm, nad 1 m2</t>
  </si>
  <si>
    <t>1,575*1</t>
  </si>
  <si>
    <t>29</t>
  </si>
  <si>
    <t>968091001R00</t>
  </si>
  <si>
    <t>Bourání parapetů teracových š. do 30 cm tl.3 cm</t>
  </si>
  <si>
    <t>30</t>
  </si>
  <si>
    <t>978059521R00</t>
  </si>
  <si>
    <t>Odsekání vnitřních obkladů stěn do 2 m2</t>
  </si>
  <si>
    <t>(1,575+1,65)*2*1,8-0,8*1,8</t>
  </si>
  <si>
    <t>31</t>
  </si>
  <si>
    <t>762522811R00</t>
  </si>
  <si>
    <t>Demontáž podlah s polštáři z prken tl. do 32 mm</t>
  </si>
  <si>
    <t>32</t>
  </si>
  <si>
    <t>775531800RT1</t>
  </si>
  <si>
    <t>Demontáž parketových tabulí lepených včetně lišt</t>
  </si>
  <si>
    <t>včetně uložení suti na hromady</t>
  </si>
  <si>
    <t>33</t>
  </si>
  <si>
    <t>979011111R00</t>
  </si>
  <si>
    <t>Svislá doprava suti a vybour. hmot za 2.NP a 1.PP</t>
  </si>
  <si>
    <t>t</t>
  </si>
  <si>
    <t>979011121R00</t>
  </si>
  <si>
    <t>Příplatek za každé další podlaží</t>
  </si>
  <si>
    <t>3,546*2</t>
  </si>
  <si>
    <t>35</t>
  </si>
  <si>
    <t>979081111R00</t>
  </si>
  <si>
    <t>Odvoz suti a vybour. hmot na skládku do 1 km</t>
  </si>
  <si>
    <t>36</t>
  </si>
  <si>
    <t>979081121R00</t>
  </si>
  <si>
    <t>Příplatek k odvozu za každý další 1 km</t>
  </si>
  <si>
    <t>3,546*5</t>
  </si>
  <si>
    <t>37</t>
  </si>
  <si>
    <t>979082111R00</t>
  </si>
  <si>
    <t>Vnitrostaveništní doprava suti do 10 m</t>
  </si>
  <si>
    <t>38</t>
  </si>
  <si>
    <t>979082121R00</t>
  </si>
  <si>
    <t>Příplatek k vnitrost. dopravě suti za dalších 5 m</t>
  </si>
  <si>
    <t>3,546*4</t>
  </si>
  <si>
    <t>39</t>
  </si>
  <si>
    <t>979990107R00</t>
  </si>
  <si>
    <t>Poplatek za uložení suti - směs betonu, cihel, dřeva, skupina odpadu 170904</t>
  </si>
  <si>
    <t>3,546-0,117</t>
  </si>
  <si>
    <t>40</t>
  </si>
  <si>
    <t>979990181R00</t>
  </si>
  <si>
    <t>Poplatek za uložení suti - PVC podlahová krytina, skupina odpadu 200307</t>
  </si>
  <si>
    <t>26,429*0,0035</t>
  </si>
  <si>
    <t>PVC</t>
  </si>
  <si>
    <t>30,29*0,0008</t>
  </si>
  <si>
    <t>sokl PVC</t>
  </si>
  <si>
    <t>99</t>
  </si>
  <si>
    <t>Staveništní přesun hmot</t>
  </si>
  <si>
    <t>41</t>
  </si>
  <si>
    <t>999281108R00</t>
  </si>
  <si>
    <t>Přesun hmot pro opravy a údržbu do výšky 12 m</t>
  </si>
  <si>
    <t>99_</t>
  </si>
  <si>
    <t>711</t>
  </si>
  <si>
    <t>Izolace proti vodě</t>
  </si>
  <si>
    <t>42</t>
  </si>
  <si>
    <t>711212000R00</t>
  </si>
  <si>
    <t>Penetrace podkladu pod hydroizolační hmoty, včetně dodávky</t>
  </si>
  <si>
    <t>711_</t>
  </si>
  <si>
    <t>_71_</t>
  </si>
  <si>
    <t>43</t>
  </si>
  <si>
    <t>711212002RT3</t>
  </si>
  <si>
    <t>Stěrka hydroizolační, vč. dodávky HI hmoty</t>
  </si>
  <si>
    <t>, tl. 2 mm</t>
  </si>
  <si>
    <t>koupelna podlaha</t>
  </si>
  <si>
    <t>(1,575+1,65)*2*0,3-0,8*0,3</t>
  </si>
  <si>
    <t>sokl</t>
  </si>
  <si>
    <t>(1+1)*2,1</t>
  </si>
  <si>
    <t>sprcha svisle</t>
  </si>
  <si>
    <t>44</t>
  </si>
  <si>
    <t>711212601RT2</t>
  </si>
  <si>
    <t>Utěsnění detailů při stěrkových hydroizolacích, těsnicí pás do spoje podlaha - stěna</t>
  </si>
  <si>
    <t xml:space="preserve"> šířka 100 mm</t>
  </si>
  <si>
    <t>(1,575+1,65)*2-0,8</t>
  </si>
  <si>
    <t>koupelna sokl</t>
  </si>
  <si>
    <t>2,1</t>
  </si>
  <si>
    <t>svisle sprcha</t>
  </si>
  <si>
    <t>45</t>
  </si>
  <si>
    <t>998711102R00</t>
  </si>
  <si>
    <t>Přesun hmot pro izolace proti vodě, výšky do 12 m</t>
  </si>
  <si>
    <t>721</t>
  </si>
  <si>
    <t>Vnitřní kanalizace</t>
  </si>
  <si>
    <t>46</t>
  </si>
  <si>
    <t>721140935R00</t>
  </si>
  <si>
    <t>Provedení opravy - přechod z plastových trub na litinu,DN 100 mm</t>
  </si>
  <si>
    <t>721_</t>
  </si>
  <si>
    <t>_72_</t>
  </si>
  <si>
    <t>47</t>
  </si>
  <si>
    <t>721140802R00</t>
  </si>
  <si>
    <t>Demontáž potrubí litinového do DN 100 mm</t>
  </si>
  <si>
    <t>48</t>
  </si>
  <si>
    <t>721171803R00</t>
  </si>
  <si>
    <t>Demontáž potrubí z PVC do D 75 mm</t>
  </si>
  <si>
    <t>49</t>
  </si>
  <si>
    <t>721176102R00</t>
  </si>
  <si>
    <t>Potrubí HT připojovací, D 40 x 1,8 mm</t>
  </si>
  <si>
    <t>50</t>
  </si>
  <si>
    <t>721176103R00</t>
  </si>
  <si>
    <t>Potrubí HT připojovací, D 50 x 1,8 mm</t>
  </si>
  <si>
    <t>51</t>
  </si>
  <si>
    <t>721176105R00</t>
  </si>
  <si>
    <t>Potrubí HT připojovací, D 110 x 2,7 mm</t>
  </si>
  <si>
    <t>52</t>
  </si>
  <si>
    <t>721176115R00</t>
  </si>
  <si>
    <t>Potrubí HT odpadní svislé, D 110 x 2,7 mm</t>
  </si>
  <si>
    <t>53</t>
  </si>
  <si>
    <t>721194104R00</t>
  </si>
  <si>
    <t>Vyvedení odpadních výpustek, D 40 x 1,8 mm</t>
  </si>
  <si>
    <t>54</t>
  </si>
  <si>
    <t>721194109R00</t>
  </si>
  <si>
    <t>Vyvedení odpadních výpustek, D 110 x 2,3 mm</t>
  </si>
  <si>
    <t>55</t>
  </si>
  <si>
    <t>230120046R00</t>
  </si>
  <si>
    <t>Čištění potrubí profukováním nebo proplach. DN 100</t>
  </si>
  <si>
    <t>1,9+3,2+1</t>
  </si>
  <si>
    <t>56</t>
  </si>
  <si>
    <t>721290111R00</t>
  </si>
  <si>
    <t>Zkouška těsnosti kanalizace vodou DN 125 mm</t>
  </si>
  <si>
    <t>57</t>
  </si>
  <si>
    <t>721176212R00</t>
  </si>
  <si>
    <t>Potrubí KG odpadní svislé, D 110 x 3,2 mm</t>
  </si>
  <si>
    <t>58</t>
  </si>
  <si>
    <t>998721102R00</t>
  </si>
  <si>
    <t>Přesun hmot pro vnitřní kanalizaci, výšky do 12 m</t>
  </si>
  <si>
    <t>722</t>
  </si>
  <si>
    <t>Vnitřní vodovod</t>
  </si>
  <si>
    <t>59</t>
  </si>
  <si>
    <t>722130801R00</t>
  </si>
  <si>
    <t>Demontáž potrubí ocelových závitových, DN 25 mm</t>
  </si>
  <si>
    <t>722_</t>
  </si>
  <si>
    <t>60</t>
  </si>
  <si>
    <t>722130913R00</t>
  </si>
  <si>
    <t>Oprava -  přeřezání ocelové trubky do DN 25 mm</t>
  </si>
  <si>
    <t>722260921R00</t>
  </si>
  <si>
    <t>Zpětná montáž vodoměrů závitových G 1/2"</t>
  </si>
  <si>
    <t>62</t>
  </si>
  <si>
    <t>722172631R00</t>
  </si>
  <si>
    <t>Potrubí plastové PP-R Instaplast, bez zednických výpomocí, D 20 x 3,4 mm, PN 20</t>
  </si>
  <si>
    <t>722220111R00</t>
  </si>
  <si>
    <t>Nástěnka K 247, pro výtokový ventil G 1/2"</t>
  </si>
  <si>
    <t>64</t>
  </si>
  <si>
    <t>722220121R00</t>
  </si>
  <si>
    <t>Nástěnka K 247, pro baterii G 1/2"</t>
  </si>
  <si>
    <t>pár</t>
  </si>
  <si>
    <t>65</t>
  </si>
  <si>
    <t>722181214RT8</t>
  </si>
  <si>
    <t>Izolace návleková   tl. stěny 20 mm</t>
  </si>
  <si>
    <t>66</t>
  </si>
  <si>
    <t>722190401R00</t>
  </si>
  <si>
    <t>Vyvedení a upevnění výpustek DN 15 mm</t>
  </si>
  <si>
    <t>67</t>
  </si>
  <si>
    <t>722290234R00</t>
  </si>
  <si>
    <t>Proplach a dezinfekce vodovodního potrubí DN 80 mm</t>
  </si>
  <si>
    <t>68</t>
  </si>
  <si>
    <t>722280106R00</t>
  </si>
  <si>
    <t>Tlaková zkouška vodovodního potrubí DN 32 mm</t>
  </si>
  <si>
    <t>69</t>
  </si>
  <si>
    <t>998722102R00</t>
  </si>
  <si>
    <t>Přesun hmot pro vnitřní vodovod, výšky do 12 m</t>
  </si>
  <si>
    <t>725</t>
  </si>
  <si>
    <t>Zařizovací předměty</t>
  </si>
  <si>
    <t>70</t>
  </si>
  <si>
    <t>725110811R00</t>
  </si>
  <si>
    <t>Demontáž klozetů splachovacích</t>
  </si>
  <si>
    <t>soubor</t>
  </si>
  <si>
    <t>725_</t>
  </si>
  <si>
    <t>71</t>
  </si>
  <si>
    <t>725210821R00</t>
  </si>
  <si>
    <t>Demontáž umyvadel bez výtokových armatur</t>
  </si>
  <si>
    <t>72</t>
  </si>
  <si>
    <t>725840850R00</t>
  </si>
  <si>
    <t>Demontáž baterie sprchové diferenciální G 3/4" x 1"</t>
  </si>
  <si>
    <t>73</t>
  </si>
  <si>
    <t>725820802R00</t>
  </si>
  <si>
    <t>Demontáž baterie stojánkové do 1 otvoru</t>
  </si>
  <si>
    <t>74</t>
  </si>
  <si>
    <t>725860811R00</t>
  </si>
  <si>
    <t>Demontáž uzávěrek zápachových jednoduchých</t>
  </si>
  <si>
    <t>75</t>
  </si>
  <si>
    <t>725240812R00</t>
  </si>
  <si>
    <t>Demontáž sprchových mís bez výtokových armatur</t>
  </si>
  <si>
    <t>76</t>
  </si>
  <si>
    <t>725820801R00</t>
  </si>
  <si>
    <t>Demontáž baterie nástěnné do G 3/4"</t>
  </si>
  <si>
    <t>77</t>
  </si>
  <si>
    <t>78</t>
  </si>
  <si>
    <t>725991811R00</t>
  </si>
  <si>
    <t>Demontáž konzol jednoduchých</t>
  </si>
  <si>
    <t>konzola na závěs do sprchy</t>
  </si>
  <si>
    <t>79</t>
  </si>
  <si>
    <t>725219401R00</t>
  </si>
  <si>
    <t>Montáž umyvadel na šrouby do zdiva</t>
  </si>
  <si>
    <t>80</t>
  </si>
  <si>
    <t>725017162R00</t>
  </si>
  <si>
    <t>Umyvadlo na šrouby   550 x 450 mm, bílé</t>
  </si>
  <si>
    <t>81</t>
  </si>
  <si>
    <t>725860213R00</t>
  </si>
  <si>
    <t>Sifon podomítkový umyvadlový HL 132, D32,  40 mm</t>
  </si>
  <si>
    <t>82</t>
  </si>
  <si>
    <t>725860107R00</t>
  </si>
  <si>
    <t>Uzávěrka zápachová umyvadlová T 1015, D 40 mm</t>
  </si>
  <si>
    <t>83</t>
  </si>
  <si>
    <t>725829301R00</t>
  </si>
  <si>
    <t>Montáž baterie nástěnná u umyvadla koupelna</t>
  </si>
  <si>
    <t>84</t>
  </si>
  <si>
    <t>725849201R00</t>
  </si>
  <si>
    <t>Montáž baterií sprchových, pevná výška</t>
  </si>
  <si>
    <t>85</t>
  </si>
  <si>
    <t>725860181RT1</t>
  </si>
  <si>
    <t>Sifon pračkový HL404.1, D 40/50 mm nerezový</t>
  </si>
  <si>
    <t>86</t>
  </si>
  <si>
    <t>725860222R00</t>
  </si>
  <si>
    <t>Sifon sprchový PP HL514SN, D 40/50 mm</t>
  </si>
  <si>
    <t>87</t>
  </si>
  <si>
    <t>725810402R00</t>
  </si>
  <si>
    <t>Ventil rohový bez přípojovací trubičky TE 66 G 1/2"</t>
  </si>
  <si>
    <t>88</t>
  </si>
  <si>
    <t>725249102R00</t>
  </si>
  <si>
    <t>Montáž sprchových mís a vaniček</t>
  </si>
  <si>
    <t>89</t>
  </si>
  <si>
    <t>725825111R00</t>
  </si>
  <si>
    <t>Baterie umyvadlová nástěnná ruční</t>
  </si>
  <si>
    <t>90</t>
  </si>
  <si>
    <t>725823114R00</t>
  </si>
  <si>
    <t>Baterie dřezová stojánková ruční, bez otvírání odpadu</t>
  </si>
  <si>
    <t>91</t>
  </si>
  <si>
    <t>725845111R00</t>
  </si>
  <si>
    <t>Baterie sprchová nástěnná ruční,</t>
  </si>
  <si>
    <t>92</t>
  </si>
  <si>
    <t>725814125R00</t>
  </si>
  <si>
    <t>Ventil pračkový  DN 20 mm</t>
  </si>
  <si>
    <t>93</t>
  </si>
  <si>
    <t>725119305R00</t>
  </si>
  <si>
    <t>Montáž klozetových mís kombinovaných</t>
  </si>
  <si>
    <t>94</t>
  </si>
  <si>
    <t>725013161R00</t>
  </si>
  <si>
    <t>Klozet kombi , nádrž s armaturou, odpad šikmý</t>
  </si>
  <si>
    <t>55423038.A</t>
  </si>
  <si>
    <t>Sprchová vanička čtvrt kruh  900 x 900 mm  - dle vzorkování</t>
  </si>
  <si>
    <t>55428097.A</t>
  </si>
  <si>
    <t>Sprchová zástěna čtvrtkruhový , 900 x 900 mm - dle vzorkování</t>
  </si>
  <si>
    <t>97</t>
  </si>
  <si>
    <t>998725102R00</t>
  </si>
  <si>
    <t>Přesun hmot pro zařizovací předměty, výšky do 12 m</t>
  </si>
  <si>
    <t>735</t>
  </si>
  <si>
    <t>Otopná tělesa</t>
  </si>
  <si>
    <t>98</t>
  </si>
  <si>
    <t>730. 1</t>
  </si>
  <si>
    <t>Demont a zpětná montáž radiatorů ÚT</t>
  </si>
  <si>
    <t>735_</t>
  </si>
  <si>
    <t>_73_</t>
  </si>
  <si>
    <t>735. 2</t>
  </si>
  <si>
    <t>Dod + mont topný žebřík, vč. napojení, termoreg. hlavice - dle vzorkování</t>
  </si>
  <si>
    <t>766</t>
  </si>
  <si>
    <t>Konstrukce truhlářské</t>
  </si>
  <si>
    <t>100</t>
  </si>
  <si>
    <t>766662811R00</t>
  </si>
  <si>
    <t>Demontáž prahů dveří 1křídlových</t>
  </si>
  <si>
    <t>766_</t>
  </si>
  <si>
    <t>_76_</t>
  </si>
  <si>
    <t>101</t>
  </si>
  <si>
    <t>766812840R00</t>
  </si>
  <si>
    <t>Demontáž kuchyňských linek do 2,1 m</t>
  </si>
  <si>
    <t>102</t>
  </si>
  <si>
    <t>766825811R00</t>
  </si>
  <si>
    <t>Demontáž vestavěných skříní 1křídlových</t>
  </si>
  <si>
    <t>103</t>
  </si>
  <si>
    <t>766825821R00</t>
  </si>
  <si>
    <t>Demontáž vestavěných skříní 2křídlových</t>
  </si>
  <si>
    <t>104</t>
  </si>
  <si>
    <t>766661112R00</t>
  </si>
  <si>
    <t>Montáž dveří do zárubně,otevíravých 1kř.do 0,8 m</t>
  </si>
  <si>
    <t>105</t>
  </si>
  <si>
    <t>766661412R00</t>
  </si>
  <si>
    <t>Montáž dveří protipožár.1kř.do 80 cm, s kukátkem</t>
  </si>
  <si>
    <t>106</t>
  </si>
  <si>
    <t>766812115R00</t>
  </si>
  <si>
    <t>Montáž kuchyňských linek dřevěných linek š.do 2,4m</t>
  </si>
  <si>
    <t>107</t>
  </si>
  <si>
    <t>766. 1</t>
  </si>
  <si>
    <t>Dodávka kuchyňská linka - dle schématu " kuchyně Brodská "</t>
  </si>
  <si>
    <t>108</t>
  </si>
  <si>
    <t>766. 2</t>
  </si>
  <si>
    <t>Demontáž garnýže, vč. likvidace</t>
  </si>
  <si>
    <t>ks</t>
  </si>
  <si>
    <t>109</t>
  </si>
  <si>
    <t>766695212R00</t>
  </si>
  <si>
    <t>Montáž prahů dveří jednokřídlových š. do 10 cm</t>
  </si>
  <si>
    <t>vstupní dveře</t>
  </si>
  <si>
    <t>110</t>
  </si>
  <si>
    <t>6116. 1</t>
  </si>
  <si>
    <t>Dveře vnitřní hladké 1 křídl. bílé, 2/3 sklo 800 x 1970 mm, CPL, DTD výplň, sklo bezpečnostní, kování, zámek - vše dle standarů</t>
  </si>
  <si>
    <t>111</t>
  </si>
  <si>
    <t>6116. 3</t>
  </si>
  <si>
    <t>Dveře vnitřní hladké 1 křídl. bílé, plné  800 x 1970 mm, CPL, DTD , kování, zámek - vše dle standarů</t>
  </si>
  <si>
    <t>112</t>
  </si>
  <si>
    <t>6116. 2</t>
  </si>
  <si>
    <t>Dveře vnitřní vchodové  800 x 1970 mm, EW EI 30 min, bezpeč. kování a zámek, kukátko - vše dle standardů</t>
  </si>
  <si>
    <t>113</t>
  </si>
  <si>
    <t>61187396</t>
  </si>
  <si>
    <t>Prah bukový dl. 800 mm, š. 100 mm, tl. 20 mm, dle standardů</t>
  </si>
  <si>
    <t>114</t>
  </si>
  <si>
    <t>998766102R00</t>
  </si>
  <si>
    <t>Přesun hmot pro truhlářské konstr., výšky do 12 m</t>
  </si>
  <si>
    <t>771</t>
  </si>
  <si>
    <t>Podlahy z dlaždic</t>
  </si>
  <si>
    <t>115</t>
  </si>
  <si>
    <t>771101210R00</t>
  </si>
  <si>
    <t>Penetrace podkladu pod dlažby</t>
  </si>
  <si>
    <t>771_</t>
  </si>
  <si>
    <t>_77_</t>
  </si>
  <si>
    <t>116</t>
  </si>
  <si>
    <t>771101116R00</t>
  </si>
  <si>
    <t>Vyrovnání podkladů samonivelační hmotou tloušťky do 30 mm</t>
  </si>
  <si>
    <t>2,6</t>
  </si>
  <si>
    <t>117</t>
  </si>
  <si>
    <t>771575109R00</t>
  </si>
  <si>
    <t>Montáž keramické dlažby, hladké, na tmel, 300 x 300 m</t>
  </si>
  <si>
    <t>118</t>
  </si>
  <si>
    <t>771579791R00</t>
  </si>
  <si>
    <t>Příplatek za plochu podlah keram. do 5 m2 jednotl.</t>
  </si>
  <si>
    <t>119</t>
  </si>
  <si>
    <t>771578011R00</t>
  </si>
  <si>
    <t>Spára podlaha - stěna, silikonem</t>
  </si>
  <si>
    <t>koupelna vodorovně</t>
  </si>
  <si>
    <t>4*2,1</t>
  </si>
  <si>
    <t>0,6*2</t>
  </si>
  <si>
    <t>kuchyň. linka</t>
  </si>
  <si>
    <t>120</t>
  </si>
  <si>
    <t>59764231</t>
  </si>
  <si>
    <t>Dlažba protiskluzná 300 x 300 x 9 mm, dle vzorkování, dle standardů</t>
  </si>
  <si>
    <t>121</t>
  </si>
  <si>
    <t>998771102R00</t>
  </si>
  <si>
    <t>Přesun hmot pro podlahy z dlaždic, výšky do 12 m</t>
  </si>
  <si>
    <t>776</t>
  </si>
  <si>
    <t>Podlahy povlakové</t>
  </si>
  <si>
    <t>122</t>
  </si>
  <si>
    <t>776401800R00</t>
  </si>
  <si>
    <t>Demontáž soklíků nebo lišt, pryžových nebo z PVC</t>
  </si>
  <si>
    <t>776_</t>
  </si>
  <si>
    <t>(1,795+1,65)*2-0,8*3</t>
  </si>
  <si>
    <t>stávající chodba</t>
  </si>
  <si>
    <t>(3,525+4,2)*2-0,8</t>
  </si>
  <si>
    <t>(3,5+2,475)*2-0,8</t>
  </si>
  <si>
    <t>123</t>
  </si>
  <si>
    <t>776511810R00</t>
  </si>
  <si>
    <t>Odstranění PVC a koberců lepených bez podložky</t>
  </si>
  <si>
    <t>1,795*1,65</t>
  </si>
  <si>
    <t>3,525*4,2</t>
  </si>
  <si>
    <t>3,5*2,475</t>
  </si>
  <si>
    <t>124</t>
  </si>
  <si>
    <t>776421100RU1</t>
  </si>
  <si>
    <t>Lepení podlahových soklíků z PVC a vinylu</t>
  </si>
  <si>
    <t>včetně dodávky soklíku PVC</t>
  </si>
  <si>
    <t>125</t>
  </si>
  <si>
    <t>776521200R00</t>
  </si>
  <si>
    <t>Lepení povlakových podlah z dílců PVC a CV (vinyl)</t>
  </si>
  <si>
    <t>126</t>
  </si>
  <si>
    <t>776. 1</t>
  </si>
  <si>
    <t>Provedení spoje PVC - dlažba bez přechodových lišt</t>
  </si>
  <si>
    <t>127</t>
  </si>
  <si>
    <t>2841</t>
  </si>
  <si>
    <t>Dodávka podlahovina PVC - dle Standardu a vzorkování</t>
  </si>
  <si>
    <t>26,429*1,1</t>
  </si>
  <si>
    <t>128</t>
  </si>
  <si>
    <t>998776102R00</t>
  </si>
  <si>
    <t>Přesun hmot pro podlahy povlakové, výšky do 12 m</t>
  </si>
  <si>
    <t>777</t>
  </si>
  <si>
    <t>Podlahy ze syntetických hmot</t>
  </si>
  <si>
    <t>129</t>
  </si>
  <si>
    <t>777553010R00</t>
  </si>
  <si>
    <t>Penetrace savého podkladu disperzí</t>
  </si>
  <si>
    <t>777_</t>
  </si>
  <si>
    <t>130</t>
  </si>
  <si>
    <t>777553210R00</t>
  </si>
  <si>
    <t>Vyrovnání podlah, samonivel. hmota  tl. 2mm</t>
  </si>
  <si>
    <t>131</t>
  </si>
  <si>
    <t>998777102R00</t>
  </si>
  <si>
    <t>Přesun hmot pro podlahy syntetické, výšky do 12 m</t>
  </si>
  <si>
    <t>781</t>
  </si>
  <si>
    <t>Obklady (keramické)</t>
  </si>
  <si>
    <t>132</t>
  </si>
  <si>
    <t>781475115R00</t>
  </si>
  <si>
    <t>Obklad vnitřní stěn keramický, do tmele, 25x25 cm</t>
  </si>
  <si>
    <t>781_</t>
  </si>
  <si>
    <t>_78_</t>
  </si>
  <si>
    <t>(1+1)*0,3</t>
  </si>
  <si>
    <t>133</t>
  </si>
  <si>
    <t>781419711R00</t>
  </si>
  <si>
    <t>Příplatek k obkladu stěn za plochu do 10 m2 jedntl</t>
  </si>
  <si>
    <t>134</t>
  </si>
  <si>
    <t>781111111R00</t>
  </si>
  <si>
    <t>Řezání obkladaček diamantovým kotoučem</t>
  </si>
  <si>
    <t>3*1,8+2,1</t>
  </si>
  <si>
    <t>135</t>
  </si>
  <si>
    <t>781111116R00</t>
  </si>
  <si>
    <t>Otvor v obkladačce diamant.korunkou prům.do 90 mm</t>
  </si>
  <si>
    <t>136</t>
  </si>
  <si>
    <t>5978</t>
  </si>
  <si>
    <t>Obkládačka  200 x 250 mm, dle vzorkování</t>
  </si>
  <si>
    <t>13,555*1,1</t>
  </si>
  <si>
    <t>137</t>
  </si>
  <si>
    <t>998781102R00</t>
  </si>
  <si>
    <t>Přesun hmot pro obklady keramické, výšky do 12 m</t>
  </si>
  <si>
    <t>783</t>
  </si>
  <si>
    <t>Nátěry</t>
  </si>
  <si>
    <t>138</t>
  </si>
  <si>
    <t>783222100RV1</t>
  </si>
  <si>
    <t>Nátěr syntetický kovových konstrukcí dvojnásobný</t>
  </si>
  <si>
    <t>783_</t>
  </si>
  <si>
    <t>zárubně - dle standardů</t>
  </si>
  <si>
    <t>139</t>
  </si>
  <si>
    <t>7836</t>
  </si>
  <si>
    <t>Očištění radiátorů před nátěrem</t>
  </si>
  <si>
    <t>140</t>
  </si>
  <si>
    <t>783324140R00</t>
  </si>
  <si>
    <t>Nátěr syntetický litin. radiátorů 1x + 1x email</t>
  </si>
  <si>
    <t>784</t>
  </si>
  <si>
    <t>Malby</t>
  </si>
  <si>
    <t>141</t>
  </si>
  <si>
    <t>784402801R00</t>
  </si>
  <si>
    <t>Odstranění malby oškrábáním v místnosti H do 3,8 m</t>
  </si>
  <si>
    <t>784_</t>
  </si>
  <si>
    <t>strop</t>
  </si>
  <si>
    <t>stěny  chodba</t>
  </si>
  <si>
    <t>(1,575+1,65)*2*0,5</t>
  </si>
  <si>
    <t>(3,5*2,475)*2*2,6-1,5*1,35-0,8*2*2</t>
  </si>
  <si>
    <t>(3,525+4,2)*2*2,6-0,8*2-1,5*1,35</t>
  </si>
  <si>
    <t>(0,9*2,2*2)*0,35</t>
  </si>
  <si>
    <t>142</t>
  </si>
  <si>
    <t>784161401R00</t>
  </si>
  <si>
    <t>Penetrace podkladu nátěrem , 1 x</t>
  </si>
  <si>
    <t>143</t>
  </si>
  <si>
    <t>784165512R00</t>
  </si>
  <si>
    <t>Malba bílá, bez penetrace, 2 x - dle standardů</t>
  </si>
  <si>
    <t>29+98</t>
  </si>
  <si>
    <t>M21</t>
  </si>
  <si>
    <t>Elektromontáže</t>
  </si>
  <si>
    <t>144</t>
  </si>
  <si>
    <t>210. 1</t>
  </si>
  <si>
    <t>Montáž sporáku</t>
  </si>
  <si>
    <t>M21_</t>
  </si>
  <si>
    <t>145</t>
  </si>
  <si>
    <t>210. 2</t>
  </si>
  <si>
    <t>Dodávka sporák elektrický</t>
  </si>
  <si>
    <t>146</t>
  </si>
  <si>
    <t>210. 3</t>
  </si>
  <si>
    <t>Dod + montáž digestoře recirkulační</t>
  </si>
  <si>
    <t>147</t>
  </si>
  <si>
    <t>210. 4</t>
  </si>
  <si>
    <t>D + M požární hlásič bateriový - životnost baterie min. 5 let</t>
  </si>
  <si>
    <t>148</t>
  </si>
  <si>
    <t>210. 5</t>
  </si>
  <si>
    <t>D + M elektroinstalace dle PD</t>
  </si>
  <si>
    <t>VORN</t>
  </si>
  <si>
    <t>03VRN</t>
  </si>
  <si>
    <t>149</t>
  </si>
  <si>
    <t>030001VRN</t>
  </si>
  <si>
    <t>Soubor</t>
  </si>
  <si>
    <t>03VRN_</t>
  </si>
  <si>
    <t>_Â _</t>
  </si>
  <si>
    <t>06VRN</t>
  </si>
  <si>
    <t>150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</si>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</sst>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00000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131-2024 Revoluční 1871/30  byt č. 30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150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rozpočet'!AB12:AB287)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rozpočet'!AC12:AC287)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rozpočet'!AD12:AD287)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rozpočet'!AE12:AE287)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rozpočet'!AF12:AF287)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rozpočet'!AG12:AG287)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rozpočet'!AH12:AH287)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rozpočet'!Z12:Z287)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rozpočet'!AJ12:AJ287)</f>
        <v>0</v>
      </c>
    </row>
    <row r="28" spans="1:9" ht="15.75">
      <c r="A28" s="101" t="s">
        <v>46</v>
      </c>
      <c r="B28" s="102"/>
      <c r="C28" s="18">
        <f>SUM('Stavební rozpočet'!AK12:AK287)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rozpočet'!AL12:AL287)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131-2024 Revoluční 1871/30  byt č. 30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150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rozpočet'!BM12:BM287)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rozpočet'!BN12:BN287)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rozpočet'!BO12:BO287)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rozpočet'!BP12:BP287)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rozpočet'!BQ12:BQ287)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rozpočet'!BR12:BR287)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rozpočet'!BS12:BS287)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rozpočet'!BT12:BT287)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rozpočet'!BU12:BU287)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rozpočet'!BV12:BV287)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90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H13+H26+H68+H74+H82+H117+H119+H131+H146+H158+H188+H191+H208+H221+H240+H247+H260+H265+H277+H284+H286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SUM(H14:H24)</f>
        <v>0</v>
      </c>
      <c r="J13" s="41"/>
      <c r="AI13" s="35" t="s">
        <v>4</v>
      </c>
      <c r="AS13" s="28">
        <f>SUM(AJ14:AJ24)</f>
        <v>0</v>
      </c>
      <c r="AT13" s="28">
        <f>SUM(AK14:AK24)</f>
        <v>0</v>
      </c>
      <c r="AU13" s="28">
        <f>SUM(AL14:AL24)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2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G14*0.460521739</f>
        <v>0</v>
      </c>
      <c r="AP14" s="51">
        <f>G14*(1-0.460521739)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 ht="13.5" customHeight="1">
      <c r="A15" s="54"/>
      <c r="B15" s="55" t="s">
        <v>118</v>
      </c>
      <c r="C15" s="152" t="s">
        <v>119</v>
      </c>
      <c r="D15" s="153"/>
      <c r="E15" s="153"/>
      <c r="F15" s="153"/>
      <c r="G15" s="154"/>
      <c r="H15" s="153"/>
      <c r="I15" s="153"/>
      <c r="J15" s="155"/>
    </row>
    <row r="16" spans="1:76">
      <c r="A16" s="54"/>
      <c r="C16" s="56" t="s">
        <v>120</v>
      </c>
      <c r="D16" s="57" t="s">
        <v>121</v>
      </c>
      <c r="F16" s="58">
        <v>2</v>
      </c>
      <c r="J16" s="41"/>
    </row>
    <row r="17" spans="1:76">
      <c r="A17" s="1" t="s">
        <v>120</v>
      </c>
      <c r="B17" s="2" t="s">
        <v>122</v>
      </c>
      <c r="C17" s="75" t="s">
        <v>123</v>
      </c>
      <c r="D17" s="70"/>
      <c r="E17" s="2" t="s">
        <v>124</v>
      </c>
      <c r="F17" s="51">
        <v>12.387</v>
      </c>
      <c r="G17" s="52">
        <v>0</v>
      </c>
      <c r="H17" s="51">
        <f>F17*G17</f>
        <v>0</v>
      </c>
      <c r="J17" s="41"/>
      <c r="Z17" s="51">
        <f>IF(AQ17="5",BJ17,0)</f>
        <v>0</v>
      </c>
      <c r="AB17" s="51">
        <f>IF(AQ17="1",BH17,0)</f>
        <v>0</v>
      </c>
      <c r="AC17" s="51">
        <f>IF(AQ17="1",BI17,0)</f>
        <v>0</v>
      </c>
      <c r="AD17" s="51">
        <f>IF(AQ17="7",BH17,0)</f>
        <v>0</v>
      </c>
      <c r="AE17" s="51">
        <f>IF(AQ17="7",BI17,0)</f>
        <v>0</v>
      </c>
      <c r="AF17" s="51">
        <f>IF(AQ17="2",BH17,0)</f>
        <v>0</v>
      </c>
      <c r="AG17" s="51">
        <f>IF(AQ17="2",BI17,0)</f>
        <v>0</v>
      </c>
      <c r="AH17" s="51">
        <f>IF(AQ17="0",BJ17,0)</f>
        <v>0</v>
      </c>
      <c r="AI17" s="35" t="s">
        <v>4</v>
      </c>
      <c r="AJ17" s="51">
        <f>IF(AN17=0,H17,0)</f>
        <v>0</v>
      </c>
      <c r="AK17" s="51">
        <f>IF(AN17=12,H17,0)</f>
        <v>0</v>
      </c>
      <c r="AL17" s="51">
        <f>IF(AN17=21,H17,0)</f>
        <v>0</v>
      </c>
      <c r="AN17" s="51">
        <v>12</v>
      </c>
      <c r="AO17" s="51">
        <f>G17*0.671427424</f>
        <v>0</v>
      </c>
      <c r="AP17" s="51">
        <f>G17*(1-0.671427424)</f>
        <v>0</v>
      </c>
      <c r="AQ17" s="53" t="s">
        <v>111</v>
      </c>
      <c r="AV17" s="51">
        <f>AW17+AX17</f>
        <v>0</v>
      </c>
      <c r="AW17" s="51">
        <f>F17*AO17</f>
        <v>0</v>
      </c>
      <c r="AX17" s="51">
        <f>F17*AP17</f>
        <v>0</v>
      </c>
      <c r="AY17" s="53" t="s">
        <v>115</v>
      </c>
      <c r="AZ17" s="53" t="s">
        <v>116</v>
      </c>
      <c r="BA17" s="35" t="s">
        <v>117</v>
      </c>
      <c r="BC17" s="51">
        <f>AW17+AX17</f>
        <v>0</v>
      </c>
      <c r="BD17" s="51">
        <f>G17/(100-BE17)*100</f>
        <v>0</v>
      </c>
      <c r="BE17" s="51">
        <v>0</v>
      </c>
      <c r="BF17" s="51">
        <f>17</f>
        <v>17</v>
      </c>
      <c r="BH17" s="51">
        <f>F17*AO17</f>
        <v>0</v>
      </c>
      <c r="BI17" s="51">
        <f>F17*AP17</f>
        <v>0</v>
      </c>
      <c r="BJ17" s="51">
        <f>F17*G17</f>
        <v>0</v>
      </c>
      <c r="BK17" s="51"/>
      <c r="BL17" s="51">
        <v>34</v>
      </c>
      <c r="BW17" s="51">
        <v>12</v>
      </c>
      <c r="BX17" s="3" t="s">
        <v>123</v>
      </c>
    </row>
    <row r="18" spans="1:76">
      <c r="A18" s="54"/>
      <c r="C18" s="56" t="s">
        <v>125</v>
      </c>
      <c r="D18" s="57" t="s">
        <v>4</v>
      </c>
      <c r="F18" s="58">
        <v>15.587</v>
      </c>
      <c r="J18" s="41"/>
    </row>
    <row r="19" spans="1:76">
      <c r="A19" s="54"/>
      <c r="C19" s="56" t="s">
        <v>126</v>
      </c>
      <c r="D19" s="57" t="s">
        <v>4</v>
      </c>
      <c r="F19" s="58">
        <v>-3.2</v>
      </c>
      <c r="J19" s="41"/>
    </row>
    <row r="20" spans="1:76">
      <c r="A20" s="1" t="s">
        <v>127</v>
      </c>
      <c r="B20" s="2" t="s">
        <v>128</v>
      </c>
      <c r="C20" s="75" t="s">
        <v>129</v>
      </c>
      <c r="D20" s="70"/>
      <c r="E20" s="2" t="s">
        <v>114</v>
      </c>
      <c r="F20" s="51">
        <v>2</v>
      </c>
      <c r="G20" s="52">
        <v>0</v>
      </c>
      <c r="H20" s="51">
        <f>F20*G20</f>
        <v>0</v>
      </c>
      <c r="J20" s="41"/>
      <c r="Z20" s="51">
        <f>IF(AQ20="5",BJ20,0)</f>
        <v>0</v>
      </c>
      <c r="AB20" s="51">
        <f>IF(AQ20="1",BH20,0)</f>
        <v>0</v>
      </c>
      <c r="AC20" s="51">
        <f>IF(AQ20="1",BI20,0)</f>
        <v>0</v>
      </c>
      <c r="AD20" s="51">
        <f>IF(AQ20="7",BH20,0)</f>
        <v>0</v>
      </c>
      <c r="AE20" s="51">
        <f>IF(AQ20="7",BI20,0)</f>
        <v>0</v>
      </c>
      <c r="AF20" s="51">
        <f>IF(AQ20="2",BH20,0)</f>
        <v>0</v>
      </c>
      <c r="AG20" s="51">
        <f>IF(AQ20="2",BI20,0)</f>
        <v>0</v>
      </c>
      <c r="AH20" s="51">
        <f>IF(AQ20="0",BJ20,0)</f>
        <v>0</v>
      </c>
      <c r="AI20" s="35" t="s">
        <v>4</v>
      </c>
      <c r="AJ20" s="51">
        <f>IF(AN20=0,H20,0)</f>
        <v>0</v>
      </c>
      <c r="AK20" s="51">
        <f>IF(AN20=12,H20,0)</f>
        <v>0</v>
      </c>
      <c r="AL20" s="51">
        <f>IF(AN20=21,H20,0)</f>
        <v>0</v>
      </c>
      <c r="AN20" s="51">
        <v>12</v>
      </c>
      <c r="AO20" s="51">
        <f>G20*0.863109072</f>
        <v>0</v>
      </c>
      <c r="AP20" s="51">
        <f>G20*(1-0.863109072)</f>
        <v>0</v>
      </c>
      <c r="AQ20" s="53" t="s">
        <v>111</v>
      </c>
      <c r="AV20" s="51">
        <f>AW20+AX20</f>
        <v>0</v>
      </c>
      <c r="AW20" s="51">
        <f>F20*AO20</f>
        <v>0</v>
      </c>
      <c r="AX20" s="51">
        <f>F20*AP20</f>
        <v>0</v>
      </c>
      <c r="AY20" s="53" t="s">
        <v>115</v>
      </c>
      <c r="AZ20" s="53" t="s">
        <v>116</v>
      </c>
      <c r="BA20" s="35" t="s">
        <v>117</v>
      </c>
      <c r="BC20" s="51">
        <f>AW20+AX20</f>
        <v>0</v>
      </c>
      <c r="BD20" s="51">
        <f>G20/(100-BE20)*100</f>
        <v>0</v>
      </c>
      <c r="BE20" s="51">
        <v>0</v>
      </c>
      <c r="BF20" s="51">
        <f>20</f>
        <v>20</v>
      </c>
      <c r="BH20" s="51">
        <f>F20*AO20</f>
        <v>0</v>
      </c>
      <c r="BI20" s="51">
        <f>F20*AP20</f>
        <v>0</v>
      </c>
      <c r="BJ20" s="51">
        <f>F20*G20</f>
        <v>0</v>
      </c>
      <c r="BK20" s="51"/>
      <c r="BL20" s="51">
        <v>34</v>
      </c>
      <c r="BW20" s="51">
        <v>12</v>
      </c>
      <c r="BX20" s="3" t="s">
        <v>129</v>
      </c>
    </row>
    <row r="21" spans="1:76" ht="13.5" customHeight="1">
      <c r="A21" s="54"/>
      <c r="B21" s="55" t="s">
        <v>118</v>
      </c>
      <c r="C21" s="152" t="s">
        <v>130</v>
      </c>
      <c r="D21" s="153"/>
      <c r="E21" s="153"/>
      <c r="F21" s="153"/>
      <c r="G21" s="154"/>
      <c r="H21" s="153"/>
      <c r="I21" s="153"/>
      <c r="J21" s="155"/>
    </row>
    <row r="22" spans="1:76">
      <c r="A22" s="1" t="s">
        <v>131</v>
      </c>
      <c r="B22" s="2" t="s">
        <v>132</v>
      </c>
      <c r="C22" s="75" t="s">
        <v>133</v>
      </c>
      <c r="D22" s="70"/>
      <c r="E22" s="2" t="s">
        <v>134</v>
      </c>
      <c r="F22" s="51">
        <v>7.8</v>
      </c>
      <c r="G22" s="52">
        <v>0</v>
      </c>
      <c r="H22" s="51">
        <f>F22*G22</f>
        <v>0</v>
      </c>
      <c r="J22" s="41"/>
      <c r="Z22" s="51">
        <f>IF(AQ22="5",BJ22,0)</f>
        <v>0</v>
      </c>
      <c r="AB22" s="51">
        <f>IF(AQ22="1",BH22,0)</f>
        <v>0</v>
      </c>
      <c r="AC22" s="51">
        <f>IF(AQ22="1",BI22,0)</f>
        <v>0</v>
      </c>
      <c r="AD22" s="51">
        <f>IF(AQ22="7",BH22,0)</f>
        <v>0</v>
      </c>
      <c r="AE22" s="51">
        <f>IF(AQ22="7",BI22,0)</f>
        <v>0</v>
      </c>
      <c r="AF22" s="51">
        <f>IF(AQ22="2",BH22,0)</f>
        <v>0</v>
      </c>
      <c r="AG22" s="51">
        <f>IF(AQ22="2",BI22,0)</f>
        <v>0</v>
      </c>
      <c r="AH22" s="51">
        <f>IF(AQ22="0",BJ22,0)</f>
        <v>0</v>
      </c>
      <c r="AI22" s="35" t="s">
        <v>4</v>
      </c>
      <c r="AJ22" s="51">
        <f>IF(AN22=0,H22,0)</f>
        <v>0</v>
      </c>
      <c r="AK22" s="51">
        <f>IF(AN22=12,H22,0)</f>
        <v>0</v>
      </c>
      <c r="AL22" s="51">
        <f>IF(AN22=21,H22,0)</f>
        <v>0</v>
      </c>
      <c r="AN22" s="51">
        <v>12</v>
      </c>
      <c r="AO22" s="51">
        <f>G22*0.211238095</f>
        <v>0</v>
      </c>
      <c r="AP22" s="51">
        <f>G22*(1-0.211238095)</f>
        <v>0</v>
      </c>
      <c r="AQ22" s="53" t="s">
        <v>111</v>
      </c>
      <c r="AV22" s="51">
        <f>AW22+AX22</f>
        <v>0</v>
      </c>
      <c r="AW22" s="51">
        <f>F22*AO22</f>
        <v>0</v>
      </c>
      <c r="AX22" s="51">
        <f>F22*AP22</f>
        <v>0</v>
      </c>
      <c r="AY22" s="53" t="s">
        <v>115</v>
      </c>
      <c r="AZ22" s="53" t="s">
        <v>116</v>
      </c>
      <c r="BA22" s="35" t="s">
        <v>117</v>
      </c>
      <c r="BC22" s="51">
        <f>AW22+AX22</f>
        <v>0</v>
      </c>
      <c r="BD22" s="51">
        <f>G22/(100-BE22)*100</f>
        <v>0</v>
      </c>
      <c r="BE22" s="51">
        <v>0</v>
      </c>
      <c r="BF22" s="51">
        <f>22</f>
        <v>22</v>
      </c>
      <c r="BH22" s="51">
        <f>F22*AO22</f>
        <v>0</v>
      </c>
      <c r="BI22" s="51">
        <f>F22*AP22</f>
        <v>0</v>
      </c>
      <c r="BJ22" s="51">
        <f>F22*G22</f>
        <v>0</v>
      </c>
      <c r="BK22" s="51"/>
      <c r="BL22" s="51">
        <v>34</v>
      </c>
      <c r="BW22" s="51">
        <v>12</v>
      </c>
      <c r="BX22" s="3" t="s">
        <v>133</v>
      </c>
    </row>
    <row r="23" spans="1:76">
      <c r="A23" s="54"/>
      <c r="C23" s="56" t="s">
        <v>135</v>
      </c>
      <c r="D23" s="57" t="s">
        <v>136</v>
      </c>
      <c r="F23" s="58">
        <v>7.8</v>
      </c>
      <c r="J23" s="41"/>
    </row>
    <row r="24" spans="1:76">
      <c r="A24" s="1" t="s">
        <v>137</v>
      </c>
      <c r="B24" s="2" t="s">
        <v>138</v>
      </c>
      <c r="C24" s="75" t="s">
        <v>139</v>
      </c>
      <c r="D24" s="70"/>
      <c r="E24" s="2" t="s">
        <v>134</v>
      </c>
      <c r="F24" s="51">
        <v>5.9950000000000001</v>
      </c>
      <c r="G24" s="52">
        <v>0</v>
      </c>
      <c r="H24" s="51">
        <f>F24*G24</f>
        <v>0</v>
      </c>
      <c r="J24" s="41"/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IF(AN24=0,H24,0)</f>
        <v>0</v>
      </c>
      <c r="AK24" s="51">
        <f>IF(AN24=12,H24,0)</f>
        <v>0</v>
      </c>
      <c r="AL24" s="51">
        <f>IF(AN24=21,H24,0)</f>
        <v>0</v>
      </c>
      <c r="AN24" s="51">
        <v>12</v>
      </c>
      <c r="AO24" s="51">
        <f>G24*0.182774888</f>
        <v>0</v>
      </c>
      <c r="AP24" s="51">
        <f>G24*(1-0.182774888)</f>
        <v>0</v>
      </c>
      <c r="AQ24" s="53" t="s">
        <v>111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115</v>
      </c>
      <c r="AZ24" s="53" t="s">
        <v>116</v>
      </c>
      <c r="BA24" s="35" t="s">
        <v>117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34</v>
      </c>
      <c r="BW24" s="51">
        <v>12</v>
      </c>
      <c r="BX24" s="3" t="s">
        <v>139</v>
      </c>
    </row>
    <row r="25" spans="1:76">
      <c r="A25" s="54"/>
      <c r="C25" s="56" t="s">
        <v>140</v>
      </c>
      <c r="D25" s="57" t="s">
        <v>4</v>
      </c>
      <c r="F25" s="58">
        <v>5.9950000000000001</v>
      </c>
      <c r="J25" s="41"/>
    </row>
    <row r="26" spans="1:76">
      <c r="A26" s="47" t="s">
        <v>4</v>
      </c>
      <c r="B26" s="48" t="s">
        <v>141</v>
      </c>
      <c r="C26" s="150" t="s">
        <v>142</v>
      </c>
      <c r="D26" s="151"/>
      <c r="E26" s="49" t="s">
        <v>79</v>
      </c>
      <c r="F26" s="49" t="s">
        <v>79</v>
      </c>
      <c r="G26" s="50" t="s">
        <v>79</v>
      </c>
      <c r="H26" s="28">
        <f>SUM(H27:H62)</f>
        <v>0</v>
      </c>
      <c r="J26" s="41"/>
      <c r="AI26" s="35" t="s">
        <v>4</v>
      </c>
      <c r="AS26" s="28">
        <f>SUM(AJ27:AJ62)</f>
        <v>0</v>
      </c>
      <c r="AT26" s="28">
        <f>SUM(AK27:AK62)</f>
        <v>0</v>
      </c>
      <c r="AU26" s="28">
        <f>SUM(AL27:AL62)</f>
        <v>0</v>
      </c>
    </row>
    <row r="27" spans="1:76">
      <c r="A27" s="1" t="s">
        <v>143</v>
      </c>
      <c r="B27" s="2" t="s">
        <v>144</v>
      </c>
      <c r="C27" s="75" t="s">
        <v>145</v>
      </c>
      <c r="D27" s="70"/>
      <c r="E27" s="2" t="s">
        <v>124</v>
      </c>
      <c r="F27" s="51">
        <v>28.75</v>
      </c>
      <c r="G27" s="52">
        <v>0</v>
      </c>
      <c r="H27" s="51">
        <f>F27*G27</f>
        <v>0</v>
      </c>
      <c r="J27" s="41"/>
      <c r="Z27" s="51">
        <f>IF(AQ27="5",BJ27,0)</f>
        <v>0</v>
      </c>
      <c r="AB27" s="51">
        <f>IF(AQ27="1",BH27,0)</f>
        <v>0</v>
      </c>
      <c r="AC27" s="51">
        <f>IF(AQ27="1",BI27,0)</f>
        <v>0</v>
      </c>
      <c r="AD27" s="51">
        <f>IF(AQ27="7",BH27,0)</f>
        <v>0</v>
      </c>
      <c r="AE27" s="51">
        <f>IF(AQ27="7",BI27,0)</f>
        <v>0</v>
      </c>
      <c r="AF27" s="51">
        <f>IF(AQ27="2",BH27,0)</f>
        <v>0</v>
      </c>
      <c r="AG27" s="51">
        <f>IF(AQ27="2",BI27,0)</f>
        <v>0</v>
      </c>
      <c r="AH27" s="51">
        <f>IF(AQ27="0",BJ27,0)</f>
        <v>0</v>
      </c>
      <c r="AI27" s="35" t="s">
        <v>4</v>
      </c>
      <c r="AJ27" s="51">
        <f>IF(AN27=0,H27,0)</f>
        <v>0</v>
      </c>
      <c r="AK27" s="51">
        <f>IF(AN27=12,H27,0)</f>
        <v>0</v>
      </c>
      <c r="AL27" s="51">
        <f>IF(AN27=21,H27,0)</f>
        <v>0</v>
      </c>
      <c r="AN27" s="51">
        <v>12</v>
      </c>
      <c r="AO27" s="51">
        <f>G27*0.145294118</f>
        <v>0</v>
      </c>
      <c r="AP27" s="51">
        <f>G27*(1-0.145294118)</f>
        <v>0</v>
      </c>
      <c r="AQ27" s="53" t="s">
        <v>111</v>
      </c>
      <c r="AV27" s="51">
        <f>AW27+AX27</f>
        <v>0</v>
      </c>
      <c r="AW27" s="51">
        <f>F27*AO27</f>
        <v>0</v>
      </c>
      <c r="AX27" s="51">
        <f>F27*AP27</f>
        <v>0</v>
      </c>
      <c r="AY27" s="53" t="s">
        <v>146</v>
      </c>
      <c r="AZ27" s="53" t="s">
        <v>147</v>
      </c>
      <c r="BA27" s="35" t="s">
        <v>117</v>
      </c>
      <c r="BC27" s="51">
        <f>AW27+AX27</f>
        <v>0</v>
      </c>
      <c r="BD27" s="51">
        <f>G27/(100-BE27)*100</f>
        <v>0</v>
      </c>
      <c r="BE27" s="51">
        <v>0</v>
      </c>
      <c r="BF27" s="51">
        <f>27</f>
        <v>27</v>
      </c>
      <c r="BH27" s="51">
        <f>F27*AO27</f>
        <v>0</v>
      </c>
      <c r="BI27" s="51">
        <f>F27*AP27</f>
        <v>0</v>
      </c>
      <c r="BJ27" s="51">
        <f>F27*G27</f>
        <v>0</v>
      </c>
      <c r="BK27" s="51"/>
      <c r="BL27" s="51">
        <v>61</v>
      </c>
      <c r="BW27" s="51">
        <v>12</v>
      </c>
      <c r="BX27" s="3" t="s">
        <v>145</v>
      </c>
    </row>
    <row r="28" spans="1:76">
      <c r="A28" s="54"/>
      <c r="C28" s="56" t="s">
        <v>148</v>
      </c>
      <c r="D28" s="57" t="s">
        <v>4</v>
      </c>
      <c r="F28" s="58">
        <v>28.75</v>
      </c>
      <c r="J28" s="41"/>
    </row>
    <row r="29" spans="1:76">
      <c r="A29" s="1" t="s">
        <v>149</v>
      </c>
      <c r="B29" s="2" t="s">
        <v>150</v>
      </c>
      <c r="C29" s="75" t="s">
        <v>151</v>
      </c>
      <c r="D29" s="70"/>
      <c r="E29" s="2" t="s">
        <v>134</v>
      </c>
      <c r="F29" s="51">
        <v>12.6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G29*0.15122807</f>
        <v>0</v>
      </c>
      <c r="AP29" s="51">
        <f>G29*(1-0.15122807)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146</v>
      </c>
      <c r="AZ29" s="53" t="s">
        <v>147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151</v>
      </c>
    </row>
    <row r="30" spans="1:76">
      <c r="A30" s="54"/>
      <c r="C30" s="56" t="s">
        <v>152</v>
      </c>
      <c r="D30" s="57" t="s">
        <v>4</v>
      </c>
      <c r="F30" s="58">
        <v>12.6</v>
      </c>
      <c r="J30" s="41"/>
    </row>
    <row r="31" spans="1:76">
      <c r="A31" s="1" t="s">
        <v>153</v>
      </c>
      <c r="B31" s="2" t="s">
        <v>154</v>
      </c>
      <c r="C31" s="75" t="s">
        <v>155</v>
      </c>
      <c r="D31" s="70"/>
      <c r="E31" s="2" t="s">
        <v>124</v>
      </c>
      <c r="F31" s="51">
        <v>28.75</v>
      </c>
      <c r="G31" s="52">
        <v>0</v>
      </c>
      <c r="H31" s="51">
        <f>F31*G31</f>
        <v>0</v>
      </c>
      <c r="J31" s="41"/>
      <c r="Z31" s="51">
        <f>IF(AQ31="5",BJ31,0)</f>
        <v>0</v>
      </c>
      <c r="AB31" s="51">
        <f>IF(AQ31="1",BH31,0)</f>
        <v>0</v>
      </c>
      <c r="AC31" s="51">
        <f>IF(AQ31="1",BI31,0)</f>
        <v>0</v>
      </c>
      <c r="AD31" s="51">
        <f>IF(AQ31="7",BH31,0)</f>
        <v>0</v>
      </c>
      <c r="AE31" s="51">
        <f>IF(AQ31="7",BI31,0)</f>
        <v>0</v>
      </c>
      <c r="AF31" s="51">
        <f>IF(AQ31="2",BH31,0)</f>
        <v>0</v>
      </c>
      <c r="AG31" s="51">
        <f>IF(AQ31="2",BI31,0)</f>
        <v>0</v>
      </c>
      <c r="AH31" s="51">
        <f>IF(AQ31="0",BJ31,0)</f>
        <v>0</v>
      </c>
      <c r="AI31" s="35" t="s">
        <v>4</v>
      </c>
      <c r="AJ31" s="51">
        <f>IF(AN31=0,H31,0)</f>
        <v>0</v>
      </c>
      <c r="AK31" s="51">
        <f>IF(AN31=12,H31,0)</f>
        <v>0</v>
      </c>
      <c r="AL31" s="51">
        <f>IF(AN31=21,H31,0)</f>
        <v>0</v>
      </c>
      <c r="AN31" s="51">
        <v>12</v>
      </c>
      <c r="AO31" s="51">
        <f>G31*0.351190866</f>
        <v>0</v>
      </c>
      <c r="AP31" s="51">
        <f>G31*(1-0.351190866)</f>
        <v>0</v>
      </c>
      <c r="AQ31" s="53" t="s">
        <v>111</v>
      </c>
      <c r="AV31" s="51">
        <f>AW31+AX31</f>
        <v>0</v>
      </c>
      <c r="AW31" s="51">
        <f>F31*AO31</f>
        <v>0</v>
      </c>
      <c r="AX31" s="51">
        <f>F31*AP31</f>
        <v>0</v>
      </c>
      <c r="AY31" s="53" t="s">
        <v>146</v>
      </c>
      <c r="AZ31" s="53" t="s">
        <v>147</v>
      </c>
      <c r="BA31" s="35" t="s">
        <v>117</v>
      </c>
      <c r="BC31" s="51">
        <f>AW31+AX31</f>
        <v>0</v>
      </c>
      <c r="BD31" s="51">
        <f>G31/(100-BE31)*100</f>
        <v>0</v>
      </c>
      <c r="BE31" s="51">
        <v>0</v>
      </c>
      <c r="BF31" s="51">
        <f>31</f>
        <v>31</v>
      </c>
      <c r="BH31" s="51">
        <f>F31*AO31</f>
        <v>0</v>
      </c>
      <c r="BI31" s="51">
        <f>F31*AP31</f>
        <v>0</v>
      </c>
      <c r="BJ31" s="51">
        <f>F31*G31</f>
        <v>0</v>
      </c>
      <c r="BK31" s="51"/>
      <c r="BL31" s="51">
        <v>61</v>
      </c>
      <c r="BW31" s="51">
        <v>12</v>
      </c>
      <c r="BX31" s="3" t="s">
        <v>155</v>
      </c>
    </row>
    <row r="32" spans="1:76">
      <c r="A32" s="1" t="s">
        <v>156</v>
      </c>
      <c r="B32" s="2" t="s">
        <v>157</v>
      </c>
      <c r="C32" s="75" t="s">
        <v>158</v>
      </c>
      <c r="D32" s="70"/>
      <c r="E32" s="2" t="s">
        <v>124</v>
      </c>
      <c r="F32" s="51">
        <v>28.75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G32*0.179173513</f>
        <v>0</v>
      </c>
      <c r="AP32" s="51">
        <f>G32*(1-0.179173513)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146</v>
      </c>
      <c r="AZ32" s="53" t="s">
        <v>147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158</v>
      </c>
    </row>
    <row r="33" spans="1:76">
      <c r="A33" s="1" t="s">
        <v>159</v>
      </c>
      <c r="B33" s="2" t="s">
        <v>160</v>
      </c>
      <c r="C33" s="75" t="s">
        <v>161</v>
      </c>
      <c r="D33" s="70"/>
      <c r="E33" s="2" t="s">
        <v>124</v>
      </c>
      <c r="F33" s="51">
        <v>13.494999999999999</v>
      </c>
      <c r="G33" s="52">
        <v>0</v>
      </c>
      <c r="H33" s="51">
        <f>F33*G33</f>
        <v>0</v>
      </c>
      <c r="J33" s="41"/>
      <c r="Z33" s="51">
        <f>IF(AQ33="5",BJ33,0)</f>
        <v>0</v>
      </c>
      <c r="AB33" s="51">
        <f>IF(AQ33="1",BH33,0)</f>
        <v>0</v>
      </c>
      <c r="AC33" s="51">
        <f>IF(AQ33="1",BI33,0)</f>
        <v>0</v>
      </c>
      <c r="AD33" s="51">
        <f>IF(AQ33="7",BH33,0)</f>
        <v>0</v>
      </c>
      <c r="AE33" s="51">
        <f>IF(AQ33="7",BI33,0)</f>
        <v>0</v>
      </c>
      <c r="AF33" s="51">
        <f>IF(AQ33="2",BH33,0)</f>
        <v>0</v>
      </c>
      <c r="AG33" s="51">
        <f>IF(AQ33="2",BI33,0)</f>
        <v>0</v>
      </c>
      <c r="AH33" s="51">
        <f>IF(AQ33="0",BJ33,0)</f>
        <v>0</v>
      </c>
      <c r="AI33" s="35" t="s">
        <v>4</v>
      </c>
      <c r="AJ33" s="51">
        <f>IF(AN33=0,H33,0)</f>
        <v>0</v>
      </c>
      <c r="AK33" s="51">
        <f>IF(AN33=12,H33,0)</f>
        <v>0</v>
      </c>
      <c r="AL33" s="51">
        <f>IF(AN33=21,H33,0)</f>
        <v>0</v>
      </c>
      <c r="AN33" s="51">
        <v>12</v>
      </c>
      <c r="AO33" s="51">
        <f>G33*0.16566834</f>
        <v>0</v>
      </c>
      <c r="AP33" s="51">
        <f>G33*(1-0.16566834)</f>
        <v>0</v>
      </c>
      <c r="AQ33" s="53" t="s">
        <v>111</v>
      </c>
      <c r="AV33" s="51">
        <f>AW33+AX33</f>
        <v>0</v>
      </c>
      <c r="AW33" s="51">
        <f>F33*AO33</f>
        <v>0</v>
      </c>
      <c r="AX33" s="51">
        <f>F33*AP33</f>
        <v>0</v>
      </c>
      <c r="AY33" s="53" t="s">
        <v>146</v>
      </c>
      <c r="AZ33" s="53" t="s">
        <v>147</v>
      </c>
      <c r="BA33" s="35" t="s">
        <v>117</v>
      </c>
      <c r="BC33" s="51">
        <f>AW33+AX33</f>
        <v>0</v>
      </c>
      <c r="BD33" s="51">
        <f>G33/(100-BE33)*100</f>
        <v>0</v>
      </c>
      <c r="BE33" s="51">
        <v>0</v>
      </c>
      <c r="BF33" s="51">
        <f>33</f>
        <v>33</v>
      </c>
      <c r="BH33" s="51">
        <f>F33*AO33</f>
        <v>0</v>
      </c>
      <c r="BI33" s="51">
        <f>F33*AP33</f>
        <v>0</v>
      </c>
      <c r="BJ33" s="51">
        <f>F33*G33</f>
        <v>0</v>
      </c>
      <c r="BK33" s="51"/>
      <c r="BL33" s="51">
        <v>61</v>
      </c>
      <c r="BW33" s="51">
        <v>12</v>
      </c>
      <c r="BX33" s="3" t="s">
        <v>161</v>
      </c>
    </row>
    <row r="34" spans="1:76">
      <c r="A34" s="54"/>
      <c r="C34" s="56" t="s">
        <v>162</v>
      </c>
      <c r="D34" s="57" t="s">
        <v>163</v>
      </c>
      <c r="F34" s="58">
        <v>3.78</v>
      </c>
      <c r="J34" s="41"/>
    </row>
    <row r="35" spans="1:76">
      <c r="A35" s="54"/>
      <c r="C35" s="56" t="s">
        <v>164</v>
      </c>
      <c r="D35" s="57" t="s">
        <v>4</v>
      </c>
      <c r="F35" s="58">
        <v>6.93</v>
      </c>
      <c r="J35" s="41"/>
    </row>
    <row r="36" spans="1:76">
      <c r="A36" s="54"/>
      <c r="C36" s="56" t="s">
        <v>165</v>
      </c>
      <c r="D36" s="57" t="s">
        <v>166</v>
      </c>
      <c r="F36" s="58">
        <v>2.2050000000000001</v>
      </c>
      <c r="J36" s="41"/>
    </row>
    <row r="37" spans="1:76">
      <c r="A37" s="54"/>
      <c r="C37" s="56" t="s">
        <v>167</v>
      </c>
      <c r="D37" s="57" t="s">
        <v>4</v>
      </c>
      <c r="F37" s="58">
        <v>0.57999999999999996</v>
      </c>
      <c r="J37" s="41"/>
    </row>
    <row r="38" spans="1:76">
      <c r="A38" s="1" t="s">
        <v>168</v>
      </c>
      <c r="B38" s="2" t="s">
        <v>169</v>
      </c>
      <c r="C38" s="75" t="s">
        <v>170</v>
      </c>
      <c r="D38" s="70"/>
      <c r="E38" s="2" t="s">
        <v>124</v>
      </c>
      <c r="F38" s="51">
        <v>83.835999999999999</v>
      </c>
      <c r="G38" s="52">
        <v>0</v>
      </c>
      <c r="H38" s="51">
        <f>F38*G38</f>
        <v>0</v>
      </c>
      <c r="J38" s="41"/>
      <c r="Z38" s="51">
        <f>IF(AQ38="5",BJ38,0)</f>
        <v>0</v>
      </c>
      <c r="AB38" s="51">
        <f>IF(AQ38="1",BH38,0)</f>
        <v>0</v>
      </c>
      <c r="AC38" s="51">
        <f>IF(AQ38="1",BI38,0)</f>
        <v>0</v>
      </c>
      <c r="AD38" s="51">
        <f>IF(AQ38="7",BH38,0)</f>
        <v>0</v>
      </c>
      <c r="AE38" s="51">
        <f>IF(AQ38="7",BI38,0)</f>
        <v>0</v>
      </c>
      <c r="AF38" s="51">
        <f>IF(AQ38="2",BH38,0)</f>
        <v>0</v>
      </c>
      <c r="AG38" s="51">
        <f>IF(AQ38="2",BI38,0)</f>
        <v>0</v>
      </c>
      <c r="AH38" s="51">
        <f>IF(AQ38="0",BJ38,0)</f>
        <v>0</v>
      </c>
      <c r="AI38" s="35" t="s">
        <v>4</v>
      </c>
      <c r="AJ38" s="51">
        <f>IF(AN38=0,H38,0)</f>
        <v>0</v>
      </c>
      <c r="AK38" s="51">
        <f>IF(AN38=12,H38,0)</f>
        <v>0</v>
      </c>
      <c r="AL38" s="51">
        <f>IF(AN38=21,H38,0)</f>
        <v>0</v>
      </c>
      <c r="AN38" s="51">
        <v>12</v>
      </c>
      <c r="AO38" s="51">
        <f>G38*0.408906555</f>
        <v>0</v>
      </c>
      <c r="AP38" s="51">
        <f>G38*(1-0.408906555)</f>
        <v>0</v>
      </c>
      <c r="AQ38" s="53" t="s">
        <v>111</v>
      </c>
      <c r="AV38" s="51">
        <f>AW38+AX38</f>
        <v>0</v>
      </c>
      <c r="AW38" s="51">
        <f>F38*AO38</f>
        <v>0</v>
      </c>
      <c r="AX38" s="51">
        <f>F38*AP38</f>
        <v>0</v>
      </c>
      <c r="AY38" s="53" t="s">
        <v>146</v>
      </c>
      <c r="AZ38" s="53" t="s">
        <v>147</v>
      </c>
      <c r="BA38" s="35" t="s">
        <v>117</v>
      </c>
      <c r="BC38" s="51">
        <f>AW38+AX38</f>
        <v>0</v>
      </c>
      <c r="BD38" s="51">
        <f>G38/(100-BE38)*100</f>
        <v>0</v>
      </c>
      <c r="BE38" s="51">
        <v>0</v>
      </c>
      <c r="BF38" s="51">
        <f>38</f>
        <v>38</v>
      </c>
      <c r="BH38" s="51">
        <f>F38*AO38</f>
        <v>0</v>
      </c>
      <c r="BI38" s="51">
        <f>F38*AP38</f>
        <v>0</v>
      </c>
      <c r="BJ38" s="51">
        <f>F38*G38</f>
        <v>0</v>
      </c>
      <c r="BK38" s="51"/>
      <c r="BL38" s="51">
        <v>61</v>
      </c>
      <c r="BW38" s="51">
        <v>12</v>
      </c>
      <c r="BX38" s="3" t="s">
        <v>170</v>
      </c>
    </row>
    <row r="39" spans="1:76">
      <c r="A39" s="54"/>
      <c r="C39" s="56" t="s">
        <v>171</v>
      </c>
      <c r="D39" s="57" t="s">
        <v>172</v>
      </c>
      <c r="F39" s="58">
        <v>31.173999999999999</v>
      </c>
      <c r="J39" s="41"/>
    </row>
    <row r="40" spans="1:76">
      <c r="A40" s="54"/>
      <c r="C40" s="56" t="s">
        <v>173</v>
      </c>
      <c r="D40" s="57" t="s">
        <v>4</v>
      </c>
      <c r="F40" s="58">
        <v>-6.4</v>
      </c>
      <c r="J40" s="41"/>
    </row>
    <row r="41" spans="1:76">
      <c r="A41" s="54"/>
      <c r="C41" s="56" t="s">
        <v>174</v>
      </c>
      <c r="D41" s="57" t="s">
        <v>175</v>
      </c>
      <c r="F41" s="58">
        <v>59.061999999999998</v>
      </c>
      <c r="J41" s="41"/>
    </row>
    <row r="42" spans="1:76">
      <c r="A42" s="1" t="s">
        <v>176</v>
      </c>
      <c r="B42" s="2" t="s">
        <v>177</v>
      </c>
      <c r="C42" s="75" t="s">
        <v>178</v>
      </c>
      <c r="D42" s="70"/>
      <c r="E42" s="2" t="s">
        <v>124</v>
      </c>
      <c r="F42" s="51">
        <v>4.05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G42*0.333784689</f>
        <v>0</v>
      </c>
      <c r="AP42" s="51">
        <f>G42*(1-0.333784689)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146</v>
      </c>
      <c r="AZ42" s="53" t="s">
        <v>147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178</v>
      </c>
    </row>
    <row r="43" spans="1:76">
      <c r="A43" s="54"/>
      <c r="C43" s="56" t="s">
        <v>179</v>
      </c>
      <c r="D43" s="57" t="s">
        <v>180</v>
      </c>
      <c r="F43" s="58">
        <v>4.05</v>
      </c>
      <c r="J43" s="41"/>
    </row>
    <row r="44" spans="1:76">
      <c r="A44" s="1" t="s">
        <v>181</v>
      </c>
      <c r="B44" s="2" t="s">
        <v>182</v>
      </c>
      <c r="C44" s="75" t="s">
        <v>183</v>
      </c>
      <c r="D44" s="70"/>
      <c r="E44" s="2" t="s">
        <v>134</v>
      </c>
      <c r="F44" s="51">
        <v>3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G44*0.560765297</f>
        <v>0</v>
      </c>
      <c r="AP44" s="51">
        <f>G44*(1-0.560765297)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146</v>
      </c>
      <c r="AZ44" s="53" t="s">
        <v>147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183</v>
      </c>
    </row>
    <row r="45" spans="1:76" ht="13.5" customHeight="1">
      <c r="A45" s="54"/>
      <c r="B45" s="55" t="s">
        <v>118</v>
      </c>
      <c r="C45" s="152" t="s">
        <v>184</v>
      </c>
      <c r="D45" s="153"/>
      <c r="E45" s="153"/>
      <c r="F45" s="153"/>
      <c r="G45" s="154"/>
      <c r="H45" s="153"/>
      <c r="I45" s="153"/>
      <c r="J45" s="155"/>
    </row>
    <row r="46" spans="1:76">
      <c r="A46" s="54"/>
      <c r="C46" s="56" t="s">
        <v>185</v>
      </c>
      <c r="D46" s="57" t="s">
        <v>4</v>
      </c>
      <c r="F46" s="58">
        <v>3</v>
      </c>
      <c r="J46" s="41"/>
    </row>
    <row r="47" spans="1:76">
      <c r="A47" s="1" t="s">
        <v>186</v>
      </c>
      <c r="B47" s="2" t="s">
        <v>187</v>
      </c>
      <c r="C47" s="75" t="s">
        <v>188</v>
      </c>
      <c r="D47" s="70"/>
      <c r="E47" s="2" t="s">
        <v>114</v>
      </c>
      <c r="F47" s="51">
        <v>2</v>
      </c>
      <c r="G47" s="52">
        <v>0</v>
      </c>
      <c r="H47" s="51">
        <f>F47*G47</f>
        <v>0</v>
      </c>
      <c r="J47" s="41"/>
      <c r="Z47" s="51">
        <f>IF(AQ47="5",BJ47,0)</f>
        <v>0</v>
      </c>
      <c r="AB47" s="51">
        <f>IF(AQ47="1",BH47,0)</f>
        <v>0</v>
      </c>
      <c r="AC47" s="51">
        <f>IF(AQ47="1",BI47,0)</f>
        <v>0</v>
      </c>
      <c r="AD47" s="51">
        <f>IF(AQ47="7",BH47,0)</f>
        <v>0</v>
      </c>
      <c r="AE47" s="51">
        <f>IF(AQ47="7",BI47,0)</f>
        <v>0</v>
      </c>
      <c r="AF47" s="51">
        <f>IF(AQ47="2",BH47,0)</f>
        <v>0</v>
      </c>
      <c r="AG47" s="51">
        <f>IF(AQ47="2",BI47,0)</f>
        <v>0</v>
      </c>
      <c r="AH47" s="51">
        <f>IF(AQ47="0",BJ47,0)</f>
        <v>0</v>
      </c>
      <c r="AI47" s="35" t="s">
        <v>4</v>
      </c>
      <c r="AJ47" s="51">
        <f>IF(AN47=0,H47,0)</f>
        <v>0</v>
      </c>
      <c r="AK47" s="51">
        <f>IF(AN47=12,H47,0)</f>
        <v>0</v>
      </c>
      <c r="AL47" s="51">
        <f>IF(AN47=21,H47,0)</f>
        <v>0</v>
      </c>
      <c r="AN47" s="51">
        <v>12</v>
      </c>
      <c r="AO47" s="51">
        <f>G47*0.64451468</f>
        <v>0</v>
      </c>
      <c r="AP47" s="51">
        <f>G47*(1-0.64451468)</f>
        <v>0</v>
      </c>
      <c r="AQ47" s="53" t="s">
        <v>111</v>
      </c>
      <c r="AV47" s="51">
        <f>AW47+AX47</f>
        <v>0</v>
      </c>
      <c r="AW47" s="51">
        <f>F47*AO47</f>
        <v>0</v>
      </c>
      <c r="AX47" s="51">
        <f>F47*AP47</f>
        <v>0</v>
      </c>
      <c r="AY47" s="53" t="s">
        <v>146</v>
      </c>
      <c r="AZ47" s="53" t="s">
        <v>147</v>
      </c>
      <c r="BA47" s="35" t="s">
        <v>117</v>
      </c>
      <c r="BC47" s="51">
        <f>AW47+AX47</f>
        <v>0</v>
      </c>
      <c r="BD47" s="51">
        <f>G47/(100-BE47)*100</f>
        <v>0</v>
      </c>
      <c r="BE47" s="51">
        <v>0</v>
      </c>
      <c r="BF47" s="51">
        <f>47</f>
        <v>47</v>
      </c>
      <c r="BH47" s="51">
        <f>F47*AO47</f>
        <v>0</v>
      </c>
      <c r="BI47" s="51">
        <f>F47*AP47</f>
        <v>0</v>
      </c>
      <c r="BJ47" s="51">
        <f>F47*G47</f>
        <v>0</v>
      </c>
      <c r="BK47" s="51"/>
      <c r="BL47" s="51">
        <v>61</v>
      </c>
      <c r="BW47" s="51">
        <v>12</v>
      </c>
      <c r="BX47" s="3" t="s">
        <v>188</v>
      </c>
    </row>
    <row r="48" spans="1:76" ht="13.5" customHeight="1">
      <c r="A48" s="54"/>
      <c r="B48" s="55" t="s">
        <v>118</v>
      </c>
      <c r="C48" s="152" t="s">
        <v>189</v>
      </c>
      <c r="D48" s="153"/>
      <c r="E48" s="153"/>
      <c r="F48" s="153"/>
      <c r="G48" s="154"/>
      <c r="H48" s="153"/>
      <c r="I48" s="153"/>
      <c r="J48" s="155"/>
    </row>
    <row r="49" spans="1:76">
      <c r="A49" s="1" t="s">
        <v>190</v>
      </c>
      <c r="B49" s="2" t="s">
        <v>191</v>
      </c>
      <c r="C49" s="75" t="s">
        <v>192</v>
      </c>
      <c r="D49" s="70"/>
      <c r="E49" s="2" t="s">
        <v>124</v>
      </c>
      <c r="F49" s="51">
        <v>5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G49*0.534378598</f>
        <v>0</v>
      </c>
      <c r="AP49" s="51">
        <f>G49*(1-0.534378598)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146</v>
      </c>
      <c r="AZ49" s="53" t="s">
        <v>147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192</v>
      </c>
    </row>
    <row r="50" spans="1:76" ht="13.5" customHeight="1">
      <c r="A50" s="54"/>
      <c r="B50" s="55" t="s">
        <v>118</v>
      </c>
      <c r="C50" s="152" t="s">
        <v>119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6" t="s">
        <v>193</v>
      </c>
      <c r="D51" s="57" t="s">
        <v>194</v>
      </c>
      <c r="F51" s="58">
        <v>5</v>
      </c>
      <c r="J51" s="41"/>
    </row>
    <row r="52" spans="1:76">
      <c r="A52" s="1" t="s">
        <v>195</v>
      </c>
      <c r="B52" s="2" t="s">
        <v>196</v>
      </c>
      <c r="C52" s="75" t="s">
        <v>197</v>
      </c>
      <c r="D52" s="70"/>
      <c r="E52" s="2" t="s">
        <v>124</v>
      </c>
      <c r="F52" s="51">
        <v>59.061999999999998</v>
      </c>
      <c r="G52" s="52">
        <v>0</v>
      </c>
      <c r="H52" s="51">
        <f>F52*G52</f>
        <v>0</v>
      </c>
      <c r="J52" s="41"/>
      <c r="Z52" s="51">
        <f>IF(AQ52="5",BJ52,0)</f>
        <v>0</v>
      </c>
      <c r="AB52" s="51">
        <f>IF(AQ52="1",BH52,0)</f>
        <v>0</v>
      </c>
      <c r="AC52" s="51">
        <f>IF(AQ52="1",BI52,0)</f>
        <v>0</v>
      </c>
      <c r="AD52" s="51">
        <f>IF(AQ52="7",BH52,0)</f>
        <v>0</v>
      </c>
      <c r="AE52" s="51">
        <f>IF(AQ52="7",BI52,0)</f>
        <v>0</v>
      </c>
      <c r="AF52" s="51">
        <f>IF(AQ52="2",BH52,0)</f>
        <v>0</v>
      </c>
      <c r="AG52" s="51">
        <f>IF(AQ52="2",BI52,0)</f>
        <v>0</v>
      </c>
      <c r="AH52" s="51">
        <f>IF(AQ52="0",BJ52,0)</f>
        <v>0</v>
      </c>
      <c r="AI52" s="35" t="s">
        <v>4</v>
      </c>
      <c r="AJ52" s="51">
        <f>IF(AN52=0,H52,0)</f>
        <v>0</v>
      </c>
      <c r="AK52" s="51">
        <f>IF(AN52=12,H52,0)</f>
        <v>0</v>
      </c>
      <c r="AL52" s="51">
        <f>IF(AN52=21,H52,0)</f>
        <v>0</v>
      </c>
      <c r="AN52" s="51">
        <v>12</v>
      </c>
      <c r="AO52" s="51">
        <f>G52*0.20125363</f>
        <v>0</v>
      </c>
      <c r="AP52" s="51">
        <f>G52*(1-0.20125363)</f>
        <v>0</v>
      </c>
      <c r="AQ52" s="53" t="s">
        <v>111</v>
      </c>
      <c r="AV52" s="51">
        <f>AW52+AX52</f>
        <v>0</v>
      </c>
      <c r="AW52" s="51">
        <f>F52*AO52</f>
        <v>0</v>
      </c>
      <c r="AX52" s="51">
        <f>F52*AP52</f>
        <v>0</v>
      </c>
      <c r="AY52" s="53" t="s">
        <v>146</v>
      </c>
      <c r="AZ52" s="53" t="s">
        <v>147</v>
      </c>
      <c r="BA52" s="35" t="s">
        <v>117</v>
      </c>
      <c r="BC52" s="51">
        <f>AW52+AX52</f>
        <v>0</v>
      </c>
      <c r="BD52" s="51">
        <f>G52/(100-BE52)*100</f>
        <v>0</v>
      </c>
      <c r="BE52" s="51">
        <v>0</v>
      </c>
      <c r="BF52" s="51">
        <f>52</f>
        <v>52</v>
      </c>
      <c r="BH52" s="51">
        <f>F52*AO52</f>
        <v>0</v>
      </c>
      <c r="BI52" s="51">
        <f>F52*AP52</f>
        <v>0</v>
      </c>
      <c r="BJ52" s="51">
        <f>F52*G52</f>
        <v>0</v>
      </c>
      <c r="BK52" s="51"/>
      <c r="BL52" s="51">
        <v>61</v>
      </c>
      <c r="BW52" s="51">
        <v>12</v>
      </c>
      <c r="BX52" s="3" t="s">
        <v>197</v>
      </c>
    </row>
    <row r="53" spans="1:76">
      <c r="A53" s="54"/>
      <c r="C53" s="56" t="s">
        <v>198</v>
      </c>
      <c r="D53" s="57" t="s">
        <v>199</v>
      </c>
      <c r="F53" s="58">
        <v>27.225000000000001</v>
      </c>
      <c r="J53" s="41"/>
    </row>
    <row r="54" spans="1:76">
      <c r="A54" s="54"/>
      <c r="C54" s="56" t="s">
        <v>200</v>
      </c>
      <c r="D54" s="57" t="s">
        <v>201</v>
      </c>
      <c r="F54" s="58">
        <v>17.93</v>
      </c>
      <c r="J54" s="41"/>
    </row>
    <row r="55" spans="1:76">
      <c r="A55" s="54"/>
      <c r="C55" s="56" t="s">
        <v>202</v>
      </c>
      <c r="D55" s="57" t="s">
        <v>203</v>
      </c>
      <c r="F55" s="58">
        <v>5.7569999999999997</v>
      </c>
      <c r="J55" s="41"/>
    </row>
    <row r="56" spans="1:76">
      <c r="A56" s="54"/>
      <c r="C56" s="56" t="s">
        <v>204</v>
      </c>
      <c r="D56" s="57" t="s">
        <v>205</v>
      </c>
      <c r="F56" s="58">
        <v>4.58</v>
      </c>
      <c r="J56" s="41"/>
    </row>
    <row r="57" spans="1:76">
      <c r="A57" s="54"/>
      <c r="C57" s="56" t="s">
        <v>206</v>
      </c>
      <c r="D57" s="57" t="s">
        <v>207</v>
      </c>
      <c r="F57" s="58">
        <v>1.68</v>
      </c>
      <c r="J57" s="41"/>
    </row>
    <row r="58" spans="1:76">
      <c r="A58" s="54"/>
      <c r="C58" s="56" t="s">
        <v>208</v>
      </c>
      <c r="D58" s="57" t="s">
        <v>4</v>
      </c>
      <c r="F58" s="58">
        <v>1.89</v>
      </c>
      <c r="J58" s="41"/>
    </row>
    <row r="59" spans="1:76">
      <c r="A59" s="1" t="s">
        <v>209</v>
      </c>
      <c r="B59" s="2" t="s">
        <v>210</v>
      </c>
      <c r="C59" s="75" t="s">
        <v>211</v>
      </c>
      <c r="D59" s="70"/>
      <c r="E59" s="2" t="s">
        <v>124</v>
      </c>
      <c r="F59" s="51">
        <v>24.774000000000001</v>
      </c>
      <c r="G59" s="52">
        <v>0</v>
      </c>
      <c r="H59" s="51">
        <f>F59*G59</f>
        <v>0</v>
      </c>
      <c r="J59" s="41"/>
      <c r="Z59" s="51">
        <f>IF(AQ59="5",BJ59,0)</f>
        <v>0</v>
      </c>
      <c r="AB59" s="51">
        <f>IF(AQ59="1",BH59,0)</f>
        <v>0</v>
      </c>
      <c r="AC59" s="51">
        <f>IF(AQ59="1",BI59,0)</f>
        <v>0</v>
      </c>
      <c r="AD59" s="51">
        <f>IF(AQ59="7",BH59,0)</f>
        <v>0</v>
      </c>
      <c r="AE59" s="51">
        <f>IF(AQ59="7",BI59,0)</f>
        <v>0</v>
      </c>
      <c r="AF59" s="51">
        <f>IF(AQ59="2",BH59,0)</f>
        <v>0</v>
      </c>
      <c r="AG59" s="51">
        <f>IF(AQ59="2",BI59,0)</f>
        <v>0</v>
      </c>
      <c r="AH59" s="51">
        <f>IF(AQ59="0",BJ59,0)</f>
        <v>0</v>
      </c>
      <c r="AI59" s="35" t="s">
        <v>4</v>
      </c>
      <c r="AJ59" s="51">
        <f>IF(AN59=0,H59,0)</f>
        <v>0</v>
      </c>
      <c r="AK59" s="51">
        <f>IF(AN59=12,H59,0)</f>
        <v>0</v>
      </c>
      <c r="AL59" s="51">
        <f>IF(AN59=21,H59,0)</f>
        <v>0</v>
      </c>
      <c r="AN59" s="51">
        <v>12</v>
      </c>
      <c r="AO59" s="51">
        <f>G59*0.292902195</f>
        <v>0</v>
      </c>
      <c r="AP59" s="51">
        <f>G59*(1-0.292902195)</f>
        <v>0</v>
      </c>
      <c r="AQ59" s="53" t="s">
        <v>111</v>
      </c>
      <c r="AV59" s="51">
        <f>AW59+AX59</f>
        <v>0</v>
      </c>
      <c r="AW59" s="51">
        <f>F59*AO59</f>
        <v>0</v>
      </c>
      <c r="AX59" s="51">
        <f>F59*AP59</f>
        <v>0</v>
      </c>
      <c r="AY59" s="53" t="s">
        <v>146</v>
      </c>
      <c r="AZ59" s="53" t="s">
        <v>147</v>
      </c>
      <c r="BA59" s="35" t="s">
        <v>117</v>
      </c>
      <c r="BC59" s="51">
        <f>AW59+AX59</f>
        <v>0</v>
      </c>
      <c r="BD59" s="51">
        <f>G59/(100-BE59)*100</f>
        <v>0</v>
      </c>
      <c r="BE59" s="51">
        <v>0</v>
      </c>
      <c r="BF59" s="51">
        <f>59</f>
        <v>59</v>
      </c>
      <c r="BH59" s="51">
        <f>F59*AO59</f>
        <v>0</v>
      </c>
      <c r="BI59" s="51">
        <f>F59*AP59</f>
        <v>0</v>
      </c>
      <c r="BJ59" s="51">
        <f>F59*G59</f>
        <v>0</v>
      </c>
      <c r="BK59" s="51"/>
      <c r="BL59" s="51">
        <v>61</v>
      </c>
      <c r="BW59" s="51">
        <v>12</v>
      </c>
      <c r="BX59" s="3" t="s">
        <v>211</v>
      </c>
    </row>
    <row r="60" spans="1:76" ht="13.5" customHeight="1">
      <c r="A60" s="54"/>
      <c r="B60" s="55" t="s">
        <v>118</v>
      </c>
      <c r="C60" s="152" t="s">
        <v>212</v>
      </c>
      <c r="D60" s="153"/>
      <c r="E60" s="153"/>
      <c r="F60" s="153"/>
      <c r="G60" s="154"/>
      <c r="H60" s="153"/>
      <c r="I60" s="153"/>
      <c r="J60" s="155"/>
    </row>
    <row r="61" spans="1:76">
      <c r="A61" s="54"/>
      <c r="C61" s="56" t="s">
        <v>213</v>
      </c>
      <c r="D61" s="57" t="s">
        <v>172</v>
      </c>
      <c r="F61" s="58">
        <v>24.774000000000001</v>
      </c>
      <c r="J61" s="41"/>
    </row>
    <row r="62" spans="1:76">
      <c r="A62" s="1" t="s">
        <v>214</v>
      </c>
      <c r="B62" s="2" t="s">
        <v>215</v>
      </c>
      <c r="C62" s="75" t="s">
        <v>216</v>
      </c>
      <c r="D62" s="70"/>
      <c r="E62" s="2" t="s">
        <v>124</v>
      </c>
      <c r="F62" s="51">
        <v>80.084000000000003</v>
      </c>
      <c r="G62" s="52">
        <v>0</v>
      </c>
      <c r="H62" s="51">
        <f>F62*G62</f>
        <v>0</v>
      </c>
      <c r="J62" s="41"/>
      <c r="Z62" s="51">
        <f>IF(AQ62="5",BJ62,0)</f>
        <v>0</v>
      </c>
      <c r="AB62" s="51">
        <f>IF(AQ62="1",BH62,0)</f>
        <v>0</v>
      </c>
      <c r="AC62" s="51">
        <f>IF(AQ62="1",BI62,0)</f>
        <v>0</v>
      </c>
      <c r="AD62" s="51">
        <f>IF(AQ62="7",BH62,0)</f>
        <v>0</v>
      </c>
      <c r="AE62" s="51">
        <f>IF(AQ62="7",BI62,0)</f>
        <v>0</v>
      </c>
      <c r="AF62" s="51">
        <f>IF(AQ62="2",BH62,0)</f>
        <v>0</v>
      </c>
      <c r="AG62" s="51">
        <f>IF(AQ62="2",BI62,0)</f>
        <v>0</v>
      </c>
      <c r="AH62" s="51">
        <f>IF(AQ62="0",BJ62,0)</f>
        <v>0</v>
      </c>
      <c r="AI62" s="35" t="s">
        <v>4</v>
      </c>
      <c r="AJ62" s="51">
        <f>IF(AN62=0,H62,0)</f>
        <v>0</v>
      </c>
      <c r="AK62" s="51">
        <f>IF(AN62=12,H62,0)</f>
        <v>0</v>
      </c>
      <c r="AL62" s="51">
        <f>IF(AN62=21,H62,0)</f>
        <v>0</v>
      </c>
      <c r="AN62" s="51">
        <v>12</v>
      </c>
      <c r="AO62" s="51">
        <f>G62*0.435487144</f>
        <v>0</v>
      </c>
      <c r="AP62" s="51">
        <f>G62*(1-0.435487144)</f>
        <v>0</v>
      </c>
      <c r="AQ62" s="53" t="s">
        <v>111</v>
      </c>
      <c r="AV62" s="51">
        <f>AW62+AX62</f>
        <v>0</v>
      </c>
      <c r="AW62" s="51">
        <f>F62*AO62</f>
        <v>0</v>
      </c>
      <c r="AX62" s="51">
        <f>F62*AP62</f>
        <v>0</v>
      </c>
      <c r="AY62" s="53" t="s">
        <v>146</v>
      </c>
      <c r="AZ62" s="53" t="s">
        <v>147</v>
      </c>
      <c r="BA62" s="35" t="s">
        <v>117</v>
      </c>
      <c r="BC62" s="51">
        <f>AW62+AX62</f>
        <v>0</v>
      </c>
      <c r="BD62" s="51">
        <f>G62/(100-BE62)*100</f>
        <v>0</v>
      </c>
      <c r="BE62" s="51">
        <v>0</v>
      </c>
      <c r="BF62" s="51">
        <f>62</f>
        <v>62</v>
      </c>
      <c r="BH62" s="51">
        <f>F62*AO62</f>
        <v>0</v>
      </c>
      <c r="BI62" s="51">
        <f>F62*AP62</f>
        <v>0</v>
      </c>
      <c r="BJ62" s="51">
        <f>F62*G62</f>
        <v>0</v>
      </c>
      <c r="BK62" s="51"/>
      <c r="BL62" s="51">
        <v>61</v>
      </c>
      <c r="BW62" s="51">
        <v>12</v>
      </c>
      <c r="BX62" s="3" t="s">
        <v>216</v>
      </c>
    </row>
    <row r="63" spans="1:76" ht="13.5" customHeight="1">
      <c r="A63" s="54"/>
      <c r="B63" s="55" t="s">
        <v>118</v>
      </c>
      <c r="C63" s="152" t="s">
        <v>119</v>
      </c>
      <c r="D63" s="153"/>
      <c r="E63" s="153"/>
      <c r="F63" s="153"/>
      <c r="G63" s="154"/>
      <c r="H63" s="153"/>
      <c r="I63" s="153"/>
      <c r="J63" s="155"/>
    </row>
    <row r="64" spans="1:76">
      <c r="A64" s="54"/>
      <c r="C64" s="56" t="s">
        <v>217</v>
      </c>
      <c r="D64" s="57" t="s">
        <v>218</v>
      </c>
      <c r="F64" s="58">
        <v>36.545000000000002</v>
      </c>
      <c r="J64" s="41"/>
    </row>
    <row r="65" spans="1:76">
      <c r="A65" s="54"/>
      <c r="C65" s="56" t="s">
        <v>219</v>
      </c>
      <c r="D65" s="57" t="s">
        <v>201</v>
      </c>
      <c r="F65" s="58">
        <v>25.844999999999999</v>
      </c>
      <c r="J65" s="41"/>
    </row>
    <row r="66" spans="1:76">
      <c r="A66" s="54"/>
      <c r="C66" s="56" t="s">
        <v>220</v>
      </c>
      <c r="D66" s="57" t="s">
        <v>203</v>
      </c>
      <c r="F66" s="58">
        <v>13.114000000000001</v>
      </c>
      <c r="J66" s="41"/>
    </row>
    <row r="67" spans="1:76">
      <c r="A67" s="54"/>
      <c r="C67" s="56" t="s">
        <v>204</v>
      </c>
      <c r="D67" s="57" t="s">
        <v>205</v>
      </c>
      <c r="F67" s="58">
        <v>4.58</v>
      </c>
      <c r="J67" s="41"/>
    </row>
    <row r="68" spans="1:76">
      <c r="A68" s="47" t="s">
        <v>4</v>
      </c>
      <c r="B68" s="48" t="s">
        <v>221</v>
      </c>
      <c r="C68" s="150" t="s">
        <v>222</v>
      </c>
      <c r="D68" s="151"/>
      <c r="E68" s="49" t="s">
        <v>79</v>
      </c>
      <c r="F68" s="49" t="s">
        <v>79</v>
      </c>
      <c r="G68" s="50" t="s">
        <v>79</v>
      </c>
      <c r="H68" s="28">
        <f>SUM(H69:H73)</f>
        <v>0</v>
      </c>
      <c r="J68" s="41"/>
      <c r="AI68" s="35" t="s">
        <v>4</v>
      </c>
      <c r="AS68" s="28">
        <f>SUM(AJ69:AJ73)</f>
        <v>0</v>
      </c>
      <c r="AT68" s="28">
        <f>SUM(AK69:AK73)</f>
        <v>0</v>
      </c>
      <c r="AU68" s="28">
        <f>SUM(AL69:AL73)</f>
        <v>0</v>
      </c>
    </row>
    <row r="69" spans="1:76">
      <c r="A69" s="1" t="s">
        <v>223</v>
      </c>
      <c r="B69" s="2" t="s">
        <v>224</v>
      </c>
      <c r="C69" s="75" t="s">
        <v>225</v>
      </c>
      <c r="D69" s="70"/>
      <c r="E69" s="2" t="s">
        <v>124</v>
      </c>
      <c r="F69" s="51">
        <v>25.789000000000001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G69*0.675979613</f>
        <v>0</v>
      </c>
      <c r="AP69" s="51">
        <f>G69*(1-0.675979613)</f>
        <v>0</v>
      </c>
      <c r="AQ69" s="53" t="s">
        <v>111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226</v>
      </c>
      <c r="AZ69" s="53" t="s">
        <v>147</v>
      </c>
      <c r="BA69" s="35" t="s">
        <v>117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63</v>
      </c>
      <c r="BW69" s="51">
        <v>12</v>
      </c>
      <c r="BX69" s="3" t="s">
        <v>225</v>
      </c>
    </row>
    <row r="70" spans="1:76">
      <c r="A70" s="54"/>
      <c r="C70" s="56" t="s">
        <v>227</v>
      </c>
      <c r="D70" s="57" t="s">
        <v>228</v>
      </c>
      <c r="F70" s="58">
        <v>2.5990000000000002</v>
      </c>
      <c r="J70" s="41"/>
    </row>
    <row r="71" spans="1:76">
      <c r="A71" s="54"/>
      <c r="C71" s="56" t="s">
        <v>229</v>
      </c>
      <c r="D71" s="57" t="s">
        <v>218</v>
      </c>
      <c r="F71" s="58">
        <v>14.53</v>
      </c>
      <c r="J71" s="41"/>
    </row>
    <row r="72" spans="1:76">
      <c r="A72" s="54"/>
      <c r="C72" s="56" t="s">
        <v>230</v>
      </c>
      <c r="D72" s="57" t="s">
        <v>201</v>
      </c>
      <c r="F72" s="58">
        <v>8.66</v>
      </c>
      <c r="J72" s="41"/>
    </row>
    <row r="73" spans="1:76">
      <c r="A73" s="1" t="s">
        <v>231</v>
      </c>
      <c r="B73" s="2" t="s">
        <v>232</v>
      </c>
      <c r="C73" s="75" t="s">
        <v>233</v>
      </c>
      <c r="D73" s="70"/>
      <c r="E73" s="2" t="s">
        <v>124</v>
      </c>
      <c r="F73" s="51">
        <v>25.789000000000001</v>
      </c>
      <c r="G73" s="52">
        <v>0</v>
      </c>
      <c r="H73" s="51">
        <f>F73*G73</f>
        <v>0</v>
      </c>
      <c r="J73" s="41"/>
      <c r="Z73" s="51">
        <f>IF(AQ73="5",BJ73,0)</f>
        <v>0</v>
      </c>
      <c r="AB73" s="51">
        <f>IF(AQ73="1",BH73,0)</f>
        <v>0</v>
      </c>
      <c r="AC73" s="51">
        <f>IF(AQ73="1",BI73,0)</f>
        <v>0</v>
      </c>
      <c r="AD73" s="51">
        <f>IF(AQ73="7",BH73,0)</f>
        <v>0</v>
      </c>
      <c r="AE73" s="51">
        <f>IF(AQ73="7",BI73,0)</f>
        <v>0</v>
      </c>
      <c r="AF73" s="51">
        <f>IF(AQ73="2",BH73,0)</f>
        <v>0</v>
      </c>
      <c r="AG73" s="51">
        <f>IF(AQ73="2",BI73,0)</f>
        <v>0</v>
      </c>
      <c r="AH73" s="51">
        <f>IF(AQ73="0",BJ73,0)</f>
        <v>0</v>
      </c>
      <c r="AI73" s="35" t="s">
        <v>4</v>
      </c>
      <c r="AJ73" s="51">
        <f>IF(AN73=0,H73,0)</f>
        <v>0</v>
      </c>
      <c r="AK73" s="51">
        <f>IF(AN73=12,H73,0)</f>
        <v>0</v>
      </c>
      <c r="AL73" s="51">
        <f>IF(AN73=21,H73,0)</f>
        <v>0</v>
      </c>
      <c r="AN73" s="51">
        <v>12</v>
      </c>
      <c r="AO73" s="51">
        <f>G73*0.539125605</f>
        <v>0</v>
      </c>
      <c r="AP73" s="51">
        <f>G73*(1-0.539125605)</f>
        <v>0</v>
      </c>
      <c r="AQ73" s="53" t="s">
        <v>111</v>
      </c>
      <c r="AV73" s="51">
        <f>AW73+AX73</f>
        <v>0</v>
      </c>
      <c r="AW73" s="51">
        <f>F73*AO73</f>
        <v>0</v>
      </c>
      <c r="AX73" s="51">
        <f>F73*AP73</f>
        <v>0</v>
      </c>
      <c r="AY73" s="53" t="s">
        <v>226</v>
      </c>
      <c r="AZ73" s="53" t="s">
        <v>147</v>
      </c>
      <c r="BA73" s="35" t="s">
        <v>117</v>
      </c>
      <c r="BC73" s="51">
        <f>AW73+AX73</f>
        <v>0</v>
      </c>
      <c r="BD73" s="51">
        <f>G73/(100-BE73)*100</f>
        <v>0</v>
      </c>
      <c r="BE73" s="51">
        <v>0</v>
      </c>
      <c r="BF73" s="51">
        <f>73</f>
        <v>73</v>
      </c>
      <c r="BH73" s="51">
        <f>F73*AO73</f>
        <v>0</v>
      </c>
      <c r="BI73" s="51">
        <f>F73*AP73</f>
        <v>0</v>
      </c>
      <c r="BJ73" s="51">
        <f>F73*G73</f>
        <v>0</v>
      </c>
      <c r="BK73" s="51"/>
      <c r="BL73" s="51">
        <v>63</v>
      </c>
      <c r="BW73" s="51">
        <v>12</v>
      </c>
      <c r="BX73" s="3" t="s">
        <v>233</v>
      </c>
    </row>
    <row r="74" spans="1:76">
      <c r="A74" s="47" t="s">
        <v>4</v>
      </c>
      <c r="B74" s="48" t="s">
        <v>234</v>
      </c>
      <c r="C74" s="150" t="s">
        <v>235</v>
      </c>
      <c r="D74" s="151"/>
      <c r="E74" s="49" t="s">
        <v>79</v>
      </c>
      <c r="F74" s="49" t="s">
        <v>79</v>
      </c>
      <c r="G74" s="50" t="s">
        <v>79</v>
      </c>
      <c r="H74" s="28">
        <f>SUM(H75:H80)</f>
        <v>0</v>
      </c>
      <c r="J74" s="41"/>
      <c r="AI74" s="35" t="s">
        <v>4</v>
      </c>
      <c r="AS74" s="28">
        <f>SUM(AJ75:AJ80)</f>
        <v>0</v>
      </c>
      <c r="AT74" s="28">
        <f>SUM(AK75:AK80)</f>
        <v>0</v>
      </c>
      <c r="AU74" s="28">
        <f>SUM(AL75:AL80)</f>
        <v>0</v>
      </c>
    </row>
    <row r="75" spans="1:76">
      <c r="A75" s="1" t="s">
        <v>236</v>
      </c>
      <c r="B75" s="2" t="s">
        <v>237</v>
      </c>
      <c r="C75" s="75" t="s">
        <v>238</v>
      </c>
      <c r="D75" s="70"/>
      <c r="E75" s="2" t="s">
        <v>239</v>
      </c>
      <c r="F75" s="51">
        <v>10</v>
      </c>
      <c r="G75" s="52">
        <v>0</v>
      </c>
      <c r="H75" s="51">
        <f>F75*G75</f>
        <v>0</v>
      </c>
      <c r="J75" s="41"/>
      <c r="Z75" s="51">
        <f>IF(AQ75="5",BJ75,0)</f>
        <v>0</v>
      </c>
      <c r="AB75" s="51">
        <f>IF(AQ75="1",BH75,0)</f>
        <v>0</v>
      </c>
      <c r="AC75" s="51">
        <f>IF(AQ75="1",BI75,0)</f>
        <v>0</v>
      </c>
      <c r="AD75" s="51">
        <f>IF(AQ75="7",BH75,0)</f>
        <v>0</v>
      </c>
      <c r="AE75" s="51">
        <f>IF(AQ75="7",BI75,0)</f>
        <v>0</v>
      </c>
      <c r="AF75" s="51">
        <f>IF(AQ75="2",BH75,0)</f>
        <v>0</v>
      </c>
      <c r="AG75" s="51">
        <f>IF(AQ75="2",BI75,0)</f>
        <v>0</v>
      </c>
      <c r="AH75" s="51">
        <f>IF(AQ75="0",BJ75,0)</f>
        <v>0</v>
      </c>
      <c r="AI75" s="35" t="s">
        <v>4</v>
      </c>
      <c r="AJ75" s="51">
        <f>IF(AN75=0,H75,0)</f>
        <v>0</v>
      </c>
      <c r="AK75" s="51">
        <f>IF(AN75=12,H75,0)</f>
        <v>0</v>
      </c>
      <c r="AL75" s="51">
        <f>IF(AN75=21,H75,0)</f>
        <v>0</v>
      </c>
      <c r="AN75" s="51">
        <v>12</v>
      </c>
      <c r="AO75" s="51">
        <f>G75*0</f>
        <v>0</v>
      </c>
      <c r="AP75" s="51">
        <f>G75*(1-0)</f>
        <v>0</v>
      </c>
      <c r="AQ75" s="53" t="s">
        <v>111</v>
      </c>
      <c r="AV75" s="51">
        <f>AW75+AX75</f>
        <v>0</v>
      </c>
      <c r="AW75" s="51">
        <f>F75*AO75</f>
        <v>0</v>
      </c>
      <c r="AX75" s="51">
        <f>F75*AP75</f>
        <v>0</v>
      </c>
      <c r="AY75" s="53" t="s">
        <v>240</v>
      </c>
      <c r="AZ75" s="53" t="s">
        <v>241</v>
      </c>
      <c r="BA75" s="35" t="s">
        <v>117</v>
      </c>
      <c r="BC75" s="51">
        <f>AW75+AX75</f>
        <v>0</v>
      </c>
      <c r="BD75" s="51">
        <f>G75/(100-BE75)*100</f>
        <v>0</v>
      </c>
      <c r="BE75" s="51">
        <v>0</v>
      </c>
      <c r="BF75" s="51">
        <f>75</f>
        <v>75</v>
      </c>
      <c r="BH75" s="51">
        <f>F75*AO75</f>
        <v>0</v>
      </c>
      <c r="BI75" s="51">
        <f>F75*AP75</f>
        <v>0</v>
      </c>
      <c r="BJ75" s="51">
        <f>F75*G75</f>
        <v>0</v>
      </c>
      <c r="BK75" s="51"/>
      <c r="BL75" s="51">
        <v>95</v>
      </c>
      <c r="BW75" s="51">
        <v>12</v>
      </c>
      <c r="BX75" s="3" t="s">
        <v>238</v>
      </c>
    </row>
    <row r="76" spans="1:76" ht="13.5" customHeight="1">
      <c r="A76" s="54"/>
      <c r="B76" s="55" t="s">
        <v>118</v>
      </c>
      <c r="C76" s="152" t="s">
        <v>242</v>
      </c>
      <c r="D76" s="153"/>
      <c r="E76" s="153"/>
      <c r="F76" s="153"/>
      <c r="G76" s="154"/>
      <c r="H76" s="153"/>
      <c r="I76" s="153"/>
      <c r="J76" s="155"/>
    </row>
    <row r="77" spans="1:76">
      <c r="A77" s="1" t="s">
        <v>243</v>
      </c>
      <c r="B77" s="2" t="s">
        <v>244</v>
      </c>
      <c r="C77" s="75" t="s">
        <v>245</v>
      </c>
      <c r="D77" s="70"/>
      <c r="E77" s="2" t="s">
        <v>124</v>
      </c>
      <c r="F77" s="51">
        <v>30</v>
      </c>
      <c r="G77" s="52">
        <v>0</v>
      </c>
      <c r="H77" s="51">
        <f>F77*G77</f>
        <v>0</v>
      </c>
      <c r="J77" s="41"/>
      <c r="Z77" s="51">
        <f>IF(AQ77="5",BJ77,0)</f>
        <v>0</v>
      </c>
      <c r="AB77" s="51">
        <f>IF(AQ77="1",BH77,0)</f>
        <v>0</v>
      </c>
      <c r="AC77" s="51">
        <f>IF(AQ77="1",BI77,0)</f>
        <v>0</v>
      </c>
      <c r="AD77" s="51">
        <f>IF(AQ77="7",BH77,0)</f>
        <v>0</v>
      </c>
      <c r="AE77" s="51">
        <f>IF(AQ77="7",BI77,0)</f>
        <v>0</v>
      </c>
      <c r="AF77" s="51">
        <f>IF(AQ77="2",BH77,0)</f>
        <v>0</v>
      </c>
      <c r="AG77" s="51">
        <f>IF(AQ77="2",BI77,0)</f>
        <v>0</v>
      </c>
      <c r="AH77" s="51">
        <f>IF(AQ77="0",BJ77,0)</f>
        <v>0</v>
      </c>
      <c r="AI77" s="35" t="s">
        <v>4</v>
      </c>
      <c r="AJ77" s="51">
        <f>IF(AN77=0,H77,0)</f>
        <v>0</v>
      </c>
      <c r="AK77" s="51">
        <f>IF(AN77=12,H77,0)</f>
        <v>0</v>
      </c>
      <c r="AL77" s="51">
        <f>IF(AN77=21,H77,0)</f>
        <v>0</v>
      </c>
      <c r="AN77" s="51">
        <v>12</v>
      </c>
      <c r="AO77" s="51">
        <f>G77*0.016056338</f>
        <v>0</v>
      </c>
      <c r="AP77" s="51">
        <f>G77*(1-0.016056338)</f>
        <v>0</v>
      </c>
      <c r="AQ77" s="53" t="s">
        <v>111</v>
      </c>
      <c r="AV77" s="51">
        <f>AW77+AX77</f>
        <v>0</v>
      </c>
      <c r="AW77" s="51">
        <f>F77*AO77</f>
        <v>0</v>
      </c>
      <c r="AX77" s="51">
        <f>F77*AP77</f>
        <v>0</v>
      </c>
      <c r="AY77" s="53" t="s">
        <v>240</v>
      </c>
      <c r="AZ77" s="53" t="s">
        <v>241</v>
      </c>
      <c r="BA77" s="35" t="s">
        <v>117</v>
      </c>
      <c r="BC77" s="51">
        <f>AW77+AX77</f>
        <v>0</v>
      </c>
      <c r="BD77" s="51">
        <f>G77/(100-BE77)*100</f>
        <v>0</v>
      </c>
      <c r="BE77" s="51">
        <v>0</v>
      </c>
      <c r="BF77" s="51">
        <f>77</f>
        <v>77</v>
      </c>
      <c r="BH77" s="51">
        <f>F77*AO77</f>
        <v>0</v>
      </c>
      <c r="BI77" s="51">
        <f>F77*AP77</f>
        <v>0</v>
      </c>
      <c r="BJ77" s="51">
        <f>F77*G77</f>
        <v>0</v>
      </c>
      <c r="BK77" s="51"/>
      <c r="BL77" s="51">
        <v>95</v>
      </c>
      <c r="BW77" s="51">
        <v>12</v>
      </c>
      <c r="BX77" s="3" t="s">
        <v>245</v>
      </c>
    </row>
    <row r="78" spans="1:76">
      <c r="A78" s="1" t="s">
        <v>246</v>
      </c>
      <c r="B78" s="2" t="s">
        <v>247</v>
      </c>
      <c r="C78" s="75" t="s">
        <v>248</v>
      </c>
      <c r="D78" s="70"/>
      <c r="E78" s="2" t="s">
        <v>114</v>
      </c>
      <c r="F78" s="51">
        <v>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G78*0.904482759</f>
        <v>0</v>
      </c>
      <c r="AP78" s="51">
        <f>G78*(1-0.904482759)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240</v>
      </c>
      <c r="AZ78" s="53" t="s">
        <v>241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248</v>
      </c>
    </row>
    <row r="79" spans="1:76" ht="13.5" customHeight="1">
      <c r="A79" s="54"/>
      <c r="B79" s="55" t="s">
        <v>118</v>
      </c>
      <c r="C79" s="152" t="s">
        <v>249</v>
      </c>
      <c r="D79" s="153"/>
      <c r="E79" s="153"/>
      <c r="F79" s="153"/>
      <c r="G79" s="154"/>
      <c r="H79" s="153"/>
      <c r="I79" s="153"/>
      <c r="J79" s="155"/>
    </row>
    <row r="80" spans="1:76">
      <c r="A80" s="1" t="s">
        <v>250</v>
      </c>
      <c r="B80" s="2" t="s">
        <v>251</v>
      </c>
      <c r="C80" s="75" t="s">
        <v>252</v>
      </c>
      <c r="D80" s="70"/>
      <c r="E80" s="2" t="s">
        <v>253</v>
      </c>
      <c r="F80" s="51">
        <v>5</v>
      </c>
      <c r="G80" s="52">
        <v>0</v>
      </c>
      <c r="H80" s="51">
        <f>F80*G80</f>
        <v>0</v>
      </c>
      <c r="J80" s="41"/>
      <c r="Z80" s="51">
        <f>IF(AQ80="5",BJ80,0)</f>
        <v>0</v>
      </c>
      <c r="AB80" s="51">
        <f>IF(AQ80="1",BH80,0)</f>
        <v>0</v>
      </c>
      <c r="AC80" s="51">
        <f>IF(AQ80="1",BI80,0)</f>
        <v>0</v>
      </c>
      <c r="AD80" s="51">
        <f>IF(AQ80="7",BH80,0)</f>
        <v>0</v>
      </c>
      <c r="AE80" s="51">
        <f>IF(AQ80="7",BI80,0)</f>
        <v>0</v>
      </c>
      <c r="AF80" s="51">
        <f>IF(AQ80="2",BH80,0)</f>
        <v>0</v>
      </c>
      <c r="AG80" s="51">
        <f>IF(AQ80="2",BI80,0)</f>
        <v>0</v>
      </c>
      <c r="AH80" s="51">
        <f>IF(AQ80="0",BJ80,0)</f>
        <v>0</v>
      </c>
      <c r="AI80" s="35" t="s">
        <v>4</v>
      </c>
      <c r="AJ80" s="51">
        <f>IF(AN80=0,H80,0)</f>
        <v>0</v>
      </c>
      <c r="AK80" s="51">
        <f>IF(AN80=12,H80,0)</f>
        <v>0</v>
      </c>
      <c r="AL80" s="51">
        <f>IF(AN80=21,H80,0)</f>
        <v>0</v>
      </c>
      <c r="AN80" s="51">
        <v>12</v>
      </c>
      <c r="AO80" s="51">
        <f>G80*0</f>
        <v>0</v>
      </c>
      <c r="AP80" s="51">
        <f>G80*(1-0)</f>
        <v>0</v>
      </c>
      <c r="AQ80" s="53" t="s">
        <v>111</v>
      </c>
      <c r="AV80" s="51">
        <f>AW80+AX80</f>
        <v>0</v>
      </c>
      <c r="AW80" s="51">
        <f>F80*AO80</f>
        <v>0</v>
      </c>
      <c r="AX80" s="51">
        <f>F80*AP80</f>
        <v>0</v>
      </c>
      <c r="AY80" s="53" t="s">
        <v>240</v>
      </c>
      <c r="AZ80" s="53" t="s">
        <v>241</v>
      </c>
      <c r="BA80" s="35" t="s">
        <v>117</v>
      </c>
      <c r="BC80" s="51">
        <f>AW80+AX80</f>
        <v>0</v>
      </c>
      <c r="BD80" s="51">
        <f>G80/(100-BE80)*100</f>
        <v>0</v>
      </c>
      <c r="BE80" s="51">
        <v>0</v>
      </c>
      <c r="BF80" s="51">
        <f>80</f>
        <v>80</v>
      </c>
      <c r="BH80" s="51">
        <f>F80*AO80</f>
        <v>0</v>
      </c>
      <c r="BI80" s="51">
        <f>F80*AP80</f>
        <v>0</v>
      </c>
      <c r="BJ80" s="51">
        <f>F80*G80</f>
        <v>0</v>
      </c>
      <c r="BK80" s="51"/>
      <c r="BL80" s="51">
        <v>95</v>
      </c>
      <c r="BW80" s="51">
        <v>12</v>
      </c>
      <c r="BX80" s="3" t="s">
        <v>252</v>
      </c>
    </row>
    <row r="81" spans="1:76">
      <c r="A81" s="54"/>
      <c r="C81" s="56" t="s">
        <v>137</v>
      </c>
      <c r="D81" s="57" t="s">
        <v>254</v>
      </c>
      <c r="F81" s="58">
        <v>5</v>
      </c>
      <c r="J81" s="41"/>
    </row>
    <row r="82" spans="1:76">
      <c r="A82" s="47" t="s">
        <v>4</v>
      </c>
      <c r="B82" s="48" t="s">
        <v>255</v>
      </c>
      <c r="C82" s="150" t="s">
        <v>256</v>
      </c>
      <c r="D82" s="151"/>
      <c r="E82" s="49" t="s">
        <v>79</v>
      </c>
      <c r="F82" s="49" t="s">
        <v>79</v>
      </c>
      <c r="G82" s="50" t="s">
        <v>79</v>
      </c>
      <c r="H82" s="28">
        <f>SUM(H83:H114)</f>
        <v>0</v>
      </c>
      <c r="J82" s="41"/>
      <c r="AI82" s="35" t="s">
        <v>4</v>
      </c>
      <c r="AS82" s="28">
        <f>SUM(AJ83:AJ114)</f>
        <v>0</v>
      </c>
      <c r="AT82" s="28">
        <f>SUM(AK83:AK114)</f>
        <v>0</v>
      </c>
      <c r="AU82" s="28">
        <f>SUM(AL83:AL114)</f>
        <v>0</v>
      </c>
    </row>
    <row r="83" spans="1:76">
      <c r="A83" s="1" t="s">
        <v>257</v>
      </c>
      <c r="B83" s="2" t="s">
        <v>258</v>
      </c>
      <c r="C83" s="75" t="s">
        <v>259</v>
      </c>
      <c r="D83" s="70"/>
      <c r="E83" s="2" t="s">
        <v>124</v>
      </c>
      <c r="F83" s="51">
        <v>12.387</v>
      </c>
      <c r="G83" s="52">
        <v>0</v>
      </c>
      <c r="H83" s="51">
        <f>F83*G83</f>
        <v>0</v>
      </c>
      <c r="J83" s="41"/>
      <c r="Z83" s="51">
        <f>IF(AQ83="5",BJ83,0)</f>
        <v>0</v>
      </c>
      <c r="AB83" s="51">
        <f>IF(AQ83="1",BH83,0)</f>
        <v>0</v>
      </c>
      <c r="AC83" s="51">
        <f>IF(AQ83="1",BI83,0)</f>
        <v>0</v>
      </c>
      <c r="AD83" s="51">
        <f>IF(AQ83="7",BH83,0)</f>
        <v>0</v>
      </c>
      <c r="AE83" s="51">
        <f>IF(AQ83="7",BI83,0)</f>
        <v>0</v>
      </c>
      <c r="AF83" s="51">
        <f>IF(AQ83="2",BH83,0)</f>
        <v>0</v>
      </c>
      <c r="AG83" s="51">
        <f>IF(AQ83="2",BI83,0)</f>
        <v>0</v>
      </c>
      <c r="AH83" s="51">
        <f>IF(AQ83="0",BJ83,0)</f>
        <v>0</v>
      </c>
      <c r="AI83" s="35" t="s">
        <v>4</v>
      </c>
      <c r="AJ83" s="51">
        <f>IF(AN83=0,H83,0)</f>
        <v>0</v>
      </c>
      <c r="AK83" s="51">
        <f>IF(AN83=12,H83,0)</f>
        <v>0</v>
      </c>
      <c r="AL83" s="51">
        <f>IF(AN83=21,H83,0)</f>
        <v>0</v>
      </c>
      <c r="AN83" s="51">
        <v>12</v>
      </c>
      <c r="AO83" s="51">
        <f>G83*0.105032756</f>
        <v>0</v>
      </c>
      <c r="AP83" s="51">
        <f>G83*(1-0.105032756)</f>
        <v>0</v>
      </c>
      <c r="AQ83" s="53" t="s">
        <v>111</v>
      </c>
      <c r="AV83" s="51">
        <f>AW83+AX83</f>
        <v>0</v>
      </c>
      <c r="AW83" s="51">
        <f>F83*AO83</f>
        <v>0</v>
      </c>
      <c r="AX83" s="51">
        <f>F83*AP83</f>
        <v>0</v>
      </c>
      <c r="AY83" s="53" t="s">
        <v>260</v>
      </c>
      <c r="AZ83" s="53" t="s">
        <v>241</v>
      </c>
      <c r="BA83" s="35" t="s">
        <v>117</v>
      </c>
      <c r="BC83" s="51">
        <f>AW83+AX83</f>
        <v>0</v>
      </c>
      <c r="BD83" s="51">
        <f>G83/(100-BE83)*100</f>
        <v>0</v>
      </c>
      <c r="BE83" s="51">
        <v>0</v>
      </c>
      <c r="BF83" s="51">
        <f>83</f>
        <v>83</v>
      </c>
      <c r="BH83" s="51">
        <f>F83*AO83</f>
        <v>0</v>
      </c>
      <c r="BI83" s="51">
        <f>F83*AP83</f>
        <v>0</v>
      </c>
      <c r="BJ83" s="51">
        <f>F83*G83</f>
        <v>0</v>
      </c>
      <c r="BK83" s="51"/>
      <c r="BL83" s="51">
        <v>96</v>
      </c>
      <c r="BW83" s="51">
        <v>12</v>
      </c>
      <c r="BX83" s="3" t="s">
        <v>259</v>
      </c>
    </row>
    <row r="84" spans="1:76">
      <c r="A84" s="54"/>
      <c r="C84" s="56" t="s">
        <v>125</v>
      </c>
      <c r="D84" s="57" t="s">
        <v>4</v>
      </c>
      <c r="F84" s="58">
        <v>15.587</v>
      </c>
      <c r="J84" s="41"/>
    </row>
    <row r="85" spans="1:76">
      <c r="A85" s="54"/>
      <c r="C85" s="56" t="s">
        <v>126</v>
      </c>
      <c r="D85" s="57" t="s">
        <v>4</v>
      </c>
      <c r="F85" s="58">
        <v>-3.2</v>
      </c>
      <c r="J85" s="41"/>
    </row>
    <row r="86" spans="1:76">
      <c r="A86" s="1" t="s">
        <v>261</v>
      </c>
      <c r="B86" s="2" t="s">
        <v>262</v>
      </c>
      <c r="C86" s="75" t="s">
        <v>263</v>
      </c>
      <c r="D86" s="70"/>
      <c r="E86" s="2" t="s">
        <v>114</v>
      </c>
      <c r="F86" s="51">
        <v>4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111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260</v>
      </c>
      <c r="AZ86" s="53" t="s">
        <v>241</v>
      </c>
      <c r="BA86" s="35" t="s">
        <v>117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96</v>
      </c>
      <c r="BW86" s="51">
        <v>12</v>
      </c>
      <c r="BX86" s="3" t="s">
        <v>263</v>
      </c>
    </row>
    <row r="87" spans="1:76">
      <c r="A87" s="54"/>
      <c r="C87" s="56" t="s">
        <v>127</v>
      </c>
      <c r="D87" s="57" t="s">
        <v>264</v>
      </c>
      <c r="F87" s="58">
        <v>3</v>
      </c>
      <c r="J87" s="41"/>
    </row>
    <row r="88" spans="1:76">
      <c r="A88" s="54"/>
      <c r="C88" s="56" t="s">
        <v>111</v>
      </c>
      <c r="D88" s="57" t="s">
        <v>265</v>
      </c>
      <c r="F88" s="58">
        <v>1</v>
      </c>
      <c r="J88" s="41"/>
    </row>
    <row r="89" spans="1:76">
      <c r="A89" s="1" t="s">
        <v>266</v>
      </c>
      <c r="B89" s="2" t="s">
        <v>267</v>
      </c>
      <c r="C89" s="75" t="s">
        <v>268</v>
      </c>
      <c r="D89" s="70"/>
      <c r="E89" s="2" t="s">
        <v>124</v>
      </c>
      <c r="F89" s="51">
        <v>5.09</v>
      </c>
      <c r="G89" s="52">
        <v>0</v>
      </c>
      <c r="H89" s="51">
        <f>F89*G89</f>
        <v>0</v>
      </c>
      <c r="J89" s="41"/>
      <c r="Z89" s="51">
        <f>IF(AQ89="5",BJ89,0)</f>
        <v>0</v>
      </c>
      <c r="AB89" s="51">
        <f>IF(AQ89="1",BH89,0)</f>
        <v>0</v>
      </c>
      <c r="AC89" s="51">
        <f>IF(AQ89="1",BI89,0)</f>
        <v>0</v>
      </c>
      <c r="AD89" s="51">
        <f>IF(AQ89="7",BH89,0)</f>
        <v>0</v>
      </c>
      <c r="AE89" s="51">
        <f>IF(AQ89="7",BI89,0)</f>
        <v>0</v>
      </c>
      <c r="AF89" s="51">
        <f>IF(AQ89="2",BH89,0)</f>
        <v>0</v>
      </c>
      <c r="AG89" s="51">
        <f>IF(AQ89="2",BI89,0)</f>
        <v>0</v>
      </c>
      <c r="AH89" s="51">
        <f>IF(AQ89="0",BJ89,0)</f>
        <v>0</v>
      </c>
      <c r="AI89" s="35" t="s">
        <v>4</v>
      </c>
      <c r="AJ89" s="51">
        <f>IF(AN89=0,H89,0)</f>
        <v>0</v>
      </c>
      <c r="AK89" s="51">
        <f>IF(AN89=12,H89,0)</f>
        <v>0</v>
      </c>
      <c r="AL89" s="51">
        <f>IF(AN89=21,H89,0)</f>
        <v>0</v>
      </c>
      <c r="AN89" s="51">
        <v>12</v>
      </c>
      <c r="AO89" s="51">
        <f>G89*0.073406645</f>
        <v>0</v>
      </c>
      <c r="AP89" s="51">
        <f>G89*(1-0.073406645)</f>
        <v>0</v>
      </c>
      <c r="AQ89" s="53" t="s">
        <v>111</v>
      </c>
      <c r="AV89" s="51">
        <f>AW89+AX89</f>
        <v>0</v>
      </c>
      <c r="AW89" s="51">
        <f>F89*AO89</f>
        <v>0</v>
      </c>
      <c r="AX89" s="51">
        <f>F89*AP89</f>
        <v>0</v>
      </c>
      <c r="AY89" s="53" t="s">
        <v>260</v>
      </c>
      <c r="AZ89" s="53" t="s">
        <v>241</v>
      </c>
      <c r="BA89" s="35" t="s">
        <v>117</v>
      </c>
      <c r="BC89" s="51">
        <f>AW89+AX89</f>
        <v>0</v>
      </c>
      <c r="BD89" s="51">
        <f>G89/(100-BE89)*100</f>
        <v>0</v>
      </c>
      <c r="BE89" s="51">
        <v>0</v>
      </c>
      <c r="BF89" s="51">
        <f>89</f>
        <v>89</v>
      </c>
      <c r="BH89" s="51">
        <f>F89*AO89</f>
        <v>0</v>
      </c>
      <c r="BI89" s="51">
        <f>F89*AP89</f>
        <v>0</v>
      </c>
      <c r="BJ89" s="51">
        <f>F89*G89</f>
        <v>0</v>
      </c>
      <c r="BK89" s="51"/>
      <c r="BL89" s="51">
        <v>96</v>
      </c>
      <c r="BW89" s="51">
        <v>12</v>
      </c>
      <c r="BX89" s="3" t="s">
        <v>268</v>
      </c>
    </row>
    <row r="90" spans="1:76">
      <c r="A90" s="54"/>
      <c r="C90" s="56" t="s">
        <v>269</v>
      </c>
      <c r="D90" s="57" t="s">
        <v>270</v>
      </c>
      <c r="F90" s="58">
        <v>3.2</v>
      </c>
      <c r="J90" s="41"/>
    </row>
    <row r="91" spans="1:76">
      <c r="A91" s="54"/>
      <c r="C91" s="56" t="s">
        <v>271</v>
      </c>
      <c r="D91" s="57" t="s">
        <v>265</v>
      </c>
      <c r="F91" s="58">
        <v>1.89</v>
      </c>
      <c r="J91" s="41"/>
    </row>
    <row r="92" spans="1:76">
      <c r="A92" s="1" t="s">
        <v>272</v>
      </c>
      <c r="B92" s="2" t="s">
        <v>273</v>
      </c>
      <c r="C92" s="75" t="s">
        <v>274</v>
      </c>
      <c r="D92" s="70"/>
      <c r="E92" s="2" t="s">
        <v>124</v>
      </c>
      <c r="F92" s="51">
        <v>1.575</v>
      </c>
      <c r="G92" s="52">
        <v>0</v>
      </c>
      <c r="H92" s="51">
        <f>F92*G92</f>
        <v>0</v>
      </c>
      <c r="J92" s="41"/>
      <c r="Z92" s="51">
        <f>IF(AQ92="5",BJ92,0)</f>
        <v>0</v>
      </c>
      <c r="AB92" s="51">
        <f>IF(AQ92="1",BH92,0)</f>
        <v>0</v>
      </c>
      <c r="AC92" s="51">
        <f>IF(AQ92="1",BI92,0)</f>
        <v>0</v>
      </c>
      <c r="AD92" s="51">
        <f>IF(AQ92="7",BH92,0)</f>
        <v>0</v>
      </c>
      <c r="AE92" s="51">
        <f>IF(AQ92="7",BI92,0)</f>
        <v>0</v>
      </c>
      <c r="AF92" s="51">
        <f>IF(AQ92="2",BH92,0)</f>
        <v>0</v>
      </c>
      <c r="AG92" s="51">
        <f>IF(AQ92="2",BI92,0)</f>
        <v>0</v>
      </c>
      <c r="AH92" s="51">
        <f>IF(AQ92="0",BJ92,0)</f>
        <v>0</v>
      </c>
      <c r="AI92" s="35" t="s">
        <v>4</v>
      </c>
      <c r="AJ92" s="51">
        <f>IF(AN92=0,H92,0)</f>
        <v>0</v>
      </c>
      <c r="AK92" s="51">
        <f>IF(AN92=12,H92,0)</f>
        <v>0</v>
      </c>
      <c r="AL92" s="51">
        <f>IF(AN92=21,H92,0)</f>
        <v>0</v>
      </c>
      <c r="AN92" s="51">
        <v>12</v>
      </c>
      <c r="AO92" s="51">
        <f>G92*0</f>
        <v>0</v>
      </c>
      <c r="AP92" s="51">
        <f>G92*(1-0)</f>
        <v>0</v>
      </c>
      <c r="AQ92" s="53" t="s">
        <v>111</v>
      </c>
      <c r="AV92" s="51">
        <f>AW92+AX92</f>
        <v>0</v>
      </c>
      <c r="AW92" s="51">
        <f>F92*AO92</f>
        <v>0</v>
      </c>
      <c r="AX92" s="51">
        <f>F92*AP92</f>
        <v>0</v>
      </c>
      <c r="AY92" s="53" t="s">
        <v>260</v>
      </c>
      <c r="AZ92" s="53" t="s">
        <v>241</v>
      </c>
      <c r="BA92" s="35" t="s">
        <v>117</v>
      </c>
      <c r="BC92" s="51">
        <f>AW92+AX92</f>
        <v>0</v>
      </c>
      <c r="BD92" s="51">
        <f>G92/(100-BE92)*100</f>
        <v>0</v>
      </c>
      <c r="BE92" s="51">
        <v>0</v>
      </c>
      <c r="BF92" s="51">
        <f>92</f>
        <v>92</v>
      </c>
      <c r="BH92" s="51">
        <f>F92*AO92</f>
        <v>0</v>
      </c>
      <c r="BI92" s="51">
        <f>F92*AP92</f>
        <v>0</v>
      </c>
      <c r="BJ92" s="51">
        <f>F92*G92</f>
        <v>0</v>
      </c>
      <c r="BK92" s="51"/>
      <c r="BL92" s="51">
        <v>96</v>
      </c>
      <c r="BW92" s="51">
        <v>12</v>
      </c>
      <c r="BX92" s="3" t="s">
        <v>274</v>
      </c>
    </row>
    <row r="93" spans="1:76">
      <c r="A93" s="54"/>
      <c r="C93" s="56" t="s">
        <v>275</v>
      </c>
      <c r="D93" s="57" t="s">
        <v>228</v>
      </c>
      <c r="F93" s="58">
        <v>1.575</v>
      </c>
      <c r="J93" s="41"/>
    </row>
    <row r="94" spans="1:76">
      <c r="A94" s="1" t="s">
        <v>276</v>
      </c>
      <c r="B94" s="2" t="s">
        <v>277</v>
      </c>
      <c r="C94" s="75" t="s">
        <v>278</v>
      </c>
      <c r="D94" s="70"/>
      <c r="E94" s="2" t="s">
        <v>134</v>
      </c>
      <c r="F94" s="51">
        <v>3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</f>
        <v>0</v>
      </c>
      <c r="AP94" s="51">
        <f>G94*(1-0)</f>
        <v>0</v>
      </c>
      <c r="AQ94" s="53" t="s">
        <v>111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260</v>
      </c>
      <c r="AZ94" s="53" t="s">
        <v>241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96</v>
      </c>
      <c r="BW94" s="51">
        <v>12</v>
      </c>
      <c r="BX94" s="3" t="s">
        <v>278</v>
      </c>
    </row>
    <row r="95" spans="1:76">
      <c r="A95" s="54"/>
      <c r="C95" s="56" t="s">
        <v>185</v>
      </c>
      <c r="D95" s="57" t="s">
        <v>4</v>
      </c>
      <c r="F95" s="58">
        <v>3</v>
      </c>
      <c r="J95" s="41"/>
    </row>
    <row r="96" spans="1:76">
      <c r="A96" s="1" t="s">
        <v>279</v>
      </c>
      <c r="B96" s="2" t="s">
        <v>280</v>
      </c>
      <c r="C96" s="75" t="s">
        <v>281</v>
      </c>
      <c r="D96" s="70"/>
      <c r="E96" s="2" t="s">
        <v>124</v>
      </c>
      <c r="F96" s="51">
        <v>10.17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111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260</v>
      </c>
      <c r="AZ96" s="53" t="s">
        <v>241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281</v>
      </c>
    </row>
    <row r="97" spans="1:76">
      <c r="A97" s="54"/>
      <c r="C97" s="56" t="s">
        <v>282</v>
      </c>
      <c r="D97" s="57" t="s">
        <v>228</v>
      </c>
      <c r="F97" s="58">
        <v>10.17</v>
      </c>
      <c r="J97" s="41"/>
    </row>
    <row r="98" spans="1:76">
      <c r="A98" s="1" t="s">
        <v>283</v>
      </c>
      <c r="B98" s="2" t="s">
        <v>284</v>
      </c>
      <c r="C98" s="75" t="s">
        <v>285</v>
      </c>
      <c r="D98" s="70"/>
      <c r="E98" s="2" t="s">
        <v>124</v>
      </c>
      <c r="F98" s="51">
        <v>8.66</v>
      </c>
      <c r="G98" s="52">
        <v>0</v>
      </c>
      <c r="H98" s="51">
        <f>F98*G98</f>
        <v>0</v>
      </c>
      <c r="J98" s="41"/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IF(AN98=0,H98,0)</f>
        <v>0</v>
      </c>
      <c r="AK98" s="51">
        <f>IF(AN98=12,H98,0)</f>
        <v>0</v>
      </c>
      <c r="AL98" s="51">
        <f>IF(AN98=21,H98,0)</f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111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260</v>
      </c>
      <c r="AZ98" s="53" t="s">
        <v>241</v>
      </c>
      <c r="BA98" s="35" t="s">
        <v>117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96</v>
      </c>
      <c r="BW98" s="51">
        <v>12</v>
      </c>
      <c r="BX98" s="3" t="s">
        <v>285</v>
      </c>
    </row>
    <row r="99" spans="1:76">
      <c r="A99" s="54"/>
      <c r="C99" s="56" t="s">
        <v>230</v>
      </c>
      <c r="D99" s="57" t="s">
        <v>201</v>
      </c>
      <c r="F99" s="58">
        <v>8.66</v>
      </c>
      <c r="J99" s="41"/>
    </row>
    <row r="100" spans="1:76">
      <c r="A100" s="1" t="s">
        <v>286</v>
      </c>
      <c r="B100" s="2" t="s">
        <v>287</v>
      </c>
      <c r="C100" s="75" t="s">
        <v>288</v>
      </c>
      <c r="D100" s="70"/>
      <c r="E100" s="2" t="s">
        <v>124</v>
      </c>
      <c r="F100" s="51">
        <v>14.53</v>
      </c>
      <c r="G100" s="52">
        <v>0</v>
      </c>
      <c r="H100" s="51">
        <f>F100*G100</f>
        <v>0</v>
      </c>
      <c r="J100" s="41"/>
      <c r="Z100" s="51">
        <f>IF(AQ100="5",BJ100,0)</f>
        <v>0</v>
      </c>
      <c r="AB100" s="51">
        <f>IF(AQ100="1",BH100,0)</f>
        <v>0</v>
      </c>
      <c r="AC100" s="51">
        <f>IF(AQ100="1",BI100,0)</f>
        <v>0</v>
      </c>
      <c r="AD100" s="51">
        <f>IF(AQ100="7",BH100,0)</f>
        <v>0</v>
      </c>
      <c r="AE100" s="51">
        <f>IF(AQ100="7",BI100,0)</f>
        <v>0</v>
      </c>
      <c r="AF100" s="51">
        <f>IF(AQ100="2",BH100,0)</f>
        <v>0</v>
      </c>
      <c r="AG100" s="51">
        <f>IF(AQ100="2",BI100,0)</f>
        <v>0</v>
      </c>
      <c r="AH100" s="51">
        <f>IF(AQ100="0",BJ100,0)</f>
        <v>0</v>
      </c>
      <c r="AI100" s="35" t="s">
        <v>4</v>
      </c>
      <c r="AJ100" s="51">
        <f>IF(AN100=0,H100,0)</f>
        <v>0</v>
      </c>
      <c r="AK100" s="51">
        <f>IF(AN100=12,H100,0)</f>
        <v>0</v>
      </c>
      <c r="AL100" s="51">
        <f>IF(AN100=21,H100,0)</f>
        <v>0</v>
      </c>
      <c r="AN100" s="51">
        <v>12</v>
      </c>
      <c r="AO100" s="51">
        <f>G100*0</f>
        <v>0</v>
      </c>
      <c r="AP100" s="51">
        <f>G100*(1-0)</f>
        <v>0</v>
      </c>
      <c r="AQ100" s="53" t="s">
        <v>111</v>
      </c>
      <c r="AV100" s="51">
        <f>AW100+AX100</f>
        <v>0</v>
      </c>
      <c r="AW100" s="51">
        <f>F100*AO100</f>
        <v>0</v>
      </c>
      <c r="AX100" s="51">
        <f>F100*AP100</f>
        <v>0</v>
      </c>
      <c r="AY100" s="53" t="s">
        <v>260</v>
      </c>
      <c r="AZ100" s="53" t="s">
        <v>241</v>
      </c>
      <c r="BA100" s="35" t="s">
        <v>117</v>
      </c>
      <c r="BC100" s="51">
        <f>AW100+AX100</f>
        <v>0</v>
      </c>
      <c r="BD100" s="51">
        <f>G100/(100-BE100)*100</f>
        <v>0</v>
      </c>
      <c r="BE100" s="51">
        <v>0</v>
      </c>
      <c r="BF100" s="51">
        <f>100</f>
        <v>100</v>
      </c>
      <c r="BH100" s="51">
        <f>F100*AO100</f>
        <v>0</v>
      </c>
      <c r="BI100" s="51">
        <f>F100*AP100</f>
        <v>0</v>
      </c>
      <c r="BJ100" s="51">
        <f>F100*G100</f>
        <v>0</v>
      </c>
      <c r="BK100" s="51"/>
      <c r="BL100" s="51">
        <v>96</v>
      </c>
      <c r="BW100" s="51">
        <v>12</v>
      </c>
      <c r="BX100" s="3" t="s">
        <v>288</v>
      </c>
    </row>
    <row r="101" spans="1:76" ht="13.5" customHeight="1">
      <c r="A101" s="54"/>
      <c r="B101" s="55" t="s">
        <v>118</v>
      </c>
      <c r="C101" s="152" t="s">
        <v>289</v>
      </c>
      <c r="D101" s="153"/>
      <c r="E101" s="153"/>
      <c r="F101" s="153"/>
      <c r="G101" s="154"/>
      <c r="H101" s="153"/>
      <c r="I101" s="153"/>
      <c r="J101" s="155"/>
    </row>
    <row r="102" spans="1:76">
      <c r="A102" s="54"/>
      <c r="C102" s="56" t="s">
        <v>229</v>
      </c>
      <c r="D102" s="57" t="s">
        <v>218</v>
      </c>
      <c r="F102" s="58">
        <v>14.53</v>
      </c>
      <c r="J102" s="41"/>
    </row>
    <row r="103" spans="1:76">
      <c r="A103" s="1" t="s">
        <v>290</v>
      </c>
      <c r="B103" s="2" t="s">
        <v>291</v>
      </c>
      <c r="C103" s="75" t="s">
        <v>292</v>
      </c>
      <c r="D103" s="70"/>
      <c r="E103" s="2" t="s">
        <v>293</v>
      </c>
      <c r="F103" s="51">
        <v>3.5459999999999998</v>
      </c>
      <c r="G103" s="52">
        <v>0</v>
      </c>
      <c r="H103" s="51">
        <f>F103*G103</f>
        <v>0</v>
      </c>
      <c r="J103" s="41"/>
      <c r="Z103" s="51">
        <f>IF(AQ103="5",BJ103,0)</f>
        <v>0</v>
      </c>
      <c r="AB103" s="51">
        <f>IF(AQ103="1",BH103,0)</f>
        <v>0</v>
      </c>
      <c r="AC103" s="51">
        <f>IF(AQ103="1",BI103,0)</f>
        <v>0</v>
      </c>
      <c r="AD103" s="51">
        <f>IF(AQ103="7",BH103,0)</f>
        <v>0</v>
      </c>
      <c r="AE103" s="51">
        <f>IF(AQ103="7",BI103,0)</f>
        <v>0</v>
      </c>
      <c r="AF103" s="51">
        <f>IF(AQ103="2",BH103,0)</f>
        <v>0</v>
      </c>
      <c r="AG103" s="51">
        <f>IF(AQ103="2",BI103,0)</f>
        <v>0</v>
      </c>
      <c r="AH103" s="51">
        <f>IF(AQ103="0",BJ103,0)</f>
        <v>0</v>
      </c>
      <c r="AI103" s="35" t="s">
        <v>4</v>
      </c>
      <c r="AJ103" s="51">
        <f>IF(AN103=0,H103,0)</f>
        <v>0</v>
      </c>
      <c r="AK103" s="51">
        <f>IF(AN103=12,H103,0)</f>
        <v>0</v>
      </c>
      <c r="AL103" s="51">
        <f>IF(AN103=21,H103,0)</f>
        <v>0</v>
      </c>
      <c r="AN103" s="51">
        <v>12</v>
      </c>
      <c r="AO103" s="51">
        <f>G103*0</f>
        <v>0</v>
      </c>
      <c r="AP103" s="51">
        <f>G103*(1-0)</f>
        <v>0</v>
      </c>
      <c r="AQ103" s="53" t="s">
        <v>137</v>
      </c>
      <c r="AV103" s="51">
        <f>AW103+AX103</f>
        <v>0</v>
      </c>
      <c r="AW103" s="51">
        <f>F103*AO103</f>
        <v>0</v>
      </c>
      <c r="AX103" s="51">
        <f>F103*AP103</f>
        <v>0</v>
      </c>
      <c r="AY103" s="53" t="s">
        <v>260</v>
      </c>
      <c r="AZ103" s="53" t="s">
        <v>241</v>
      </c>
      <c r="BA103" s="35" t="s">
        <v>117</v>
      </c>
      <c r="BC103" s="51">
        <f>AW103+AX103</f>
        <v>0</v>
      </c>
      <c r="BD103" s="51">
        <f>G103/(100-BE103)*100</f>
        <v>0</v>
      </c>
      <c r="BE103" s="51">
        <v>0</v>
      </c>
      <c r="BF103" s="51">
        <f>103</f>
        <v>103</v>
      </c>
      <c r="BH103" s="51">
        <f>F103*AO103</f>
        <v>0</v>
      </c>
      <c r="BI103" s="51">
        <f>F103*AP103</f>
        <v>0</v>
      </c>
      <c r="BJ103" s="51">
        <f>F103*G103</f>
        <v>0</v>
      </c>
      <c r="BK103" s="51"/>
      <c r="BL103" s="51">
        <v>96</v>
      </c>
      <c r="BW103" s="51">
        <v>12</v>
      </c>
      <c r="BX103" s="3" t="s">
        <v>292</v>
      </c>
    </row>
    <row r="104" spans="1:76">
      <c r="A104" s="1" t="s">
        <v>109</v>
      </c>
      <c r="B104" s="2" t="s">
        <v>294</v>
      </c>
      <c r="C104" s="75" t="s">
        <v>295</v>
      </c>
      <c r="D104" s="70"/>
      <c r="E104" s="2" t="s">
        <v>293</v>
      </c>
      <c r="F104" s="51">
        <v>7.0919999999999996</v>
      </c>
      <c r="G104" s="52">
        <v>0</v>
      </c>
      <c r="H104" s="51">
        <f>F104*G104</f>
        <v>0</v>
      </c>
      <c r="J104" s="41"/>
      <c r="Z104" s="51">
        <f>IF(AQ104="5",BJ104,0)</f>
        <v>0</v>
      </c>
      <c r="AB104" s="51">
        <f>IF(AQ104="1",BH104,0)</f>
        <v>0</v>
      </c>
      <c r="AC104" s="51">
        <f>IF(AQ104="1",BI104,0)</f>
        <v>0</v>
      </c>
      <c r="AD104" s="51">
        <f>IF(AQ104="7",BH104,0)</f>
        <v>0</v>
      </c>
      <c r="AE104" s="51">
        <f>IF(AQ104="7",BI104,0)</f>
        <v>0</v>
      </c>
      <c r="AF104" s="51">
        <f>IF(AQ104="2",BH104,0)</f>
        <v>0</v>
      </c>
      <c r="AG104" s="51">
        <f>IF(AQ104="2",BI104,0)</f>
        <v>0</v>
      </c>
      <c r="AH104" s="51">
        <f>IF(AQ104="0",BJ104,0)</f>
        <v>0</v>
      </c>
      <c r="AI104" s="35" t="s">
        <v>4</v>
      </c>
      <c r="AJ104" s="51">
        <f>IF(AN104=0,H104,0)</f>
        <v>0</v>
      </c>
      <c r="AK104" s="51">
        <f>IF(AN104=12,H104,0)</f>
        <v>0</v>
      </c>
      <c r="AL104" s="51">
        <f>IF(AN104=21,H104,0)</f>
        <v>0</v>
      </c>
      <c r="AN104" s="51">
        <v>12</v>
      </c>
      <c r="AO104" s="51">
        <f>G104*0</f>
        <v>0</v>
      </c>
      <c r="AP104" s="51">
        <f>G104*(1-0)</f>
        <v>0</v>
      </c>
      <c r="AQ104" s="53" t="s">
        <v>137</v>
      </c>
      <c r="AV104" s="51">
        <f>AW104+AX104</f>
        <v>0</v>
      </c>
      <c r="AW104" s="51">
        <f>F104*AO104</f>
        <v>0</v>
      </c>
      <c r="AX104" s="51">
        <f>F104*AP104</f>
        <v>0</v>
      </c>
      <c r="AY104" s="53" t="s">
        <v>260</v>
      </c>
      <c r="AZ104" s="53" t="s">
        <v>241</v>
      </c>
      <c r="BA104" s="35" t="s">
        <v>117</v>
      </c>
      <c r="BC104" s="51">
        <f>AW104+AX104</f>
        <v>0</v>
      </c>
      <c r="BD104" s="51">
        <f>G104/(100-BE104)*100</f>
        <v>0</v>
      </c>
      <c r="BE104" s="51">
        <v>0</v>
      </c>
      <c r="BF104" s="51">
        <f>104</f>
        <v>104</v>
      </c>
      <c r="BH104" s="51">
        <f>F104*AO104</f>
        <v>0</v>
      </c>
      <c r="BI104" s="51">
        <f>F104*AP104</f>
        <v>0</v>
      </c>
      <c r="BJ104" s="51">
        <f>F104*G104</f>
        <v>0</v>
      </c>
      <c r="BK104" s="51"/>
      <c r="BL104" s="51">
        <v>96</v>
      </c>
      <c r="BW104" s="51">
        <v>12</v>
      </c>
      <c r="BX104" s="3" t="s">
        <v>295</v>
      </c>
    </row>
    <row r="105" spans="1:76">
      <c r="A105" s="54"/>
      <c r="C105" s="56" t="s">
        <v>296</v>
      </c>
      <c r="D105" s="57" t="s">
        <v>4</v>
      </c>
      <c r="F105" s="58">
        <v>7.0919999999999996</v>
      </c>
      <c r="J105" s="41"/>
    </row>
    <row r="106" spans="1:76">
      <c r="A106" s="1" t="s">
        <v>297</v>
      </c>
      <c r="B106" s="2" t="s">
        <v>298</v>
      </c>
      <c r="C106" s="75" t="s">
        <v>299</v>
      </c>
      <c r="D106" s="70"/>
      <c r="E106" s="2" t="s">
        <v>293</v>
      </c>
      <c r="F106" s="51">
        <v>3.5459999999999998</v>
      </c>
      <c r="G106" s="52">
        <v>0</v>
      </c>
      <c r="H106" s="51">
        <f>F106*G106</f>
        <v>0</v>
      </c>
      <c r="J106" s="41"/>
      <c r="Z106" s="51">
        <f>IF(AQ106="5",BJ106,0)</f>
        <v>0</v>
      </c>
      <c r="AB106" s="51">
        <f>IF(AQ106="1",BH106,0)</f>
        <v>0</v>
      </c>
      <c r="AC106" s="51">
        <f>IF(AQ106="1",BI106,0)</f>
        <v>0</v>
      </c>
      <c r="AD106" s="51">
        <f>IF(AQ106="7",BH106,0)</f>
        <v>0</v>
      </c>
      <c r="AE106" s="51">
        <f>IF(AQ106="7",BI106,0)</f>
        <v>0</v>
      </c>
      <c r="AF106" s="51">
        <f>IF(AQ106="2",BH106,0)</f>
        <v>0</v>
      </c>
      <c r="AG106" s="51">
        <f>IF(AQ106="2",BI106,0)</f>
        <v>0</v>
      </c>
      <c r="AH106" s="51">
        <f>IF(AQ106="0",BJ106,0)</f>
        <v>0</v>
      </c>
      <c r="AI106" s="35" t="s">
        <v>4</v>
      </c>
      <c r="AJ106" s="51">
        <f>IF(AN106=0,H106,0)</f>
        <v>0</v>
      </c>
      <c r="AK106" s="51">
        <f>IF(AN106=12,H106,0)</f>
        <v>0</v>
      </c>
      <c r="AL106" s="51">
        <f>IF(AN106=21,H106,0)</f>
        <v>0</v>
      </c>
      <c r="AN106" s="51">
        <v>12</v>
      </c>
      <c r="AO106" s="51">
        <f>G106*0</f>
        <v>0</v>
      </c>
      <c r="AP106" s="51">
        <f>G106*(1-0)</f>
        <v>0</v>
      </c>
      <c r="AQ106" s="53" t="s">
        <v>137</v>
      </c>
      <c r="AV106" s="51">
        <f>AW106+AX106</f>
        <v>0</v>
      </c>
      <c r="AW106" s="51">
        <f>F106*AO106</f>
        <v>0</v>
      </c>
      <c r="AX106" s="51">
        <f>F106*AP106</f>
        <v>0</v>
      </c>
      <c r="AY106" s="53" t="s">
        <v>260</v>
      </c>
      <c r="AZ106" s="53" t="s">
        <v>241</v>
      </c>
      <c r="BA106" s="35" t="s">
        <v>117</v>
      </c>
      <c r="BC106" s="51">
        <f>AW106+AX106</f>
        <v>0</v>
      </c>
      <c r="BD106" s="51">
        <f>G106/(100-BE106)*100</f>
        <v>0</v>
      </c>
      <c r="BE106" s="51">
        <v>0</v>
      </c>
      <c r="BF106" s="51">
        <f>106</f>
        <v>106</v>
      </c>
      <c r="BH106" s="51">
        <f>F106*AO106</f>
        <v>0</v>
      </c>
      <c r="BI106" s="51">
        <f>F106*AP106</f>
        <v>0</v>
      </c>
      <c r="BJ106" s="51">
        <f>F106*G106</f>
        <v>0</v>
      </c>
      <c r="BK106" s="51"/>
      <c r="BL106" s="51">
        <v>96</v>
      </c>
      <c r="BW106" s="51">
        <v>12</v>
      </c>
      <c r="BX106" s="3" t="s">
        <v>299</v>
      </c>
    </row>
    <row r="107" spans="1:76">
      <c r="A107" s="1" t="s">
        <v>300</v>
      </c>
      <c r="B107" s="2" t="s">
        <v>301</v>
      </c>
      <c r="C107" s="75" t="s">
        <v>302</v>
      </c>
      <c r="D107" s="70"/>
      <c r="E107" s="2" t="s">
        <v>293</v>
      </c>
      <c r="F107" s="51">
        <v>17.73</v>
      </c>
      <c r="G107" s="52">
        <v>0</v>
      </c>
      <c r="H107" s="51">
        <f>F107*G107</f>
        <v>0</v>
      </c>
      <c r="J107" s="41"/>
      <c r="Z107" s="51">
        <f>IF(AQ107="5",BJ107,0)</f>
        <v>0</v>
      </c>
      <c r="AB107" s="51">
        <f>IF(AQ107="1",BH107,0)</f>
        <v>0</v>
      </c>
      <c r="AC107" s="51">
        <f>IF(AQ107="1",BI107,0)</f>
        <v>0</v>
      </c>
      <c r="AD107" s="51">
        <f>IF(AQ107="7",BH107,0)</f>
        <v>0</v>
      </c>
      <c r="AE107" s="51">
        <f>IF(AQ107="7",BI107,0)</f>
        <v>0</v>
      </c>
      <c r="AF107" s="51">
        <f>IF(AQ107="2",BH107,0)</f>
        <v>0</v>
      </c>
      <c r="AG107" s="51">
        <f>IF(AQ107="2",BI107,0)</f>
        <v>0</v>
      </c>
      <c r="AH107" s="51">
        <f>IF(AQ107="0",BJ107,0)</f>
        <v>0</v>
      </c>
      <c r="AI107" s="35" t="s">
        <v>4</v>
      </c>
      <c r="AJ107" s="51">
        <f>IF(AN107=0,H107,0)</f>
        <v>0</v>
      </c>
      <c r="AK107" s="51">
        <f>IF(AN107=12,H107,0)</f>
        <v>0</v>
      </c>
      <c r="AL107" s="51">
        <f>IF(AN107=21,H107,0)</f>
        <v>0</v>
      </c>
      <c r="AN107" s="51">
        <v>12</v>
      </c>
      <c r="AO107" s="51">
        <f>G107*0</f>
        <v>0</v>
      </c>
      <c r="AP107" s="51">
        <f>G107*(1-0)</f>
        <v>0</v>
      </c>
      <c r="AQ107" s="53" t="s">
        <v>137</v>
      </c>
      <c r="AV107" s="51">
        <f>AW107+AX107</f>
        <v>0</v>
      </c>
      <c r="AW107" s="51">
        <f>F107*AO107</f>
        <v>0</v>
      </c>
      <c r="AX107" s="51">
        <f>F107*AP107</f>
        <v>0</v>
      </c>
      <c r="AY107" s="53" t="s">
        <v>260</v>
      </c>
      <c r="AZ107" s="53" t="s">
        <v>241</v>
      </c>
      <c r="BA107" s="35" t="s">
        <v>117</v>
      </c>
      <c r="BC107" s="51">
        <f>AW107+AX107</f>
        <v>0</v>
      </c>
      <c r="BD107" s="51">
        <f>G107/(100-BE107)*100</f>
        <v>0</v>
      </c>
      <c r="BE107" s="51">
        <v>0</v>
      </c>
      <c r="BF107" s="51">
        <f>107</f>
        <v>107</v>
      </c>
      <c r="BH107" s="51">
        <f>F107*AO107</f>
        <v>0</v>
      </c>
      <c r="BI107" s="51">
        <f>F107*AP107</f>
        <v>0</v>
      </c>
      <c r="BJ107" s="51">
        <f>F107*G107</f>
        <v>0</v>
      </c>
      <c r="BK107" s="51"/>
      <c r="BL107" s="51">
        <v>96</v>
      </c>
      <c r="BW107" s="51">
        <v>12</v>
      </c>
      <c r="BX107" s="3" t="s">
        <v>302</v>
      </c>
    </row>
    <row r="108" spans="1:76">
      <c r="A108" s="54"/>
      <c r="C108" s="56" t="s">
        <v>303</v>
      </c>
      <c r="D108" s="57" t="s">
        <v>4</v>
      </c>
      <c r="F108" s="58">
        <v>17.73</v>
      </c>
      <c r="J108" s="41"/>
    </row>
    <row r="109" spans="1:76">
      <c r="A109" s="1" t="s">
        <v>304</v>
      </c>
      <c r="B109" s="2" t="s">
        <v>305</v>
      </c>
      <c r="C109" s="75" t="s">
        <v>306</v>
      </c>
      <c r="D109" s="70"/>
      <c r="E109" s="2" t="s">
        <v>293</v>
      </c>
      <c r="F109" s="51">
        <v>3.5459999999999998</v>
      </c>
      <c r="G109" s="52">
        <v>0</v>
      </c>
      <c r="H109" s="51">
        <f>F109*G109</f>
        <v>0</v>
      </c>
      <c r="J109" s="41"/>
      <c r="Z109" s="51">
        <f>IF(AQ109="5",BJ109,0)</f>
        <v>0</v>
      </c>
      <c r="AB109" s="51">
        <f>IF(AQ109="1",BH109,0)</f>
        <v>0</v>
      </c>
      <c r="AC109" s="51">
        <f>IF(AQ109="1",BI109,0)</f>
        <v>0</v>
      </c>
      <c r="AD109" s="51">
        <f>IF(AQ109="7",BH109,0)</f>
        <v>0</v>
      </c>
      <c r="AE109" s="51">
        <f>IF(AQ109="7",BI109,0)</f>
        <v>0</v>
      </c>
      <c r="AF109" s="51">
        <f>IF(AQ109="2",BH109,0)</f>
        <v>0</v>
      </c>
      <c r="AG109" s="51">
        <f>IF(AQ109="2",BI109,0)</f>
        <v>0</v>
      </c>
      <c r="AH109" s="51">
        <f>IF(AQ109="0",BJ109,0)</f>
        <v>0</v>
      </c>
      <c r="AI109" s="35" t="s">
        <v>4</v>
      </c>
      <c r="AJ109" s="51">
        <f>IF(AN109=0,H109,0)</f>
        <v>0</v>
      </c>
      <c r="AK109" s="51">
        <f>IF(AN109=12,H109,0)</f>
        <v>0</v>
      </c>
      <c r="AL109" s="51">
        <f>IF(AN109=21,H109,0)</f>
        <v>0</v>
      </c>
      <c r="AN109" s="51">
        <v>12</v>
      </c>
      <c r="AO109" s="51">
        <f>G109*0</f>
        <v>0</v>
      </c>
      <c r="AP109" s="51">
        <f>G109*(1-0)</f>
        <v>0</v>
      </c>
      <c r="AQ109" s="53" t="s">
        <v>137</v>
      </c>
      <c r="AV109" s="51">
        <f>AW109+AX109</f>
        <v>0</v>
      </c>
      <c r="AW109" s="51">
        <f>F109*AO109</f>
        <v>0</v>
      </c>
      <c r="AX109" s="51">
        <f>F109*AP109</f>
        <v>0</v>
      </c>
      <c r="AY109" s="53" t="s">
        <v>260</v>
      </c>
      <c r="AZ109" s="53" t="s">
        <v>241</v>
      </c>
      <c r="BA109" s="35" t="s">
        <v>117</v>
      </c>
      <c r="BC109" s="51">
        <f>AW109+AX109</f>
        <v>0</v>
      </c>
      <c r="BD109" s="51">
        <f>G109/(100-BE109)*100</f>
        <v>0</v>
      </c>
      <c r="BE109" s="51">
        <v>0</v>
      </c>
      <c r="BF109" s="51">
        <f>109</f>
        <v>109</v>
      </c>
      <c r="BH109" s="51">
        <f>F109*AO109</f>
        <v>0</v>
      </c>
      <c r="BI109" s="51">
        <f>F109*AP109</f>
        <v>0</v>
      </c>
      <c r="BJ109" s="51">
        <f>F109*G109</f>
        <v>0</v>
      </c>
      <c r="BK109" s="51"/>
      <c r="BL109" s="51">
        <v>96</v>
      </c>
      <c r="BW109" s="51">
        <v>12</v>
      </c>
      <c r="BX109" s="3" t="s">
        <v>306</v>
      </c>
    </row>
    <row r="110" spans="1:76">
      <c r="A110" s="1" t="s">
        <v>307</v>
      </c>
      <c r="B110" s="2" t="s">
        <v>308</v>
      </c>
      <c r="C110" s="75" t="s">
        <v>309</v>
      </c>
      <c r="D110" s="70"/>
      <c r="E110" s="2" t="s">
        <v>293</v>
      </c>
      <c r="F110" s="51">
        <v>14.183999999999999</v>
      </c>
      <c r="G110" s="52">
        <v>0</v>
      </c>
      <c r="H110" s="51">
        <f>F110*G110</f>
        <v>0</v>
      </c>
      <c r="J110" s="41"/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IF(AN110=0,H110,0)</f>
        <v>0</v>
      </c>
      <c r="AK110" s="51">
        <f>IF(AN110=12,H110,0)</f>
        <v>0</v>
      </c>
      <c r="AL110" s="51">
        <f>IF(AN110=21,H110,0)</f>
        <v>0</v>
      </c>
      <c r="AN110" s="51">
        <v>12</v>
      </c>
      <c r="AO110" s="51">
        <f>G110*0</f>
        <v>0</v>
      </c>
      <c r="AP110" s="51">
        <f>G110*(1-0)</f>
        <v>0</v>
      </c>
      <c r="AQ110" s="53" t="s">
        <v>137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260</v>
      </c>
      <c r="AZ110" s="53" t="s">
        <v>241</v>
      </c>
      <c r="BA110" s="35" t="s">
        <v>117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96</v>
      </c>
      <c r="BW110" s="51">
        <v>12</v>
      </c>
      <c r="BX110" s="3" t="s">
        <v>309</v>
      </c>
    </row>
    <row r="111" spans="1:76">
      <c r="A111" s="54"/>
      <c r="C111" s="56" t="s">
        <v>310</v>
      </c>
      <c r="D111" s="57" t="s">
        <v>4</v>
      </c>
      <c r="F111" s="58">
        <v>14.183999999999999</v>
      </c>
      <c r="J111" s="41"/>
    </row>
    <row r="112" spans="1:76">
      <c r="A112" s="1" t="s">
        <v>311</v>
      </c>
      <c r="B112" s="2" t="s">
        <v>312</v>
      </c>
      <c r="C112" s="75" t="s">
        <v>313</v>
      </c>
      <c r="D112" s="70"/>
      <c r="E112" s="2" t="s">
        <v>293</v>
      </c>
      <c r="F112" s="51">
        <v>3.4289999999999998</v>
      </c>
      <c r="G112" s="52">
        <v>0</v>
      </c>
      <c r="H112" s="51">
        <f>F112*G112</f>
        <v>0</v>
      </c>
      <c r="J112" s="41"/>
      <c r="Z112" s="51">
        <f>IF(AQ112="5",BJ112,0)</f>
        <v>0</v>
      </c>
      <c r="AB112" s="51">
        <f>IF(AQ112="1",BH112,0)</f>
        <v>0</v>
      </c>
      <c r="AC112" s="51">
        <f>IF(AQ112="1",BI112,0)</f>
        <v>0</v>
      </c>
      <c r="AD112" s="51">
        <f>IF(AQ112="7",BH112,0)</f>
        <v>0</v>
      </c>
      <c r="AE112" s="51">
        <f>IF(AQ112="7",BI112,0)</f>
        <v>0</v>
      </c>
      <c r="AF112" s="51">
        <f>IF(AQ112="2",BH112,0)</f>
        <v>0</v>
      </c>
      <c r="AG112" s="51">
        <f>IF(AQ112="2",BI112,0)</f>
        <v>0</v>
      </c>
      <c r="AH112" s="51">
        <f>IF(AQ112="0",BJ112,0)</f>
        <v>0</v>
      </c>
      <c r="AI112" s="35" t="s">
        <v>4</v>
      </c>
      <c r="AJ112" s="51">
        <f>IF(AN112=0,H112,0)</f>
        <v>0</v>
      </c>
      <c r="AK112" s="51">
        <f>IF(AN112=12,H112,0)</f>
        <v>0</v>
      </c>
      <c r="AL112" s="51">
        <f>IF(AN112=21,H112,0)</f>
        <v>0</v>
      </c>
      <c r="AN112" s="51">
        <v>12</v>
      </c>
      <c r="AO112" s="51">
        <f>G112*0</f>
        <v>0</v>
      </c>
      <c r="AP112" s="51">
        <f>G112*(1-0)</f>
        <v>0</v>
      </c>
      <c r="AQ112" s="53" t="s">
        <v>137</v>
      </c>
      <c r="AV112" s="51">
        <f>AW112+AX112</f>
        <v>0</v>
      </c>
      <c r="AW112" s="51">
        <f>F112*AO112</f>
        <v>0</v>
      </c>
      <c r="AX112" s="51">
        <f>F112*AP112</f>
        <v>0</v>
      </c>
      <c r="AY112" s="53" t="s">
        <v>260</v>
      </c>
      <c r="AZ112" s="53" t="s">
        <v>241</v>
      </c>
      <c r="BA112" s="35" t="s">
        <v>117</v>
      </c>
      <c r="BC112" s="51">
        <f>AW112+AX112</f>
        <v>0</v>
      </c>
      <c r="BD112" s="51">
        <f>G112/(100-BE112)*100</f>
        <v>0</v>
      </c>
      <c r="BE112" s="51">
        <v>0</v>
      </c>
      <c r="BF112" s="51">
        <f>112</f>
        <v>112</v>
      </c>
      <c r="BH112" s="51">
        <f>F112*AO112</f>
        <v>0</v>
      </c>
      <c r="BI112" s="51">
        <f>F112*AP112</f>
        <v>0</v>
      </c>
      <c r="BJ112" s="51">
        <f>F112*G112</f>
        <v>0</v>
      </c>
      <c r="BK112" s="51"/>
      <c r="BL112" s="51">
        <v>96</v>
      </c>
      <c r="BW112" s="51">
        <v>12</v>
      </c>
      <c r="BX112" s="3" t="s">
        <v>313</v>
      </c>
    </row>
    <row r="113" spans="1:76">
      <c r="A113" s="54"/>
      <c r="C113" s="56" t="s">
        <v>314</v>
      </c>
      <c r="D113" s="57" t="s">
        <v>4</v>
      </c>
      <c r="F113" s="58">
        <v>3.4289999999999998</v>
      </c>
      <c r="J113" s="41"/>
    </row>
    <row r="114" spans="1:76">
      <c r="A114" s="1" t="s">
        <v>315</v>
      </c>
      <c r="B114" s="2" t="s">
        <v>316</v>
      </c>
      <c r="C114" s="75" t="s">
        <v>317</v>
      </c>
      <c r="D114" s="70"/>
      <c r="E114" s="2" t="s">
        <v>293</v>
      </c>
      <c r="F114" s="51">
        <v>0.11700000000000001</v>
      </c>
      <c r="G114" s="52">
        <v>0</v>
      </c>
      <c r="H114" s="51">
        <f>F114*G114</f>
        <v>0</v>
      </c>
      <c r="J114" s="41"/>
      <c r="Z114" s="51">
        <f>IF(AQ114="5",BJ114,0)</f>
        <v>0</v>
      </c>
      <c r="AB114" s="51">
        <f>IF(AQ114="1",BH114,0)</f>
        <v>0</v>
      </c>
      <c r="AC114" s="51">
        <f>IF(AQ114="1",BI114,0)</f>
        <v>0</v>
      </c>
      <c r="AD114" s="51">
        <f>IF(AQ114="7",BH114,0)</f>
        <v>0</v>
      </c>
      <c r="AE114" s="51">
        <f>IF(AQ114="7",BI114,0)</f>
        <v>0</v>
      </c>
      <c r="AF114" s="51">
        <f>IF(AQ114="2",BH114,0)</f>
        <v>0</v>
      </c>
      <c r="AG114" s="51">
        <f>IF(AQ114="2",BI114,0)</f>
        <v>0</v>
      </c>
      <c r="AH114" s="51">
        <f>IF(AQ114="0",BJ114,0)</f>
        <v>0</v>
      </c>
      <c r="AI114" s="35" t="s">
        <v>4</v>
      </c>
      <c r="AJ114" s="51">
        <f>IF(AN114=0,H114,0)</f>
        <v>0</v>
      </c>
      <c r="AK114" s="51">
        <f>IF(AN114=12,H114,0)</f>
        <v>0</v>
      </c>
      <c r="AL114" s="51">
        <f>IF(AN114=21,H114,0)</f>
        <v>0</v>
      </c>
      <c r="AN114" s="51">
        <v>12</v>
      </c>
      <c r="AO114" s="51">
        <f>G114*0</f>
        <v>0</v>
      </c>
      <c r="AP114" s="51">
        <f>G114*(1-0)</f>
        <v>0</v>
      </c>
      <c r="AQ114" s="53" t="s">
        <v>137</v>
      </c>
      <c r="AV114" s="51">
        <f>AW114+AX114</f>
        <v>0</v>
      </c>
      <c r="AW114" s="51">
        <f>F114*AO114</f>
        <v>0</v>
      </c>
      <c r="AX114" s="51">
        <f>F114*AP114</f>
        <v>0</v>
      </c>
      <c r="AY114" s="53" t="s">
        <v>260</v>
      </c>
      <c r="AZ114" s="53" t="s">
        <v>241</v>
      </c>
      <c r="BA114" s="35" t="s">
        <v>117</v>
      </c>
      <c r="BC114" s="51">
        <f>AW114+AX114</f>
        <v>0</v>
      </c>
      <c r="BD114" s="51">
        <f>G114/(100-BE114)*100</f>
        <v>0</v>
      </c>
      <c r="BE114" s="51">
        <v>0</v>
      </c>
      <c r="BF114" s="51">
        <f>114</f>
        <v>114</v>
      </c>
      <c r="BH114" s="51">
        <f>F114*AO114</f>
        <v>0</v>
      </c>
      <c r="BI114" s="51">
        <f>F114*AP114</f>
        <v>0</v>
      </c>
      <c r="BJ114" s="51">
        <f>F114*G114</f>
        <v>0</v>
      </c>
      <c r="BK114" s="51"/>
      <c r="BL114" s="51">
        <v>96</v>
      </c>
      <c r="BW114" s="51">
        <v>12</v>
      </c>
      <c r="BX114" s="3" t="s">
        <v>317</v>
      </c>
    </row>
    <row r="115" spans="1:76">
      <c r="A115" s="54"/>
      <c r="C115" s="56" t="s">
        <v>318</v>
      </c>
      <c r="D115" s="57" t="s">
        <v>319</v>
      </c>
      <c r="F115" s="58">
        <v>9.2999999999999999E-2</v>
      </c>
      <c r="J115" s="41"/>
    </row>
    <row r="116" spans="1:76">
      <c r="A116" s="54"/>
      <c r="C116" s="56" t="s">
        <v>320</v>
      </c>
      <c r="D116" s="57" t="s">
        <v>321</v>
      </c>
      <c r="F116" s="58">
        <v>2.4E-2</v>
      </c>
      <c r="J116" s="41"/>
    </row>
    <row r="117" spans="1:76">
      <c r="A117" s="47" t="s">
        <v>4</v>
      </c>
      <c r="B117" s="48" t="s">
        <v>322</v>
      </c>
      <c r="C117" s="150" t="s">
        <v>323</v>
      </c>
      <c r="D117" s="151"/>
      <c r="E117" s="49" t="s">
        <v>79</v>
      </c>
      <c r="F117" s="49" t="s">
        <v>79</v>
      </c>
      <c r="G117" s="50" t="s">
        <v>79</v>
      </c>
      <c r="H117" s="28">
        <f>SUM(H118:H118)</f>
        <v>0</v>
      </c>
      <c r="J117" s="41"/>
      <c r="AI117" s="35" t="s">
        <v>4</v>
      </c>
      <c r="AS117" s="28">
        <f>SUM(AJ118:AJ118)</f>
        <v>0</v>
      </c>
      <c r="AT117" s="28">
        <f>SUM(AK118:AK118)</f>
        <v>0</v>
      </c>
      <c r="AU117" s="28">
        <f>SUM(AL118:AL118)</f>
        <v>0</v>
      </c>
    </row>
    <row r="118" spans="1:76">
      <c r="A118" s="1" t="s">
        <v>324</v>
      </c>
      <c r="B118" s="2" t="s">
        <v>325</v>
      </c>
      <c r="C118" s="75" t="s">
        <v>326</v>
      </c>
      <c r="D118" s="70"/>
      <c r="E118" s="2" t="s">
        <v>293</v>
      </c>
      <c r="F118" s="51">
        <v>6.2770000000000001</v>
      </c>
      <c r="G118" s="52">
        <v>0</v>
      </c>
      <c r="H118" s="51">
        <f>F118*G118</f>
        <v>0</v>
      </c>
      <c r="J118" s="41"/>
      <c r="Z118" s="51">
        <f>IF(AQ118="5",BJ118,0)</f>
        <v>0</v>
      </c>
      <c r="AB118" s="51">
        <f>IF(AQ118="1",BH118,0)</f>
        <v>0</v>
      </c>
      <c r="AC118" s="51">
        <f>IF(AQ118="1",BI118,0)</f>
        <v>0</v>
      </c>
      <c r="AD118" s="51">
        <f>IF(AQ118="7",BH118,0)</f>
        <v>0</v>
      </c>
      <c r="AE118" s="51">
        <f>IF(AQ118="7",BI118,0)</f>
        <v>0</v>
      </c>
      <c r="AF118" s="51">
        <f>IF(AQ118="2",BH118,0)</f>
        <v>0</v>
      </c>
      <c r="AG118" s="51">
        <f>IF(AQ118="2",BI118,0)</f>
        <v>0</v>
      </c>
      <c r="AH118" s="51">
        <f>IF(AQ118="0",BJ118,0)</f>
        <v>0</v>
      </c>
      <c r="AI118" s="35" t="s">
        <v>4</v>
      </c>
      <c r="AJ118" s="51">
        <f>IF(AN118=0,H118,0)</f>
        <v>0</v>
      </c>
      <c r="AK118" s="51">
        <f>IF(AN118=12,H118,0)</f>
        <v>0</v>
      </c>
      <c r="AL118" s="51">
        <f>IF(AN118=21,H118,0)</f>
        <v>0</v>
      </c>
      <c r="AN118" s="51">
        <v>12</v>
      </c>
      <c r="AO118" s="51">
        <f>G118*0</f>
        <v>0</v>
      </c>
      <c r="AP118" s="51">
        <f>G118*(1-0)</f>
        <v>0</v>
      </c>
      <c r="AQ118" s="53" t="s">
        <v>137</v>
      </c>
      <c r="AV118" s="51">
        <f>AW118+AX118</f>
        <v>0</v>
      </c>
      <c r="AW118" s="51">
        <f>F118*AO118</f>
        <v>0</v>
      </c>
      <c r="AX118" s="51">
        <f>F118*AP118</f>
        <v>0</v>
      </c>
      <c r="AY118" s="53" t="s">
        <v>327</v>
      </c>
      <c r="AZ118" s="53" t="s">
        <v>241</v>
      </c>
      <c r="BA118" s="35" t="s">
        <v>117</v>
      </c>
      <c r="BC118" s="51">
        <f>AW118+AX118</f>
        <v>0</v>
      </c>
      <c r="BD118" s="51">
        <f>G118/(100-BE118)*100</f>
        <v>0</v>
      </c>
      <c r="BE118" s="51">
        <v>0</v>
      </c>
      <c r="BF118" s="51">
        <f>118</f>
        <v>118</v>
      </c>
      <c r="BH118" s="51">
        <f>F118*AO118</f>
        <v>0</v>
      </c>
      <c r="BI118" s="51">
        <f>F118*AP118</f>
        <v>0</v>
      </c>
      <c r="BJ118" s="51">
        <f>F118*G118</f>
        <v>0</v>
      </c>
      <c r="BK118" s="51"/>
      <c r="BL118" s="51">
        <v>99</v>
      </c>
      <c r="BW118" s="51">
        <v>12</v>
      </c>
      <c r="BX118" s="3" t="s">
        <v>326</v>
      </c>
    </row>
    <row r="119" spans="1:76">
      <c r="A119" s="47" t="s">
        <v>4</v>
      </c>
      <c r="B119" s="48" t="s">
        <v>328</v>
      </c>
      <c r="C119" s="150" t="s">
        <v>329</v>
      </c>
      <c r="D119" s="151"/>
      <c r="E119" s="49" t="s">
        <v>79</v>
      </c>
      <c r="F119" s="49" t="s">
        <v>79</v>
      </c>
      <c r="G119" s="50" t="s">
        <v>79</v>
      </c>
      <c r="H119" s="28">
        <f>SUM(H120:H130)</f>
        <v>0</v>
      </c>
      <c r="J119" s="41"/>
      <c r="AI119" s="35" t="s">
        <v>4</v>
      </c>
      <c r="AS119" s="28">
        <f>SUM(AJ120:AJ130)</f>
        <v>0</v>
      </c>
      <c r="AT119" s="28">
        <f>SUM(AK120:AK130)</f>
        <v>0</v>
      </c>
      <c r="AU119" s="28">
        <f>SUM(AL120:AL130)</f>
        <v>0</v>
      </c>
    </row>
    <row r="120" spans="1:76">
      <c r="A120" s="1" t="s">
        <v>330</v>
      </c>
      <c r="B120" s="2" t="s">
        <v>331</v>
      </c>
      <c r="C120" s="75" t="s">
        <v>332</v>
      </c>
      <c r="D120" s="70"/>
      <c r="E120" s="2" t="s">
        <v>124</v>
      </c>
      <c r="F120" s="51">
        <v>8.4939999999999998</v>
      </c>
      <c r="G120" s="52">
        <v>0</v>
      </c>
      <c r="H120" s="51">
        <f>F120*G120</f>
        <v>0</v>
      </c>
      <c r="J120" s="41"/>
      <c r="Z120" s="51">
        <f>IF(AQ120="5",BJ120,0)</f>
        <v>0</v>
      </c>
      <c r="AB120" s="51">
        <f>IF(AQ120="1",BH120,0)</f>
        <v>0</v>
      </c>
      <c r="AC120" s="51">
        <f>IF(AQ120="1",BI120,0)</f>
        <v>0</v>
      </c>
      <c r="AD120" s="51">
        <f>IF(AQ120="7",BH120,0)</f>
        <v>0</v>
      </c>
      <c r="AE120" s="51">
        <f>IF(AQ120="7",BI120,0)</f>
        <v>0</v>
      </c>
      <c r="AF120" s="51">
        <f>IF(AQ120="2",BH120,0)</f>
        <v>0</v>
      </c>
      <c r="AG120" s="51">
        <f>IF(AQ120="2",BI120,0)</f>
        <v>0</v>
      </c>
      <c r="AH120" s="51">
        <f>IF(AQ120="0",BJ120,0)</f>
        <v>0</v>
      </c>
      <c r="AI120" s="35" t="s">
        <v>4</v>
      </c>
      <c r="AJ120" s="51">
        <f>IF(AN120=0,H120,0)</f>
        <v>0</v>
      </c>
      <c r="AK120" s="51">
        <f>IF(AN120=12,H120,0)</f>
        <v>0</v>
      </c>
      <c r="AL120" s="51">
        <f>IF(AN120=21,H120,0)</f>
        <v>0</v>
      </c>
      <c r="AN120" s="51">
        <v>12</v>
      </c>
      <c r="AO120" s="51">
        <f>G120*0.338873573</f>
        <v>0</v>
      </c>
      <c r="AP120" s="51">
        <f>G120*(1-0.338873573)</f>
        <v>0</v>
      </c>
      <c r="AQ120" s="53" t="s">
        <v>149</v>
      </c>
      <c r="AV120" s="51">
        <f>AW120+AX120</f>
        <v>0</v>
      </c>
      <c r="AW120" s="51">
        <f>F120*AO120</f>
        <v>0</v>
      </c>
      <c r="AX120" s="51">
        <f>F120*AP120</f>
        <v>0</v>
      </c>
      <c r="AY120" s="53" t="s">
        <v>333</v>
      </c>
      <c r="AZ120" s="53" t="s">
        <v>334</v>
      </c>
      <c r="BA120" s="35" t="s">
        <v>117</v>
      </c>
      <c r="BC120" s="51">
        <f>AW120+AX120</f>
        <v>0</v>
      </c>
      <c r="BD120" s="51">
        <f>G120/(100-BE120)*100</f>
        <v>0</v>
      </c>
      <c r="BE120" s="51">
        <v>0</v>
      </c>
      <c r="BF120" s="51">
        <f>120</f>
        <v>120</v>
      </c>
      <c r="BH120" s="51">
        <f>F120*AO120</f>
        <v>0</v>
      </c>
      <c r="BI120" s="51">
        <f>F120*AP120</f>
        <v>0</v>
      </c>
      <c r="BJ120" s="51">
        <f>F120*G120</f>
        <v>0</v>
      </c>
      <c r="BK120" s="51"/>
      <c r="BL120" s="51">
        <v>711</v>
      </c>
      <c r="BW120" s="51">
        <v>12</v>
      </c>
      <c r="BX120" s="3" t="s">
        <v>332</v>
      </c>
    </row>
    <row r="121" spans="1:76">
      <c r="A121" s="1" t="s">
        <v>335</v>
      </c>
      <c r="B121" s="2" t="s">
        <v>336</v>
      </c>
      <c r="C121" s="75" t="s">
        <v>337</v>
      </c>
      <c r="D121" s="70"/>
      <c r="E121" s="2" t="s">
        <v>124</v>
      </c>
      <c r="F121" s="51">
        <v>8.4939999999999998</v>
      </c>
      <c r="G121" s="52">
        <v>0</v>
      </c>
      <c r="H121" s="51">
        <f>F121*G121</f>
        <v>0</v>
      </c>
      <c r="J121" s="41"/>
      <c r="Z121" s="51">
        <f>IF(AQ121="5",BJ121,0)</f>
        <v>0</v>
      </c>
      <c r="AB121" s="51">
        <f>IF(AQ121="1",BH121,0)</f>
        <v>0</v>
      </c>
      <c r="AC121" s="51">
        <f>IF(AQ121="1",BI121,0)</f>
        <v>0</v>
      </c>
      <c r="AD121" s="51">
        <f>IF(AQ121="7",BH121,0)</f>
        <v>0</v>
      </c>
      <c r="AE121" s="51">
        <f>IF(AQ121="7",BI121,0)</f>
        <v>0</v>
      </c>
      <c r="AF121" s="51">
        <f>IF(AQ121="2",BH121,0)</f>
        <v>0</v>
      </c>
      <c r="AG121" s="51">
        <f>IF(AQ121="2",BI121,0)</f>
        <v>0</v>
      </c>
      <c r="AH121" s="51">
        <f>IF(AQ121="0",BJ121,0)</f>
        <v>0</v>
      </c>
      <c r="AI121" s="35" t="s">
        <v>4</v>
      </c>
      <c r="AJ121" s="51">
        <f>IF(AN121=0,H121,0)</f>
        <v>0</v>
      </c>
      <c r="AK121" s="51">
        <f>IF(AN121=12,H121,0)</f>
        <v>0</v>
      </c>
      <c r="AL121" s="51">
        <f>IF(AN121=21,H121,0)</f>
        <v>0</v>
      </c>
      <c r="AN121" s="51">
        <v>12</v>
      </c>
      <c r="AO121" s="51">
        <f>G121*0.66156226</f>
        <v>0</v>
      </c>
      <c r="AP121" s="51">
        <f>G121*(1-0.66156226)</f>
        <v>0</v>
      </c>
      <c r="AQ121" s="53" t="s">
        <v>149</v>
      </c>
      <c r="AV121" s="51">
        <f>AW121+AX121</f>
        <v>0</v>
      </c>
      <c r="AW121" s="51">
        <f>F121*AO121</f>
        <v>0</v>
      </c>
      <c r="AX121" s="51">
        <f>F121*AP121</f>
        <v>0</v>
      </c>
      <c r="AY121" s="53" t="s">
        <v>333</v>
      </c>
      <c r="AZ121" s="53" t="s">
        <v>334</v>
      </c>
      <c r="BA121" s="35" t="s">
        <v>117</v>
      </c>
      <c r="BC121" s="51">
        <f>AW121+AX121</f>
        <v>0</v>
      </c>
      <c r="BD121" s="51">
        <f>G121/(100-BE121)*100</f>
        <v>0</v>
      </c>
      <c r="BE121" s="51">
        <v>0</v>
      </c>
      <c r="BF121" s="51">
        <f>121</f>
        <v>121</v>
      </c>
      <c r="BH121" s="51">
        <f>F121*AO121</f>
        <v>0</v>
      </c>
      <c r="BI121" s="51">
        <f>F121*AP121</f>
        <v>0</v>
      </c>
      <c r="BJ121" s="51">
        <f>F121*G121</f>
        <v>0</v>
      </c>
      <c r="BK121" s="51"/>
      <c r="BL121" s="51">
        <v>711</v>
      </c>
      <c r="BW121" s="51">
        <v>12</v>
      </c>
      <c r="BX121" s="3" t="s">
        <v>337</v>
      </c>
    </row>
    <row r="122" spans="1:76" ht="13.5" customHeight="1">
      <c r="A122" s="54"/>
      <c r="B122" s="55" t="s">
        <v>118</v>
      </c>
      <c r="C122" s="152" t="s">
        <v>338</v>
      </c>
      <c r="D122" s="153"/>
      <c r="E122" s="153"/>
      <c r="F122" s="153"/>
      <c r="G122" s="154"/>
      <c r="H122" s="153"/>
      <c r="I122" s="153"/>
      <c r="J122" s="155"/>
    </row>
    <row r="123" spans="1:76">
      <c r="A123" s="54"/>
      <c r="C123" s="56" t="s">
        <v>227</v>
      </c>
      <c r="D123" s="57" t="s">
        <v>339</v>
      </c>
      <c r="F123" s="58">
        <v>2.5990000000000002</v>
      </c>
      <c r="J123" s="41"/>
    </row>
    <row r="124" spans="1:76">
      <c r="A124" s="54"/>
      <c r="C124" s="56" t="s">
        <v>340</v>
      </c>
      <c r="D124" s="57" t="s">
        <v>341</v>
      </c>
      <c r="F124" s="58">
        <v>1.6950000000000001</v>
      </c>
      <c r="J124" s="41"/>
    </row>
    <row r="125" spans="1:76">
      <c r="A125" s="54"/>
      <c r="C125" s="56" t="s">
        <v>342</v>
      </c>
      <c r="D125" s="57" t="s">
        <v>343</v>
      </c>
      <c r="F125" s="58">
        <v>4.2</v>
      </c>
      <c r="J125" s="41"/>
    </row>
    <row r="126" spans="1:76">
      <c r="A126" s="1" t="s">
        <v>344</v>
      </c>
      <c r="B126" s="2" t="s">
        <v>345</v>
      </c>
      <c r="C126" s="75" t="s">
        <v>346</v>
      </c>
      <c r="D126" s="70"/>
      <c r="E126" s="2" t="s">
        <v>134</v>
      </c>
      <c r="F126" s="51">
        <v>7.75</v>
      </c>
      <c r="G126" s="52">
        <v>0</v>
      </c>
      <c r="H126" s="51">
        <f>F126*G126</f>
        <v>0</v>
      </c>
      <c r="J126" s="41"/>
      <c r="Z126" s="51">
        <f>IF(AQ126="5",BJ126,0)</f>
        <v>0</v>
      </c>
      <c r="AB126" s="51">
        <f>IF(AQ126="1",BH126,0)</f>
        <v>0</v>
      </c>
      <c r="AC126" s="51">
        <f>IF(AQ126="1",BI126,0)</f>
        <v>0</v>
      </c>
      <c r="AD126" s="51">
        <f>IF(AQ126="7",BH126,0)</f>
        <v>0</v>
      </c>
      <c r="AE126" s="51">
        <f>IF(AQ126="7",BI126,0)</f>
        <v>0</v>
      </c>
      <c r="AF126" s="51">
        <f>IF(AQ126="2",BH126,0)</f>
        <v>0</v>
      </c>
      <c r="AG126" s="51">
        <f>IF(AQ126="2",BI126,0)</f>
        <v>0</v>
      </c>
      <c r="AH126" s="51">
        <f>IF(AQ126="0",BJ126,0)</f>
        <v>0</v>
      </c>
      <c r="AI126" s="35" t="s">
        <v>4</v>
      </c>
      <c r="AJ126" s="51">
        <f>IF(AN126=0,H126,0)</f>
        <v>0</v>
      </c>
      <c r="AK126" s="51">
        <f>IF(AN126=12,H126,0)</f>
        <v>0</v>
      </c>
      <c r="AL126" s="51">
        <f>IF(AN126=21,H126,0)</f>
        <v>0</v>
      </c>
      <c r="AN126" s="51">
        <v>12</v>
      </c>
      <c r="AO126" s="51">
        <f>G126*0.688965517</f>
        <v>0</v>
      </c>
      <c r="AP126" s="51">
        <f>G126*(1-0.688965517)</f>
        <v>0</v>
      </c>
      <c r="AQ126" s="53" t="s">
        <v>149</v>
      </c>
      <c r="AV126" s="51">
        <f>AW126+AX126</f>
        <v>0</v>
      </c>
      <c r="AW126" s="51">
        <f>F126*AO126</f>
        <v>0</v>
      </c>
      <c r="AX126" s="51">
        <f>F126*AP126</f>
        <v>0</v>
      </c>
      <c r="AY126" s="53" t="s">
        <v>333</v>
      </c>
      <c r="AZ126" s="53" t="s">
        <v>334</v>
      </c>
      <c r="BA126" s="35" t="s">
        <v>117</v>
      </c>
      <c r="BC126" s="51">
        <f>AW126+AX126</f>
        <v>0</v>
      </c>
      <c r="BD126" s="51">
        <f>G126/(100-BE126)*100</f>
        <v>0</v>
      </c>
      <c r="BE126" s="51">
        <v>0</v>
      </c>
      <c r="BF126" s="51">
        <f>126</f>
        <v>126</v>
      </c>
      <c r="BH126" s="51">
        <f>F126*AO126</f>
        <v>0</v>
      </c>
      <c r="BI126" s="51">
        <f>F126*AP126</f>
        <v>0</v>
      </c>
      <c r="BJ126" s="51">
        <f>F126*G126</f>
        <v>0</v>
      </c>
      <c r="BK126" s="51"/>
      <c r="BL126" s="51">
        <v>711</v>
      </c>
      <c r="BW126" s="51">
        <v>12</v>
      </c>
      <c r="BX126" s="3" t="s">
        <v>346</v>
      </c>
    </row>
    <row r="127" spans="1:76" ht="13.5" customHeight="1">
      <c r="A127" s="54"/>
      <c r="B127" s="55" t="s">
        <v>118</v>
      </c>
      <c r="C127" s="152" t="s">
        <v>347</v>
      </c>
      <c r="D127" s="153"/>
      <c r="E127" s="153"/>
      <c r="F127" s="153"/>
      <c r="G127" s="154"/>
      <c r="H127" s="153"/>
      <c r="I127" s="153"/>
      <c r="J127" s="155"/>
    </row>
    <row r="128" spans="1:76">
      <c r="A128" s="54"/>
      <c r="C128" s="56" t="s">
        <v>348</v>
      </c>
      <c r="D128" s="57" t="s">
        <v>349</v>
      </c>
      <c r="F128" s="58">
        <v>5.65</v>
      </c>
      <c r="J128" s="41"/>
    </row>
    <row r="129" spans="1:76">
      <c r="A129" s="54"/>
      <c r="C129" s="56" t="s">
        <v>350</v>
      </c>
      <c r="D129" s="57" t="s">
        <v>351</v>
      </c>
      <c r="F129" s="58">
        <v>2.1</v>
      </c>
      <c r="J129" s="41"/>
    </row>
    <row r="130" spans="1:76">
      <c r="A130" s="1" t="s">
        <v>352</v>
      </c>
      <c r="B130" s="2" t="s">
        <v>353</v>
      </c>
      <c r="C130" s="75" t="s">
        <v>354</v>
      </c>
      <c r="D130" s="70"/>
      <c r="E130" s="2" t="s">
        <v>293</v>
      </c>
      <c r="F130" s="51">
        <v>3.3000000000000002E-2</v>
      </c>
      <c r="G130" s="52">
        <v>0</v>
      </c>
      <c r="H130" s="51">
        <f>F130*G130</f>
        <v>0</v>
      </c>
      <c r="J130" s="41"/>
      <c r="Z130" s="51">
        <f>IF(AQ130="5",BJ130,0)</f>
        <v>0</v>
      </c>
      <c r="AB130" s="51">
        <f>IF(AQ130="1",BH130,0)</f>
        <v>0</v>
      </c>
      <c r="AC130" s="51">
        <f>IF(AQ130="1",BI130,0)</f>
        <v>0</v>
      </c>
      <c r="AD130" s="51">
        <f>IF(AQ130="7",BH130,0)</f>
        <v>0</v>
      </c>
      <c r="AE130" s="51">
        <f>IF(AQ130="7",BI130,0)</f>
        <v>0</v>
      </c>
      <c r="AF130" s="51">
        <f>IF(AQ130="2",BH130,0)</f>
        <v>0</v>
      </c>
      <c r="AG130" s="51">
        <f>IF(AQ130="2",BI130,0)</f>
        <v>0</v>
      </c>
      <c r="AH130" s="51">
        <f>IF(AQ130="0",BJ130,0)</f>
        <v>0</v>
      </c>
      <c r="AI130" s="35" t="s">
        <v>4</v>
      </c>
      <c r="AJ130" s="51">
        <f>IF(AN130=0,H130,0)</f>
        <v>0</v>
      </c>
      <c r="AK130" s="51">
        <f>IF(AN130=12,H130,0)</f>
        <v>0</v>
      </c>
      <c r="AL130" s="51">
        <f>IF(AN130=21,H130,0)</f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137</v>
      </c>
      <c r="AV130" s="51">
        <f>AW130+AX130</f>
        <v>0</v>
      </c>
      <c r="AW130" s="51">
        <f>F130*AO130</f>
        <v>0</v>
      </c>
      <c r="AX130" s="51">
        <f>F130*AP130</f>
        <v>0</v>
      </c>
      <c r="AY130" s="53" t="s">
        <v>333</v>
      </c>
      <c r="AZ130" s="53" t="s">
        <v>334</v>
      </c>
      <c r="BA130" s="35" t="s">
        <v>117</v>
      </c>
      <c r="BC130" s="51">
        <f>AW130+AX130</f>
        <v>0</v>
      </c>
      <c r="BD130" s="51">
        <f>G130/(100-BE130)*100</f>
        <v>0</v>
      </c>
      <c r="BE130" s="51">
        <v>0</v>
      </c>
      <c r="BF130" s="51">
        <f>130</f>
        <v>130</v>
      </c>
      <c r="BH130" s="51">
        <f>F130*AO130</f>
        <v>0</v>
      </c>
      <c r="BI130" s="51">
        <f>F130*AP130</f>
        <v>0</v>
      </c>
      <c r="BJ130" s="51">
        <f>F130*G130</f>
        <v>0</v>
      </c>
      <c r="BK130" s="51"/>
      <c r="BL130" s="51">
        <v>711</v>
      </c>
      <c r="BW130" s="51">
        <v>12</v>
      </c>
      <c r="BX130" s="3" t="s">
        <v>354</v>
      </c>
    </row>
    <row r="131" spans="1:76">
      <c r="A131" s="47" t="s">
        <v>4</v>
      </c>
      <c r="B131" s="48" t="s">
        <v>355</v>
      </c>
      <c r="C131" s="150" t="s">
        <v>356</v>
      </c>
      <c r="D131" s="151"/>
      <c r="E131" s="49" t="s">
        <v>79</v>
      </c>
      <c r="F131" s="49" t="s">
        <v>79</v>
      </c>
      <c r="G131" s="50" t="s">
        <v>79</v>
      </c>
      <c r="H131" s="28">
        <f>SUM(H132:H145)</f>
        <v>0</v>
      </c>
      <c r="J131" s="41"/>
      <c r="AI131" s="35" t="s">
        <v>4</v>
      </c>
      <c r="AS131" s="28">
        <f>SUM(AJ132:AJ145)</f>
        <v>0</v>
      </c>
      <c r="AT131" s="28">
        <f>SUM(AK132:AK145)</f>
        <v>0</v>
      </c>
      <c r="AU131" s="28">
        <f>SUM(AL132:AL145)</f>
        <v>0</v>
      </c>
    </row>
    <row r="132" spans="1:76">
      <c r="A132" s="1" t="s">
        <v>357</v>
      </c>
      <c r="B132" s="2" t="s">
        <v>358</v>
      </c>
      <c r="C132" s="75" t="s">
        <v>359</v>
      </c>
      <c r="D132" s="70"/>
      <c r="E132" s="2" t="s">
        <v>114</v>
      </c>
      <c r="F132" s="51">
        <v>2</v>
      </c>
      <c r="G132" s="52">
        <v>0</v>
      </c>
      <c r="H132" s="51">
        <f t="shared" ref="H132:H141" si="0">F132*G132</f>
        <v>0</v>
      </c>
      <c r="J132" s="41"/>
      <c r="Z132" s="51">
        <f t="shared" ref="Z132:Z141" si="1">IF(AQ132="5",BJ132,0)</f>
        <v>0</v>
      </c>
      <c r="AB132" s="51">
        <f t="shared" ref="AB132:AB141" si="2">IF(AQ132="1",BH132,0)</f>
        <v>0</v>
      </c>
      <c r="AC132" s="51">
        <f t="shared" ref="AC132:AC141" si="3">IF(AQ132="1",BI132,0)</f>
        <v>0</v>
      </c>
      <c r="AD132" s="51">
        <f t="shared" ref="AD132:AD141" si="4">IF(AQ132="7",BH132,0)</f>
        <v>0</v>
      </c>
      <c r="AE132" s="51">
        <f t="shared" ref="AE132:AE141" si="5">IF(AQ132="7",BI132,0)</f>
        <v>0</v>
      </c>
      <c r="AF132" s="51">
        <f t="shared" ref="AF132:AF141" si="6">IF(AQ132="2",BH132,0)</f>
        <v>0</v>
      </c>
      <c r="AG132" s="51">
        <f t="shared" ref="AG132:AG141" si="7">IF(AQ132="2",BI132,0)</f>
        <v>0</v>
      </c>
      <c r="AH132" s="51">
        <f t="shared" ref="AH132:AH141" si="8">IF(AQ132="0",BJ132,0)</f>
        <v>0</v>
      </c>
      <c r="AI132" s="35" t="s">
        <v>4</v>
      </c>
      <c r="AJ132" s="51">
        <f t="shared" ref="AJ132:AJ141" si="9">IF(AN132=0,H132,0)</f>
        <v>0</v>
      </c>
      <c r="AK132" s="51">
        <f t="shared" ref="AK132:AK141" si="10">IF(AN132=12,H132,0)</f>
        <v>0</v>
      </c>
      <c r="AL132" s="51">
        <f t="shared" ref="AL132:AL141" si="11">IF(AN132=21,H132,0)</f>
        <v>0</v>
      </c>
      <c r="AN132" s="51">
        <v>12</v>
      </c>
      <c r="AO132" s="51">
        <f>G132*0.809885787</f>
        <v>0</v>
      </c>
      <c r="AP132" s="51">
        <f>G132*(1-0.809885787)</f>
        <v>0</v>
      </c>
      <c r="AQ132" s="53" t="s">
        <v>149</v>
      </c>
      <c r="AV132" s="51">
        <f t="shared" ref="AV132:AV141" si="12">AW132+AX132</f>
        <v>0</v>
      </c>
      <c r="AW132" s="51">
        <f t="shared" ref="AW132:AW141" si="13">F132*AO132</f>
        <v>0</v>
      </c>
      <c r="AX132" s="51">
        <f t="shared" ref="AX132:AX141" si="14">F132*AP132</f>
        <v>0</v>
      </c>
      <c r="AY132" s="53" t="s">
        <v>360</v>
      </c>
      <c r="AZ132" s="53" t="s">
        <v>361</v>
      </c>
      <c r="BA132" s="35" t="s">
        <v>117</v>
      </c>
      <c r="BC132" s="51">
        <f t="shared" ref="BC132:BC141" si="15">AW132+AX132</f>
        <v>0</v>
      </c>
      <c r="BD132" s="51">
        <f t="shared" ref="BD132:BD141" si="16">G132/(100-BE132)*100</f>
        <v>0</v>
      </c>
      <c r="BE132" s="51">
        <v>0</v>
      </c>
      <c r="BF132" s="51">
        <f>132</f>
        <v>132</v>
      </c>
      <c r="BH132" s="51">
        <f t="shared" ref="BH132:BH141" si="17">F132*AO132</f>
        <v>0</v>
      </c>
      <c r="BI132" s="51">
        <f t="shared" ref="BI132:BI141" si="18">F132*AP132</f>
        <v>0</v>
      </c>
      <c r="BJ132" s="51">
        <f t="shared" ref="BJ132:BJ141" si="19">F132*G132</f>
        <v>0</v>
      </c>
      <c r="BK132" s="51"/>
      <c r="BL132" s="51">
        <v>721</v>
      </c>
      <c r="BW132" s="51">
        <v>12</v>
      </c>
      <c r="BX132" s="3" t="s">
        <v>359</v>
      </c>
    </row>
    <row r="133" spans="1:76">
      <c r="A133" s="1" t="s">
        <v>362</v>
      </c>
      <c r="B133" s="2" t="s">
        <v>363</v>
      </c>
      <c r="C133" s="75" t="s">
        <v>364</v>
      </c>
      <c r="D133" s="70"/>
      <c r="E133" s="2" t="s">
        <v>134</v>
      </c>
      <c r="F133" s="51">
        <v>1</v>
      </c>
      <c r="G133" s="52">
        <v>0</v>
      </c>
      <c r="H133" s="51">
        <f t="shared" si="0"/>
        <v>0</v>
      </c>
      <c r="J133" s="41"/>
      <c r="Z133" s="51">
        <f t="shared" si="1"/>
        <v>0</v>
      </c>
      <c r="AB133" s="51">
        <f t="shared" si="2"/>
        <v>0</v>
      </c>
      <c r="AC133" s="51">
        <f t="shared" si="3"/>
        <v>0</v>
      </c>
      <c r="AD133" s="51">
        <f t="shared" si="4"/>
        <v>0</v>
      </c>
      <c r="AE133" s="51">
        <f t="shared" si="5"/>
        <v>0</v>
      </c>
      <c r="AF133" s="51">
        <f t="shared" si="6"/>
        <v>0</v>
      </c>
      <c r="AG133" s="51">
        <f t="shared" si="7"/>
        <v>0</v>
      </c>
      <c r="AH133" s="51">
        <f t="shared" si="8"/>
        <v>0</v>
      </c>
      <c r="AI133" s="35" t="s">
        <v>4</v>
      </c>
      <c r="AJ133" s="51">
        <f t="shared" si="9"/>
        <v>0</v>
      </c>
      <c r="AK133" s="51">
        <f t="shared" si="10"/>
        <v>0</v>
      </c>
      <c r="AL133" s="51">
        <f t="shared" si="11"/>
        <v>0</v>
      </c>
      <c r="AN133" s="51">
        <v>12</v>
      </c>
      <c r="AO133" s="51">
        <f>G133*0</f>
        <v>0</v>
      </c>
      <c r="AP133" s="51">
        <f>G133*(1-0)</f>
        <v>0</v>
      </c>
      <c r="AQ133" s="53" t="s">
        <v>149</v>
      </c>
      <c r="AV133" s="51">
        <f t="shared" si="12"/>
        <v>0</v>
      </c>
      <c r="AW133" s="51">
        <f t="shared" si="13"/>
        <v>0</v>
      </c>
      <c r="AX133" s="51">
        <f t="shared" si="14"/>
        <v>0</v>
      </c>
      <c r="AY133" s="53" t="s">
        <v>360</v>
      </c>
      <c r="AZ133" s="53" t="s">
        <v>361</v>
      </c>
      <c r="BA133" s="35" t="s">
        <v>117</v>
      </c>
      <c r="BC133" s="51">
        <f t="shared" si="15"/>
        <v>0</v>
      </c>
      <c r="BD133" s="51">
        <f t="shared" si="16"/>
        <v>0</v>
      </c>
      <c r="BE133" s="51">
        <v>0</v>
      </c>
      <c r="BF133" s="51">
        <f>133</f>
        <v>133</v>
      </c>
      <c r="BH133" s="51">
        <f t="shared" si="17"/>
        <v>0</v>
      </c>
      <c r="BI133" s="51">
        <f t="shared" si="18"/>
        <v>0</v>
      </c>
      <c r="BJ133" s="51">
        <f t="shared" si="19"/>
        <v>0</v>
      </c>
      <c r="BK133" s="51"/>
      <c r="BL133" s="51">
        <v>721</v>
      </c>
      <c r="BW133" s="51">
        <v>12</v>
      </c>
      <c r="BX133" s="3" t="s">
        <v>364</v>
      </c>
    </row>
    <row r="134" spans="1:76">
      <c r="A134" s="1" t="s">
        <v>365</v>
      </c>
      <c r="B134" s="2" t="s">
        <v>366</v>
      </c>
      <c r="C134" s="75" t="s">
        <v>367</v>
      </c>
      <c r="D134" s="70"/>
      <c r="E134" s="2" t="s">
        <v>134</v>
      </c>
      <c r="F134" s="51">
        <v>6</v>
      </c>
      <c r="G134" s="52">
        <v>0</v>
      </c>
      <c r="H134" s="51">
        <f t="shared" si="0"/>
        <v>0</v>
      </c>
      <c r="J134" s="41"/>
      <c r="Z134" s="51">
        <f t="shared" si="1"/>
        <v>0</v>
      </c>
      <c r="AB134" s="51">
        <f t="shared" si="2"/>
        <v>0</v>
      </c>
      <c r="AC134" s="51">
        <f t="shared" si="3"/>
        <v>0</v>
      </c>
      <c r="AD134" s="51">
        <f t="shared" si="4"/>
        <v>0</v>
      </c>
      <c r="AE134" s="51">
        <f t="shared" si="5"/>
        <v>0</v>
      </c>
      <c r="AF134" s="51">
        <f t="shared" si="6"/>
        <v>0</v>
      </c>
      <c r="AG134" s="51">
        <f t="shared" si="7"/>
        <v>0</v>
      </c>
      <c r="AH134" s="51">
        <f t="shared" si="8"/>
        <v>0</v>
      </c>
      <c r="AI134" s="35" t="s">
        <v>4</v>
      </c>
      <c r="AJ134" s="51">
        <f t="shared" si="9"/>
        <v>0</v>
      </c>
      <c r="AK134" s="51">
        <f t="shared" si="10"/>
        <v>0</v>
      </c>
      <c r="AL134" s="51">
        <f t="shared" si="11"/>
        <v>0</v>
      </c>
      <c r="AN134" s="51">
        <v>12</v>
      </c>
      <c r="AO134" s="51">
        <f>G134*0</f>
        <v>0</v>
      </c>
      <c r="AP134" s="51">
        <f>G134*(1-0)</f>
        <v>0</v>
      </c>
      <c r="AQ134" s="53" t="s">
        <v>149</v>
      </c>
      <c r="AV134" s="51">
        <f t="shared" si="12"/>
        <v>0</v>
      </c>
      <c r="AW134" s="51">
        <f t="shared" si="13"/>
        <v>0</v>
      </c>
      <c r="AX134" s="51">
        <f t="shared" si="14"/>
        <v>0</v>
      </c>
      <c r="AY134" s="53" t="s">
        <v>360</v>
      </c>
      <c r="AZ134" s="53" t="s">
        <v>361</v>
      </c>
      <c r="BA134" s="35" t="s">
        <v>117</v>
      </c>
      <c r="BC134" s="51">
        <f t="shared" si="15"/>
        <v>0</v>
      </c>
      <c r="BD134" s="51">
        <f t="shared" si="16"/>
        <v>0</v>
      </c>
      <c r="BE134" s="51">
        <v>0</v>
      </c>
      <c r="BF134" s="51">
        <f>134</f>
        <v>134</v>
      </c>
      <c r="BH134" s="51">
        <f t="shared" si="17"/>
        <v>0</v>
      </c>
      <c r="BI134" s="51">
        <f t="shared" si="18"/>
        <v>0</v>
      </c>
      <c r="BJ134" s="51">
        <f t="shared" si="19"/>
        <v>0</v>
      </c>
      <c r="BK134" s="51"/>
      <c r="BL134" s="51">
        <v>721</v>
      </c>
      <c r="BW134" s="51">
        <v>12</v>
      </c>
      <c r="BX134" s="3" t="s">
        <v>367</v>
      </c>
    </row>
    <row r="135" spans="1:76">
      <c r="A135" s="1" t="s">
        <v>368</v>
      </c>
      <c r="B135" s="2" t="s">
        <v>369</v>
      </c>
      <c r="C135" s="75" t="s">
        <v>370</v>
      </c>
      <c r="D135" s="70"/>
      <c r="E135" s="2" t="s">
        <v>134</v>
      </c>
      <c r="F135" s="51">
        <v>1.9</v>
      </c>
      <c r="G135" s="52">
        <v>0</v>
      </c>
      <c r="H135" s="51">
        <f t="shared" si="0"/>
        <v>0</v>
      </c>
      <c r="J135" s="41"/>
      <c r="Z135" s="51">
        <f t="shared" si="1"/>
        <v>0</v>
      </c>
      <c r="AB135" s="51">
        <f t="shared" si="2"/>
        <v>0</v>
      </c>
      <c r="AC135" s="51">
        <f t="shared" si="3"/>
        <v>0</v>
      </c>
      <c r="AD135" s="51">
        <f t="shared" si="4"/>
        <v>0</v>
      </c>
      <c r="AE135" s="51">
        <f t="shared" si="5"/>
        <v>0</v>
      </c>
      <c r="AF135" s="51">
        <f t="shared" si="6"/>
        <v>0</v>
      </c>
      <c r="AG135" s="51">
        <f t="shared" si="7"/>
        <v>0</v>
      </c>
      <c r="AH135" s="51">
        <f t="shared" si="8"/>
        <v>0</v>
      </c>
      <c r="AI135" s="35" t="s">
        <v>4</v>
      </c>
      <c r="AJ135" s="51">
        <f t="shared" si="9"/>
        <v>0</v>
      </c>
      <c r="AK135" s="51">
        <f t="shared" si="10"/>
        <v>0</v>
      </c>
      <c r="AL135" s="51">
        <f t="shared" si="11"/>
        <v>0</v>
      </c>
      <c r="AN135" s="51">
        <v>12</v>
      </c>
      <c r="AO135" s="51">
        <f>G135*0.335696203</f>
        <v>0</v>
      </c>
      <c r="AP135" s="51">
        <f>G135*(1-0.335696203)</f>
        <v>0</v>
      </c>
      <c r="AQ135" s="53" t="s">
        <v>149</v>
      </c>
      <c r="AV135" s="51">
        <f t="shared" si="12"/>
        <v>0</v>
      </c>
      <c r="AW135" s="51">
        <f t="shared" si="13"/>
        <v>0</v>
      </c>
      <c r="AX135" s="51">
        <f t="shared" si="14"/>
        <v>0</v>
      </c>
      <c r="AY135" s="53" t="s">
        <v>360</v>
      </c>
      <c r="AZ135" s="53" t="s">
        <v>361</v>
      </c>
      <c r="BA135" s="35" t="s">
        <v>117</v>
      </c>
      <c r="BC135" s="51">
        <f t="shared" si="15"/>
        <v>0</v>
      </c>
      <c r="BD135" s="51">
        <f t="shared" si="16"/>
        <v>0</v>
      </c>
      <c r="BE135" s="51">
        <v>0</v>
      </c>
      <c r="BF135" s="51">
        <f>135</f>
        <v>135</v>
      </c>
      <c r="BH135" s="51">
        <f t="shared" si="17"/>
        <v>0</v>
      </c>
      <c r="BI135" s="51">
        <f t="shared" si="18"/>
        <v>0</v>
      </c>
      <c r="BJ135" s="51">
        <f t="shared" si="19"/>
        <v>0</v>
      </c>
      <c r="BK135" s="51"/>
      <c r="BL135" s="51">
        <v>721</v>
      </c>
      <c r="BW135" s="51">
        <v>12</v>
      </c>
      <c r="BX135" s="3" t="s">
        <v>370</v>
      </c>
    </row>
    <row r="136" spans="1:76">
      <c r="A136" s="1" t="s">
        <v>371</v>
      </c>
      <c r="B136" s="2" t="s">
        <v>372</v>
      </c>
      <c r="C136" s="75" t="s">
        <v>373</v>
      </c>
      <c r="D136" s="70"/>
      <c r="E136" s="2" t="s">
        <v>134</v>
      </c>
      <c r="F136" s="51">
        <v>3.2</v>
      </c>
      <c r="G136" s="52">
        <v>0</v>
      </c>
      <c r="H136" s="51">
        <f t="shared" si="0"/>
        <v>0</v>
      </c>
      <c r="J136" s="41"/>
      <c r="Z136" s="51">
        <f t="shared" si="1"/>
        <v>0</v>
      </c>
      <c r="AB136" s="51">
        <f t="shared" si="2"/>
        <v>0</v>
      </c>
      <c r="AC136" s="51">
        <f t="shared" si="3"/>
        <v>0</v>
      </c>
      <c r="AD136" s="51">
        <f t="shared" si="4"/>
        <v>0</v>
      </c>
      <c r="AE136" s="51">
        <f t="shared" si="5"/>
        <v>0</v>
      </c>
      <c r="AF136" s="51">
        <f t="shared" si="6"/>
        <v>0</v>
      </c>
      <c r="AG136" s="51">
        <f t="shared" si="7"/>
        <v>0</v>
      </c>
      <c r="AH136" s="51">
        <f t="shared" si="8"/>
        <v>0</v>
      </c>
      <c r="AI136" s="35" t="s">
        <v>4</v>
      </c>
      <c r="AJ136" s="51">
        <f t="shared" si="9"/>
        <v>0</v>
      </c>
      <c r="AK136" s="51">
        <f t="shared" si="10"/>
        <v>0</v>
      </c>
      <c r="AL136" s="51">
        <f t="shared" si="11"/>
        <v>0</v>
      </c>
      <c r="AN136" s="51">
        <v>12</v>
      </c>
      <c r="AO136" s="51">
        <f>G136*0.340586218</f>
        <v>0</v>
      </c>
      <c r="AP136" s="51">
        <f>G136*(1-0.340586218)</f>
        <v>0</v>
      </c>
      <c r="AQ136" s="53" t="s">
        <v>149</v>
      </c>
      <c r="AV136" s="51">
        <f t="shared" si="12"/>
        <v>0</v>
      </c>
      <c r="AW136" s="51">
        <f t="shared" si="13"/>
        <v>0</v>
      </c>
      <c r="AX136" s="51">
        <f t="shared" si="14"/>
        <v>0</v>
      </c>
      <c r="AY136" s="53" t="s">
        <v>360</v>
      </c>
      <c r="AZ136" s="53" t="s">
        <v>361</v>
      </c>
      <c r="BA136" s="35" t="s">
        <v>117</v>
      </c>
      <c r="BC136" s="51">
        <f t="shared" si="15"/>
        <v>0</v>
      </c>
      <c r="BD136" s="51">
        <f t="shared" si="16"/>
        <v>0</v>
      </c>
      <c r="BE136" s="51">
        <v>0</v>
      </c>
      <c r="BF136" s="51">
        <f>136</f>
        <v>136</v>
      </c>
      <c r="BH136" s="51">
        <f t="shared" si="17"/>
        <v>0</v>
      </c>
      <c r="BI136" s="51">
        <f t="shared" si="18"/>
        <v>0</v>
      </c>
      <c r="BJ136" s="51">
        <f t="shared" si="19"/>
        <v>0</v>
      </c>
      <c r="BK136" s="51"/>
      <c r="BL136" s="51">
        <v>721</v>
      </c>
      <c r="BW136" s="51">
        <v>12</v>
      </c>
      <c r="BX136" s="3" t="s">
        <v>373</v>
      </c>
    </row>
    <row r="137" spans="1:76">
      <c r="A137" s="1" t="s">
        <v>374</v>
      </c>
      <c r="B137" s="2" t="s">
        <v>375</v>
      </c>
      <c r="C137" s="75" t="s">
        <v>376</v>
      </c>
      <c r="D137" s="70"/>
      <c r="E137" s="2" t="s">
        <v>134</v>
      </c>
      <c r="F137" s="51">
        <v>1</v>
      </c>
      <c r="G137" s="52">
        <v>0</v>
      </c>
      <c r="H137" s="51">
        <f t="shared" si="0"/>
        <v>0</v>
      </c>
      <c r="J137" s="41"/>
      <c r="Z137" s="51">
        <f t="shared" si="1"/>
        <v>0</v>
      </c>
      <c r="AB137" s="51">
        <f t="shared" si="2"/>
        <v>0</v>
      </c>
      <c r="AC137" s="51">
        <f t="shared" si="3"/>
        <v>0</v>
      </c>
      <c r="AD137" s="51">
        <f t="shared" si="4"/>
        <v>0</v>
      </c>
      <c r="AE137" s="51">
        <f t="shared" si="5"/>
        <v>0</v>
      </c>
      <c r="AF137" s="51">
        <f t="shared" si="6"/>
        <v>0</v>
      </c>
      <c r="AG137" s="51">
        <f t="shared" si="7"/>
        <v>0</v>
      </c>
      <c r="AH137" s="51">
        <f t="shared" si="8"/>
        <v>0</v>
      </c>
      <c r="AI137" s="35" t="s">
        <v>4</v>
      </c>
      <c r="AJ137" s="51">
        <f t="shared" si="9"/>
        <v>0</v>
      </c>
      <c r="AK137" s="51">
        <f t="shared" si="10"/>
        <v>0</v>
      </c>
      <c r="AL137" s="51">
        <f t="shared" si="11"/>
        <v>0</v>
      </c>
      <c r="AN137" s="51">
        <v>12</v>
      </c>
      <c r="AO137" s="51">
        <f>G137*0.317436677</f>
        <v>0</v>
      </c>
      <c r="AP137" s="51">
        <f>G137*(1-0.317436677)</f>
        <v>0</v>
      </c>
      <c r="AQ137" s="53" t="s">
        <v>149</v>
      </c>
      <c r="AV137" s="51">
        <f t="shared" si="12"/>
        <v>0</v>
      </c>
      <c r="AW137" s="51">
        <f t="shared" si="13"/>
        <v>0</v>
      </c>
      <c r="AX137" s="51">
        <f t="shared" si="14"/>
        <v>0</v>
      </c>
      <c r="AY137" s="53" t="s">
        <v>360</v>
      </c>
      <c r="AZ137" s="53" t="s">
        <v>361</v>
      </c>
      <c r="BA137" s="35" t="s">
        <v>117</v>
      </c>
      <c r="BC137" s="51">
        <f t="shared" si="15"/>
        <v>0</v>
      </c>
      <c r="BD137" s="51">
        <f t="shared" si="16"/>
        <v>0</v>
      </c>
      <c r="BE137" s="51">
        <v>0</v>
      </c>
      <c r="BF137" s="51">
        <f>137</f>
        <v>137</v>
      </c>
      <c r="BH137" s="51">
        <f t="shared" si="17"/>
        <v>0</v>
      </c>
      <c r="BI137" s="51">
        <f t="shared" si="18"/>
        <v>0</v>
      </c>
      <c r="BJ137" s="51">
        <f t="shared" si="19"/>
        <v>0</v>
      </c>
      <c r="BK137" s="51"/>
      <c r="BL137" s="51">
        <v>721</v>
      </c>
      <c r="BW137" s="51">
        <v>12</v>
      </c>
      <c r="BX137" s="3" t="s">
        <v>376</v>
      </c>
    </row>
    <row r="138" spans="1:76">
      <c r="A138" s="1" t="s">
        <v>377</v>
      </c>
      <c r="B138" s="2" t="s">
        <v>378</v>
      </c>
      <c r="C138" s="75" t="s">
        <v>379</v>
      </c>
      <c r="D138" s="70"/>
      <c r="E138" s="2" t="s">
        <v>134</v>
      </c>
      <c r="F138" s="51">
        <v>0.5</v>
      </c>
      <c r="G138" s="52">
        <v>0</v>
      </c>
      <c r="H138" s="51">
        <f t="shared" si="0"/>
        <v>0</v>
      </c>
      <c r="J138" s="41"/>
      <c r="Z138" s="51">
        <f t="shared" si="1"/>
        <v>0</v>
      </c>
      <c r="AB138" s="51">
        <f t="shared" si="2"/>
        <v>0</v>
      </c>
      <c r="AC138" s="51">
        <f t="shared" si="3"/>
        <v>0</v>
      </c>
      <c r="AD138" s="51">
        <f t="shared" si="4"/>
        <v>0</v>
      </c>
      <c r="AE138" s="51">
        <f t="shared" si="5"/>
        <v>0</v>
      </c>
      <c r="AF138" s="51">
        <f t="shared" si="6"/>
        <v>0</v>
      </c>
      <c r="AG138" s="51">
        <f t="shared" si="7"/>
        <v>0</v>
      </c>
      <c r="AH138" s="51">
        <f t="shared" si="8"/>
        <v>0</v>
      </c>
      <c r="AI138" s="35" t="s">
        <v>4</v>
      </c>
      <c r="AJ138" s="51">
        <f t="shared" si="9"/>
        <v>0</v>
      </c>
      <c r="AK138" s="51">
        <f t="shared" si="10"/>
        <v>0</v>
      </c>
      <c r="AL138" s="51">
        <f t="shared" si="11"/>
        <v>0</v>
      </c>
      <c r="AN138" s="51">
        <v>12</v>
      </c>
      <c r="AO138" s="51">
        <f>G138*0.431778607</f>
        <v>0</v>
      </c>
      <c r="AP138" s="51">
        <f>G138*(1-0.431778607)</f>
        <v>0</v>
      </c>
      <c r="AQ138" s="53" t="s">
        <v>149</v>
      </c>
      <c r="AV138" s="51">
        <f t="shared" si="12"/>
        <v>0</v>
      </c>
      <c r="AW138" s="51">
        <f t="shared" si="13"/>
        <v>0</v>
      </c>
      <c r="AX138" s="51">
        <f t="shared" si="14"/>
        <v>0</v>
      </c>
      <c r="AY138" s="53" t="s">
        <v>360</v>
      </c>
      <c r="AZ138" s="53" t="s">
        <v>361</v>
      </c>
      <c r="BA138" s="35" t="s">
        <v>117</v>
      </c>
      <c r="BC138" s="51">
        <f t="shared" si="15"/>
        <v>0</v>
      </c>
      <c r="BD138" s="51">
        <f t="shared" si="16"/>
        <v>0</v>
      </c>
      <c r="BE138" s="51">
        <v>0</v>
      </c>
      <c r="BF138" s="51">
        <f>138</f>
        <v>138</v>
      </c>
      <c r="BH138" s="51">
        <f t="shared" si="17"/>
        <v>0</v>
      </c>
      <c r="BI138" s="51">
        <f t="shared" si="18"/>
        <v>0</v>
      </c>
      <c r="BJ138" s="51">
        <f t="shared" si="19"/>
        <v>0</v>
      </c>
      <c r="BK138" s="51"/>
      <c r="BL138" s="51">
        <v>721</v>
      </c>
      <c r="BW138" s="51">
        <v>12</v>
      </c>
      <c r="BX138" s="3" t="s">
        <v>379</v>
      </c>
    </row>
    <row r="139" spans="1:76">
      <c r="A139" s="1" t="s">
        <v>380</v>
      </c>
      <c r="B139" s="2" t="s">
        <v>381</v>
      </c>
      <c r="C139" s="75" t="s">
        <v>382</v>
      </c>
      <c r="D139" s="70"/>
      <c r="E139" s="2" t="s">
        <v>114</v>
      </c>
      <c r="F139" s="51">
        <v>4</v>
      </c>
      <c r="G139" s="52">
        <v>0</v>
      </c>
      <c r="H139" s="51">
        <f t="shared" si="0"/>
        <v>0</v>
      </c>
      <c r="J139" s="41"/>
      <c r="Z139" s="51">
        <f t="shared" si="1"/>
        <v>0</v>
      </c>
      <c r="AB139" s="51">
        <f t="shared" si="2"/>
        <v>0</v>
      </c>
      <c r="AC139" s="51">
        <f t="shared" si="3"/>
        <v>0</v>
      </c>
      <c r="AD139" s="51">
        <f t="shared" si="4"/>
        <v>0</v>
      </c>
      <c r="AE139" s="51">
        <f t="shared" si="5"/>
        <v>0</v>
      </c>
      <c r="AF139" s="51">
        <f t="shared" si="6"/>
        <v>0</v>
      </c>
      <c r="AG139" s="51">
        <f t="shared" si="7"/>
        <v>0</v>
      </c>
      <c r="AH139" s="51">
        <f t="shared" si="8"/>
        <v>0</v>
      </c>
      <c r="AI139" s="35" t="s">
        <v>4</v>
      </c>
      <c r="AJ139" s="51">
        <f t="shared" si="9"/>
        <v>0</v>
      </c>
      <c r="AK139" s="51">
        <f t="shared" si="10"/>
        <v>0</v>
      </c>
      <c r="AL139" s="51">
        <f t="shared" si="11"/>
        <v>0</v>
      </c>
      <c r="AN139" s="51">
        <v>12</v>
      </c>
      <c r="AO139" s="51">
        <f>G139*0</f>
        <v>0</v>
      </c>
      <c r="AP139" s="51">
        <f>G139*(1-0)</f>
        <v>0</v>
      </c>
      <c r="AQ139" s="53" t="s">
        <v>149</v>
      </c>
      <c r="AV139" s="51">
        <f t="shared" si="12"/>
        <v>0</v>
      </c>
      <c r="AW139" s="51">
        <f t="shared" si="13"/>
        <v>0</v>
      </c>
      <c r="AX139" s="51">
        <f t="shared" si="14"/>
        <v>0</v>
      </c>
      <c r="AY139" s="53" t="s">
        <v>360</v>
      </c>
      <c r="AZ139" s="53" t="s">
        <v>361</v>
      </c>
      <c r="BA139" s="35" t="s">
        <v>117</v>
      </c>
      <c r="BC139" s="51">
        <f t="shared" si="15"/>
        <v>0</v>
      </c>
      <c r="BD139" s="51">
        <f t="shared" si="16"/>
        <v>0</v>
      </c>
      <c r="BE139" s="51">
        <v>0</v>
      </c>
      <c r="BF139" s="51">
        <f>139</f>
        <v>139</v>
      </c>
      <c r="BH139" s="51">
        <f t="shared" si="17"/>
        <v>0</v>
      </c>
      <c r="BI139" s="51">
        <f t="shared" si="18"/>
        <v>0</v>
      </c>
      <c r="BJ139" s="51">
        <f t="shared" si="19"/>
        <v>0</v>
      </c>
      <c r="BK139" s="51"/>
      <c r="BL139" s="51">
        <v>721</v>
      </c>
      <c r="BW139" s="51">
        <v>12</v>
      </c>
      <c r="BX139" s="3" t="s">
        <v>382</v>
      </c>
    </row>
    <row r="140" spans="1:76">
      <c r="A140" s="1" t="s">
        <v>383</v>
      </c>
      <c r="B140" s="2" t="s">
        <v>384</v>
      </c>
      <c r="C140" s="75" t="s">
        <v>385</v>
      </c>
      <c r="D140" s="70"/>
      <c r="E140" s="2" t="s">
        <v>114</v>
      </c>
      <c r="F140" s="51">
        <v>1</v>
      </c>
      <c r="G140" s="52">
        <v>0</v>
      </c>
      <c r="H140" s="51">
        <f t="shared" si="0"/>
        <v>0</v>
      </c>
      <c r="J140" s="41"/>
      <c r="Z140" s="51">
        <f t="shared" si="1"/>
        <v>0</v>
      </c>
      <c r="AB140" s="51">
        <f t="shared" si="2"/>
        <v>0</v>
      </c>
      <c r="AC140" s="51">
        <f t="shared" si="3"/>
        <v>0</v>
      </c>
      <c r="AD140" s="51">
        <f t="shared" si="4"/>
        <v>0</v>
      </c>
      <c r="AE140" s="51">
        <f t="shared" si="5"/>
        <v>0</v>
      </c>
      <c r="AF140" s="51">
        <f t="shared" si="6"/>
        <v>0</v>
      </c>
      <c r="AG140" s="51">
        <f t="shared" si="7"/>
        <v>0</v>
      </c>
      <c r="AH140" s="51">
        <f t="shared" si="8"/>
        <v>0</v>
      </c>
      <c r="AI140" s="35" t="s">
        <v>4</v>
      </c>
      <c r="AJ140" s="51">
        <f t="shared" si="9"/>
        <v>0</v>
      </c>
      <c r="AK140" s="51">
        <f t="shared" si="10"/>
        <v>0</v>
      </c>
      <c r="AL140" s="51">
        <f t="shared" si="11"/>
        <v>0</v>
      </c>
      <c r="AN140" s="51">
        <v>12</v>
      </c>
      <c r="AO140" s="51">
        <f>G140*0</f>
        <v>0</v>
      </c>
      <c r="AP140" s="51">
        <f>G140*(1-0)</f>
        <v>0</v>
      </c>
      <c r="AQ140" s="53" t="s">
        <v>149</v>
      </c>
      <c r="AV140" s="51">
        <f t="shared" si="12"/>
        <v>0</v>
      </c>
      <c r="AW140" s="51">
        <f t="shared" si="13"/>
        <v>0</v>
      </c>
      <c r="AX140" s="51">
        <f t="shared" si="14"/>
        <v>0</v>
      </c>
      <c r="AY140" s="53" t="s">
        <v>360</v>
      </c>
      <c r="AZ140" s="53" t="s">
        <v>361</v>
      </c>
      <c r="BA140" s="35" t="s">
        <v>117</v>
      </c>
      <c r="BC140" s="51">
        <f t="shared" si="15"/>
        <v>0</v>
      </c>
      <c r="BD140" s="51">
        <f t="shared" si="16"/>
        <v>0</v>
      </c>
      <c r="BE140" s="51">
        <v>0</v>
      </c>
      <c r="BF140" s="51">
        <f>140</f>
        <v>140</v>
      </c>
      <c r="BH140" s="51">
        <f t="shared" si="17"/>
        <v>0</v>
      </c>
      <c r="BI140" s="51">
        <f t="shared" si="18"/>
        <v>0</v>
      </c>
      <c r="BJ140" s="51">
        <f t="shared" si="19"/>
        <v>0</v>
      </c>
      <c r="BK140" s="51"/>
      <c r="BL140" s="51">
        <v>721</v>
      </c>
      <c r="BW140" s="51">
        <v>12</v>
      </c>
      <c r="BX140" s="3" t="s">
        <v>385</v>
      </c>
    </row>
    <row r="141" spans="1:76">
      <c r="A141" s="1" t="s">
        <v>386</v>
      </c>
      <c r="B141" s="2" t="s">
        <v>387</v>
      </c>
      <c r="C141" s="75" t="s">
        <v>388</v>
      </c>
      <c r="D141" s="70"/>
      <c r="E141" s="2" t="s">
        <v>134</v>
      </c>
      <c r="F141" s="51">
        <v>6.1</v>
      </c>
      <c r="G141" s="52">
        <v>0</v>
      </c>
      <c r="H141" s="51">
        <f t="shared" si="0"/>
        <v>0</v>
      </c>
      <c r="J141" s="41"/>
      <c r="Z141" s="51">
        <f t="shared" si="1"/>
        <v>0</v>
      </c>
      <c r="AB141" s="51">
        <f t="shared" si="2"/>
        <v>0</v>
      </c>
      <c r="AC141" s="51">
        <f t="shared" si="3"/>
        <v>0</v>
      </c>
      <c r="AD141" s="51">
        <f t="shared" si="4"/>
        <v>0</v>
      </c>
      <c r="AE141" s="51">
        <f t="shared" si="5"/>
        <v>0</v>
      </c>
      <c r="AF141" s="51">
        <f t="shared" si="6"/>
        <v>0</v>
      </c>
      <c r="AG141" s="51">
        <f t="shared" si="7"/>
        <v>0</v>
      </c>
      <c r="AH141" s="51">
        <f t="shared" si="8"/>
        <v>0</v>
      </c>
      <c r="AI141" s="35" t="s">
        <v>4</v>
      </c>
      <c r="AJ141" s="51">
        <f t="shared" si="9"/>
        <v>0</v>
      </c>
      <c r="AK141" s="51">
        <f t="shared" si="10"/>
        <v>0</v>
      </c>
      <c r="AL141" s="51">
        <f t="shared" si="11"/>
        <v>0</v>
      </c>
      <c r="AN141" s="51">
        <v>12</v>
      </c>
      <c r="AO141" s="51">
        <f>G141*0</f>
        <v>0</v>
      </c>
      <c r="AP141" s="51">
        <f>G141*(1-0)</f>
        <v>0</v>
      </c>
      <c r="AQ141" s="53" t="s">
        <v>120</v>
      </c>
      <c r="AV141" s="51">
        <f t="shared" si="12"/>
        <v>0</v>
      </c>
      <c r="AW141" s="51">
        <f t="shared" si="13"/>
        <v>0</v>
      </c>
      <c r="AX141" s="51">
        <f t="shared" si="14"/>
        <v>0</v>
      </c>
      <c r="AY141" s="53" t="s">
        <v>360</v>
      </c>
      <c r="AZ141" s="53" t="s">
        <v>361</v>
      </c>
      <c r="BA141" s="35" t="s">
        <v>117</v>
      </c>
      <c r="BC141" s="51">
        <f t="shared" si="15"/>
        <v>0</v>
      </c>
      <c r="BD141" s="51">
        <f t="shared" si="16"/>
        <v>0</v>
      </c>
      <c r="BE141" s="51">
        <v>0</v>
      </c>
      <c r="BF141" s="51">
        <f>141</f>
        <v>141</v>
      </c>
      <c r="BH141" s="51">
        <f t="shared" si="17"/>
        <v>0</v>
      </c>
      <c r="BI141" s="51">
        <f t="shared" si="18"/>
        <v>0</v>
      </c>
      <c r="BJ141" s="51">
        <f t="shared" si="19"/>
        <v>0</v>
      </c>
      <c r="BK141" s="51"/>
      <c r="BL141" s="51">
        <v>721</v>
      </c>
      <c r="BW141" s="51">
        <v>12</v>
      </c>
      <c r="BX141" s="3" t="s">
        <v>388</v>
      </c>
    </row>
    <row r="142" spans="1:76">
      <c r="A142" s="54"/>
      <c r="C142" s="56" t="s">
        <v>389</v>
      </c>
      <c r="D142" s="57" t="s">
        <v>4</v>
      </c>
      <c r="F142" s="58">
        <v>6.1</v>
      </c>
      <c r="J142" s="41"/>
    </row>
    <row r="143" spans="1:76">
      <c r="A143" s="1" t="s">
        <v>390</v>
      </c>
      <c r="B143" s="2" t="s">
        <v>391</v>
      </c>
      <c r="C143" s="75" t="s">
        <v>392</v>
      </c>
      <c r="D143" s="70"/>
      <c r="E143" s="2" t="s">
        <v>134</v>
      </c>
      <c r="F143" s="51">
        <v>6.1</v>
      </c>
      <c r="G143" s="52">
        <v>0</v>
      </c>
      <c r="H143" s="51">
        <f>F143*G143</f>
        <v>0</v>
      </c>
      <c r="J143" s="41"/>
      <c r="Z143" s="51">
        <f>IF(AQ143="5",BJ143,0)</f>
        <v>0</v>
      </c>
      <c r="AB143" s="51">
        <f>IF(AQ143="1",BH143,0)</f>
        <v>0</v>
      </c>
      <c r="AC143" s="51">
        <f>IF(AQ143="1",BI143,0)</f>
        <v>0</v>
      </c>
      <c r="AD143" s="51">
        <f>IF(AQ143="7",BH143,0)</f>
        <v>0</v>
      </c>
      <c r="AE143" s="51">
        <f>IF(AQ143="7",BI143,0)</f>
        <v>0</v>
      </c>
      <c r="AF143" s="51">
        <f>IF(AQ143="2",BH143,0)</f>
        <v>0</v>
      </c>
      <c r="AG143" s="51">
        <f>IF(AQ143="2",BI143,0)</f>
        <v>0</v>
      </c>
      <c r="AH143" s="51">
        <f>IF(AQ143="0",BJ143,0)</f>
        <v>0</v>
      </c>
      <c r="AI143" s="35" t="s">
        <v>4</v>
      </c>
      <c r="AJ143" s="51">
        <f>IF(AN143=0,H143,0)</f>
        <v>0</v>
      </c>
      <c r="AK143" s="51">
        <f>IF(AN143=12,H143,0)</f>
        <v>0</v>
      </c>
      <c r="AL143" s="51">
        <f>IF(AN143=21,H143,0)</f>
        <v>0</v>
      </c>
      <c r="AN143" s="51">
        <v>12</v>
      </c>
      <c r="AO143" s="51">
        <f>G143*0.029225352</f>
        <v>0</v>
      </c>
      <c r="AP143" s="51">
        <f>G143*(1-0.029225352)</f>
        <v>0</v>
      </c>
      <c r="AQ143" s="53" t="s">
        <v>149</v>
      </c>
      <c r="AV143" s="51">
        <f>AW143+AX143</f>
        <v>0</v>
      </c>
      <c r="AW143" s="51">
        <f>F143*AO143</f>
        <v>0</v>
      </c>
      <c r="AX143" s="51">
        <f>F143*AP143</f>
        <v>0</v>
      </c>
      <c r="AY143" s="53" t="s">
        <v>360</v>
      </c>
      <c r="AZ143" s="53" t="s">
        <v>361</v>
      </c>
      <c r="BA143" s="35" t="s">
        <v>117</v>
      </c>
      <c r="BC143" s="51">
        <f>AW143+AX143</f>
        <v>0</v>
      </c>
      <c r="BD143" s="51">
        <f>G143/(100-BE143)*100</f>
        <v>0</v>
      </c>
      <c r="BE143" s="51">
        <v>0</v>
      </c>
      <c r="BF143" s="51">
        <f>143</f>
        <v>143</v>
      </c>
      <c r="BH143" s="51">
        <f>F143*AO143</f>
        <v>0</v>
      </c>
      <c r="BI143" s="51">
        <f>F143*AP143</f>
        <v>0</v>
      </c>
      <c r="BJ143" s="51">
        <f>F143*G143</f>
        <v>0</v>
      </c>
      <c r="BK143" s="51"/>
      <c r="BL143" s="51">
        <v>721</v>
      </c>
      <c r="BW143" s="51">
        <v>12</v>
      </c>
      <c r="BX143" s="3" t="s">
        <v>392</v>
      </c>
    </row>
    <row r="144" spans="1:76">
      <c r="A144" s="1" t="s">
        <v>393</v>
      </c>
      <c r="B144" s="2" t="s">
        <v>394</v>
      </c>
      <c r="C144" s="75" t="s">
        <v>395</v>
      </c>
      <c r="D144" s="70"/>
      <c r="E144" s="2" t="s">
        <v>134</v>
      </c>
      <c r="F144" s="51">
        <v>1</v>
      </c>
      <c r="G144" s="52">
        <v>0</v>
      </c>
      <c r="H144" s="51">
        <f>F144*G144</f>
        <v>0</v>
      </c>
      <c r="J144" s="41"/>
      <c r="Z144" s="51">
        <f>IF(AQ144="5",BJ144,0)</f>
        <v>0</v>
      </c>
      <c r="AB144" s="51">
        <f>IF(AQ144="1",BH144,0)</f>
        <v>0</v>
      </c>
      <c r="AC144" s="51">
        <f>IF(AQ144="1",BI144,0)</f>
        <v>0</v>
      </c>
      <c r="AD144" s="51">
        <f>IF(AQ144="7",BH144,0)</f>
        <v>0</v>
      </c>
      <c r="AE144" s="51">
        <f>IF(AQ144="7",BI144,0)</f>
        <v>0</v>
      </c>
      <c r="AF144" s="51">
        <f>IF(AQ144="2",BH144,0)</f>
        <v>0</v>
      </c>
      <c r="AG144" s="51">
        <f>IF(AQ144="2",BI144,0)</f>
        <v>0</v>
      </c>
      <c r="AH144" s="51">
        <f>IF(AQ144="0",BJ144,0)</f>
        <v>0</v>
      </c>
      <c r="AI144" s="35" t="s">
        <v>4</v>
      </c>
      <c r="AJ144" s="51">
        <f>IF(AN144=0,H144,0)</f>
        <v>0</v>
      </c>
      <c r="AK144" s="51">
        <f>IF(AN144=12,H144,0)</f>
        <v>0</v>
      </c>
      <c r="AL144" s="51">
        <f>IF(AN144=21,H144,0)</f>
        <v>0</v>
      </c>
      <c r="AN144" s="51">
        <v>12</v>
      </c>
      <c r="AO144" s="51">
        <f>G144*0.414300183</f>
        <v>0</v>
      </c>
      <c r="AP144" s="51">
        <f>G144*(1-0.414300183)</f>
        <v>0</v>
      </c>
      <c r="AQ144" s="53" t="s">
        <v>149</v>
      </c>
      <c r="AV144" s="51">
        <f>AW144+AX144</f>
        <v>0</v>
      </c>
      <c r="AW144" s="51">
        <f>F144*AO144</f>
        <v>0</v>
      </c>
      <c r="AX144" s="51">
        <f>F144*AP144</f>
        <v>0</v>
      </c>
      <c r="AY144" s="53" t="s">
        <v>360</v>
      </c>
      <c r="AZ144" s="53" t="s">
        <v>361</v>
      </c>
      <c r="BA144" s="35" t="s">
        <v>117</v>
      </c>
      <c r="BC144" s="51">
        <f>AW144+AX144</f>
        <v>0</v>
      </c>
      <c r="BD144" s="51">
        <f>G144/(100-BE144)*100</f>
        <v>0</v>
      </c>
      <c r="BE144" s="51">
        <v>0</v>
      </c>
      <c r="BF144" s="51">
        <f>144</f>
        <v>144</v>
      </c>
      <c r="BH144" s="51">
        <f>F144*AO144</f>
        <v>0</v>
      </c>
      <c r="BI144" s="51">
        <f>F144*AP144</f>
        <v>0</v>
      </c>
      <c r="BJ144" s="51">
        <f>F144*G144</f>
        <v>0</v>
      </c>
      <c r="BK144" s="51"/>
      <c r="BL144" s="51">
        <v>721</v>
      </c>
      <c r="BW144" s="51">
        <v>12</v>
      </c>
      <c r="BX144" s="3" t="s">
        <v>395</v>
      </c>
    </row>
    <row r="145" spans="1:76">
      <c r="A145" s="1" t="s">
        <v>396</v>
      </c>
      <c r="B145" s="2" t="s">
        <v>397</v>
      </c>
      <c r="C145" s="75" t="s">
        <v>398</v>
      </c>
      <c r="D145" s="70"/>
      <c r="E145" s="2" t="s">
        <v>293</v>
      </c>
      <c r="F145" s="51">
        <v>0.62</v>
      </c>
      <c r="G145" s="52">
        <v>0</v>
      </c>
      <c r="H145" s="51">
        <f>F145*G145</f>
        <v>0</v>
      </c>
      <c r="J145" s="41"/>
      <c r="Z145" s="51">
        <f>IF(AQ145="5",BJ145,0)</f>
        <v>0</v>
      </c>
      <c r="AB145" s="51">
        <f>IF(AQ145="1",BH145,0)</f>
        <v>0</v>
      </c>
      <c r="AC145" s="51">
        <f>IF(AQ145="1",BI145,0)</f>
        <v>0</v>
      </c>
      <c r="AD145" s="51">
        <f>IF(AQ145="7",BH145,0)</f>
        <v>0</v>
      </c>
      <c r="AE145" s="51">
        <f>IF(AQ145="7",BI145,0)</f>
        <v>0</v>
      </c>
      <c r="AF145" s="51">
        <f>IF(AQ145="2",BH145,0)</f>
        <v>0</v>
      </c>
      <c r="AG145" s="51">
        <f>IF(AQ145="2",BI145,0)</f>
        <v>0</v>
      </c>
      <c r="AH145" s="51">
        <f>IF(AQ145="0",BJ145,0)</f>
        <v>0</v>
      </c>
      <c r="AI145" s="35" t="s">
        <v>4</v>
      </c>
      <c r="AJ145" s="51">
        <f>IF(AN145=0,H145,0)</f>
        <v>0</v>
      </c>
      <c r="AK145" s="51">
        <f>IF(AN145=12,H145,0)</f>
        <v>0</v>
      </c>
      <c r="AL145" s="51">
        <f>IF(AN145=21,H145,0)</f>
        <v>0</v>
      </c>
      <c r="AN145" s="51">
        <v>12</v>
      </c>
      <c r="AO145" s="51">
        <f>G145*0</f>
        <v>0</v>
      </c>
      <c r="AP145" s="51">
        <f>G145*(1-0)</f>
        <v>0</v>
      </c>
      <c r="AQ145" s="53" t="s">
        <v>137</v>
      </c>
      <c r="AV145" s="51">
        <f>AW145+AX145</f>
        <v>0</v>
      </c>
      <c r="AW145" s="51">
        <f>F145*AO145</f>
        <v>0</v>
      </c>
      <c r="AX145" s="51">
        <f>F145*AP145</f>
        <v>0</v>
      </c>
      <c r="AY145" s="53" t="s">
        <v>360</v>
      </c>
      <c r="AZ145" s="53" t="s">
        <v>361</v>
      </c>
      <c r="BA145" s="35" t="s">
        <v>117</v>
      </c>
      <c r="BC145" s="51">
        <f>AW145+AX145</f>
        <v>0</v>
      </c>
      <c r="BD145" s="51">
        <f>G145/(100-BE145)*100</f>
        <v>0</v>
      </c>
      <c r="BE145" s="51">
        <v>0</v>
      </c>
      <c r="BF145" s="51">
        <f>145</f>
        <v>145</v>
      </c>
      <c r="BH145" s="51">
        <f>F145*AO145</f>
        <v>0</v>
      </c>
      <c r="BI145" s="51">
        <f>F145*AP145</f>
        <v>0</v>
      </c>
      <c r="BJ145" s="51">
        <f>F145*G145</f>
        <v>0</v>
      </c>
      <c r="BK145" s="51"/>
      <c r="BL145" s="51">
        <v>721</v>
      </c>
      <c r="BW145" s="51">
        <v>12</v>
      </c>
      <c r="BX145" s="3" t="s">
        <v>398</v>
      </c>
    </row>
    <row r="146" spans="1:76">
      <c r="A146" s="47" t="s">
        <v>4</v>
      </c>
      <c r="B146" s="48" t="s">
        <v>399</v>
      </c>
      <c r="C146" s="150" t="s">
        <v>400</v>
      </c>
      <c r="D146" s="151"/>
      <c r="E146" s="49" t="s">
        <v>79</v>
      </c>
      <c r="F146" s="49" t="s">
        <v>79</v>
      </c>
      <c r="G146" s="50" t="s">
        <v>79</v>
      </c>
      <c r="H146" s="28">
        <f>SUM(H147:H157)</f>
        <v>0</v>
      </c>
      <c r="J146" s="41"/>
      <c r="AI146" s="35" t="s">
        <v>4</v>
      </c>
      <c r="AS146" s="28">
        <f>SUM(AJ147:AJ157)</f>
        <v>0</v>
      </c>
      <c r="AT146" s="28">
        <f>SUM(AK147:AK157)</f>
        <v>0</v>
      </c>
      <c r="AU146" s="28">
        <f>SUM(AL147:AL157)</f>
        <v>0</v>
      </c>
    </row>
    <row r="147" spans="1:76">
      <c r="A147" s="1" t="s">
        <v>401</v>
      </c>
      <c r="B147" s="2" t="s">
        <v>402</v>
      </c>
      <c r="C147" s="75" t="s">
        <v>403</v>
      </c>
      <c r="D147" s="70"/>
      <c r="E147" s="2" t="s">
        <v>134</v>
      </c>
      <c r="F147" s="51">
        <v>8</v>
      </c>
      <c r="G147" s="52">
        <v>0</v>
      </c>
      <c r="H147" s="51">
        <f t="shared" ref="H147:H157" si="20">F147*G147</f>
        <v>0</v>
      </c>
      <c r="J147" s="41"/>
      <c r="Z147" s="51">
        <f t="shared" ref="Z147:Z157" si="21">IF(AQ147="5",BJ147,0)</f>
        <v>0</v>
      </c>
      <c r="AB147" s="51">
        <f t="shared" ref="AB147:AB157" si="22">IF(AQ147="1",BH147,0)</f>
        <v>0</v>
      </c>
      <c r="AC147" s="51">
        <f t="shared" ref="AC147:AC157" si="23">IF(AQ147="1",BI147,0)</f>
        <v>0</v>
      </c>
      <c r="AD147" s="51">
        <f t="shared" ref="AD147:AD157" si="24">IF(AQ147="7",BH147,0)</f>
        <v>0</v>
      </c>
      <c r="AE147" s="51">
        <f t="shared" ref="AE147:AE157" si="25">IF(AQ147="7",BI147,0)</f>
        <v>0</v>
      </c>
      <c r="AF147" s="51">
        <f t="shared" ref="AF147:AF157" si="26">IF(AQ147="2",BH147,0)</f>
        <v>0</v>
      </c>
      <c r="AG147" s="51">
        <f t="shared" ref="AG147:AG157" si="27">IF(AQ147="2",BI147,0)</f>
        <v>0</v>
      </c>
      <c r="AH147" s="51">
        <f t="shared" ref="AH147:AH157" si="28">IF(AQ147="0",BJ147,0)</f>
        <v>0</v>
      </c>
      <c r="AI147" s="35" t="s">
        <v>4</v>
      </c>
      <c r="AJ147" s="51">
        <f t="shared" ref="AJ147:AJ157" si="29">IF(AN147=0,H147,0)</f>
        <v>0</v>
      </c>
      <c r="AK147" s="51">
        <f t="shared" ref="AK147:AK157" si="30">IF(AN147=12,H147,0)</f>
        <v>0</v>
      </c>
      <c r="AL147" s="51">
        <f t="shared" ref="AL147:AL157" si="31">IF(AN147=21,H147,0)</f>
        <v>0</v>
      </c>
      <c r="AN147" s="51">
        <v>12</v>
      </c>
      <c r="AO147" s="51">
        <f>G147*0</f>
        <v>0</v>
      </c>
      <c r="AP147" s="51">
        <f>G147*(1-0)</f>
        <v>0</v>
      </c>
      <c r="AQ147" s="53" t="s">
        <v>149</v>
      </c>
      <c r="AV147" s="51">
        <f t="shared" ref="AV147:AV157" si="32">AW147+AX147</f>
        <v>0</v>
      </c>
      <c r="AW147" s="51">
        <f t="shared" ref="AW147:AW157" si="33">F147*AO147</f>
        <v>0</v>
      </c>
      <c r="AX147" s="51">
        <f t="shared" ref="AX147:AX157" si="34">F147*AP147</f>
        <v>0</v>
      </c>
      <c r="AY147" s="53" t="s">
        <v>404</v>
      </c>
      <c r="AZ147" s="53" t="s">
        <v>361</v>
      </c>
      <c r="BA147" s="35" t="s">
        <v>117</v>
      </c>
      <c r="BC147" s="51">
        <f t="shared" ref="BC147:BC157" si="35">AW147+AX147</f>
        <v>0</v>
      </c>
      <c r="BD147" s="51">
        <f t="shared" ref="BD147:BD157" si="36">G147/(100-BE147)*100</f>
        <v>0</v>
      </c>
      <c r="BE147" s="51">
        <v>0</v>
      </c>
      <c r="BF147" s="51">
        <f>147</f>
        <v>147</v>
      </c>
      <c r="BH147" s="51">
        <f t="shared" ref="BH147:BH157" si="37">F147*AO147</f>
        <v>0</v>
      </c>
      <c r="BI147" s="51">
        <f t="shared" ref="BI147:BI157" si="38">F147*AP147</f>
        <v>0</v>
      </c>
      <c r="BJ147" s="51">
        <f t="shared" ref="BJ147:BJ157" si="39">F147*G147</f>
        <v>0</v>
      </c>
      <c r="BK147" s="51"/>
      <c r="BL147" s="51">
        <v>722</v>
      </c>
      <c r="BW147" s="51">
        <v>12</v>
      </c>
      <c r="BX147" s="3" t="s">
        <v>403</v>
      </c>
    </row>
    <row r="148" spans="1:76">
      <c r="A148" s="1" t="s">
        <v>405</v>
      </c>
      <c r="B148" s="2" t="s">
        <v>406</v>
      </c>
      <c r="C148" s="75" t="s">
        <v>407</v>
      </c>
      <c r="D148" s="70"/>
      <c r="E148" s="2" t="s">
        <v>114</v>
      </c>
      <c r="F148" s="51">
        <v>6</v>
      </c>
      <c r="G148" s="52">
        <v>0</v>
      </c>
      <c r="H148" s="51">
        <f t="shared" si="20"/>
        <v>0</v>
      </c>
      <c r="J148" s="41"/>
      <c r="Z148" s="51">
        <f t="shared" si="21"/>
        <v>0</v>
      </c>
      <c r="AB148" s="51">
        <f t="shared" si="22"/>
        <v>0</v>
      </c>
      <c r="AC148" s="51">
        <f t="shared" si="23"/>
        <v>0</v>
      </c>
      <c r="AD148" s="51">
        <f t="shared" si="24"/>
        <v>0</v>
      </c>
      <c r="AE148" s="51">
        <f t="shared" si="25"/>
        <v>0</v>
      </c>
      <c r="AF148" s="51">
        <f t="shared" si="26"/>
        <v>0</v>
      </c>
      <c r="AG148" s="51">
        <f t="shared" si="27"/>
        <v>0</v>
      </c>
      <c r="AH148" s="51">
        <f t="shared" si="28"/>
        <v>0</v>
      </c>
      <c r="AI148" s="35" t="s">
        <v>4</v>
      </c>
      <c r="AJ148" s="51">
        <f t="shared" si="29"/>
        <v>0</v>
      </c>
      <c r="AK148" s="51">
        <f t="shared" si="30"/>
        <v>0</v>
      </c>
      <c r="AL148" s="51">
        <f t="shared" si="31"/>
        <v>0</v>
      </c>
      <c r="AN148" s="51">
        <v>12</v>
      </c>
      <c r="AO148" s="51">
        <f>G148*0</f>
        <v>0</v>
      </c>
      <c r="AP148" s="51">
        <f>G148*(1-0)</f>
        <v>0</v>
      </c>
      <c r="AQ148" s="53" t="s">
        <v>149</v>
      </c>
      <c r="AV148" s="51">
        <f t="shared" si="32"/>
        <v>0</v>
      </c>
      <c r="AW148" s="51">
        <f t="shared" si="33"/>
        <v>0</v>
      </c>
      <c r="AX148" s="51">
        <f t="shared" si="34"/>
        <v>0</v>
      </c>
      <c r="AY148" s="53" t="s">
        <v>404</v>
      </c>
      <c r="AZ148" s="53" t="s">
        <v>361</v>
      </c>
      <c r="BA148" s="35" t="s">
        <v>117</v>
      </c>
      <c r="BC148" s="51">
        <f t="shared" si="35"/>
        <v>0</v>
      </c>
      <c r="BD148" s="51">
        <f t="shared" si="36"/>
        <v>0</v>
      </c>
      <c r="BE148" s="51">
        <v>0</v>
      </c>
      <c r="BF148" s="51">
        <f>148</f>
        <v>148</v>
      </c>
      <c r="BH148" s="51">
        <f t="shared" si="37"/>
        <v>0</v>
      </c>
      <c r="BI148" s="51">
        <f t="shared" si="38"/>
        <v>0</v>
      </c>
      <c r="BJ148" s="51">
        <f t="shared" si="39"/>
        <v>0</v>
      </c>
      <c r="BK148" s="51"/>
      <c r="BL148" s="51">
        <v>722</v>
      </c>
      <c r="BW148" s="51">
        <v>12</v>
      </c>
      <c r="BX148" s="3" t="s">
        <v>407</v>
      </c>
    </row>
    <row r="149" spans="1:76">
      <c r="A149" s="1" t="s">
        <v>141</v>
      </c>
      <c r="B149" s="2" t="s">
        <v>408</v>
      </c>
      <c r="C149" s="75" t="s">
        <v>409</v>
      </c>
      <c r="D149" s="70"/>
      <c r="E149" s="2" t="s">
        <v>114</v>
      </c>
      <c r="F149" s="51">
        <v>2</v>
      </c>
      <c r="G149" s="52">
        <v>0</v>
      </c>
      <c r="H149" s="51">
        <f t="shared" si="20"/>
        <v>0</v>
      </c>
      <c r="J149" s="41"/>
      <c r="Z149" s="51">
        <f t="shared" si="21"/>
        <v>0</v>
      </c>
      <c r="AB149" s="51">
        <f t="shared" si="22"/>
        <v>0</v>
      </c>
      <c r="AC149" s="51">
        <f t="shared" si="23"/>
        <v>0</v>
      </c>
      <c r="AD149" s="51">
        <f t="shared" si="24"/>
        <v>0</v>
      </c>
      <c r="AE149" s="51">
        <f t="shared" si="25"/>
        <v>0</v>
      </c>
      <c r="AF149" s="51">
        <f t="shared" si="26"/>
        <v>0</v>
      </c>
      <c r="AG149" s="51">
        <f t="shared" si="27"/>
        <v>0</v>
      </c>
      <c r="AH149" s="51">
        <f t="shared" si="28"/>
        <v>0</v>
      </c>
      <c r="AI149" s="35" t="s">
        <v>4</v>
      </c>
      <c r="AJ149" s="51">
        <f t="shared" si="29"/>
        <v>0</v>
      </c>
      <c r="AK149" s="51">
        <f t="shared" si="30"/>
        <v>0</v>
      </c>
      <c r="AL149" s="51">
        <f t="shared" si="31"/>
        <v>0</v>
      </c>
      <c r="AN149" s="51">
        <v>12</v>
      </c>
      <c r="AO149" s="51">
        <f>G149*0.035569217</f>
        <v>0</v>
      </c>
      <c r="AP149" s="51">
        <f>G149*(1-0.035569217)</f>
        <v>0</v>
      </c>
      <c r="AQ149" s="53" t="s">
        <v>149</v>
      </c>
      <c r="AV149" s="51">
        <f t="shared" si="32"/>
        <v>0</v>
      </c>
      <c r="AW149" s="51">
        <f t="shared" si="33"/>
        <v>0</v>
      </c>
      <c r="AX149" s="51">
        <f t="shared" si="34"/>
        <v>0</v>
      </c>
      <c r="AY149" s="53" t="s">
        <v>404</v>
      </c>
      <c r="AZ149" s="53" t="s">
        <v>361</v>
      </c>
      <c r="BA149" s="35" t="s">
        <v>117</v>
      </c>
      <c r="BC149" s="51">
        <f t="shared" si="35"/>
        <v>0</v>
      </c>
      <c r="BD149" s="51">
        <f t="shared" si="36"/>
        <v>0</v>
      </c>
      <c r="BE149" s="51">
        <v>0</v>
      </c>
      <c r="BF149" s="51">
        <f>149</f>
        <v>149</v>
      </c>
      <c r="BH149" s="51">
        <f t="shared" si="37"/>
        <v>0</v>
      </c>
      <c r="BI149" s="51">
        <f t="shared" si="38"/>
        <v>0</v>
      </c>
      <c r="BJ149" s="51">
        <f t="shared" si="39"/>
        <v>0</v>
      </c>
      <c r="BK149" s="51"/>
      <c r="BL149" s="51">
        <v>722</v>
      </c>
      <c r="BW149" s="51">
        <v>12</v>
      </c>
      <c r="BX149" s="3" t="s">
        <v>409</v>
      </c>
    </row>
    <row r="150" spans="1:76">
      <c r="A150" s="1" t="s">
        <v>410</v>
      </c>
      <c r="B150" s="2" t="s">
        <v>411</v>
      </c>
      <c r="C150" s="75" t="s">
        <v>412</v>
      </c>
      <c r="D150" s="70"/>
      <c r="E150" s="2" t="s">
        <v>134</v>
      </c>
      <c r="F150" s="51">
        <v>24.5</v>
      </c>
      <c r="G150" s="52">
        <v>0</v>
      </c>
      <c r="H150" s="51">
        <f t="shared" si="20"/>
        <v>0</v>
      </c>
      <c r="J150" s="41"/>
      <c r="Z150" s="51">
        <f t="shared" si="21"/>
        <v>0</v>
      </c>
      <c r="AB150" s="51">
        <f t="shared" si="22"/>
        <v>0</v>
      </c>
      <c r="AC150" s="51">
        <f t="shared" si="23"/>
        <v>0</v>
      </c>
      <c r="AD150" s="51">
        <f t="shared" si="24"/>
        <v>0</v>
      </c>
      <c r="AE150" s="51">
        <f t="shared" si="25"/>
        <v>0</v>
      </c>
      <c r="AF150" s="51">
        <f t="shared" si="26"/>
        <v>0</v>
      </c>
      <c r="AG150" s="51">
        <f t="shared" si="27"/>
        <v>0</v>
      </c>
      <c r="AH150" s="51">
        <f t="shared" si="28"/>
        <v>0</v>
      </c>
      <c r="AI150" s="35" t="s">
        <v>4</v>
      </c>
      <c r="AJ150" s="51">
        <f t="shared" si="29"/>
        <v>0</v>
      </c>
      <c r="AK150" s="51">
        <f t="shared" si="30"/>
        <v>0</v>
      </c>
      <c r="AL150" s="51">
        <f t="shared" si="31"/>
        <v>0</v>
      </c>
      <c r="AN150" s="51">
        <v>12</v>
      </c>
      <c r="AO150" s="51">
        <f>G150*0.343352381</f>
        <v>0</v>
      </c>
      <c r="AP150" s="51">
        <f>G150*(1-0.343352381)</f>
        <v>0</v>
      </c>
      <c r="AQ150" s="53" t="s">
        <v>149</v>
      </c>
      <c r="AV150" s="51">
        <f t="shared" si="32"/>
        <v>0</v>
      </c>
      <c r="AW150" s="51">
        <f t="shared" si="33"/>
        <v>0</v>
      </c>
      <c r="AX150" s="51">
        <f t="shared" si="34"/>
        <v>0</v>
      </c>
      <c r="AY150" s="53" t="s">
        <v>404</v>
      </c>
      <c r="AZ150" s="53" t="s">
        <v>361</v>
      </c>
      <c r="BA150" s="35" t="s">
        <v>117</v>
      </c>
      <c r="BC150" s="51">
        <f t="shared" si="35"/>
        <v>0</v>
      </c>
      <c r="BD150" s="51">
        <f t="shared" si="36"/>
        <v>0</v>
      </c>
      <c r="BE150" s="51">
        <v>0</v>
      </c>
      <c r="BF150" s="51">
        <f>150</f>
        <v>150</v>
      </c>
      <c r="BH150" s="51">
        <f t="shared" si="37"/>
        <v>0</v>
      </c>
      <c r="BI150" s="51">
        <f t="shared" si="38"/>
        <v>0</v>
      </c>
      <c r="BJ150" s="51">
        <f t="shared" si="39"/>
        <v>0</v>
      </c>
      <c r="BK150" s="51"/>
      <c r="BL150" s="51">
        <v>722</v>
      </c>
      <c r="BW150" s="51">
        <v>12</v>
      </c>
      <c r="BX150" s="3" t="s">
        <v>412</v>
      </c>
    </row>
    <row r="151" spans="1:76">
      <c r="A151" s="1" t="s">
        <v>221</v>
      </c>
      <c r="B151" s="2" t="s">
        <v>413</v>
      </c>
      <c r="C151" s="75" t="s">
        <v>414</v>
      </c>
      <c r="D151" s="70"/>
      <c r="E151" s="2" t="s">
        <v>114</v>
      </c>
      <c r="F151" s="51">
        <v>2</v>
      </c>
      <c r="G151" s="52">
        <v>0</v>
      </c>
      <c r="H151" s="51">
        <f t="shared" si="20"/>
        <v>0</v>
      </c>
      <c r="J151" s="41"/>
      <c r="Z151" s="51">
        <f t="shared" si="21"/>
        <v>0</v>
      </c>
      <c r="AB151" s="51">
        <f t="shared" si="22"/>
        <v>0</v>
      </c>
      <c r="AC151" s="51">
        <f t="shared" si="23"/>
        <v>0</v>
      </c>
      <c r="AD151" s="51">
        <f t="shared" si="24"/>
        <v>0</v>
      </c>
      <c r="AE151" s="51">
        <f t="shared" si="25"/>
        <v>0</v>
      </c>
      <c r="AF151" s="51">
        <f t="shared" si="26"/>
        <v>0</v>
      </c>
      <c r="AG151" s="51">
        <f t="shared" si="27"/>
        <v>0</v>
      </c>
      <c r="AH151" s="51">
        <f t="shared" si="28"/>
        <v>0</v>
      </c>
      <c r="AI151" s="35" t="s">
        <v>4</v>
      </c>
      <c r="AJ151" s="51">
        <f t="shared" si="29"/>
        <v>0</v>
      </c>
      <c r="AK151" s="51">
        <f t="shared" si="30"/>
        <v>0</v>
      </c>
      <c r="AL151" s="51">
        <f t="shared" si="31"/>
        <v>0</v>
      </c>
      <c r="AN151" s="51">
        <v>12</v>
      </c>
      <c r="AO151" s="51">
        <f>G151*0.52306338</f>
        <v>0</v>
      </c>
      <c r="AP151" s="51">
        <f>G151*(1-0.52306338)</f>
        <v>0</v>
      </c>
      <c r="AQ151" s="53" t="s">
        <v>149</v>
      </c>
      <c r="AV151" s="51">
        <f t="shared" si="32"/>
        <v>0</v>
      </c>
      <c r="AW151" s="51">
        <f t="shared" si="33"/>
        <v>0</v>
      </c>
      <c r="AX151" s="51">
        <f t="shared" si="34"/>
        <v>0</v>
      </c>
      <c r="AY151" s="53" t="s">
        <v>404</v>
      </c>
      <c r="AZ151" s="53" t="s">
        <v>361</v>
      </c>
      <c r="BA151" s="35" t="s">
        <v>117</v>
      </c>
      <c r="BC151" s="51">
        <f t="shared" si="35"/>
        <v>0</v>
      </c>
      <c r="BD151" s="51">
        <f t="shared" si="36"/>
        <v>0</v>
      </c>
      <c r="BE151" s="51">
        <v>0</v>
      </c>
      <c r="BF151" s="51">
        <f>151</f>
        <v>151</v>
      </c>
      <c r="BH151" s="51">
        <f t="shared" si="37"/>
        <v>0</v>
      </c>
      <c r="BI151" s="51">
        <f t="shared" si="38"/>
        <v>0</v>
      </c>
      <c r="BJ151" s="51">
        <f t="shared" si="39"/>
        <v>0</v>
      </c>
      <c r="BK151" s="51"/>
      <c r="BL151" s="51">
        <v>722</v>
      </c>
      <c r="BW151" s="51">
        <v>12</v>
      </c>
      <c r="BX151" s="3" t="s">
        <v>414</v>
      </c>
    </row>
    <row r="152" spans="1:76">
      <c r="A152" s="1" t="s">
        <v>415</v>
      </c>
      <c r="B152" s="2" t="s">
        <v>416</v>
      </c>
      <c r="C152" s="75" t="s">
        <v>417</v>
      </c>
      <c r="D152" s="70"/>
      <c r="E152" s="2" t="s">
        <v>418</v>
      </c>
      <c r="F152" s="51">
        <v>3</v>
      </c>
      <c r="G152" s="52">
        <v>0</v>
      </c>
      <c r="H152" s="51">
        <f t="shared" si="20"/>
        <v>0</v>
      </c>
      <c r="J152" s="41"/>
      <c r="Z152" s="51">
        <f t="shared" si="21"/>
        <v>0</v>
      </c>
      <c r="AB152" s="51">
        <f t="shared" si="22"/>
        <v>0</v>
      </c>
      <c r="AC152" s="51">
        <f t="shared" si="23"/>
        <v>0</v>
      </c>
      <c r="AD152" s="51">
        <f t="shared" si="24"/>
        <v>0</v>
      </c>
      <c r="AE152" s="51">
        <f t="shared" si="25"/>
        <v>0</v>
      </c>
      <c r="AF152" s="51">
        <f t="shared" si="26"/>
        <v>0</v>
      </c>
      <c r="AG152" s="51">
        <f t="shared" si="27"/>
        <v>0</v>
      </c>
      <c r="AH152" s="51">
        <f t="shared" si="28"/>
        <v>0</v>
      </c>
      <c r="AI152" s="35" t="s">
        <v>4</v>
      </c>
      <c r="AJ152" s="51">
        <f t="shared" si="29"/>
        <v>0</v>
      </c>
      <c r="AK152" s="51">
        <f t="shared" si="30"/>
        <v>0</v>
      </c>
      <c r="AL152" s="51">
        <f t="shared" si="31"/>
        <v>0</v>
      </c>
      <c r="AN152" s="51">
        <v>12</v>
      </c>
      <c r="AO152" s="51">
        <f>G152*0.529089317</f>
        <v>0</v>
      </c>
      <c r="AP152" s="51">
        <f>G152*(1-0.529089317)</f>
        <v>0</v>
      </c>
      <c r="AQ152" s="53" t="s">
        <v>149</v>
      </c>
      <c r="AV152" s="51">
        <f t="shared" si="32"/>
        <v>0</v>
      </c>
      <c r="AW152" s="51">
        <f t="shared" si="33"/>
        <v>0</v>
      </c>
      <c r="AX152" s="51">
        <f t="shared" si="34"/>
        <v>0</v>
      </c>
      <c r="AY152" s="53" t="s">
        <v>404</v>
      </c>
      <c r="AZ152" s="53" t="s">
        <v>361</v>
      </c>
      <c r="BA152" s="35" t="s">
        <v>117</v>
      </c>
      <c r="BC152" s="51">
        <f t="shared" si="35"/>
        <v>0</v>
      </c>
      <c r="BD152" s="51">
        <f t="shared" si="36"/>
        <v>0</v>
      </c>
      <c r="BE152" s="51">
        <v>0</v>
      </c>
      <c r="BF152" s="51">
        <f>152</f>
        <v>152</v>
      </c>
      <c r="BH152" s="51">
        <f t="shared" si="37"/>
        <v>0</v>
      </c>
      <c r="BI152" s="51">
        <f t="shared" si="38"/>
        <v>0</v>
      </c>
      <c r="BJ152" s="51">
        <f t="shared" si="39"/>
        <v>0</v>
      </c>
      <c r="BK152" s="51"/>
      <c r="BL152" s="51">
        <v>722</v>
      </c>
      <c r="BW152" s="51">
        <v>12</v>
      </c>
      <c r="BX152" s="3" t="s">
        <v>417</v>
      </c>
    </row>
    <row r="153" spans="1:76">
      <c r="A153" s="1" t="s">
        <v>419</v>
      </c>
      <c r="B153" s="2" t="s">
        <v>420</v>
      </c>
      <c r="C153" s="75" t="s">
        <v>421</v>
      </c>
      <c r="D153" s="70"/>
      <c r="E153" s="2" t="s">
        <v>134</v>
      </c>
      <c r="F153" s="51">
        <v>24.5</v>
      </c>
      <c r="G153" s="52">
        <v>0</v>
      </c>
      <c r="H153" s="51">
        <f t="shared" si="20"/>
        <v>0</v>
      </c>
      <c r="J153" s="41"/>
      <c r="Z153" s="51">
        <f t="shared" si="21"/>
        <v>0</v>
      </c>
      <c r="AB153" s="51">
        <f t="shared" si="22"/>
        <v>0</v>
      </c>
      <c r="AC153" s="51">
        <f t="shared" si="23"/>
        <v>0</v>
      </c>
      <c r="AD153" s="51">
        <f t="shared" si="24"/>
        <v>0</v>
      </c>
      <c r="AE153" s="51">
        <f t="shared" si="25"/>
        <v>0</v>
      </c>
      <c r="AF153" s="51">
        <f t="shared" si="26"/>
        <v>0</v>
      </c>
      <c r="AG153" s="51">
        <f t="shared" si="27"/>
        <v>0</v>
      </c>
      <c r="AH153" s="51">
        <f t="shared" si="28"/>
        <v>0</v>
      </c>
      <c r="AI153" s="35" t="s">
        <v>4</v>
      </c>
      <c r="AJ153" s="51">
        <f t="shared" si="29"/>
        <v>0</v>
      </c>
      <c r="AK153" s="51">
        <f t="shared" si="30"/>
        <v>0</v>
      </c>
      <c r="AL153" s="51">
        <f t="shared" si="31"/>
        <v>0</v>
      </c>
      <c r="AN153" s="51">
        <v>12</v>
      </c>
      <c r="AO153" s="51">
        <f>G153*0.45117255</f>
        <v>0</v>
      </c>
      <c r="AP153" s="51">
        <f>G153*(1-0.45117255)</f>
        <v>0</v>
      </c>
      <c r="AQ153" s="53" t="s">
        <v>149</v>
      </c>
      <c r="AV153" s="51">
        <f t="shared" si="32"/>
        <v>0</v>
      </c>
      <c r="AW153" s="51">
        <f t="shared" si="33"/>
        <v>0</v>
      </c>
      <c r="AX153" s="51">
        <f t="shared" si="34"/>
        <v>0</v>
      </c>
      <c r="AY153" s="53" t="s">
        <v>404</v>
      </c>
      <c r="AZ153" s="53" t="s">
        <v>361</v>
      </c>
      <c r="BA153" s="35" t="s">
        <v>117</v>
      </c>
      <c r="BC153" s="51">
        <f t="shared" si="35"/>
        <v>0</v>
      </c>
      <c r="BD153" s="51">
        <f t="shared" si="36"/>
        <v>0</v>
      </c>
      <c r="BE153" s="51">
        <v>0</v>
      </c>
      <c r="BF153" s="51">
        <f>153</f>
        <v>153</v>
      </c>
      <c r="BH153" s="51">
        <f t="shared" si="37"/>
        <v>0</v>
      </c>
      <c r="BI153" s="51">
        <f t="shared" si="38"/>
        <v>0</v>
      </c>
      <c r="BJ153" s="51">
        <f t="shared" si="39"/>
        <v>0</v>
      </c>
      <c r="BK153" s="51"/>
      <c r="BL153" s="51">
        <v>722</v>
      </c>
      <c r="BW153" s="51">
        <v>12</v>
      </c>
      <c r="BX153" s="3" t="s">
        <v>421</v>
      </c>
    </row>
    <row r="154" spans="1:76">
      <c r="A154" s="1" t="s">
        <v>422</v>
      </c>
      <c r="B154" s="2" t="s">
        <v>423</v>
      </c>
      <c r="C154" s="75" t="s">
        <v>424</v>
      </c>
      <c r="D154" s="70"/>
      <c r="E154" s="2" t="s">
        <v>114</v>
      </c>
      <c r="F154" s="51">
        <v>8</v>
      </c>
      <c r="G154" s="52">
        <v>0</v>
      </c>
      <c r="H154" s="51">
        <f t="shared" si="20"/>
        <v>0</v>
      </c>
      <c r="J154" s="41"/>
      <c r="Z154" s="51">
        <f t="shared" si="21"/>
        <v>0</v>
      </c>
      <c r="AB154" s="51">
        <f t="shared" si="22"/>
        <v>0</v>
      </c>
      <c r="AC154" s="51">
        <f t="shared" si="23"/>
        <v>0</v>
      </c>
      <c r="AD154" s="51">
        <f t="shared" si="24"/>
        <v>0</v>
      </c>
      <c r="AE154" s="51">
        <f t="shared" si="25"/>
        <v>0</v>
      </c>
      <c r="AF154" s="51">
        <f t="shared" si="26"/>
        <v>0</v>
      </c>
      <c r="AG154" s="51">
        <f t="shared" si="27"/>
        <v>0</v>
      </c>
      <c r="AH154" s="51">
        <f t="shared" si="28"/>
        <v>0</v>
      </c>
      <c r="AI154" s="35" t="s">
        <v>4</v>
      </c>
      <c r="AJ154" s="51">
        <f t="shared" si="29"/>
        <v>0</v>
      </c>
      <c r="AK154" s="51">
        <f t="shared" si="30"/>
        <v>0</v>
      </c>
      <c r="AL154" s="51">
        <f t="shared" si="31"/>
        <v>0</v>
      </c>
      <c r="AN154" s="51">
        <v>12</v>
      </c>
      <c r="AO154" s="51">
        <f>G154*0</f>
        <v>0</v>
      </c>
      <c r="AP154" s="51">
        <f>G154*(1-0)</f>
        <v>0</v>
      </c>
      <c r="AQ154" s="53" t="s">
        <v>149</v>
      </c>
      <c r="AV154" s="51">
        <f t="shared" si="32"/>
        <v>0</v>
      </c>
      <c r="AW154" s="51">
        <f t="shared" si="33"/>
        <v>0</v>
      </c>
      <c r="AX154" s="51">
        <f t="shared" si="34"/>
        <v>0</v>
      </c>
      <c r="AY154" s="53" t="s">
        <v>404</v>
      </c>
      <c r="AZ154" s="53" t="s">
        <v>361</v>
      </c>
      <c r="BA154" s="35" t="s">
        <v>117</v>
      </c>
      <c r="BC154" s="51">
        <f t="shared" si="35"/>
        <v>0</v>
      </c>
      <c r="BD154" s="51">
        <f t="shared" si="36"/>
        <v>0</v>
      </c>
      <c r="BE154" s="51">
        <v>0</v>
      </c>
      <c r="BF154" s="51">
        <f>154</f>
        <v>154</v>
      </c>
      <c r="BH154" s="51">
        <f t="shared" si="37"/>
        <v>0</v>
      </c>
      <c r="BI154" s="51">
        <f t="shared" si="38"/>
        <v>0</v>
      </c>
      <c r="BJ154" s="51">
        <f t="shared" si="39"/>
        <v>0</v>
      </c>
      <c r="BK154" s="51"/>
      <c r="BL154" s="51">
        <v>722</v>
      </c>
      <c r="BW154" s="51">
        <v>12</v>
      </c>
      <c r="BX154" s="3" t="s">
        <v>424</v>
      </c>
    </row>
    <row r="155" spans="1:76">
      <c r="A155" s="1" t="s">
        <v>425</v>
      </c>
      <c r="B155" s="2" t="s">
        <v>426</v>
      </c>
      <c r="C155" s="75" t="s">
        <v>427</v>
      </c>
      <c r="D155" s="70"/>
      <c r="E155" s="2" t="s">
        <v>134</v>
      </c>
      <c r="F155" s="51">
        <v>24.5</v>
      </c>
      <c r="G155" s="52">
        <v>0</v>
      </c>
      <c r="H155" s="51">
        <f t="shared" si="20"/>
        <v>0</v>
      </c>
      <c r="J155" s="41"/>
      <c r="Z155" s="51">
        <f t="shared" si="21"/>
        <v>0</v>
      </c>
      <c r="AB155" s="51">
        <f t="shared" si="22"/>
        <v>0</v>
      </c>
      <c r="AC155" s="51">
        <f t="shared" si="23"/>
        <v>0</v>
      </c>
      <c r="AD155" s="51">
        <f t="shared" si="24"/>
        <v>0</v>
      </c>
      <c r="AE155" s="51">
        <f t="shared" si="25"/>
        <v>0</v>
      </c>
      <c r="AF155" s="51">
        <f t="shared" si="26"/>
        <v>0</v>
      </c>
      <c r="AG155" s="51">
        <f t="shared" si="27"/>
        <v>0</v>
      </c>
      <c r="AH155" s="51">
        <f t="shared" si="28"/>
        <v>0</v>
      </c>
      <c r="AI155" s="35" t="s">
        <v>4</v>
      </c>
      <c r="AJ155" s="51">
        <f t="shared" si="29"/>
        <v>0</v>
      </c>
      <c r="AK155" s="51">
        <f t="shared" si="30"/>
        <v>0</v>
      </c>
      <c r="AL155" s="51">
        <f t="shared" si="31"/>
        <v>0</v>
      </c>
      <c r="AN155" s="51">
        <v>12</v>
      </c>
      <c r="AO155" s="51">
        <f>G155*0.05464191</f>
        <v>0</v>
      </c>
      <c r="AP155" s="51">
        <f>G155*(1-0.05464191)</f>
        <v>0</v>
      </c>
      <c r="AQ155" s="53" t="s">
        <v>149</v>
      </c>
      <c r="AV155" s="51">
        <f t="shared" si="32"/>
        <v>0</v>
      </c>
      <c r="AW155" s="51">
        <f t="shared" si="33"/>
        <v>0</v>
      </c>
      <c r="AX155" s="51">
        <f t="shared" si="34"/>
        <v>0</v>
      </c>
      <c r="AY155" s="53" t="s">
        <v>404</v>
      </c>
      <c r="AZ155" s="53" t="s">
        <v>361</v>
      </c>
      <c r="BA155" s="35" t="s">
        <v>117</v>
      </c>
      <c r="BC155" s="51">
        <f t="shared" si="35"/>
        <v>0</v>
      </c>
      <c r="BD155" s="51">
        <f t="shared" si="36"/>
        <v>0</v>
      </c>
      <c r="BE155" s="51">
        <v>0</v>
      </c>
      <c r="BF155" s="51">
        <f>155</f>
        <v>155</v>
      </c>
      <c r="BH155" s="51">
        <f t="shared" si="37"/>
        <v>0</v>
      </c>
      <c r="BI155" s="51">
        <f t="shared" si="38"/>
        <v>0</v>
      </c>
      <c r="BJ155" s="51">
        <f t="shared" si="39"/>
        <v>0</v>
      </c>
      <c r="BK155" s="51"/>
      <c r="BL155" s="51">
        <v>722</v>
      </c>
      <c r="BW155" s="51">
        <v>12</v>
      </c>
      <c r="BX155" s="3" t="s">
        <v>427</v>
      </c>
    </row>
    <row r="156" spans="1:76">
      <c r="A156" s="1" t="s">
        <v>428</v>
      </c>
      <c r="B156" s="2" t="s">
        <v>429</v>
      </c>
      <c r="C156" s="75" t="s">
        <v>430</v>
      </c>
      <c r="D156" s="70"/>
      <c r="E156" s="2" t="s">
        <v>134</v>
      </c>
      <c r="F156" s="51">
        <v>24.5</v>
      </c>
      <c r="G156" s="52">
        <v>0</v>
      </c>
      <c r="H156" s="51">
        <f t="shared" si="20"/>
        <v>0</v>
      </c>
      <c r="J156" s="41"/>
      <c r="Z156" s="51">
        <f t="shared" si="21"/>
        <v>0</v>
      </c>
      <c r="AB156" s="51">
        <f t="shared" si="22"/>
        <v>0</v>
      </c>
      <c r="AC156" s="51">
        <f t="shared" si="23"/>
        <v>0</v>
      </c>
      <c r="AD156" s="51">
        <f t="shared" si="24"/>
        <v>0</v>
      </c>
      <c r="AE156" s="51">
        <f t="shared" si="25"/>
        <v>0</v>
      </c>
      <c r="AF156" s="51">
        <f t="shared" si="26"/>
        <v>0</v>
      </c>
      <c r="AG156" s="51">
        <f t="shared" si="27"/>
        <v>0</v>
      </c>
      <c r="AH156" s="51">
        <f t="shared" si="28"/>
        <v>0</v>
      </c>
      <c r="AI156" s="35" t="s">
        <v>4</v>
      </c>
      <c r="AJ156" s="51">
        <f t="shared" si="29"/>
        <v>0</v>
      </c>
      <c r="AK156" s="51">
        <f t="shared" si="30"/>
        <v>0</v>
      </c>
      <c r="AL156" s="51">
        <f t="shared" si="31"/>
        <v>0</v>
      </c>
      <c r="AN156" s="51">
        <v>12</v>
      </c>
      <c r="AO156" s="51">
        <f>G156*0.015294118</f>
        <v>0</v>
      </c>
      <c r="AP156" s="51">
        <f>G156*(1-0.015294118)</f>
        <v>0</v>
      </c>
      <c r="AQ156" s="53" t="s">
        <v>149</v>
      </c>
      <c r="AV156" s="51">
        <f t="shared" si="32"/>
        <v>0</v>
      </c>
      <c r="AW156" s="51">
        <f t="shared" si="33"/>
        <v>0</v>
      </c>
      <c r="AX156" s="51">
        <f t="shared" si="34"/>
        <v>0</v>
      </c>
      <c r="AY156" s="53" t="s">
        <v>404</v>
      </c>
      <c r="AZ156" s="53" t="s">
        <v>361</v>
      </c>
      <c r="BA156" s="35" t="s">
        <v>117</v>
      </c>
      <c r="BC156" s="51">
        <f t="shared" si="35"/>
        <v>0</v>
      </c>
      <c r="BD156" s="51">
        <f t="shared" si="36"/>
        <v>0</v>
      </c>
      <c r="BE156" s="51">
        <v>0</v>
      </c>
      <c r="BF156" s="51">
        <f>156</f>
        <v>156</v>
      </c>
      <c r="BH156" s="51">
        <f t="shared" si="37"/>
        <v>0</v>
      </c>
      <c r="BI156" s="51">
        <f t="shared" si="38"/>
        <v>0</v>
      </c>
      <c r="BJ156" s="51">
        <f t="shared" si="39"/>
        <v>0</v>
      </c>
      <c r="BK156" s="51"/>
      <c r="BL156" s="51">
        <v>722</v>
      </c>
      <c r="BW156" s="51">
        <v>12</v>
      </c>
      <c r="BX156" s="3" t="s">
        <v>430</v>
      </c>
    </row>
    <row r="157" spans="1:76">
      <c r="A157" s="1" t="s">
        <v>431</v>
      </c>
      <c r="B157" s="2" t="s">
        <v>432</v>
      </c>
      <c r="C157" s="75" t="s">
        <v>433</v>
      </c>
      <c r="D157" s="70"/>
      <c r="E157" s="2" t="s">
        <v>293</v>
      </c>
      <c r="F157" s="51">
        <v>0.04</v>
      </c>
      <c r="G157" s="52">
        <v>0</v>
      </c>
      <c r="H157" s="51">
        <f t="shared" si="20"/>
        <v>0</v>
      </c>
      <c r="J157" s="41"/>
      <c r="Z157" s="51">
        <f t="shared" si="21"/>
        <v>0</v>
      </c>
      <c r="AB157" s="51">
        <f t="shared" si="22"/>
        <v>0</v>
      </c>
      <c r="AC157" s="51">
        <f t="shared" si="23"/>
        <v>0</v>
      </c>
      <c r="AD157" s="51">
        <f t="shared" si="24"/>
        <v>0</v>
      </c>
      <c r="AE157" s="51">
        <f t="shared" si="25"/>
        <v>0</v>
      </c>
      <c r="AF157" s="51">
        <f t="shared" si="26"/>
        <v>0</v>
      </c>
      <c r="AG157" s="51">
        <f t="shared" si="27"/>
        <v>0</v>
      </c>
      <c r="AH157" s="51">
        <f t="shared" si="28"/>
        <v>0</v>
      </c>
      <c r="AI157" s="35" t="s">
        <v>4</v>
      </c>
      <c r="AJ157" s="51">
        <f t="shared" si="29"/>
        <v>0</v>
      </c>
      <c r="AK157" s="51">
        <f t="shared" si="30"/>
        <v>0</v>
      </c>
      <c r="AL157" s="51">
        <f t="shared" si="31"/>
        <v>0</v>
      </c>
      <c r="AN157" s="51">
        <v>12</v>
      </c>
      <c r="AO157" s="51">
        <f>G157*0</f>
        <v>0</v>
      </c>
      <c r="AP157" s="51">
        <f>G157*(1-0)</f>
        <v>0</v>
      </c>
      <c r="AQ157" s="53" t="s">
        <v>137</v>
      </c>
      <c r="AV157" s="51">
        <f t="shared" si="32"/>
        <v>0</v>
      </c>
      <c r="AW157" s="51">
        <f t="shared" si="33"/>
        <v>0</v>
      </c>
      <c r="AX157" s="51">
        <f t="shared" si="34"/>
        <v>0</v>
      </c>
      <c r="AY157" s="53" t="s">
        <v>404</v>
      </c>
      <c r="AZ157" s="53" t="s">
        <v>361</v>
      </c>
      <c r="BA157" s="35" t="s">
        <v>117</v>
      </c>
      <c r="BC157" s="51">
        <f t="shared" si="35"/>
        <v>0</v>
      </c>
      <c r="BD157" s="51">
        <f t="shared" si="36"/>
        <v>0</v>
      </c>
      <c r="BE157" s="51">
        <v>0</v>
      </c>
      <c r="BF157" s="51">
        <f>157</f>
        <v>157</v>
      </c>
      <c r="BH157" s="51">
        <f t="shared" si="37"/>
        <v>0</v>
      </c>
      <c r="BI157" s="51">
        <f t="shared" si="38"/>
        <v>0</v>
      </c>
      <c r="BJ157" s="51">
        <f t="shared" si="39"/>
        <v>0</v>
      </c>
      <c r="BK157" s="51"/>
      <c r="BL157" s="51">
        <v>722</v>
      </c>
      <c r="BW157" s="51">
        <v>12</v>
      </c>
      <c r="BX157" s="3" t="s">
        <v>433</v>
      </c>
    </row>
    <row r="158" spans="1:76">
      <c r="A158" s="47" t="s">
        <v>4</v>
      </c>
      <c r="B158" s="48" t="s">
        <v>434</v>
      </c>
      <c r="C158" s="150" t="s">
        <v>435</v>
      </c>
      <c r="D158" s="151"/>
      <c r="E158" s="49" t="s">
        <v>79</v>
      </c>
      <c r="F158" s="49" t="s">
        <v>79</v>
      </c>
      <c r="G158" s="50" t="s">
        <v>79</v>
      </c>
      <c r="H158" s="28">
        <f>SUM(H159:H187)</f>
        <v>0</v>
      </c>
      <c r="J158" s="41"/>
      <c r="AI158" s="35" t="s">
        <v>4</v>
      </c>
      <c r="AS158" s="28">
        <f>SUM(AJ159:AJ187)</f>
        <v>0</v>
      </c>
      <c r="AT158" s="28">
        <f>SUM(AK159:AK187)</f>
        <v>0</v>
      </c>
      <c r="AU158" s="28">
        <f>SUM(AL159:AL187)</f>
        <v>0</v>
      </c>
    </row>
    <row r="159" spans="1:76">
      <c r="A159" s="1" t="s">
        <v>436</v>
      </c>
      <c r="B159" s="2" t="s">
        <v>437</v>
      </c>
      <c r="C159" s="75" t="s">
        <v>438</v>
      </c>
      <c r="D159" s="70"/>
      <c r="E159" s="2" t="s">
        <v>439</v>
      </c>
      <c r="F159" s="51">
        <v>1</v>
      </c>
      <c r="G159" s="52">
        <v>0</v>
      </c>
      <c r="H159" s="51">
        <f t="shared" ref="H159:H167" si="40">F159*G159</f>
        <v>0</v>
      </c>
      <c r="J159" s="41"/>
      <c r="Z159" s="51">
        <f t="shared" ref="Z159:Z167" si="41">IF(AQ159="5",BJ159,0)</f>
        <v>0</v>
      </c>
      <c r="AB159" s="51">
        <f t="shared" ref="AB159:AB167" si="42">IF(AQ159="1",BH159,0)</f>
        <v>0</v>
      </c>
      <c r="AC159" s="51">
        <f t="shared" ref="AC159:AC167" si="43">IF(AQ159="1",BI159,0)</f>
        <v>0</v>
      </c>
      <c r="AD159" s="51">
        <f t="shared" ref="AD159:AD167" si="44">IF(AQ159="7",BH159,0)</f>
        <v>0</v>
      </c>
      <c r="AE159" s="51">
        <f t="shared" ref="AE159:AE167" si="45">IF(AQ159="7",BI159,0)</f>
        <v>0</v>
      </c>
      <c r="AF159" s="51">
        <f t="shared" ref="AF159:AF167" si="46">IF(AQ159="2",BH159,0)</f>
        <v>0</v>
      </c>
      <c r="AG159" s="51">
        <f t="shared" ref="AG159:AG167" si="47">IF(AQ159="2",BI159,0)</f>
        <v>0</v>
      </c>
      <c r="AH159" s="51">
        <f t="shared" ref="AH159:AH167" si="48">IF(AQ159="0",BJ159,0)</f>
        <v>0</v>
      </c>
      <c r="AI159" s="35" t="s">
        <v>4</v>
      </c>
      <c r="AJ159" s="51">
        <f t="shared" ref="AJ159:AJ167" si="49">IF(AN159=0,H159,0)</f>
        <v>0</v>
      </c>
      <c r="AK159" s="51">
        <f t="shared" ref="AK159:AK167" si="50">IF(AN159=12,H159,0)</f>
        <v>0</v>
      </c>
      <c r="AL159" s="51">
        <f t="shared" ref="AL159:AL167" si="51">IF(AN159=21,H159,0)</f>
        <v>0</v>
      </c>
      <c r="AN159" s="51">
        <v>12</v>
      </c>
      <c r="AO159" s="51">
        <f t="shared" ref="AO159:AO167" si="52">G159*0</f>
        <v>0</v>
      </c>
      <c r="AP159" s="51">
        <f t="shared" ref="AP159:AP167" si="53">G159*(1-0)</f>
        <v>0</v>
      </c>
      <c r="AQ159" s="53" t="s">
        <v>149</v>
      </c>
      <c r="AV159" s="51">
        <f t="shared" ref="AV159:AV167" si="54">AW159+AX159</f>
        <v>0</v>
      </c>
      <c r="AW159" s="51">
        <f t="shared" ref="AW159:AW167" si="55">F159*AO159</f>
        <v>0</v>
      </c>
      <c r="AX159" s="51">
        <f t="shared" ref="AX159:AX167" si="56">F159*AP159</f>
        <v>0</v>
      </c>
      <c r="AY159" s="53" t="s">
        <v>440</v>
      </c>
      <c r="AZ159" s="53" t="s">
        <v>361</v>
      </c>
      <c r="BA159" s="35" t="s">
        <v>117</v>
      </c>
      <c r="BC159" s="51">
        <f t="shared" ref="BC159:BC167" si="57">AW159+AX159</f>
        <v>0</v>
      </c>
      <c r="BD159" s="51">
        <f t="shared" ref="BD159:BD167" si="58">G159/(100-BE159)*100</f>
        <v>0</v>
      </c>
      <c r="BE159" s="51">
        <v>0</v>
      </c>
      <c r="BF159" s="51">
        <f>159</f>
        <v>159</v>
      </c>
      <c r="BH159" s="51">
        <f t="shared" ref="BH159:BH167" si="59">F159*AO159</f>
        <v>0</v>
      </c>
      <c r="BI159" s="51">
        <f t="shared" ref="BI159:BI167" si="60">F159*AP159</f>
        <v>0</v>
      </c>
      <c r="BJ159" s="51">
        <f t="shared" ref="BJ159:BJ167" si="61">F159*G159</f>
        <v>0</v>
      </c>
      <c r="BK159" s="51"/>
      <c r="BL159" s="51">
        <v>725</v>
      </c>
      <c r="BW159" s="51">
        <v>12</v>
      </c>
      <c r="BX159" s="3" t="s">
        <v>438</v>
      </c>
    </row>
    <row r="160" spans="1:76">
      <c r="A160" s="1" t="s">
        <v>441</v>
      </c>
      <c r="B160" s="2" t="s">
        <v>442</v>
      </c>
      <c r="C160" s="75" t="s">
        <v>443</v>
      </c>
      <c r="D160" s="70"/>
      <c r="E160" s="2" t="s">
        <v>439</v>
      </c>
      <c r="F160" s="51">
        <v>1</v>
      </c>
      <c r="G160" s="52">
        <v>0</v>
      </c>
      <c r="H160" s="51">
        <f t="shared" si="40"/>
        <v>0</v>
      </c>
      <c r="J160" s="41"/>
      <c r="Z160" s="51">
        <f t="shared" si="41"/>
        <v>0</v>
      </c>
      <c r="AB160" s="51">
        <f t="shared" si="42"/>
        <v>0</v>
      </c>
      <c r="AC160" s="51">
        <f t="shared" si="43"/>
        <v>0</v>
      </c>
      <c r="AD160" s="51">
        <f t="shared" si="44"/>
        <v>0</v>
      </c>
      <c r="AE160" s="51">
        <f t="shared" si="45"/>
        <v>0</v>
      </c>
      <c r="AF160" s="51">
        <f t="shared" si="46"/>
        <v>0</v>
      </c>
      <c r="AG160" s="51">
        <f t="shared" si="47"/>
        <v>0</v>
      </c>
      <c r="AH160" s="51">
        <f t="shared" si="48"/>
        <v>0</v>
      </c>
      <c r="AI160" s="35" t="s">
        <v>4</v>
      </c>
      <c r="AJ160" s="51">
        <f t="shared" si="49"/>
        <v>0</v>
      </c>
      <c r="AK160" s="51">
        <f t="shared" si="50"/>
        <v>0</v>
      </c>
      <c r="AL160" s="51">
        <f t="shared" si="51"/>
        <v>0</v>
      </c>
      <c r="AN160" s="51">
        <v>12</v>
      </c>
      <c r="AO160" s="51">
        <f t="shared" si="52"/>
        <v>0</v>
      </c>
      <c r="AP160" s="51">
        <f t="shared" si="53"/>
        <v>0</v>
      </c>
      <c r="AQ160" s="53" t="s">
        <v>149</v>
      </c>
      <c r="AV160" s="51">
        <f t="shared" si="54"/>
        <v>0</v>
      </c>
      <c r="AW160" s="51">
        <f t="shared" si="55"/>
        <v>0</v>
      </c>
      <c r="AX160" s="51">
        <f t="shared" si="56"/>
        <v>0</v>
      </c>
      <c r="AY160" s="53" t="s">
        <v>440</v>
      </c>
      <c r="AZ160" s="53" t="s">
        <v>361</v>
      </c>
      <c r="BA160" s="35" t="s">
        <v>117</v>
      </c>
      <c r="BC160" s="51">
        <f t="shared" si="57"/>
        <v>0</v>
      </c>
      <c r="BD160" s="51">
        <f t="shared" si="58"/>
        <v>0</v>
      </c>
      <c r="BE160" s="51">
        <v>0</v>
      </c>
      <c r="BF160" s="51">
        <f>160</f>
        <v>160</v>
      </c>
      <c r="BH160" s="51">
        <f t="shared" si="59"/>
        <v>0</v>
      </c>
      <c r="BI160" s="51">
        <f t="shared" si="60"/>
        <v>0</v>
      </c>
      <c r="BJ160" s="51">
        <f t="shared" si="61"/>
        <v>0</v>
      </c>
      <c r="BK160" s="51"/>
      <c r="BL160" s="51">
        <v>725</v>
      </c>
      <c r="BW160" s="51">
        <v>12</v>
      </c>
      <c r="BX160" s="3" t="s">
        <v>443</v>
      </c>
    </row>
    <row r="161" spans="1:76">
      <c r="A161" s="1" t="s">
        <v>444</v>
      </c>
      <c r="B161" s="2" t="s">
        <v>445</v>
      </c>
      <c r="C161" s="75" t="s">
        <v>446</v>
      </c>
      <c r="D161" s="70"/>
      <c r="E161" s="2" t="s">
        <v>114</v>
      </c>
      <c r="F161" s="51">
        <v>1</v>
      </c>
      <c r="G161" s="52">
        <v>0</v>
      </c>
      <c r="H161" s="51">
        <f t="shared" si="40"/>
        <v>0</v>
      </c>
      <c r="J161" s="41"/>
      <c r="Z161" s="51">
        <f t="shared" si="41"/>
        <v>0</v>
      </c>
      <c r="AB161" s="51">
        <f t="shared" si="42"/>
        <v>0</v>
      </c>
      <c r="AC161" s="51">
        <f t="shared" si="43"/>
        <v>0</v>
      </c>
      <c r="AD161" s="51">
        <f t="shared" si="44"/>
        <v>0</v>
      </c>
      <c r="AE161" s="51">
        <f t="shared" si="45"/>
        <v>0</v>
      </c>
      <c r="AF161" s="51">
        <f t="shared" si="46"/>
        <v>0</v>
      </c>
      <c r="AG161" s="51">
        <f t="shared" si="47"/>
        <v>0</v>
      </c>
      <c r="AH161" s="51">
        <f t="shared" si="48"/>
        <v>0</v>
      </c>
      <c r="AI161" s="35" t="s">
        <v>4</v>
      </c>
      <c r="AJ161" s="51">
        <f t="shared" si="49"/>
        <v>0</v>
      </c>
      <c r="AK161" s="51">
        <f t="shared" si="50"/>
        <v>0</v>
      </c>
      <c r="AL161" s="51">
        <f t="shared" si="51"/>
        <v>0</v>
      </c>
      <c r="AN161" s="51">
        <v>12</v>
      </c>
      <c r="AO161" s="51">
        <f t="shared" si="52"/>
        <v>0</v>
      </c>
      <c r="AP161" s="51">
        <f t="shared" si="53"/>
        <v>0</v>
      </c>
      <c r="AQ161" s="53" t="s">
        <v>149</v>
      </c>
      <c r="AV161" s="51">
        <f t="shared" si="54"/>
        <v>0</v>
      </c>
      <c r="AW161" s="51">
        <f t="shared" si="55"/>
        <v>0</v>
      </c>
      <c r="AX161" s="51">
        <f t="shared" si="56"/>
        <v>0</v>
      </c>
      <c r="AY161" s="53" t="s">
        <v>440</v>
      </c>
      <c r="AZ161" s="53" t="s">
        <v>361</v>
      </c>
      <c r="BA161" s="35" t="s">
        <v>117</v>
      </c>
      <c r="BC161" s="51">
        <f t="shared" si="57"/>
        <v>0</v>
      </c>
      <c r="BD161" s="51">
        <f t="shared" si="58"/>
        <v>0</v>
      </c>
      <c r="BE161" s="51">
        <v>0</v>
      </c>
      <c r="BF161" s="51">
        <f>161</f>
        <v>161</v>
      </c>
      <c r="BH161" s="51">
        <f t="shared" si="59"/>
        <v>0</v>
      </c>
      <c r="BI161" s="51">
        <f t="shared" si="60"/>
        <v>0</v>
      </c>
      <c r="BJ161" s="51">
        <f t="shared" si="61"/>
        <v>0</v>
      </c>
      <c r="BK161" s="51"/>
      <c r="BL161" s="51">
        <v>725</v>
      </c>
      <c r="BW161" s="51">
        <v>12</v>
      </c>
      <c r="BX161" s="3" t="s">
        <v>446</v>
      </c>
    </row>
    <row r="162" spans="1:76">
      <c r="A162" s="1" t="s">
        <v>447</v>
      </c>
      <c r="B162" s="2" t="s">
        <v>448</v>
      </c>
      <c r="C162" s="75" t="s">
        <v>449</v>
      </c>
      <c r="D162" s="70"/>
      <c r="E162" s="2" t="s">
        <v>439</v>
      </c>
      <c r="F162" s="51">
        <v>2</v>
      </c>
      <c r="G162" s="52">
        <v>0</v>
      </c>
      <c r="H162" s="51">
        <f t="shared" si="40"/>
        <v>0</v>
      </c>
      <c r="J162" s="41"/>
      <c r="Z162" s="51">
        <f t="shared" si="41"/>
        <v>0</v>
      </c>
      <c r="AB162" s="51">
        <f t="shared" si="42"/>
        <v>0</v>
      </c>
      <c r="AC162" s="51">
        <f t="shared" si="43"/>
        <v>0</v>
      </c>
      <c r="AD162" s="51">
        <f t="shared" si="44"/>
        <v>0</v>
      </c>
      <c r="AE162" s="51">
        <f t="shared" si="45"/>
        <v>0</v>
      </c>
      <c r="AF162" s="51">
        <f t="shared" si="46"/>
        <v>0</v>
      </c>
      <c r="AG162" s="51">
        <f t="shared" si="47"/>
        <v>0</v>
      </c>
      <c r="AH162" s="51">
        <f t="shared" si="48"/>
        <v>0</v>
      </c>
      <c r="AI162" s="35" t="s">
        <v>4</v>
      </c>
      <c r="AJ162" s="51">
        <f t="shared" si="49"/>
        <v>0</v>
      </c>
      <c r="AK162" s="51">
        <f t="shared" si="50"/>
        <v>0</v>
      </c>
      <c r="AL162" s="51">
        <f t="shared" si="51"/>
        <v>0</v>
      </c>
      <c r="AN162" s="51">
        <v>12</v>
      </c>
      <c r="AO162" s="51">
        <f t="shared" si="52"/>
        <v>0</v>
      </c>
      <c r="AP162" s="51">
        <f t="shared" si="53"/>
        <v>0</v>
      </c>
      <c r="AQ162" s="53" t="s">
        <v>149</v>
      </c>
      <c r="AV162" s="51">
        <f t="shared" si="54"/>
        <v>0</v>
      </c>
      <c r="AW162" s="51">
        <f t="shared" si="55"/>
        <v>0</v>
      </c>
      <c r="AX162" s="51">
        <f t="shared" si="56"/>
        <v>0</v>
      </c>
      <c r="AY162" s="53" t="s">
        <v>440</v>
      </c>
      <c r="AZ162" s="53" t="s">
        <v>361</v>
      </c>
      <c r="BA162" s="35" t="s">
        <v>117</v>
      </c>
      <c r="BC162" s="51">
        <f t="shared" si="57"/>
        <v>0</v>
      </c>
      <c r="BD162" s="51">
        <f t="shared" si="58"/>
        <v>0</v>
      </c>
      <c r="BE162" s="51">
        <v>0</v>
      </c>
      <c r="BF162" s="51">
        <f>162</f>
        <v>162</v>
      </c>
      <c r="BH162" s="51">
        <f t="shared" si="59"/>
        <v>0</v>
      </c>
      <c r="BI162" s="51">
        <f t="shared" si="60"/>
        <v>0</v>
      </c>
      <c r="BJ162" s="51">
        <f t="shared" si="61"/>
        <v>0</v>
      </c>
      <c r="BK162" s="51"/>
      <c r="BL162" s="51">
        <v>725</v>
      </c>
      <c r="BW162" s="51">
        <v>12</v>
      </c>
      <c r="BX162" s="3" t="s">
        <v>449</v>
      </c>
    </row>
    <row r="163" spans="1:76">
      <c r="A163" s="1" t="s">
        <v>450</v>
      </c>
      <c r="B163" s="2" t="s">
        <v>451</v>
      </c>
      <c r="C163" s="75" t="s">
        <v>452</v>
      </c>
      <c r="D163" s="70"/>
      <c r="E163" s="2" t="s">
        <v>114</v>
      </c>
      <c r="F163" s="51">
        <v>3</v>
      </c>
      <c r="G163" s="52">
        <v>0</v>
      </c>
      <c r="H163" s="51">
        <f t="shared" si="40"/>
        <v>0</v>
      </c>
      <c r="J163" s="41"/>
      <c r="Z163" s="51">
        <f t="shared" si="41"/>
        <v>0</v>
      </c>
      <c r="AB163" s="51">
        <f t="shared" si="42"/>
        <v>0</v>
      </c>
      <c r="AC163" s="51">
        <f t="shared" si="43"/>
        <v>0</v>
      </c>
      <c r="AD163" s="51">
        <f t="shared" si="44"/>
        <v>0</v>
      </c>
      <c r="AE163" s="51">
        <f t="shared" si="45"/>
        <v>0</v>
      </c>
      <c r="AF163" s="51">
        <f t="shared" si="46"/>
        <v>0</v>
      </c>
      <c r="AG163" s="51">
        <f t="shared" si="47"/>
        <v>0</v>
      </c>
      <c r="AH163" s="51">
        <f t="shared" si="48"/>
        <v>0</v>
      </c>
      <c r="AI163" s="35" t="s">
        <v>4</v>
      </c>
      <c r="AJ163" s="51">
        <f t="shared" si="49"/>
        <v>0</v>
      </c>
      <c r="AK163" s="51">
        <f t="shared" si="50"/>
        <v>0</v>
      </c>
      <c r="AL163" s="51">
        <f t="shared" si="51"/>
        <v>0</v>
      </c>
      <c r="AN163" s="51">
        <v>12</v>
      </c>
      <c r="AO163" s="51">
        <f t="shared" si="52"/>
        <v>0</v>
      </c>
      <c r="AP163" s="51">
        <f t="shared" si="53"/>
        <v>0</v>
      </c>
      <c r="AQ163" s="53" t="s">
        <v>149</v>
      </c>
      <c r="AV163" s="51">
        <f t="shared" si="54"/>
        <v>0</v>
      </c>
      <c r="AW163" s="51">
        <f t="shared" si="55"/>
        <v>0</v>
      </c>
      <c r="AX163" s="51">
        <f t="shared" si="56"/>
        <v>0</v>
      </c>
      <c r="AY163" s="53" t="s">
        <v>440</v>
      </c>
      <c r="AZ163" s="53" t="s">
        <v>361</v>
      </c>
      <c r="BA163" s="35" t="s">
        <v>117</v>
      </c>
      <c r="BC163" s="51">
        <f t="shared" si="57"/>
        <v>0</v>
      </c>
      <c r="BD163" s="51">
        <f t="shared" si="58"/>
        <v>0</v>
      </c>
      <c r="BE163" s="51">
        <v>0</v>
      </c>
      <c r="BF163" s="51">
        <f>163</f>
        <v>163</v>
      </c>
      <c r="BH163" s="51">
        <f t="shared" si="59"/>
        <v>0</v>
      </c>
      <c r="BI163" s="51">
        <f t="shared" si="60"/>
        <v>0</v>
      </c>
      <c r="BJ163" s="51">
        <f t="shared" si="61"/>
        <v>0</v>
      </c>
      <c r="BK163" s="51"/>
      <c r="BL163" s="51">
        <v>725</v>
      </c>
      <c r="BW163" s="51">
        <v>12</v>
      </c>
      <c r="BX163" s="3" t="s">
        <v>452</v>
      </c>
    </row>
    <row r="164" spans="1:76">
      <c r="A164" s="1" t="s">
        <v>453</v>
      </c>
      <c r="B164" s="2" t="s">
        <v>454</v>
      </c>
      <c r="C164" s="75" t="s">
        <v>455</v>
      </c>
      <c r="D164" s="70"/>
      <c r="E164" s="2" t="s">
        <v>439</v>
      </c>
      <c r="F164" s="51">
        <v>1</v>
      </c>
      <c r="G164" s="52">
        <v>0</v>
      </c>
      <c r="H164" s="51">
        <f t="shared" si="40"/>
        <v>0</v>
      </c>
      <c r="J164" s="41"/>
      <c r="Z164" s="51">
        <f t="shared" si="41"/>
        <v>0</v>
      </c>
      <c r="AB164" s="51">
        <f t="shared" si="42"/>
        <v>0</v>
      </c>
      <c r="AC164" s="51">
        <f t="shared" si="43"/>
        <v>0</v>
      </c>
      <c r="AD164" s="51">
        <f t="shared" si="44"/>
        <v>0</v>
      </c>
      <c r="AE164" s="51">
        <f t="shared" si="45"/>
        <v>0</v>
      </c>
      <c r="AF164" s="51">
        <f t="shared" si="46"/>
        <v>0</v>
      </c>
      <c r="AG164" s="51">
        <f t="shared" si="47"/>
        <v>0</v>
      </c>
      <c r="AH164" s="51">
        <f t="shared" si="48"/>
        <v>0</v>
      </c>
      <c r="AI164" s="35" t="s">
        <v>4</v>
      </c>
      <c r="AJ164" s="51">
        <f t="shared" si="49"/>
        <v>0</v>
      </c>
      <c r="AK164" s="51">
        <f t="shared" si="50"/>
        <v>0</v>
      </c>
      <c r="AL164" s="51">
        <f t="shared" si="51"/>
        <v>0</v>
      </c>
      <c r="AN164" s="51">
        <v>12</v>
      </c>
      <c r="AO164" s="51">
        <f t="shared" si="52"/>
        <v>0</v>
      </c>
      <c r="AP164" s="51">
        <f t="shared" si="53"/>
        <v>0</v>
      </c>
      <c r="AQ164" s="53" t="s">
        <v>149</v>
      </c>
      <c r="AV164" s="51">
        <f t="shared" si="54"/>
        <v>0</v>
      </c>
      <c r="AW164" s="51">
        <f t="shared" si="55"/>
        <v>0</v>
      </c>
      <c r="AX164" s="51">
        <f t="shared" si="56"/>
        <v>0</v>
      </c>
      <c r="AY164" s="53" t="s">
        <v>440</v>
      </c>
      <c r="AZ164" s="53" t="s">
        <v>361</v>
      </c>
      <c r="BA164" s="35" t="s">
        <v>117</v>
      </c>
      <c r="BC164" s="51">
        <f t="shared" si="57"/>
        <v>0</v>
      </c>
      <c r="BD164" s="51">
        <f t="shared" si="58"/>
        <v>0</v>
      </c>
      <c r="BE164" s="51">
        <v>0</v>
      </c>
      <c r="BF164" s="51">
        <f>164</f>
        <v>164</v>
      </c>
      <c r="BH164" s="51">
        <f t="shared" si="59"/>
        <v>0</v>
      </c>
      <c r="BI164" s="51">
        <f t="shared" si="60"/>
        <v>0</v>
      </c>
      <c r="BJ164" s="51">
        <f t="shared" si="61"/>
        <v>0</v>
      </c>
      <c r="BK164" s="51"/>
      <c r="BL164" s="51">
        <v>725</v>
      </c>
      <c r="BW164" s="51">
        <v>12</v>
      </c>
      <c r="BX164" s="3" t="s">
        <v>455</v>
      </c>
    </row>
    <row r="165" spans="1:76">
      <c r="A165" s="1" t="s">
        <v>456</v>
      </c>
      <c r="B165" s="2" t="s">
        <v>457</v>
      </c>
      <c r="C165" s="75" t="s">
        <v>458</v>
      </c>
      <c r="D165" s="70"/>
      <c r="E165" s="2" t="s">
        <v>439</v>
      </c>
      <c r="F165" s="51">
        <v>3</v>
      </c>
      <c r="G165" s="52">
        <v>0</v>
      </c>
      <c r="H165" s="51">
        <f t="shared" si="40"/>
        <v>0</v>
      </c>
      <c r="J165" s="41"/>
      <c r="Z165" s="51">
        <f t="shared" si="41"/>
        <v>0</v>
      </c>
      <c r="AB165" s="51">
        <f t="shared" si="42"/>
        <v>0</v>
      </c>
      <c r="AC165" s="51">
        <f t="shared" si="43"/>
        <v>0</v>
      </c>
      <c r="AD165" s="51">
        <f t="shared" si="44"/>
        <v>0</v>
      </c>
      <c r="AE165" s="51">
        <f t="shared" si="45"/>
        <v>0</v>
      </c>
      <c r="AF165" s="51">
        <f t="shared" si="46"/>
        <v>0</v>
      </c>
      <c r="AG165" s="51">
        <f t="shared" si="47"/>
        <v>0</v>
      </c>
      <c r="AH165" s="51">
        <f t="shared" si="48"/>
        <v>0</v>
      </c>
      <c r="AI165" s="35" t="s">
        <v>4</v>
      </c>
      <c r="AJ165" s="51">
        <f t="shared" si="49"/>
        <v>0</v>
      </c>
      <c r="AK165" s="51">
        <f t="shared" si="50"/>
        <v>0</v>
      </c>
      <c r="AL165" s="51">
        <f t="shared" si="51"/>
        <v>0</v>
      </c>
      <c r="AN165" s="51">
        <v>12</v>
      </c>
      <c r="AO165" s="51">
        <f t="shared" si="52"/>
        <v>0</v>
      </c>
      <c r="AP165" s="51">
        <f t="shared" si="53"/>
        <v>0</v>
      </c>
      <c r="AQ165" s="53" t="s">
        <v>149</v>
      </c>
      <c r="AV165" s="51">
        <f t="shared" si="54"/>
        <v>0</v>
      </c>
      <c r="AW165" s="51">
        <f t="shared" si="55"/>
        <v>0</v>
      </c>
      <c r="AX165" s="51">
        <f t="shared" si="56"/>
        <v>0</v>
      </c>
      <c r="AY165" s="53" t="s">
        <v>440</v>
      </c>
      <c r="AZ165" s="53" t="s">
        <v>361</v>
      </c>
      <c r="BA165" s="35" t="s">
        <v>117</v>
      </c>
      <c r="BC165" s="51">
        <f t="shared" si="57"/>
        <v>0</v>
      </c>
      <c r="BD165" s="51">
        <f t="shared" si="58"/>
        <v>0</v>
      </c>
      <c r="BE165" s="51">
        <v>0</v>
      </c>
      <c r="BF165" s="51">
        <f>165</f>
        <v>165</v>
      </c>
      <c r="BH165" s="51">
        <f t="shared" si="59"/>
        <v>0</v>
      </c>
      <c r="BI165" s="51">
        <f t="shared" si="60"/>
        <v>0</v>
      </c>
      <c r="BJ165" s="51">
        <f t="shared" si="61"/>
        <v>0</v>
      </c>
      <c r="BK165" s="51"/>
      <c r="BL165" s="51">
        <v>725</v>
      </c>
      <c r="BW165" s="51">
        <v>12</v>
      </c>
      <c r="BX165" s="3" t="s">
        <v>458</v>
      </c>
    </row>
    <row r="166" spans="1:76">
      <c r="A166" s="1" t="s">
        <v>459</v>
      </c>
      <c r="B166" s="2" t="s">
        <v>451</v>
      </c>
      <c r="C166" s="75" t="s">
        <v>452</v>
      </c>
      <c r="D166" s="70"/>
      <c r="E166" s="2" t="s">
        <v>114</v>
      </c>
      <c r="F166" s="51">
        <v>3</v>
      </c>
      <c r="G166" s="52">
        <v>0</v>
      </c>
      <c r="H166" s="51">
        <f t="shared" si="40"/>
        <v>0</v>
      </c>
      <c r="J166" s="41"/>
      <c r="Z166" s="51">
        <f t="shared" si="41"/>
        <v>0</v>
      </c>
      <c r="AB166" s="51">
        <f t="shared" si="42"/>
        <v>0</v>
      </c>
      <c r="AC166" s="51">
        <f t="shared" si="43"/>
        <v>0</v>
      </c>
      <c r="AD166" s="51">
        <f t="shared" si="44"/>
        <v>0</v>
      </c>
      <c r="AE166" s="51">
        <f t="shared" si="45"/>
        <v>0</v>
      </c>
      <c r="AF166" s="51">
        <f t="shared" si="46"/>
        <v>0</v>
      </c>
      <c r="AG166" s="51">
        <f t="shared" si="47"/>
        <v>0</v>
      </c>
      <c r="AH166" s="51">
        <f t="shared" si="48"/>
        <v>0</v>
      </c>
      <c r="AI166" s="35" t="s">
        <v>4</v>
      </c>
      <c r="AJ166" s="51">
        <f t="shared" si="49"/>
        <v>0</v>
      </c>
      <c r="AK166" s="51">
        <f t="shared" si="50"/>
        <v>0</v>
      </c>
      <c r="AL166" s="51">
        <f t="shared" si="51"/>
        <v>0</v>
      </c>
      <c r="AN166" s="51">
        <v>12</v>
      </c>
      <c r="AO166" s="51">
        <f t="shared" si="52"/>
        <v>0</v>
      </c>
      <c r="AP166" s="51">
        <f t="shared" si="53"/>
        <v>0</v>
      </c>
      <c r="AQ166" s="53" t="s">
        <v>149</v>
      </c>
      <c r="AV166" s="51">
        <f t="shared" si="54"/>
        <v>0</v>
      </c>
      <c r="AW166" s="51">
        <f t="shared" si="55"/>
        <v>0</v>
      </c>
      <c r="AX166" s="51">
        <f t="shared" si="56"/>
        <v>0</v>
      </c>
      <c r="AY166" s="53" t="s">
        <v>440</v>
      </c>
      <c r="AZ166" s="53" t="s">
        <v>361</v>
      </c>
      <c r="BA166" s="35" t="s">
        <v>117</v>
      </c>
      <c r="BC166" s="51">
        <f t="shared" si="57"/>
        <v>0</v>
      </c>
      <c r="BD166" s="51">
        <f t="shared" si="58"/>
        <v>0</v>
      </c>
      <c r="BE166" s="51">
        <v>0</v>
      </c>
      <c r="BF166" s="51">
        <f>166</f>
        <v>166</v>
      </c>
      <c r="BH166" s="51">
        <f t="shared" si="59"/>
        <v>0</v>
      </c>
      <c r="BI166" s="51">
        <f t="shared" si="60"/>
        <v>0</v>
      </c>
      <c r="BJ166" s="51">
        <f t="shared" si="61"/>
        <v>0</v>
      </c>
      <c r="BK166" s="51"/>
      <c r="BL166" s="51">
        <v>725</v>
      </c>
      <c r="BW166" s="51">
        <v>12</v>
      </c>
      <c r="BX166" s="3" t="s">
        <v>452</v>
      </c>
    </row>
    <row r="167" spans="1:76">
      <c r="A167" s="1" t="s">
        <v>460</v>
      </c>
      <c r="B167" s="2" t="s">
        <v>461</v>
      </c>
      <c r="C167" s="75" t="s">
        <v>462</v>
      </c>
      <c r="D167" s="70"/>
      <c r="E167" s="2" t="s">
        <v>114</v>
      </c>
      <c r="F167" s="51">
        <v>1</v>
      </c>
      <c r="G167" s="52">
        <v>0</v>
      </c>
      <c r="H167" s="51">
        <f t="shared" si="40"/>
        <v>0</v>
      </c>
      <c r="J167" s="41"/>
      <c r="Z167" s="51">
        <f t="shared" si="41"/>
        <v>0</v>
      </c>
      <c r="AB167" s="51">
        <f t="shared" si="42"/>
        <v>0</v>
      </c>
      <c r="AC167" s="51">
        <f t="shared" si="43"/>
        <v>0</v>
      </c>
      <c r="AD167" s="51">
        <f t="shared" si="44"/>
        <v>0</v>
      </c>
      <c r="AE167" s="51">
        <f t="shared" si="45"/>
        <v>0</v>
      </c>
      <c r="AF167" s="51">
        <f t="shared" si="46"/>
        <v>0</v>
      </c>
      <c r="AG167" s="51">
        <f t="shared" si="47"/>
        <v>0</v>
      </c>
      <c r="AH167" s="51">
        <f t="shared" si="48"/>
        <v>0</v>
      </c>
      <c r="AI167" s="35" t="s">
        <v>4</v>
      </c>
      <c r="AJ167" s="51">
        <f t="shared" si="49"/>
        <v>0</v>
      </c>
      <c r="AK167" s="51">
        <f t="shared" si="50"/>
        <v>0</v>
      </c>
      <c r="AL167" s="51">
        <f t="shared" si="51"/>
        <v>0</v>
      </c>
      <c r="AN167" s="51">
        <v>12</v>
      </c>
      <c r="AO167" s="51">
        <f t="shared" si="52"/>
        <v>0</v>
      </c>
      <c r="AP167" s="51">
        <f t="shared" si="53"/>
        <v>0</v>
      </c>
      <c r="AQ167" s="53" t="s">
        <v>149</v>
      </c>
      <c r="AV167" s="51">
        <f t="shared" si="54"/>
        <v>0</v>
      </c>
      <c r="AW167" s="51">
        <f t="shared" si="55"/>
        <v>0</v>
      </c>
      <c r="AX167" s="51">
        <f t="shared" si="56"/>
        <v>0</v>
      </c>
      <c r="AY167" s="53" t="s">
        <v>440</v>
      </c>
      <c r="AZ167" s="53" t="s">
        <v>361</v>
      </c>
      <c r="BA167" s="35" t="s">
        <v>117</v>
      </c>
      <c r="BC167" s="51">
        <f t="shared" si="57"/>
        <v>0</v>
      </c>
      <c r="BD167" s="51">
        <f t="shared" si="58"/>
        <v>0</v>
      </c>
      <c r="BE167" s="51">
        <v>0</v>
      </c>
      <c r="BF167" s="51">
        <f>167</f>
        <v>167</v>
      </c>
      <c r="BH167" s="51">
        <f t="shared" si="59"/>
        <v>0</v>
      </c>
      <c r="BI167" s="51">
        <f t="shared" si="60"/>
        <v>0</v>
      </c>
      <c r="BJ167" s="51">
        <f t="shared" si="61"/>
        <v>0</v>
      </c>
      <c r="BK167" s="51"/>
      <c r="BL167" s="51">
        <v>725</v>
      </c>
      <c r="BW167" s="51">
        <v>12</v>
      </c>
      <c r="BX167" s="3" t="s">
        <v>462</v>
      </c>
    </row>
    <row r="168" spans="1:76">
      <c r="A168" s="54"/>
      <c r="C168" s="56" t="s">
        <v>111</v>
      </c>
      <c r="D168" s="57" t="s">
        <v>463</v>
      </c>
      <c r="F168" s="58">
        <v>1</v>
      </c>
      <c r="J168" s="41"/>
    </row>
    <row r="169" spans="1:76">
      <c r="A169" s="1" t="s">
        <v>464</v>
      </c>
      <c r="B169" s="2" t="s">
        <v>465</v>
      </c>
      <c r="C169" s="75" t="s">
        <v>466</v>
      </c>
      <c r="D169" s="70"/>
      <c r="E169" s="2" t="s">
        <v>439</v>
      </c>
      <c r="F169" s="51">
        <v>1</v>
      </c>
      <c r="G169" s="52">
        <v>0</v>
      </c>
      <c r="H169" s="51">
        <f t="shared" ref="H169:H187" si="62">F169*G169</f>
        <v>0</v>
      </c>
      <c r="J169" s="41"/>
      <c r="Z169" s="51">
        <f t="shared" ref="Z169:Z187" si="63">IF(AQ169="5",BJ169,0)</f>
        <v>0</v>
      </c>
      <c r="AB169" s="51">
        <f t="shared" ref="AB169:AB187" si="64">IF(AQ169="1",BH169,0)</f>
        <v>0</v>
      </c>
      <c r="AC169" s="51">
        <f t="shared" ref="AC169:AC187" si="65">IF(AQ169="1",BI169,0)</f>
        <v>0</v>
      </c>
      <c r="AD169" s="51">
        <f t="shared" ref="AD169:AD187" si="66">IF(AQ169="7",BH169,0)</f>
        <v>0</v>
      </c>
      <c r="AE169" s="51">
        <f t="shared" ref="AE169:AE187" si="67">IF(AQ169="7",BI169,0)</f>
        <v>0</v>
      </c>
      <c r="AF169" s="51">
        <f t="shared" ref="AF169:AF187" si="68">IF(AQ169="2",BH169,0)</f>
        <v>0</v>
      </c>
      <c r="AG169" s="51">
        <f t="shared" ref="AG169:AG187" si="69">IF(AQ169="2",BI169,0)</f>
        <v>0</v>
      </c>
      <c r="AH169" s="51">
        <f t="shared" ref="AH169:AH187" si="70">IF(AQ169="0",BJ169,0)</f>
        <v>0</v>
      </c>
      <c r="AI169" s="35" t="s">
        <v>4</v>
      </c>
      <c r="AJ169" s="51">
        <f t="shared" ref="AJ169:AJ187" si="71">IF(AN169=0,H169,0)</f>
        <v>0</v>
      </c>
      <c r="AK169" s="51">
        <f t="shared" ref="AK169:AK187" si="72">IF(AN169=12,H169,0)</f>
        <v>0</v>
      </c>
      <c r="AL169" s="51">
        <f t="shared" ref="AL169:AL187" si="73">IF(AN169=21,H169,0)</f>
        <v>0</v>
      </c>
      <c r="AN169" s="51">
        <v>12</v>
      </c>
      <c r="AO169" s="51">
        <f>G169*0.154873047</f>
        <v>0</v>
      </c>
      <c r="AP169" s="51">
        <f>G169*(1-0.154873047)</f>
        <v>0</v>
      </c>
      <c r="AQ169" s="53" t="s">
        <v>149</v>
      </c>
      <c r="AV169" s="51">
        <f t="shared" ref="AV169:AV187" si="74">AW169+AX169</f>
        <v>0</v>
      </c>
      <c r="AW169" s="51">
        <f t="shared" ref="AW169:AW187" si="75">F169*AO169</f>
        <v>0</v>
      </c>
      <c r="AX169" s="51">
        <f t="shared" ref="AX169:AX187" si="76">F169*AP169</f>
        <v>0</v>
      </c>
      <c r="AY169" s="53" t="s">
        <v>440</v>
      </c>
      <c r="AZ169" s="53" t="s">
        <v>361</v>
      </c>
      <c r="BA169" s="35" t="s">
        <v>117</v>
      </c>
      <c r="BC169" s="51">
        <f t="shared" ref="BC169:BC187" si="77">AW169+AX169</f>
        <v>0</v>
      </c>
      <c r="BD169" s="51">
        <f t="shared" ref="BD169:BD187" si="78">G169/(100-BE169)*100</f>
        <v>0</v>
      </c>
      <c r="BE169" s="51">
        <v>0</v>
      </c>
      <c r="BF169" s="51">
        <f>169</f>
        <v>169</v>
      </c>
      <c r="BH169" s="51">
        <f t="shared" ref="BH169:BH187" si="79">F169*AO169</f>
        <v>0</v>
      </c>
      <c r="BI169" s="51">
        <f t="shared" ref="BI169:BI187" si="80">F169*AP169</f>
        <v>0</v>
      </c>
      <c r="BJ169" s="51">
        <f t="shared" ref="BJ169:BJ187" si="81">F169*G169</f>
        <v>0</v>
      </c>
      <c r="BK169" s="51"/>
      <c r="BL169" s="51">
        <v>725</v>
      </c>
      <c r="BW169" s="51">
        <v>12</v>
      </c>
      <c r="BX169" s="3" t="s">
        <v>466</v>
      </c>
    </row>
    <row r="170" spans="1:76">
      <c r="A170" s="1" t="s">
        <v>467</v>
      </c>
      <c r="B170" s="2" t="s">
        <v>468</v>
      </c>
      <c r="C170" s="75" t="s">
        <v>469</v>
      </c>
      <c r="D170" s="70"/>
      <c r="E170" s="2" t="s">
        <v>439</v>
      </c>
      <c r="F170" s="51">
        <v>1</v>
      </c>
      <c r="G170" s="52">
        <v>0</v>
      </c>
      <c r="H170" s="51">
        <f t="shared" si="62"/>
        <v>0</v>
      </c>
      <c r="J170" s="41"/>
      <c r="Z170" s="51">
        <f t="shared" si="63"/>
        <v>0</v>
      </c>
      <c r="AB170" s="51">
        <f t="shared" si="64"/>
        <v>0</v>
      </c>
      <c r="AC170" s="51">
        <f t="shared" si="65"/>
        <v>0</v>
      </c>
      <c r="AD170" s="51">
        <f t="shared" si="66"/>
        <v>0</v>
      </c>
      <c r="AE170" s="51">
        <f t="shared" si="67"/>
        <v>0</v>
      </c>
      <c r="AF170" s="51">
        <f t="shared" si="68"/>
        <v>0</v>
      </c>
      <c r="AG170" s="51">
        <f t="shared" si="69"/>
        <v>0</v>
      </c>
      <c r="AH170" s="51">
        <f t="shared" si="70"/>
        <v>0</v>
      </c>
      <c r="AI170" s="35" t="s">
        <v>4</v>
      </c>
      <c r="AJ170" s="51">
        <f t="shared" si="71"/>
        <v>0</v>
      </c>
      <c r="AK170" s="51">
        <f t="shared" si="72"/>
        <v>0</v>
      </c>
      <c r="AL170" s="51">
        <f t="shared" si="73"/>
        <v>0</v>
      </c>
      <c r="AN170" s="51">
        <v>12</v>
      </c>
      <c r="AO170" s="51">
        <f>G170*0.689555556</f>
        <v>0</v>
      </c>
      <c r="AP170" s="51">
        <f>G170*(1-0.689555556)</f>
        <v>0</v>
      </c>
      <c r="AQ170" s="53" t="s">
        <v>149</v>
      </c>
      <c r="AV170" s="51">
        <f t="shared" si="74"/>
        <v>0</v>
      </c>
      <c r="AW170" s="51">
        <f t="shared" si="75"/>
        <v>0</v>
      </c>
      <c r="AX170" s="51">
        <f t="shared" si="76"/>
        <v>0</v>
      </c>
      <c r="AY170" s="53" t="s">
        <v>440</v>
      </c>
      <c r="AZ170" s="53" t="s">
        <v>361</v>
      </c>
      <c r="BA170" s="35" t="s">
        <v>117</v>
      </c>
      <c r="BC170" s="51">
        <f t="shared" si="77"/>
        <v>0</v>
      </c>
      <c r="BD170" s="51">
        <f t="shared" si="78"/>
        <v>0</v>
      </c>
      <c r="BE170" s="51">
        <v>0</v>
      </c>
      <c r="BF170" s="51">
        <f>170</f>
        <v>170</v>
      </c>
      <c r="BH170" s="51">
        <f t="shared" si="79"/>
        <v>0</v>
      </c>
      <c r="BI170" s="51">
        <f t="shared" si="80"/>
        <v>0</v>
      </c>
      <c r="BJ170" s="51">
        <f t="shared" si="81"/>
        <v>0</v>
      </c>
      <c r="BK170" s="51"/>
      <c r="BL170" s="51">
        <v>725</v>
      </c>
      <c r="BW170" s="51">
        <v>12</v>
      </c>
      <c r="BX170" s="3" t="s">
        <v>469</v>
      </c>
    </row>
    <row r="171" spans="1:76">
      <c r="A171" s="1" t="s">
        <v>470</v>
      </c>
      <c r="B171" s="2" t="s">
        <v>471</v>
      </c>
      <c r="C171" s="75" t="s">
        <v>472</v>
      </c>
      <c r="D171" s="70"/>
      <c r="E171" s="2" t="s">
        <v>114</v>
      </c>
      <c r="F171" s="51">
        <v>2</v>
      </c>
      <c r="G171" s="52">
        <v>0</v>
      </c>
      <c r="H171" s="51">
        <f t="shared" si="62"/>
        <v>0</v>
      </c>
      <c r="J171" s="41"/>
      <c r="Z171" s="51">
        <f t="shared" si="63"/>
        <v>0</v>
      </c>
      <c r="AB171" s="51">
        <f t="shared" si="64"/>
        <v>0</v>
      </c>
      <c r="AC171" s="51">
        <f t="shared" si="65"/>
        <v>0</v>
      </c>
      <c r="AD171" s="51">
        <f t="shared" si="66"/>
        <v>0</v>
      </c>
      <c r="AE171" s="51">
        <f t="shared" si="67"/>
        <v>0</v>
      </c>
      <c r="AF171" s="51">
        <f t="shared" si="68"/>
        <v>0</v>
      </c>
      <c r="AG171" s="51">
        <f t="shared" si="69"/>
        <v>0</v>
      </c>
      <c r="AH171" s="51">
        <f t="shared" si="70"/>
        <v>0</v>
      </c>
      <c r="AI171" s="35" t="s">
        <v>4</v>
      </c>
      <c r="AJ171" s="51">
        <f t="shared" si="71"/>
        <v>0</v>
      </c>
      <c r="AK171" s="51">
        <f t="shared" si="72"/>
        <v>0</v>
      </c>
      <c r="AL171" s="51">
        <f t="shared" si="73"/>
        <v>0</v>
      </c>
      <c r="AN171" s="51">
        <v>12</v>
      </c>
      <c r="AO171" s="51">
        <f>G171*0.672366589</f>
        <v>0</v>
      </c>
      <c r="AP171" s="51">
        <f>G171*(1-0.672366589)</f>
        <v>0</v>
      </c>
      <c r="AQ171" s="53" t="s">
        <v>149</v>
      </c>
      <c r="AV171" s="51">
        <f t="shared" si="74"/>
        <v>0</v>
      </c>
      <c r="AW171" s="51">
        <f t="shared" si="75"/>
        <v>0</v>
      </c>
      <c r="AX171" s="51">
        <f t="shared" si="76"/>
        <v>0</v>
      </c>
      <c r="AY171" s="53" t="s">
        <v>440</v>
      </c>
      <c r="AZ171" s="53" t="s">
        <v>361</v>
      </c>
      <c r="BA171" s="35" t="s">
        <v>117</v>
      </c>
      <c r="BC171" s="51">
        <f t="shared" si="77"/>
        <v>0</v>
      </c>
      <c r="BD171" s="51">
        <f t="shared" si="78"/>
        <v>0</v>
      </c>
      <c r="BE171" s="51">
        <v>0</v>
      </c>
      <c r="BF171" s="51">
        <f>171</f>
        <v>171</v>
      </c>
      <c r="BH171" s="51">
        <f t="shared" si="79"/>
        <v>0</v>
      </c>
      <c r="BI171" s="51">
        <f t="shared" si="80"/>
        <v>0</v>
      </c>
      <c r="BJ171" s="51">
        <f t="shared" si="81"/>
        <v>0</v>
      </c>
      <c r="BK171" s="51"/>
      <c r="BL171" s="51">
        <v>725</v>
      </c>
      <c r="BW171" s="51">
        <v>12</v>
      </c>
      <c r="BX171" s="3" t="s">
        <v>472</v>
      </c>
    </row>
    <row r="172" spans="1:76">
      <c r="A172" s="1" t="s">
        <v>473</v>
      </c>
      <c r="B172" s="2" t="s">
        <v>474</v>
      </c>
      <c r="C172" s="75" t="s">
        <v>475</v>
      </c>
      <c r="D172" s="70"/>
      <c r="E172" s="2" t="s">
        <v>114</v>
      </c>
      <c r="F172" s="51">
        <v>2</v>
      </c>
      <c r="G172" s="52">
        <v>0</v>
      </c>
      <c r="H172" s="51">
        <f t="shared" si="62"/>
        <v>0</v>
      </c>
      <c r="J172" s="41"/>
      <c r="Z172" s="51">
        <f t="shared" si="63"/>
        <v>0</v>
      </c>
      <c r="AB172" s="51">
        <f t="shared" si="64"/>
        <v>0</v>
      </c>
      <c r="AC172" s="51">
        <f t="shared" si="65"/>
        <v>0</v>
      </c>
      <c r="AD172" s="51">
        <f t="shared" si="66"/>
        <v>0</v>
      </c>
      <c r="AE172" s="51">
        <f t="shared" si="67"/>
        <v>0</v>
      </c>
      <c r="AF172" s="51">
        <f t="shared" si="68"/>
        <v>0</v>
      </c>
      <c r="AG172" s="51">
        <f t="shared" si="69"/>
        <v>0</v>
      </c>
      <c r="AH172" s="51">
        <f t="shared" si="70"/>
        <v>0</v>
      </c>
      <c r="AI172" s="35" t="s">
        <v>4</v>
      </c>
      <c r="AJ172" s="51">
        <f t="shared" si="71"/>
        <v>0</v>
      </c>
      <c r="AK172" s="51">
        <f t="shared" si="72"/>
        <v>0</v>
      </c>
      <c r="AL172" s="51">
        <f t="shared" si="73"/>
        <v>0</v>
      </c>
      <c r="AN172" s="51">
        <v>12</v>
      </c>
      <c r="AO172" s="51">
        <f>G172*0.530083195</f>
        <v>0</v>
      </c>
      <c r="AP172" s="51">
        <f>G172*(1-0.530083195)</f>
        <v>0</v>
      </c>
      <c r="AQ172" s="53" t="s">
        <v>149</v>
      </c>
      <c r="AV172" s="51">
        <f t="shared" si="74"/>
        <v>0</v>
      </c>
      <c r="AW172" s="51">
        <f t="shared" si="75"/>
        <v>0</v>
      </c>
      <c r="AX172" s="51">
        <f t="shared" si="76"/>
        <v>0</v>
      </c>
      <c r="AY172" s="53" t="s">
        <v>440</v>
      </c>
      <c r="AZ172" s="53" t="s">
        <v>361</v>
      </c>
      <c r="BA172" s="35" t="s">
        <v>117</v>
      </c>
      <c r="BC172" s="51">
        <f t="shared" si="77"/>
        <v>0</v>
      </c>
      <c r="BD172" s="51">
        <f t="shared" si="78"/>
        <v>0</v>
      </c>
      <c r="BE172" s="51">
        <v>0</v>
      </c>
      <c r="BF172" s="51">
        <f>172</f>
        <v>172</v>
      </c>
      <c r="BH172" s="51">
        <f t="shared" si="79"/>
        <v>0</v>
      </c>
      <c r="BI172" s="51">
        <f t="shared" si="80"/>
        <v>0</v>
      </c>
      <c r="BJ172" s="51">
        <f t="shared" si="81"/>
        <v>0</v>
      </c>
      <c r="BK172" s="51"/>
      <c r="BL172" s="51">
        <v>725</v>
      </c>
      <c r="BW172" s="51">
        <v>12</v>
      </c>
      <c r="BX172" s="3" t="s">
        <v>475</v>
      </c>
    </row>
    <row r="173" spans="1:76">
      <c r="A173" s="1" t="s">
        <v>476</v>
      </c>
      <c r="B173" s="2" t="s">
        <v>477</v>
      </c>
      <c r="C173" s="75" t="s">
        <v>478</v>
      </c>
      <c r="D173" s="70"/>
      <c r="E173" s="2" t="s">
        <v>114</v>
      </c>
      <c r="F173" s="51">
        <v>2</v>
      </c>
      <c r="G173" s="52">
        <v>0</v>
      </c>
      <c r="H173" s="51">
        <f t="shared" si="62"/>
        <v>0</v>
      </c>
      <c r="J173" s="41"/>
      <c r="Z173" s="51">
        <f t="shared" si="63"/>
        <v>0</v>
      </c>
      <c r="AB173" s="51">
        <f t="shared" si="64"/>
        <v>0</v>
      </c>
      <c r="AC173" s="51">
        <f t="shared" si="65"/>
        <v>0</v>
      </c>
      <c r="AD173" s="51">
        <f t="shared" si="66"/>
        <v>0</v>
      </c>
      <c r="AE173" s="51">
        <f t="shared" si="67"/>
        <v>0</v>
      </c>
      <c r="AF173" s="51">
        <f t="shared" si="68"/>
        <v>0</v>
      </c>
      <c r="AG173" s="51">
        <f t="shared" si="69"/>
        <v>0</v>
      </c>
      <c r="AH173" s="51">
        <f t="shared" si="70"/>
        <v>0</v>
      </c>
      <c r="AI173" s="35" t="s">
        <v>4</v>
      </c>
      <c r="AJ173" s="51">
        <f t="shared" si="71"/>
        <v>0</v>
      </c>
      <c r="AK173" s="51">
        <f t="shared" si="72"/>
        <v>0</v>
      </c>
      <c r="AL173" s="51">
        <f t="shared" si="73"/>
        <v>0</v>
      </c>
      <c r="AN173" s="51">
        <v>12</v>
      </c>
      <c r="AO173" s="51">
        <f>G173*0.033347196</f>
        <v>0</v>
      </c>
      <c r="AP173" s="51">
        <f>G173*(1-0.033347196)</f>
        <v>0</v>
      </c>
      <c r="AQ173" s="53" t="s">
        <v>149</v>
      </c>
      <c r="AV173" s="51">
        <f t="shared" si="74"/>
        <v>0</v>
      </c>
      <c r="AW173" s="51">
        <f t="shared" si="75"/>
        <v>0</v>
      </c>
      <c r="AX173" s="51">
        <f t="shared" si="76"/>
        <v>0</v>
      </c>
      <c r="AY173" s="53" t="s">
        <v>440</v>
      </c>
      <c r="AZ173" s="53" t="s">
        <v>361</v>
      </c>
      <c r="BA173" s="35" t="s">
        <v>117</v>
      </c>
      <c r="BC173" s="51">
        <f t="shared" si="77"/>
        <v>0</v>
      </c>
      <c r="BD173" s="51">
        <f t="shared" si="78"/>
        <v>0</v>
      </c>
      <c r="BE173" s="51">
        <v>0</v>
      </c>
      <c r="BF173" s="51">
        <f>173</f>
        <v>173</v>
      </c>
      <c r="BH173" s="51">
        <f t="shared" si="79"/>
        <v>0</v>
      </c>
      <c r="BI173" s="51">
        <f t="shared" si="80"/>
        <v>0</v>
      </c>
      <c r="BJ173" s="51">
        <f t="shared" si="81"/>
        <v>0</v>
      </c>
      <c r="BK173" s="51"/>
      <c r="BL173" s="51">
        <v>725</v>
      </c>
      <c r="BW173" s="51">
        <v>12</v>
      </c>
      <c r="BX173" s="3" t="s">
        <v>478</v>
      </c>
    </row>
    <row r="174" spans="1:76">
      <c r="A174" s="1" t="s">
        <v>479</v>
      </c>
      <c r="B174" s="2" t="s">
        <v>480</v>
      </c>
      <c r="C174" s="75" t="s">
        <v>481</v>
      </c>
      <c r="D174" s="70"/>
      <c r="E174" s="2" t="s">
        <v>114</v>
      </c>
      <c r="F174" s="51">
        <v>1</v>
      </c>
      <c r="G174" s="52">
        <v>0</v>
      </c>
      <c r="H174" s="51">
        <f t="shared" si="62"/>
        <v>0</v>
      </c>
      <c r="J174" s="41"/>
      <c r="Z174" s="51">
        <f t="shared" si="63"/>
        <v>0</v>
      </c>
      <c r="AB174" s="51">
        <f t="shared" si="64"/>
        <v>0</v>
      </c>
      <c r="AC174" s="51">
        <f t="shared" si="65"/>
        <v>0</v>
      </c>
      <c r="AD174" s="51">
        <f t="shared" si="66"/>
        <v>0</v>
      </c>
      <c r="AE174" s="51">
        <f t="shared" si="67"/>
        <v>0</v>
      </c>
      <c r="AF174" s="51">
        <f t="shared" si="68"/>
        <v>0</v>
      </c>
      <c r="AG174" s="51">
        <f t="shared" si="69"/>
        <v>0</v>
      </c>
      <c r="AH174" s="51">
        <f t="shared" si="70"/>
        <v>0</v>
      </c>
      <c r="AI174" s="35" t="s">
        <v>4</v>
      </c>
      <c r="AJ174" s="51">
        <f t="shared" si="71"/>
        <v>0</v>
      </c>
      <c r="AK174" s="51">
        <f t="shared" si="72"/>
        <v>0</v>
      </c>
      <c r="AL174" s="51">
        <f t="shared" si="73"/>
        <v>0</v>
      </c>
      <c r="AN174" s="51">
        <v>12</v>
      </c>
      <c r="AO174" s="51">
        <f>G174*0.216601901</f>
        <v>0</v>
      </c>
      <c r="AP174" s="51">
        <f>G174*(1-0.216601901)</f>
        <v>0</v>
      </c>
      <c r="AQ174" s="53" t="s">
        <v>149</v>
      </c>
      <c r="AV174" s="51">
        <f t="shared" si="74"/>
        <v>0</v>
      </c>
      <c r="AW174" s="51">
        <f t="shared" si="75"/>
        <v>0</v>
      </c>
      <c r="AX174" s="51">
        <f t="shared" si="76"/>
        <v>0</v>
      </c>
      <c r="AY174" s="53" t="s">
        <v>440</v>
      </c>
      <c r="AZ174" s="53" t="s">
        <v>361</v>
      </c>
      <c r="BA174" s="35" t="s">
        <v>117</v>
      </c>
      <c r="BC174" s="51">
        <f t="shared" si="77"/>
        <v>0</v>
      </c>
      <c r="BD174" s="51">
        <f t="shared" si="78"/>
        <v>0</v>
      </c>
      <c r="BE174" s="51">
        <v>0</v>
      </c>
      <c r="BF174" s="51">
        <f>174</f>
        <v>174</v>
      </c>
      <c r="BH174" s="51">
        <f t="shared" si="79"/>
        <v>0</v>
      </c>
      <c r="BI174" s="51">
        <f t="shared" si="80"/>
        <v>0</v>
      </c>
      <c r="BJ174" s="51">
        <f t="shared" si="81"/>
        <v>0</v>
      </c>
      <c r="BK174" s="51"/>
      <c r="BL174" s="51">
        <v>725</v>
      </c>
      <c r="BW174" s="51">
        <v>12</v>
      </c>
      <c r="BX174" s="3" t="s">
        <v>481</v>
      </c>
    </row>
    <row r="175" spans="1:76">
      <c r="A175" s="1" t="s">
        <v>482</v>
      </c>
      <c r="B175" s="2" t="s">
        <v>483</v>
      </c>
      <c r="C175" s="75" t="s">
        <v>484</v>
      </c>
      <c r="D175" s="70"/>
      <c r="E175" s="2" t="s">
        <v>114</v>
      </c>
      <c r="F175" s="51">
        <v>1</v>
      </c>
      <c r="G175" s="52">
        <v>0</v>
      </c>
      <c r="H175" s="51">
        <f t="shared" si="62"/>
        <v>0</v>
      </c>
      <c r="J175" s="41"/>
      <c r="Z175" s="51">
        <f t="shared" si="63"/>
        <v>0</v>
      </c>
      <c r="AB175" s="51">
        <f t="shared" si="64"/>
        <v>0</v>
      </c>
      <c r="AC175" s="51">
        <f t="shared" si="65"/>
        <v>0</v>
      </c>
      <c r="AD175" s="51">
        <f t="shared" si="66"/>
        <v>0</v>
      </c>
      <c r="AE175" s="51">
        <f t="shared" si="67"/>
        <v>0</v>
      </c>
      <c r="AF175" s="51">
        <f t="shared" si="68"/>
        <v>0</v>
      </c>
      <c r="AG175" s="51">
        <f t="shared" si="69"/>
        <v>0</v>
      </c>
      <c r="AH175" s="51">
        <f t="shared" si="70"/>
        <v>0</v>
      </c>
      <c r="AI175" s="35" t="s">
        <v>4</v>
      </c>
      <c r="AJ175" s="51">
        <f t="shared" si="71"/>
        <v>0</v>
      </c>
      <c r="AK175" s="51">
        <f t="shared" si="72"/>
        <v>0</v>
      </c>
      <c r="AL175" s="51">
        <f t="shared" si="73"/>
        <v>0</v>
      </c>
      <c r="AN175" s="51">
        <v>12</v>
      </c>
      <c r="AO175" s="51">
        <f>G175*0.915036101</f>
        <v>0</v>
      </c>
      <c r="AP175" s="51">
        <f>G175*(1-0.915036101)</f>
        <v>0</v>
      </c>
      <c r="AQ175" s="53" t="s">
        <v>149</v>
      </c>
      <c r="AV175" s="51">
        <f t="shared" si="74"/>
        <v>0</v>
      </c>
      <c r="AW175" s="51">
        <f t="shared" si="75"/>
        <v>0</v>
      </c>
      <c r="AX175" s="51">
        <f t="shared" si="76"/>
        <v>0</v>
      </c>
      <c r="AY175" s="53" t="s">
        <v>440</v>
      </c>
      <c r="AZ175" s="53" t="s">
        <v>361</v>
      </c>
      <c r="BA175" s="35" t="s">
        <v>117</v>
      </c>
      <c r="BC175" s="51">
        <f t="shared" si="77"/>
        <v>0</v>
      </c>
      <c r="BD175" s="51">
        <f t="shared" si="78"/>
        <v>0</v>
      </c>
      <c r="BE175" s="51">
        <v>0</v>
      </c>
      <c r="BF175" s="51">
        <f>175</f>
        <v>175</v>
      </c>
      <c r="BH175" s="51">
        <f t="shared" si="79"/>
        <v>0</v>
      </c>
      <c r="BI175" s="51">
        <f t="shared" si="80"/>
        <v>0</v>
      </c>
      <c r="BJ175" s="51">
        <f t="shared" si="81"/>
        <v>0</v>
      </c>
      <c r="BK175" s="51"/>
      <c r="BL175" s="51">
        <v>725</v>
      </c>
      <c r="BW175" s="51">
        <v>12</v>
      </c>
      <c r="BX175" s="3" t="s">
        <v>484</v>
      </c>
    </row>
    <row r="176" spans="1:76">
      <c r="A176" s="1" t="s">
        <v>485</v>
      </c>
      <c r="B176" s="2" t="s">
        <v>486</v>
      </c>
      <c r="C176" s="75" t="s">
        <v>487</v>
      </c>
      <c r="D176" s="70"/>
      <c r="E176" s="2" t="s">
        <v>114</v>
      </c>
      <c r="F176" s="51">
        <v>1</v>
      </c>
      <c r="G176" s="52">
        <v>0</v>
      </c>
      <c r="H176" s="51">
        <f t="shared" si="62"/>
        <v>0</v>
      </c>
      <c r="J176" s="41"/>
      <c r="Z176" s="51">
        <f t="shared" si="63"/>
        <v>0</v>
      </c>
      <c r="AB176" s="51">
        <f t="shared" si="64"/>
        <v>0</v>
      </c>
      <c r="AC176" s="51">
        <f t="shared" si="65"/>
        <v>0</v>
      </c>
      <c r="AD176" s="51">
        <f t="shared" si="66"/>
        <v>0</v>
      </c>
      <c r="AE176" s="51">
        <f t="shared" si="67"/>
        <v>0</v>
      </c>
      <c r="AF176" s="51">
        <f t="shared" si="68"/>
        <v>0</v>
      </c>
      <c r="AG176" s="51">
        <f t="shared" si="69"/>
        <v>0</v>
      </c>
      <c r="AH176" s="51">
        <f t="shared" si="70"/>
        <v>0</v>
      </c>
      <c r="AI176" s="35" t="s">
        <v>4</v>
      </c>
      <c r="AJ176" s="51">
        <f t="shared" si="71"/>
        <v>0</v>
      </c>
      <c r="AK176" s="51">
        <f t="shared" si="72"/>
        <v>0</v>
      </c>
      <c r="AL176" s="51">
        <f t="shared" si="73"/>
        <v>0</v>
      </c>
      <c r="AN176" s="51">
        <v>12</v>
      </c>
      <c r="AO176" s="51">
        <f>G176*0.828628641</f>
        <v>0</v>
      </c>
      <c r="AP176" s="51">
        <f>G176*(1-0.828628641)</f>
        <v>0</v>
      </c>
      <c r="AQ176" s="53" t="s">
        <v>149</v>
      </c>
      <c r="AV176" s="51">
        <f t="shared" si="74"/>
        <v>0</v>
      </c>
      <c r="AW176" s="51">
        <f t="shared" si="75"/>
        <v>0</v>
      </c>
      <c r="AX176" s="51">
        <f t="shared" si="76"/>
        <v>0</v>
      </c>
      <c r="AY176" s="53" t="s">
        <v>440</v>
      </c>
      <c r="AZ176" s="53" t="s">
        <v>361</v>
      </c>
      <c r="BA176" s="35" t="s">
        <v>117</v>
      </c>
      <c r="BC176" s="51">
        <f t="shared" si="77"/>
        <v>0</v>
      </c>
      <c r="BD176" s="51">
        <f t="shared" si="78"/>
        <v>0</v>
      </c>
      <c r="BE176" s="51">
        <v>0</v>
      </c>
      <c r="BF176" s="51">
        <f>176</f>
        <v>176</v>
      </c>
      <c r="BH176" s="51">
        <f t="shared" si="79"/>
        <v>0</v>
      </c>
      <c r="BI176" s="51">
        <f t="shared" si="80"/>
        <v>0</v>
      </c>
      <c r="BJ176" s="51">
        <f t="shared" si="81"/>
        <v>0</v>
      </c>
      <c r="BK176" s="51"/>
      <c r="BL176" s="51">
        <v>725</v>
      </c>
      <c r="BW176" s="51">
        <v>12</v>
      </c>
      <c r="BX176" s="3" t="s">
        <v>487</v>
      </c>
    </row>
    <row r="177" spans="1:76">
      <c r="A177" s="1" t="s">
        <v>488</v>
      </c>
      <c r="B177" s="2" t="s">
        <v>489</v>
      </c>
      <c r="C177" s="75" t="s">
        <v>490</v>
      </c>
      <c r="D177" s="70"/>
      <c r="E177" s="2" t="s">
        <v>439</v>
      </c>
      <c r="F177" s="51">
        <v>4</v>
      </c>
      <c r="G177" s="52">
        <v>0</v>
      </c>
      <c r="H177" s="51">
        <f t="shared" si="62"/>
        <v>0</v>
      </c>
      <c r="J177" s="41"/>
      <c r="Z177" s="51">
        <f t="shared" si="63"/>
        <v>0</v>
      </c>
      <c r="AB177" s="51">
        <f t="shared" si="64"/>
        <v>0</v>
      </c>
      <c r="AC177" s="51">
        <f t="shared" si="65"/>
        <v>0</v>
      </c>
      <c r="AD177" s="51">
        <f t="shared" si="66"/>
        <v>0</v>
      </c>
      <c r="AE177" s="51">
        <f t="shared" si="67"/>
        <v>0</v>
      </c>
      <c r="AF177" s="51">
        <f t="shared" si="68"/>
        <v>0</v>
      </c>
      <c r="AG177" s="51">
        <f t="shared" si="69"/>
        <v>0</v>
      </c>
      <c r="AH177" s="51">
        <f t="shared" si="70"/>
        <v>0</v>
      </c>
      <c r="AI177" s="35" t="s">
        <v>4</v>
      </c>
      <c r="AJ177" s="51">
        <f t="shared" si="71"/>
        <v>0</v>
      </c>
      <c r="AK177" s="51">
        <f t="shared" si="72"/>
        <v>0</v>
      </c>
      <c r="AL177" s="51">
        <f t="shared" si="73"/>
        <v>0</v>
      </c>
      <c r="AN177" s="51">
        <v>12</v>
      </c>
      <c r="AO177" s="51">
        <f>G177*0.522710623</f>
        <v>0</v>
      </c>
      <c r="AP177" s="51">
        <f>G177*(1-0.522710623)</f>
        <v>0</v>
      </c>
      <c r="AQ177" s="53" t="s">
        <v>149</v>
      </c>
      <c r="AV177" s="51">
        <f t="shared" si="74"/>
        <v>0</v>
      </c>
      <c r="AW177" s="51">
        <f t="shared" si="75"/>
        <v>0</v>
      </c>
      <c r="AX177" s="51">
        <f t="shared" si="76"/>
        <v>0</v>
      </c>
      <c r="AY177" s="53" t="s">
        <v>440</v>
      </c>
      <c r="AZ177" s="53" t="s">
        <v>361</v>
      </c>
      <c r="BA177" s="35" t="s">
        <v>117</v>
      </c>
      <c r="BC177" s="51">
        <f t="shared" si="77"/>
        <v>0</v>
      </c>
      <c r="BD177" s="51">
        <f t="shared" si="78"/>
        <v>0</v>
      </c>
      <c r="BE177" s="51">
        <v>0</v>
      </c>
      <c r="BF177" s="51">
        <f>177</f>
        <v>177</v>
      </c>
      <c r="BH177" s="51">
        <f t="shared" si="79"/>
        <v>0</v>
      </c>
      <c r="BI177" s="51">
        <f t="shared" si="80"/>
        <v>0</v>
      </c>
      <c r="BJ177" s="51">
        <f t="shared" si="81"/>
        <v>0</v>
      </c>
      <c r="BK177" s="51"/>
      <c r="BL177" s="51">
        <v>725</v>
      </c>
      <c r="BW177" s="51">
        <v>12</v>
      </c>
      <c r="BX177" s="3" t="s">
        <v>490</v>
      </c>
    </row>
    <row r="178" spans="1:76">
      <c r="A178" s="1" t="s">
        <v>491</v>
      </c>
      <c r="B178" s="2" t="s">
        <v>492</v>
      </c>
      <c r="C178" s="75" t="s">
        <v>493</v>
      </c>
      <c r="D178" s="70"/>
      <c r="E178" s="2" t="s">
        <v>439</v>
      </c>
      <c r="F178" s="51">
        <v>1</v>
      </c>
      <c r="G178" s="52">
        <v>0</v>
      </c>
      <c r="H178" s="51">
        <f t="shared" si="62"/>
        <v>0</v>
      </c>
      <c r="J178" s="41"/>
      <c r="Z178" s="51">
        <f t="shared" si="63"/>
        <v>0</v>
      </c>
      <c r="AB178" s="51">
        <f t="shared" si="64"/>
        <v>0</v>
      </c>
      <c r="AC178" s="51">
        <f t="shared" si="65"/>
        <v>0</v>
      </c>
      <c r="AD178" s="51">
        <f t="shared" si="66"/>
        <v>0</v>
      </c>
      <c r="AE178" s="51">
        <f t="shared" si="67"/>
        <v>0</v>
      </c>
      <c r="AF178" s="51">
        <f t="shared" si="68"/>
        <v>0</v>
      </c>
      <c r="AG178" s="51">
        <f t="shared" si="69"/>
        <v>0</v>
      </c>
      <c r="AH178" s="51">
        <f t="shared" si="70"/>
        <v>0</v>
      </c>
      <c r="AI178" s="35" t="s">
        <v>4</v>
      </c>
      <c r="AJ178" s="51">
        <f t="shared" si="71"/>
        <v>0</v>
      </c>
      <c r="AK178" s="51">
        <f t="shared" si="72"/>
        <v>0</v>
      </c>
      <c r="AL178" s="51">
        <f t="shared" si="73"/>
        <v>0</v>
      </c>
      <c r="AN178" s="51">
        <v>12</v>
      </c>
      <c r="AO178" s="51">
        <f>G178*0.318425141</f>
        <v>0</v>
      </c>
      <c r="AP178" s="51">
        <f>G178*(1-0.318425141)</f>
        <v>0</v>
      </c>
      <c r="AQ178" s="53" t="s">
        <v>149</v>
      </c>
      <c r="AV178" s="51">
        <f t="shared" si="74"/>
        <v>0</v>
      </c>
      <c r="AW178" s="51">
        <f t="shared" si="75"/>
        <v>0</v>
      </c>
      <c r="AX178" s="51">
        <f t="shared" si="76"/>
        <v>0</v>
      </c>
      <c r="AY178" s="53" t="s">
        <v>440</v>
      </c>
      <c r="AZ178" s="53" t="s">
        <v>361</v>
      </c>
      <c r="BA178" s="35" t="s">
        <v>117</v>
      </c>
      <c r="BC178" s="51">
        <f t="shared" si="77"/>
        <v>0</v>
      </c>
      <c r="BD178" s="51">
        <f t="shared" si="78"/>
        <v>0</v>
      </c>
      <c r="BE178" s="51">
        <v>0</v>
      </c>
      <c r="BF178" s="51">
        <f>178</f>
        <v>178</v>
      </c>
      <c r="BH178" s="51">
        <f t="shared" si="79"/>
        <v>0</v>
      </c>
      <c r="BI178" s="51">
        <f t="shared" si="80"/>
        <v>0</v>
      </c>
      <c r="BJ178" s="51">
        <f t="shared" si="81"/>
        <v>0</v>
      </c>
      <c r="BK178" s="51"/>
      <c r="BL178" s="51">
        <v>725</v>
      </c>
      <c r="BW178" s="51">
        <v>12</v>
      </c>
      <c r="BX178" s="3" t="s">
        <v>493</v>
      </c>
    </row>
    <row r="179" spans="1:76">
      <c r="A179" s="1" t="s">
        <v>494</v>
      </c>
      <c r="B179" s="2" t="s">
        <v>495</v>
      </c>
      <c r="C179" s="75" t="s">
        <v>496</v>
      </c>
      <c r="D179" s="70"/>
      <c r="E179" s="2" t="s">
        <v>114</v>
      </c>
      <c r="F179" s="51">
        <v>1</v>
      </c>
      <c r="G179" s="52">
        <v>0</v>
      </c>
      <c r="H179" s="51">
        <f t="shared" si="62"/>
        <v>0</v>
      </c>
      <c r="J179" s="41"/>
      <c r="Z179" s="51">
        <f t="shared" si="63"/>
        <v>0</v>
      </c>
      <c r="AB179" s="51">
        <f t="shared" si="64"/>
        <v>0</v>
      </c>
      <c r="AC179" s="51">
        <f t="shared" si="65"/>
        <v>0</v>
      </c>
      <c r="AD179" s="51">
        <f t="shared" si="66"/>
        <v>0</v>
      </c>
      <c r="AE179" s="51">
        <f t="shared" si="67"/>
        <v>0</v>
      </c>
      <c r="AF179" s="51">
        <f t="shared" si="68"/>
        <v>0</v>
      </c>
      <c r="AG179" s="51">
        <f t="shared" si="69"/>
        <v>0</v>
      </c>
      <c r="AH179" s="51">
        <f t="shared" si="70"/>
        <v>0</v>
      </c>
      <c r="AI179" s="35" t="s">
        <v>4</v>
      </c>
      <c r="AJ179" s="51">
        <f t="shared" si="71"/>
        <v>0</v>
      </c>
      <c r="AK179" s="51">
        <f t="shared" si="72"/>
        <v>0</v>
      </c>
      <c r="AL179" s="51">
        <f t="shared" si="73"/>
        <v>0</v>
      </c>
      <c r="AN179" s="51">
        <v>12</v>
      </c>
      <c r="AO179" s="51">
        <f>G179*0.902765125</f>
        <v>0</v>
      </c>
      <c r="AP179" s="51">
        <f>G179*(1-0.902765125)</f>
        <v>0</v>
      </c>
      <c r="AQ179" s="53" t="s">
        <v>149</v>
      </c>
      <c r="AV179" s="51">
        <f t="shared" si="74"/>
        <v>0</v>
      </c>
      <c r="AW179" s="51">
        <f t="shared" si="75"/>
        <v>0</v>
      </c>
      <c r="AX179" s="51">
        <f t="shared" si="76"/>
        <v>0</v>
      </c>
      <c r="AY179" s="53" t="s">
        <v>440</v>
      </c>
      <c r="AZ179" s="53" t="s">
        <v>361</v>
      </c>
      <c r="BA179" s="35" t="s">
        <v>117</v>
      </c>
      <c r="BC179" s="51">
        <f t="shared" si="77"/>
        <v>0</v>
      </c>
      <c r="BD179" s="51">
        <f t="shared" si="78"/>
        <v>0</v>
      </c>
      <c r="BE179" s="51">
        <v>0</v>
      </c>
      <c r="BF179" s="51">
        <f>179</f>
        <v>179</v>
      </c>
      <c r="BH179" s="51">
        <f t="shared" si="79"/>
        <v>0</v>
      </c>
      <c r="BI179" s="51">
        <f t="shared" si="80"/>
        <v>0</v>
      </c>
      <c r="BJ179" s="51">
        <f t="shared" si="81"/>
        <v>0</v>
      </c>
      <c r="BK179" s="51"/>
      <c r="BL179" s="51">
        <v>725</v>
      </c>
      <c r="BW179" s="51">
        <v>12</v>
      </c>
      <c r="BX179" s="3" t="s">
        <v>496</v>
      </c>
    </row>
    <row r="180" spans="1:76">
      <c r="A180" s="1" t="s">
        <v>497</v>
      </c>
      <c r="B180" s="2" t="s">
        <v>498</v>
      </c>
      <c r="C180" s="75" t="s">
        <v>499</v>
      </c>
      <c r="D180" s="70"/>
      <c r="E180" s="2" t="s">
        <v>114</v>
      </c>
      <c r="F180" s="51">
        <v>1</v>
      </c>
      <c r="G180" s="52">
        <v>0</v>
      </c>
      <c r="H180" s="51">
        <f t="shared" si="62"/>
        <v>0</v>
      </c>
      <c r="J180" s="41"/>
      <c r="Z180" s="51">
        <f t="shared" si="63"/>
        <v>0</v>
      </c>
      <c r="AB180" s="51">
        <f t="shared" si="64"/>
        <v>0</v>
      </c>
      <c r="AC180" s="51">
        <f t="shared" si="65"/>
        <v>0</v>
      </c>
      <c r="AD180" s="51">
        <f t="shared" si="66"/>
        <v>0</v>
      </c>
      <c r="AE180" s="51">
        <f t="shared" si="67"/>
        <v>0</v>
      </c>
      <c r="AF180" s="51">
        <f t="shared" si="68"/>
        <v>0</v>
      </c>
      <c r="AG180" s="51">
        <f t="shared" si="69"/>
        <v>0</v>
      </c>
      <c r="AH180" s="51">
        <f t="shared" si="70"/>
        <v>0</v>
      </c>
      <c r="AI180" s="35" t="s">
        <v>4</v>
      </c>
      <c r="AJ180" s="51">
        <f t="shared" si="71"/>
        <v>0</v>
      </c>
      <c r="AK180" s="51">
        <f t="shared" si="72"/>
        <v>0</v>
      </c>
      <c r="AL180" s="51">
        <f t="shared" si="73"/>
        <v>0</v>
      </c>
      <c r="AN180" s="51">
        <v>12</v>
      </c>
      <c r="AO180" s="51">
        <f>G180*0.88622221</f>
        <v>0</v>
      </c>
      <c r="AP180" s="51">
        <f>G180*(1-0.88622221)</f>
        <v>0</v>
      </c>
      <c r="AQ180" s="53" t="s">
        <v>149</v>
      </c>
      <c r="AV180" s="51">
        <f t="shared" si="74"/>
        <v>0</v>
      </c>
      <c r="AW180" s="51">
        <f t="shared" si="75"/>
        <v>0</v>
      </c>
      <c r="AX180" s="51">
        <f t="shared" si="76"/>
        <v>0</v>
      </c>
      <c r="AY180" s="53" t="s">
        <v>440</v>
      </c>
      <c r="AZ180" s="53" t="s">
        <v>361</v>
      </c>
      <c r="BA180" s="35" t="s">
        <v>117</v>
      </c>
      <c r="BC180" s="51">
        <f t="shared" si="77"/>
        <v>0</v>
      </c>
      <c r="BD180" s="51">
        <f t="shared" si="78"/>
        <v>0</v>
      </c>
      <c r="BE180" s="51">
        <v>0</v>
      </c>
      <c r="BF180" s="51">
        <f>180</f>
        <v>180</v>
      </c>
      <c r="BH180" s="51">
        <f t="shared" si="79"/>
        <v>0</v>
      </c>
      <c r="BI180" s="51">
        <f t="shared" si="80"/>
        <v>0</v>
      </c>
      <c r="BJ180" s="51">
        <f t="shared" si="81"/>
        <v>0</v>
      </c>
      <c r="BK180" s="51"/>
      <c r="BL180" s="51">
        <v>725</v>
      </c>
      <c r="BW180" s="51">
        <v>12</v>
      </c>
      <c r="BX180" s="3" t="s">
        <v>499</v>
      </c>
    </row>
    <row r="181" spans="1:76">
      <c r="A181" s="1" t="s">
        <v>500</v>
      </c>
      <c r="B181" s="2" t="s">
        <v>501</v>
      </c>
      <c r="C181" s="75" t="s">
        <v>502</v>
      </c>
      <c r="D181" s="70"/>
      <c r="E181" s="2" t="s">
        <v>114</v>
      </c>
      <c r="F181" s="51">
        <v>1</v>
      </c>
      <c r="G181" s="52">
        <v>0</v>
      </c>
      <c r="H181" s="51">
        <f t="shared" si="62"/>
        <v>0</v>
      </c>
      <c r="J181" s="41"/>
      <c r="Z181" s="51">
        <f t="shared" si="63"/>
        <v>0</v>
      </c>
      <c r="AB181" s="51">
        <f t="shared" si="64"/>
        <v>0</v>
      </c>
      <c r="AC181" s="51">
        <f t="shared" si="65"/>
        <v>0</v>
      </c>
      <c r="AD181" s="51">
        <f t="shared" si="66"/>
        <v>0</v>
      </c>
      <c r="AE181" s="51">
        <f t="shared" si="67"/>
        <v>0</v>
      </c>
      <c r="AF181" s="51">
        <f t="shared" si="68"/>
        <v>0</v>
      </c>
      <c r="AG181" s="51">
        <f t="shared" si="69"/>
        <v>0</v>
      </c>
      <c r="AH181" s="51">
        <f t="shared" si="70"/>
        <v>0</v>
      </c>
      <c r="AI181" s="35" t="s">
        <v>4</v>
      </c>
      <c r="AJ181" s="51">
        <f t="shared" si="71"/>
        <v>0</v>
      </c>
      <c r="AK181" s="51">
        <f t="shared" si="72"/>
        <v>0</v>
      </c>
      <c r="AL181" s="51">
        <f t="shared" si="73"/>
        <v>0</v>
      </c>
      <c r="AN181" s="51">
        <v>12</v>
      </c>
      <c r="AO181" s="51">
        <f>G181*0.852864629</f>
        <v>0</v>
      </c>
      <c r="AP181" s="51">
        <f>G181*(1-0.852864629)</f>
        <v>0</v>
      </c>
      <c r="AQ181" s="53" t="s">
        <v>149</v>
      </c>
      <c r="AV181" s="51">
        <f t="shared" si="74"/>
        <v>0</v>
      </c>
      <c r="AW181" s="51">
        <f t="shared" si="75"/>
        <v>0</v>
      </c>
      <c r="AX181" s="51">
        <f t="shared" si="76"/>
        <v>0</v>
      </c>
      <c r="AY181" s="53" t="s">
        <v>440</v>
      </c>
      <c r="AZ181" s="53" t="s">
        <v>361</v>
      </c>
      <c r="BA181" s="35" t="s">
        <v>117</v>
      </c>
      <c r="BC181" s="51">
        <f t="shared" si="77"/>
        <v>0</v>
      </c>
      <c r="BD181" s="51">
        <f t="shared" si="78"/>
        <v>0</v>
      </c>
      <c r="BE181" s="51">
        <v>0</v>
      </c>
      <c r="BF181" s="51">
        <f>181</f>
        <v>181</v>
      </c>
      <c r="BH181" s="51">
        <f t="shared" si="79"/>
        <v>0</v>
      </c>
      <c r="BI181" s="51">
        <f t="shared" si="80"/>
        <v>0</v>
      </c>
      <c r="BJ181" s="51">
        <f t="shared" si="81"/>
        <v>0</v>
      </c>
      <c r="BK181" s="51"/>
      <c r="BL181" s="51">
        <v>725</v>
      </c>
      <c r="BW181" s="51">
        <v>12</v>
      </c>
      <c r="BX181" s="3" t="s">
        <v>502</v>
      </c>
    </row>
    <row r="182" spans="1:76">
      <c r="A182" s="1" t="s">
        <v>503</v>
      </c>
      <c r="B182" s="2" t="s">
        <v>504</v>
      </c>
      <c r="C182" s="75" t="s">
        <v>505</v>
      </c>
      <c r="D182" s="70"/>
      <c r="E182" s="2" t="s">
        <v>439</v>
      </c>
      <c r="F182" s="51">
        <v>1</v>
      </c>
      <c r="G182" s="52">
        <v>0</v>
      </c>
      <c r="H182" s="51">
        <f t="shared" si="62"/>
        <v>0</v>
      </c>
      <c r="J182" s="41"/>
      <c r="Z182" s="51">
        <f t="shared" si="63"/>
        <v>0</v>
      </c>
      <c r="AB182" s="51">
        <f t="shared" si="64"/>
        <v>0</v>
      </c>
      <c r="AC182" s="51">
        <f t="shared" si="65"/>
        <v>0</v>
      </c>
      <c r="AD182" s="51">
        <f t="shared" si="66"/>
        <v>0</v>
      </c>
      <c r="AE182" s="51">
        <f t="shared" si="67"/>
        <v>0</v>
      </c>
      <c r="AF182" s="51">
        <f t="shared" si="68"/>
        <v>0</v>
      </c>
      <c r="AG182" s="51">
        <f t="shared" si="69"/>
        <v>0</v>
      </c>
      <c r="AH182" s="51">
        <f t="shared" si="70"/>
        <v>0</v>
      </c>
      <c r="AI182" s="35" t="s">
        <v>4</v>
      </c>
      <c r="AJ182" s="51">
        <f t="shared" si="71"/>
        <v>0</v>
      </c>
      <c r="AK182" s="51">
        <f t="shared" si="72"/>
        <v>0</v>
      </c>
      <c r="AL182" s="51">
        <f t="shared" si="73"/>
        <v>0</v>
      </c>
      <c r="AN182" s="51">
        <v>12</v>
      </c>
      <c r="AO182" s="51">
        <f>G182*0.908404118</f>
        <v>0</v>
      </c>
      <c r="AP182" s="51">
        <f>G182*(1-0.908404118)</f>
        <v>0</v>
      </c>
      <c r="AQ182" s="53" t="s">
        <v>149</v>
      </c>
      <c r="AV182" s="51">
        <f t="shared" si="74"/>
        <v>0</v>
      </c>
      <c r="AW182" s="51">
        <f t="shared" si="75"/>
        <v>0</v>
      </c>
      <c r="AX182" s="51">
        <f t="shared" si="76"/>
        <v>0</v>
      </c>
      <c r="AY182" s="53" t="s">
        <v>440</v>
      </c>
      <c r="AZ182" s="53" t="s">
        <v>361</v>
      </c>
      <c r="BA182" s="35" t="s">
        <v>117</v>
      </c>
      <c r="BC182" s="51">
        <f t="shared" si="77"/>
        <v>0</v>
      </c>
      <c r="BD182" s="51">
        <f t="shared" si="78"/>
        <v>0</v>
      </c>
      <c r="BE182" s="51">
        <v>0</v>
      </c>
      <c r="BF182" s="51">
        <f>182</f>
        <v>182</v>
      </c>
      <c r="BH182" s="51">
        <f t="shared" si="79"/>
        <v>0</v>
      </c>
      <c r="BI182" s="51">
        <f t="shared" si="80"/>
        <v>0</v>
      </c>
      <c r="BJ182" s="51">
        <f t="shared" si="81"/>
        <v>0</v>
      </c>
      <c r="BK182" s="51"/>
      <c r="BL182" s="51">
        <v>725</v>
      </c>
      <c r="BW182" s="51">
        <v>12</v>
      </c>
      <c r="BX182" s="3" t="s">
        <v>505</v>
      </c>
    </row>
    <row r="183" spans="1:76">
      <c r="A183" s="1" t="s">
        <v>506</v>
      </c>
      <c r="B183" s="2" t="s">
        <v>507</v>
      </c>
      <c r="C183" s="75" t="s">
        <v>508</v>
      </c>
      <c r="D183" s="70"/>
      <c r="E183" s="2" t="s">
        <v>439</v>
      </c>
      <c r="F183" s="51">
        <v>1</v>
      </c>
      <c r="G183" s="52">
        <v>0</v>
      </c>
      <c r="H183" s="51">
        <f t="shared" si="62"/>
        <v>0</v>
      </c>
      <c r="J183" s="41"/>
      <c r="Z183" s="51">
        <f t="shared" si="63"/>
        <v>0</v>
      </c>
      <c r="AB183" s="51">
        <f t="shared" si="64"/>
        <v>0</v>
      </c>
      <c r="AC183" s="51">
        <f t="shared" si="65"/>
        <v>0</v>
      </c>
      <c r="AD183" s="51">
        <f t="shared" si="66"/>
        <v>0</v>
      </c>
      <c r="AE183" s="51">
        <f t="shared" si="67"/>
        <v>0</v>
      </c>
      <c r="AF183" s="51">
        <f t="shared" si="68"/>
        <v>0</v>
      </c>
      <c r="AG183" s="51">
        <f t="shared" si="69"/>
        <v>0</v>
      </c>
      <c r="AH183" s="51">
        <f t="shared" si="70"/>
        <v>0</v>
      </c>
      <c r="AI183" s="35" t="s">
        <v>4</v>
      </c>
      <c r="AJ183" s="51">
        <f t="shared" si="71"/>
        <v>0</v>
      </c>
      <c r="AK183" s="51">
        <f t="shared" si="72"/>
        <v>0</v>
      </c>
      <c r="AL183" s="51">
        <f t="shared" si="73"/>
        <v>0</v>
      </c>
      <c r="AN183" s="51">
        <v>12</v>
      </c>
      <c r="AO183" s="51">
        <f>G183*0.460774648</f>
        <v>0</v>
      </c>
      <c r="AP183" s="51">
        <f>G183*(1-0.460774648)</f>
        <v>0</v>
      </c>
      <c r="AQ183" s="53" t="s">
        <v>149</v>
      </c>
      <c r="AV183" s="51">
        <f t="shared" si="74"/>
        <v>0</v>
      </c>
      <c r="AW183" s="51">
        <f t="shared" si="75"/>
        <v>0</v>
      </c>
      <c r="AX183" s="51">
        <f t="shared" si="76"/>
        <v>0</v>
      </c>
      <c r="AY183" s="53" t="s">
        <v>440</v>
      </c>
      <c r="AZ183" s="53" t="s">
        <v>361</v>
      </c>
      <c r="BA183" s="35" t="s">
        <v>117</v>
      </c>
      <c r="BC183" s="51">
        <f t="shared" si="77"/>
        <v>0</v>
      </c>
      <c r="BD183" s="51">
        <f t="shared" si="78"/>
        <v>0</v>
      </c>
      <c r="BE183" s="51">
        <v>0</v>
      </c>
      <c r="BF183" s="51">
        <f>183</f>
        <v>183</v>
      </c>
      <c r="BH183" s="51">
        <f t="shared" si="79"/>
        <v>0</v>
      </c>
      <c r="BI183" s="51">
        <f t="shared" si="80"/>
        <v>0</v>
      </c>
      <c r="BJ183" s="51">
        <f t="shared" si="81"/>
        <v>0</v>
      </c>
      <c r="BK183" s="51"/>
      <c r="BL183" s="51">
        <v>725</v>
      </c>
      <c r="BW183" s="51">
        <v>12</v>
      </c>
      <c r="BX183" s="3" t="s">
        <v>508</v>
      </c>
    </row>
    <row r="184" spans="1:76">
      <c r="A184" s="1" t="s">
        <v>509</v>
      </c>
      <c r="B184" s="2" t="s">
        <v>510</v>
      </c>
      <c r="C184" s="75" t="s">
        <v>511</v>
      </c>
      <c r="D184" s="70"/>
      <c r="E184" s="2" t="s">
        <v>439</v>
      </c>
      <c r="F184" s="51">
        <v>1</v>
      </c>
      <c r="G184" s="52">
        <v>0</v>
      </c>
      <c r="H184" s="51">
        <f t="shared" si="62"/>
        <v>0</v>
      </c>
      <c r="J184" s="41"/>
      <c r="Z184" s="51">
        <f t="shared" si="63"/>
        <v>0</v>
      </c>
      <c r="AB184" s="51">
        <f t="shared" si="64"/>
        <v>0</v>
      </c>
      <c r="AC184" s="51">
        <f t="shared" si="65"/>
        <v>0</v>
      </c>
      <c r="AD184" s="51">
        <f t="shared" si="66"/>
        <v>0</v>
      </c>
      <c r="AE184" s="51">
        <f t="shared" si="67"/>
        <v>0</v>
      </c>
      <c r="AF184" s="51">
        <f t="shared" si="68"/>
        <v>0</v>
      </c>
      <c r="AG184" s="51">
        <f t="shared" si="69"/>
        <v>0</v>
      </c>
      <c r="AH184" s="51">
        <f t="shared" si="70"/>
        <v>0</v>
      </c>
      <c r="AI184" s="35" t="s">
        <v>4</v>
      </c>
      <c r="AJ184" s="51">
        <f t="shared" si="71"/>
        <v>0</v>
      </c>
      <c r="AK184" s="51">
        <f t="shared" si="72"/>
        <v>0</v>
      </c>
      <c r="AL184" s="51">
        <f t="shared" si="73"/>
        <v>0</v>
      </c>
      <c r="AN184" s="51">
        <v>12</v>
      </c>
      <c r="AO184" s="51">
        <f>G184*0.861823964</f>
        <v>0</v>
      </c>
      <c r="AP184" s="51">
        <f>G184*(1-0.861823964)</f>
        <v>0</v>
      </c>
      <c r="AQ184" s="53" t="s">
        <v>149</v>
      </c>
      <c r="AV184" s="51">
        <f t="shared" si="74"/>
        <v>0</v>
      </c>
      <c r="AW184" s="51">
        <f t="shared" si="75"/>
        <v>0</v>
      </c>
      <c r="AX184" s="51">
        <f t="shared" si="76"/>
        <v>0</v>
      </c>
      <c r="AY184" s="53" t="s">
        <v>440</v>
      </c>
      <c r="AZ184" s="53" t="s">
        <v>361</v>
      </c>
      <c r="BA184" s="35" t="s">
        <v>117</v>
      </c>
      <c r="BC184" s="51">
        <f t="shared" si="77"/>
        <v>0</v>
      </c>
      <c r="BD184" s="51">
        <f t="shared" si="78"/>
        <v>0</v>
      </c>
      <c r="BE184" s="51">
        <v>0</v>
      </c>
      <c r="BF184" s="51">
        <f>184</f>
        <v>184</v>
      </c>
      <c r="BH184" s="51">
        <f t="shared" si="79"/>
        <v>0</v>
      </c>
      <c r="BI184" s="51">
        <f t="shared" si="80"/>
        <v>0</v>
      </c>
      <c r="BJ184" s="51">
        <f t="shared" si="81"/>
        <v>0</v>
      </c>
      <c r="BK184" s="51"/>
      <c r="BL184" s="51">
        <v>725</v>
      </c>
      <c r="BW184" s="51">
        <v>12</v>
      </c>
      <c r="BX184" s="3" t="s">
        <v>511</v>
      </c>
    </row>
    <row r="185" spans="1:76">
      <c r="A185" s="1" t="s">
        <v>234</v>
      </c>
      <c r="B185" s="2" t="s">
        <v>512</v>
      </c>
      <c r="C185" s="75" t="s">
        <v>513</v>
      </c>
      <c r="D185" s="70"/>
      <c r="E185" s="2" t="s">
        <v>114</v>
      </c>
      <c r="F185" s="51">
        <v>1</v>
      </c>
      <c r="G185" s="52">
        <v>0</v>
      </c>
      <c r="H185" s="51">
        <f t="shared" si="62"/>
        <v>0</v>
      </c>
      <c r="J185" s="41"/>
      <c r="Z185" s="51">
        <f t="shared" si="63"/>
        <v>0</v>
      </c>
      <c r="AB185" s="51">
        <f t="shared" si="64"/>
        <v>0</v>
      </c>
      <c r="AC185" s="51">
        <f t="shared" si="65"/>
        <v>0</v>
      </c>
      <c r="AD185" s="51">
        <f t="shared" si="66"/>
        <v>0</v>
      </c>
      <c r="AE185" s="51">
        <f t="shared" si="67"/>
        <v>0</v>
      </c>
      <c r="AF185" s="51">
        <f t="shared" si="68"/>
        <v>0</v>
      </c>
      <c r="AG185" s="51">
        <f t="shared" si="69"/>
        <v>0</v>
      </c>
      <c r="AH185" s="51">
        <f t="shared" si="70"/>
        <v>0</v>
      </c>
      <c r="AI185" s="35" t="s">
        <v>4</v>
      </c>
      <c r="AJ185" s="51">
        <f t="shared" si="71"/>
        <v>0</v>
      </c>
      <c r="AK185" s="51">
        <f t="shared" si="72"/>
        <v>0</v>
      </c>
      <c r="AL185" s="51">
        <f t="shared" si="73"/>
        <v>0</v>
      </c>
      <c r="AN185" s="51">
        <v>12</v>
      </c>
      <c r="AO185" s="51">
        <f>G185*1</f>
        <v>0</v>
      </c>
      <c r="AP185" s="51">
        <f>G185*(1-1)</f>
        <v>0</v>
      </c>
      <c r="AQ185" s="53" t="s">
        <v>149</v>
      </c>
      <c r="AV185" s="51">
        <f t="shared" si="74"/>
        <v>0</v>
      </c>
      <c r="AW185" s="51">
        <f t="shared" si="75"/>
        <v>0</v>
      </c>
      <c r="AX185" s="51">
        <f t="shared" si="76"/>
        <v>0</v>
      </c>
      <c r="AY185" s="53" t="s">
        <v>440</v>
      </c>
      <c r="AZ185" s="53" t="s">
        <v>361</v>
      </c>
      <c r="BA185" s="35" t="s">
        <v>117</v>
      </c>
      <c r="BC185" s="51">
        <f t="shared" si="77"/>
        <v>0</v>
      </c>
      <c r="BD185" s="51">
        <f t="shared" si="78"/>
        <v>0</v>
      </c>
      <c r="BE185" s="51">
        <v>0</v>
      </c>
      <c r="BF185" s="51">
        <f>185</f>
        <v>185</v>
      </c>
      <c r="BH185" s="51">
        <f t="shared" si="79"/>
        <v>0</v>
      </c>
      <c r="BI185" s="51">
        <f t="shared" si="80"/>
        <v>0</v>
      </c>
      <c r="BJ185" s="51">
        <f t="shared" si="81"/>
        <v>0</v>
      </c>
      <c r="BK185" s="51"/>
      <c r="BL185" s="51">
        <v>725</v>
      </c>
      <c r="BW185" s="51">
        <v>12</v>
      </c>
      <c r="BX185" s="3" t="s">
        <v>513</v>
      </c>
    </row>
    <row r="186" spans="1:76">
      <c r="A186" s="1" t="s">
        <v>255</v>
      </c>
      <c r="B186" s="2" t="s">
        <v>514</v>
      </c>
      <c r="C186" s="75" t="s">
        <v>515</v>
      </c>
      <c r="D186" s="70"/>
      <c r="E186" s="2" t="s">
        <v>114</v>
      </c>
      <c r="F186" s="51">
        <v>1</v>
      </c>
      <c r="G186" s="52">
        <v>0</v>
      </c>
      <c r="H186" s="51">
        <f t="shared" si="62"/>
        <v>0</v>
      </c>
      <c r="J186" s="41"/>
      <c r="Z186" s="51">
        <f t="shared" si="63"/>
        <v>0</v>
      </c>
      <c r="AB186" s="51">
        <f t="shared" si="64"/>
        <v>0</v>
      </c>
      <c r="AC186" s="51">
        <f t="shared" si="65"/>
        <v>0</v>
      </c>
      <c r="AD186" s="51">
        <f t="shared" si="66"/>
        <v>0</v>
      </c>
      <c r="AE186" s="51">
        <f t="shared" si="67"/>
        <v>0</v>
      </c>
      <c r="AF186" s="51">
        <f t="shared" si="68"/>
        <v>0</v>
      </c>
      <c r="AG186" s="51">
        <f t="shared" si="69"/>
        <v>0</v>
      </c>
      <c r="AH186" s="51">
        <f t="shared" si="70"/>
        <v>0</v>
      </c>
      <c r="AI186" s="35" t="s">
        <v>4</v>
      </c>
      <c r="AJ186" s="51">
        <f t="shared" si="71"/>
        <v>0</v>
      </c>
      <c r="AK186" s="51">
        <f t="shared" si="72"/>
        <v>0</v>
      </c>
      <c r="AL186" s="51">
        <f t="shared" si="73"/>
        <v>0</v>
      </c>
      <c r="AN186" s="51">
        <v>12</v>
      </c>
      <c r="AO186" s="51">
        <f>G186*1</f>
        <v>0</v>
      </c>
      <c r="AP186" s="51">
        <f>G186*(1-1)</f>
        <v>0</v>
      </c>
      <c r="AQ186" s="53" t="s">
        <v>149</v>
      </c>
      <c r="AV186" s="51">
        <f t="shared" si="74"/>
        <v>0</v>
      </c>
      <c r="AW186" s="51">
        <f t="shared" si="75"/>
        <v>0</v>
      </c>
      <c r="AX186" s="51">
        <f t="shared" si="76"/>
        <v>0</v>
      </c>
      <c r="AY186" s="53" t="s">
        <v>440</v>
      </c>
      <c r="AZ186" s="53" t="s">
        <v>361</v>
      </c>
      <c r="BA186" s="35" t="s">
        <v>117</v>
      </c>
      <c r="BC186" s="51">
        <f t="shared" si="77"/>
        <v>0</v>
      </c>
      <c r="BD186" s="51">
        <f t="shared" si="78"/>
        <v>0</v>
      </c>
      <c r="BE186" s="51">
        <v>0</v>
      </c>
      <c r="BF186" s="51">
        <f>186</f>
        <v>186</v>
      </c>
      <c r="BH186" s="51">
        <f t="shared" si="79"/>
        <v>0</v>
      </c>
      <c r="BI186" s="51">
        <f t="shared" si="80"/>
        <v>0</v>
      </c>
      <c r="BJ186" s="51">
        <f t="shared" si="81"/>
        <v>0</v>
      </c>
      <c r="BK186" s="51"/>
      <c r="BL186" s="51">
        <v>725</v>
      </c>
      <c r="BW186" s="51">
        <v>12</v>
      </c>
      <c r="BX186" s="3" t="s">
        <v>515</v>
      </c>
    </row>
    <row r="187" spans="1:76">
      <c r="A187" s="1" t="s">
        <v>516</v>
      </c>
      <c r="B187" s="2" t="s">
        <v>517</v>
      </c>
      <c r="C187" s="75" t="s">
        <v>518</v>
      </c>
      <c r="D187" s="70"/>
      <c r="E187" s="2" t="s">
        <v>293</v>
      </c>
      <c r="F187" s="51">
        <v>0.16400000000000001</v>
      </c>
      <c r="G187" s="52">
        <v>0</v>
      </c>
      <c r="H187" s="51">
        <f t="shared" si="62"/>
        <v>0</v>
      </c>
      <c r="J187" s="41"/>
      <c r="Z187" s="51">
        <f t="shared" si="63"/>
        <v>0</v>
      </c>
      <c r="AB187" s="51">
        <f t="shared" si="64"/>
        <v>0</v>
      </c>
      <c r="AC187" s="51">
        <f t="shared" si="65"/>
        <v>0</v>
      </c>
      <c r="AD187" s="51">
        <f t="shared" si="66"/>
        <v>0</v>
      </c>
      <c r="AE187" s="51">
        <f t="shared" si="67"/>
        <v>0</v>
      </c>
      <c r="AF187" s="51">
        <f t="shared" si="68"/>
        <v>0</v>
      </c>
      <c r="AG187" s="51">
        <f t="shared" si="69"/>
        <v>0</v>
      </c>
      <c r="AH187" s="51">
        <f t="shared" si="70"/>
        <v>0</v>
      </c>
      <c r="AI187" s="35" t="s">
        <v>4</v>
      </c>
      <c r="AJ187" s="51">
        <f t="shared" si="71"/>
        <v>0</v>
      </c>
      <c r="AK187" s="51">
        <f t="shared" si="72"/>
        <v>0</v>
      </c>
      <c r="AL187" s="51">
        <f t="shared" si="73"/>
        <v>0</v>
      </c>
      <c r="AN187" s="51">
        <v>12</v>
      </c>
      <c r="AO187" s="51">
        <f>G187*0</f>
        <v>0</v>
      </c>
      <c r="AP187" s="51">
        <f>G187*(1-0)</f>
        <v>0</v>
      </c>
      <c r="AQ187" s="53" t="s">
        <v>137</v>
      </c>
      <c r="AV187" s="51">
        <f t="shared" si="74"/>
        <v>0</v>
      </c>
      <c r="AW187" s="51">
        <f t="shared" si="75"/>
        <v>0</v>
      </c>
      <c r="AX187" s="51">
        <f t="shared" si="76"/>
        <v>0</v>
      </c>
      <c r="AY187" s="53" t="s">
        <v>440</v>
      </c>
      <c r="AZ187" s="53" t="s">
        <v>361</v>
      </c>
      <c r="BA187" s="35" t="s">
        <v>117</v>
      </c>
      <c r="BC187" s="51">
        <f t="shared" si="77"/>
        <v>0</v>
      </c>
      <c r="BD187" s="51">
        <f t="shared" si="78"/>
        <v>0</v>
      </c>
      <c r="BE187" s="51">
        <v>0</v>
      </c>
      <c r="BF187" s="51">
        <f>187</f>
        <v>187</v>
      </c>
      <c r="BH187" s="51">
        <f t="shared" si="79"/>
        <v>0</v>
      </c>
      <c r="BI187" s="51">
        <f t="shared" si="80"/>
        <v>0</v>
      </c>
      <c r="BJ187" s="51">
        <f t="shared" si="81"/>
        <v>0</v>
      </c>
      <c r="BK187" s="51"/>
      <c r="BL187" s="51">
        <v>725</v>
      </c>
      <c r="BW187" s="51">
        <v>12</v>
      </c>
      <c r="BX187" s="3" t="s">
        <v>518</v>
      </c>
    </row>
    <row r="188" spans="1:76">
      <c r="A188" s="47" t="s">
        <v>4</v>
      </c>
      <c r="B188" s="48" t="s">
        <v>519</v>
      </c>
      <c r="C188" s="150" t="s">
        <v>520</v>
      </c>
      <c r="D188" s="151"/>
      <c r="E188" s="49" t="s">
        <v>79</v>
      </c>
      <c r="F188" s="49" t="s">
        <v>79</v>
      </c>
      <c r="G188" s="50" t="s">
        <v>79</v>
      </c>
      <c r="H188" s="28">
        <f>SUM(H189:H190)</f>
        <v>0</v>
      </c>
      <c r="J188" s="41"/>
      <c r="AI188" s="35" t="s">
        <v>4</v>
      </c>
      <c r="AS188" s="28">
        <f>SUM(AJ189:AJ190)</f>
        <v>0</v>
      </c>
      <c r="AT188" s="28">
        <f>SUM(AK189:AK190)</f>
        <v>0</v>
      </c>
      <c r="AU188" s="28">
        <f>SUM(AL189:AL190)</f>
        <v>0</v>
      </c>
    </row>
    <row r="189" spans="1:76">
      <c r="A189" s="1" t="s">
        <v>521</v>
      </c>
      <c r="B189" s="2" t="s">
        <v>522</v>
      </c>
      <c r="C189" s="75" t="s">
        <v>523</v>
      </c>
      <c r="D189" s="70"/>
      <c r="E189" s="2" t="s">
        <v>253</v>
      </c>
      <c r="F189" s="51">
        <v>1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G189*0.3452</f>
        <v>0</v>
      </c>
      <c r="AP189" s="51">
        <f>G189*(1-0.3452)</f>
        <v>0</v>
      </c>
      <c r="AQ189" s="53" t="s">
        <v>149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524</v>
      </c>
      <c r="AZ189" s="53" t="s">
        <v>525</v>
      </c>
      <c r="BA189" s="35" t="s">
        <v>117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735</v>
      </c>
      <c r="BW189" s="51">
        <v>12</v>
      </c>
      <c r="BX189" s="3" t="s">
        <v>523</v>
      </c>
    </row>
    <row r="190" spans="1:76">
      <c r="A190" s="1" t="s">
        <v>322</v>
      </c>
      <c r="B190" s="2" t="s">
        <v>526</v>
      </c>
      <c r="C190" s="75" t="s">
        <v>527</v>
      </c>
      <c r="D190" s="70"/>
      <c r="E190" s="2" t="s">
        <v>439</v>
      </c>
      <c r="F190" s="51">
        <v>1</v>
      </c>
      <c r="G190" s="52">
        <v>0</v>
      </c>
      <c r="H190" s="51">
        <f>F190*G190</f>
        <v>0</v>
      </c>
      <c r="J190" s="41"/>
      <c r="Z190" s="51">
        <f>IF(AQ190="5",BJ190,0)</f>
        <v>0</v>
      </c>
      <c r="AB190" s="51">
        <f>IF(AQ190="1",BH190,0)</f>
        <v>0</v>
      </c>
      <c r="AC190" s="51">
        <f>IF(AQ190="1",BI190,0)</f>
        <v>0</v>
      </c>
      <c r="AD190" s="51">
        <f>IF(AQ190="7",BH190,0)</f>
        <v>0</v>
      </c>
      <c r="AE190" s="51">
        <f>IF(AQ190="7",BI190,0)</f>
        <v>0</v>
      </c>
      <c r="AF190" s="51">
        <f>IF(AQ190="2",BH190,0)</f>
        <v>0</v>
      </c>
      <c r="AG190" s="51">
        <f>IF(AQ190="2",BI190,0)</f>
        <v>0</v>
      </c>
      <c r="AH190" s="51">
        <f>IF(AQ190="0",BJ190,0)</f>
        <v>0</v>
      </c>
      <c r="AI190" s="35" t="s">
        <v>4</v>
      </c>
      <c r="AJ190" s="51">
        <f>IF(AN190=0,H190,0)</f>
        <v>0</v>
      </c>
      <c r="AK190" s="51">
        <f>IF(AN190=12,H190,0)</f>
        <v>0</v>
      </c>
      <c r="AL190" s="51">
        <f>IF(AN190=21,H190,0)</f>
        <v>0</v>
      </c>
      <c r="AN190" s="51">
        <v>12</v>
      </c>
      <c r="AO190" s="51">
        <f>G190*0.629222</f>
        <v>0</v>
      </c>
      <c r="AP190" s="51">
        <f>G190*(1-0.629222)</f>
        <v>0</v>
      </c>
      <c r="AQ190" s="53" t="s">
        <v>149</v>
      </c>
      <c r="AV190" s="51">
        <f>AW190+AX190</f>
        <v>0</v>
      </c>
      <c r="AW190" s="51">
        <f>F190*AO190</f>
        <v>0</v>
      </c>
      <c r="AX190" s="51">
        <f>F190*AP190</f>
        <v>0</v>
      </c>
      <c r="AY190" s="53" t="s">
        <v>524</v>
      </c>
      <c r="AZ190" s="53" t="s">
        <v>525</v>
      </c>
      <c r="BA190" s="35" t="s">
        <v>117</v>
      </c>
      <c r="BC190" s="51">
        <f>AW190+AX190</f>
        <v>0</v>
      </c>
      <c r="BD190" s="51">
        <f>G190/(100-BE190)*100</f>
        <v>0</v>
      </c>
      <c r="BE190" s="51">
        <v>0</v>
      </c>
      <c r="BF190" s="51">
        <f>190</f>
        <v>190</v>
      </c>
      <c r="BH190" s="51">
        <f>F190*AO190</f>
        <v>0</v>
      </c>
      <c r="BI190" s="51">
        <f>F190*AP190</f>
        <v>0</v>
      </c>
      <c r="BJ190" s="51">
        <f>F190*G190</f>
        <v>0</v>
      </c>
      <c r="BK190" s="51"/>
      <c r="BL190" s="51">
        <v>735</v>
      </c>
      <c r="BW190" s="51">
        <v>12</v>
      </c>
      <c r="BX190" s="3" t="s">
        <v>527</v>
      </c>
    </row>
    <row r="191" spans="1:76">
      <c r="A191" s="47" t="s">
        <v>4</v>
      </c>
      <c r="B191" s="48" t="s">
        <v>528</v>
      </c>
      <c r="C191" s="150" t="s">
        <v>529</v>
      </c>
      <c r="D191" s="151"/>
      <c r="E191" s="49" t="s">
        <v>79</v>
      </c>
      <c r="F191" s="49" t="s">
        <v>79</v>
      </c>
      <c r="G191" s="50" t="s">
        <v>79</v>
      </c>
      <c r="H191" s="28">
        <f>SUM(H192:H207)</f>
        <v>0</v>
      </c>
      <c r="J191" s="41"/>
      <c r="AI191" s="35" t="s">
        <v>4</v>
      </c>
      <c r="AS191" s="28">
        <f>SUM(AJ192:AJ207)</f>
        <v>0</v>
      </c>
      <c r="AT191" s="28">
        <f>SUM(AK192:AK207)</f>
        <v>0</v>
      </c>
      <c r="AU191" s="28">
        <f>SUM(AL192:AL207)</f>
        <v>0</v>
      </c>
    </row>
    <row r="192" spans="1:76">
      <c r="A192" s="1" t="s">
        <v>530</v>
      </c>
      <c r="B192" s="2" t="s">
        <v>531</v>
      </c>
      <c r="C192" s="75" t="s">
        <v>532</v>
      </c>
      <c r="D192" s="70"/>
      <c r="E192" s="2" t="s">
        <v>114</v>
      </c>
      <c r="F192" s="51">
        <v>4</v>
      </c>
      <c r="G192" s="52">
        <v>0</v>
      </c>
      <c r="H192" s="51">
        <f t="shared" ref="H192:H201" si="82">F192*G192</f>
        <v>0</v>
      </c>
      <c r="J192" s="41"/>
      <c r="Z192" s="51">
        <f t="shared" ref="Z192:Z201" si="83">IF(AQ192="5",BJ192,0)</f>
        <v>0</v>
      </c>
      <c r="AB192" s="51">
        <f t="shared" ref="AB192:AB201" si="84">IF(AQ192="1",BH192,0)</f>
        <v>0</v>
      </c>
      <c r="AC192" s="51">
        <f t="shared" ref="AC192:AC201" si="85">IF(AQ192="1",BI192,0)</f>
        <v>0</v>
      </c>
      <c r="AD192" s="51">
        <f t="shared" ref="AD192:AD201" si="86">IF(AQ192="7",BH192,0)</f>
        <v>0</v>
      </c>
      <c r="AE192" s="51">
        <f t="shared" ref="AE192:AE201" si="87">IF(AQ192="7",BI192,0)</f>
        <v>0</v>
      </c>
      <c r="AF192" s="51">
        <f t="shared" ref="AF192:AF201" si="88">IF(AQ192="2",BH192,0)</f>
        <v>0</v>
      </c>
      <c r="AG192" s="51">
        <f t="shared" ref="AG192:AG201" si="89">IF(AQ192="2",BI192,0)</f>
        <v>0</v>
      </c>
      <c r="AH192" s="51">
        <f t="shared" ref="AH192:AH201" si="90">IF(AQ192="0",BJ192,0)</f>
        <v>0</v>
      </c>
      <c r="AI192" s="35" t="s">
        <v>4</v>
      </c>
      <c r="AJ192" s="51">
        <f t="shared" ref="AJ192:AJ201" si="91">IF(AN192=0,H192,0)</f>
        <v>0</v>
      </c>
      <c r="AK192" s="51">
        <f t="shared" ref="AK192:AK201" si="92">IF(AN192=12,H192,0)</f>
        <v>0</v>
      </c>
      <c r="AL192" s="51">
        <f t="shared" ref="AL192:AL201" si="93">IF(AN192=21,H192,0)</f>
        <v>0</v>
      </c>
      <c r="AN192" s="51">
        <v>12</v>
      </c>
      <c r="AO192" s="51">
        <f t="shared" ref="AO192:AO200" si="94">G192*0</f>
        <v>0</v>
      </c>
      <c r="AP192" s="51">
        <f t="shared" ref="AP192:AP200" si="95">G192*(1-0)</f>
        <v>0</v>
      </c>
      <c r="AQ192" s="53" t="s">
        <v>149</v>
      </c>
      <c r="AV192" s="51">
        <f t="shared" ref="AV192:AV201" si="96">AW192+AX192</f>
        <v>0</v>
      </c>
      <c r="AW192" s="51">
        <f t="shared" ref="AW192:AW201" si="97">F192*AO192</f>
        <v>0</v>
      </c>
      <c r="AX192" s="51">
        <f t="shared" ref="AX192:AX201" si="98">F192*AP192</f>
        <v>0</v>
      </c>
      <c r="AY192" s="53" t="s">
        <v>533</v>
      </c>
      <c r="AZ192" s="53" t="s">
        <v>534</v>
      </c>
      <c r="BA192" s="35" t="s">
        <v>117</v>
      </c>
      <c r="BC192" s="51">
        <f t="shared" ref="BC192:BC201" si="99">AW192+AX192</f>
        <v>0</v>
      </c>
      <c r="BD192" s="51">
        <f t="shared" ref="BD192:BD201" si="100">G192/(100-BE192)*100</f>
        <v>0</v>
      </c>
      <c r="BE192" s="51">
        <v>0</v>
      </c>
      <c r="BF192" s="51">
        <f>192</f>
        <v>192</v>
      </c>
      <c r="BH192" s="51">
        <f t="shared" ref="BH192:BH201" si="101">F192*AO192</f>
        <v>0</v>
      </c>
      <c r="BI192" s="51">
        <f t="shared" ref="BI192:BI201" si="102">F192*AP192</f>
        <v>0</v>
      </c>
      <c r="BJ192" s="51">
        <f t="shared" ref="BJ192:BJ201" si="103">F192*G192</f>
        <v>0</v>
      </c>
      <c r="BK192" s="51"/>
      <c r="BL192" s="51">
        <v>766</v>
      </c>
      <c r="BW192" s="51">
        <v>12</v>
      </c>
      <c r="BX192" s="3" t="s">
        <v>532</v>
      </c>
    </row>
    <row r="193" spans="1:76">
      <c r="A193" s="1" t="s">
        <v>535</v>
      </c>
      <c r="B193" s="2" t="s">
        <v>536</v>
      </c>
      <c r="C193" s="75" t="s">
        <v>537</v>
      </c>
      <c r="D193" s="70"/>
      <c r="E193" s="2" t="s">
        <v>114</v>
      </c>
      <c r="F193" s="51">
        <v>1</v>
      </c>
      <c r="G193" s="52">
        <v>0</v>
      </c>
      <c r="H193" s="51">
        <f t="shared" si="82"/>
        <v>0</v>
      </c>
      <c r="J193" s="41"/>
      <c r="Z193" s="51">
        <f t="shared" si="83"/>
        <v>0</v>
      </c>
      <c r="AB193" s="51">
        <f t="shared" si="84"/>
        <v>0</v>
      </c>
      <c r="AC193" s="51">
        <f t="shared" si="85"/>
        <v>0</v>
      </c>
      <c r="AD193" s="51">
        <f t="shared" si="86"/>
        <v>0</v>
      </c>
      <c r="AE193" s="51">
        <f t="shared" si="87"/>
        <v>0</v>
      </c>
      <c r="AF193" s="51">
        <f t="shared" si="88"/>
        <v>0</v>
      </c>
      <c r="AG193" s="51">
        <f t="shared" si="89"/>
        <v>0</v>
      </c>
      <c r="AH193" s="51">
        <f t="shared" si="90"/>
        <v>0</v>
      </c>
      <c r="AI193" s="35" t="s">
        <v>4</v>
      </c>
      <c r="AJ193" s="51">
        <f t="shared" si="91"/>
        <v>0</v>
      </c>
      <c r="AK193" s="51">
        <f t="shared" si="92"/>
        <v>0</v>
      </c>
      <c r="AL193" s="51">
        <f t="shared" si="93"/>
        <v>0</v>
      </c>
      <c r="AN193" s="51">
        <v>12</v>
      </c>
      <c r="AO193" s="51">
        <f t="shared" si="94"/>
        <v>0</v>
      </c>
      <c r="AP193" s="51">
        <f t="shared" si="95"/>
        <v>0</v>
      </c>
      <c r="AQ193" s="53" t="s">
        <v>149</v>
      </c>
      <c r="AV193" s="51">
        <f t="shared" si="96"/>
        <v>0</v>
      </c>
      <c r="AW193" s="51">
        <f t="shared" si="97"/>
        <v>0</v>
      </c>
      <c r="AX193" s="51">
        <f t="shared" si="98"/>
        <v>0</v>
      </c>
      <c r="AY193" s="53" t="s">
        <v>533</v>
      </c>
      <c r="AZ193" s="53" t="s">
        <v>534</v>
      </c>
      <c r="BA193" s="35" t="s">
        <v>117</v>
      </c>
      <c r="BC193" s="51">
        <f t="shared" si="99"/>
        <v>0</v>
      </c>
      <c r="BD193" s="51">
        <f t="shared" si="100"/>
        <v>0</v>
      </c>
      <c r="BE193" s="51">
        <v>0</v>
      </c>
      <c r="BF193" s="51">
        <f>193</f>
        <v>193</v>
      </c>
      <c r="BH193" s="51">
        <f t="shared" si="101"/>
        <v>0</v>
      </c>
      <c r="BI193" s="51">
        <f t="shared" si="102"/>
        <v>0</v>
      </c>
      <c r="BJ193" s="51">
        <f t="shared" si="103"/>
        <v>0</v>
      </c>
      <c r="BK193" s="51"/>
      <c r="BL193" s="51">
        <v>766</v>
      </c>
      <c r="BW193" s="51">
        <v>12</v>
      </c>
      <c r="BX193" s="3" t="s">
        <v>537</v>
      </c>
    </row>
    <row r="194" spans="1:76">
      <c r="A194" s="1" t="s">
        <v>538</v>
      </c>
      <c r="B194" s="2" t="s">
        <v>539</v>
      </c>
      <c r="C194" s="75" t="s">
        <v>540</v>
      </c>
      <c r="D194" s="70"/>
      <c r="E194" s="2" t="s">
        <v>114</v>
      </c>
      <c r="F194" s="51">
        <v>1</v>
      </c>
      <c r="G194" s="52">
        <v>0</v>
      </c>
      <c r="H194" s="51">
        <f t="shared" si="82"/>
        <v>0</v>
      </c>
      <c r="J194" s="41"/>
      <c r="Z194" s="51">
        <f t="shared" si="83"/>
        <v>0</v>
      </c>
      <c r="AB194" s="51">
        <f t="shared" si="84"/>
        <v>0</v>
      </c>
      <c r="AC194" s="51">
        <f t="shared" si="85"/>
        <v>0</v>
      </c>
      <c r="AD194" s="51">
        <f t="shared" si="86"/>
        <v>0</v>
      </c>
      <c r="AE194" s="51">
        <f t="shared" si="87"/>
        <v>0</v>
      </c>
      <c r="AF194" s="51">
        <f t="shared" si="88"/>
        <v>0</v>
      </c>
      <c r="AG194" s="51">
        <f t="shared" si="89"/>
        <v>0</v>
      </c>
      <c r="AH194" s="51">
        <f t="shared" si="90"/>
        <v>0</v>
      </c>
      <c r="AI194" s="35" t="s">
        <v>4</v>
      </c>
      <c r="AJ194" s="51">
        <f t="shared" si="91"/>
        <v>0</v>
      </c>
      <c r="AK194" s="51">
        <f t="shared" si="92"/>
        <v>0</v>
      </c>
      <c r="AL194" s="51">
        <f t="shared" si="93"/>
        <v>0</v>
      </c>
      <c r="AN194" s="51">
        <v>12</v>
      </c>
      <c r="AO194" s="51">
        <f t="shared" si="94"/>
        <v>0</v>
      </c>
      <c r="AP194" s="51">
        <f t="shared" si="95"/>
        <v>0</v>
      </c>
      <c r="AQ194" s="53" t="s">
        <v>149</v>
      </c>
      <c r="AV194" s="51">
        <f t="shared" si="96"/>
        <v>0</v>
      </c>
      <c r="AW194" s="51">
        <f t="shared" si="97"/>
        <v>0</v>
      </c>
      <c r="AX194" s="51">
        <f t="shared" si="98"/>
        <v>0</v>
      </c>
      <c r="AY194" s="53" t="s">
        <v>533</v>
      </c>
      <c r="AZ194" s="53" t="s">
        <v>534</v>
      </c>
      <c r="BA194" s="35" t="s">
        <v>117</v>
      </c>
      <c r="BC194" s="51">
        <f t="shared" si="99"/>
        <v>0</v>
      </c>
      <c r="BD194" s="51">
        <f t="shared" si="100"/>
        <v>0</v>
      </c>
      <c r="BE194" s="51">
        <v>0</v>
      </c>
      <c r="BF194" s="51">
        <f>194</f>
        <v>194</v>
      </c>
      <c r="BH194" s="51">
        <f t="shared" si="101"/>
        <v>0</v>
      </c>
      <c r="BI194" s="51">
        <f t="shared" si="102"/>
        <v>0</v>
      </c>
      <c r="BJ194" s="51">
        <f t="shared" si="103"/>
        <v>0</v>
      </c>
      <c r="BK194" s="51"/>
      <c r="BL194" s="51">
        <v>766</v>
      </c>
      <c r="BW194" s="51">
        <v>12</v>
      </c>
      <c r="BX194" s="3" t="s">
        <v>540</v>
      </c>
    </row>
    <row r="195" spans="1:76">
      <c r="A195" s="1" t="s">
        <v>541</v>
      </c>
      <c r="B195" s="2" t="s">
        <v>542</v>
      </c>
      <c r="C195" s="75" t="s">
        <v>543</v>
      </c>
      <c r="D195" s="70"/>
      <c r="E195" s="2" t="s">
        <v>114</v>
      </c>
      <c r="F195" s="51">
        <v>1</v>
      </c>
      <c r="G195" s="52">
        <v>0</v>
      </c>
      <c r="H195" s="51">
        <f t="shared" si="82"/>
        <v>0</v>
      </c>
      <c r="J195" s="41"/>
      <c r="Z195" s="51">
        <f t="shared" si="83"/>
        <v>0</v>
      </c>
      <c r="AB195" s="51">
        <f t="shared" si="84"/>
        <v>0</v>
      </c>
      <c r="AC195" s="51">
        <f t="shared" si="85"/>
        <v>0</v>
      </c>
      <c r="AD195" s="51">
        <f t="shared" si="86"/>
        <v>0</v>
      </c>
      <c r="AE195" s="51">
        <f t="shared" si="87"/>
        <v>0</v>
      </c>
      <c r="AF195" s="51">
        <f t="shared" si="88"/>
        <v>0</v>
      </c>
      <c r="AG195" s="51">
        <f t="shared" si="89"/>
        <v>0</v>
      </c>
      <c r="AH195" s="51">
        <f t="shared" si="90"/>
        <v>0</v>
      </c>
      <c r="AI195" s="35" t="s">
        <v>4</v>
      </c>
      <c r="AJ195" s="51">
        <f t="shared" si="91"/>
        <v>0</v>
      </c>
      <c r="AK195" s="51">
        <f t="shared" si="92"/>
        <v>0</v>
      </c>
      <c r="AL195" s="51">
        <f t="shared" si="93"/>
        <v>0</v>
      </c>
      <c r="AN195" s="51">
        <v>12</v>
      </c>
      <c r="AO195" s="51">
        <f t="shared" si="94"/>
        <v>0</v>
      </c>
      <c r="AP195" s="51">
        <f t="shared" si="95"/>
        <v>0</v>
      </c>
      <c r="AQ195" s="53" t="s">
        <v>149</v>
      </c>
      <c r="AV195" s="51">
        <f t="shared" si="96"/>
        <v>0</v>
      </c>
      <c r="AW195" s="51">
        <f t="shared" si="97"/>
        <v>0</v>
      </c>
      <c r="AX195" s="51">
        <f t="shared" si="98"/>
        <v>0</v>
      </c>
      <c r="AY195" s="53" t="s">
        <v>533</v>
      </c>
      <c r="AZ195" s="53" t="s">
        <v>534</v>
      </c>
      <c r="BA195" s="35" t="s">
        <v>117</v>
      </c>
      <c r="BC195" s="51">
        <f t="shared" si="99"/>
        <v>0</v>
      </c>
      <c r="BD195" s="51">
        <f t="shared" si="100"/>
        <v>0</v>
      </c>
      <c r="BE195" s="51">
        <v>0</v>
      </c>
      <c r="BF195" s="51">
        <f>195</f>
        <v>195</v>
      </c>
      <c r="BH195" s="51">
        <f t="shared" si="101"/>
        <v>0</v>
      </c>
      <c r="BI195" s="51">
        <f t="shared" si="102"/>
        <v>0</v>
      </c>
      <c r="BJ195" s="51">
        <f t="shared" si="103"/>
        <v>0</v>
      </c>
      <c r="BK195" s="51"/>
      <c r="BL195" s="51">
        <v>766</v>
      </c>
      <c r="BW195" s="51">
        <v>12</v>
      </c>
      <c r="BX195" s="3" t="s">
        <v>543</v>
      </c>
    </row>
    <row r="196" spans="1:76">
      <c r="A196" s="1" t="s">
        <v>544</v>
      </c>
      <c r="B196" s="2" t="s">
        <v>545</v>
      </c>
      <c r="C196" s="75" t="s">
        <v>546</v>
      </c>
      <c r="D196" s="70"/>
      <c r="E196" s="2" t="s">
        <v>114</v>
      </c>
      <c r="F196" s="51">
        <v>3</v>
      </c>
      <c r="G196" s="52">
        <v>0</v>
      </c>
      <c r="H196" s="51">
        <f t="shared" si="82"/>
        <v>0</v>
      </c>
      <c r="J196" s="41"/>
      <c r="Z196" s="51">
        <f t="shared" si="83"/>
        <v>0</v>
      </c>
      <c r="AB196" s="51">
        <f t="shared" si="84"/>
        <v>0</v>
      </c>
      <c r="AC196" s="51">
        <f t="shared" si="85"/>
        <v>0</v>
      </c>
      <c r="AD196" s="51">
        <f t="shared" si="86"/>
        <v>0</v>
      </c>
      <c r="AE196" s="51">
        <f t="shared" si="87"/>
        <v>0</v>
      </c>
      <c r="AF196" s="51">
        <f t="shared" si="88"/>
        <v>0</v>
      </c>
      <c r="AG196" s="51">
        <f t="shared" si="89"/>
        <v>0</v>
      </c>
      <c r="AH196" s="51">
        <f t="shared" si="90"/>
        <v>0</v>
      </c>
      <c r="AI196" s="35" t="s">
        <v>4</v>
      </c>
      <c r="AJ196" s="51">
        <f t="shared" si="91"/>
        <v>0</v>
      </c>
      <c r="AK196" s="51">
        <f t="shared" si="92"/>
        <v>0</v>
      </c>
      <c r="AL196" s="51">
        <f t="shared" si="93"/>
        <v>0</v>
      </c>
      <c r="AN196" s="51">
        <v>12</v>
      </c>
      <c r="AO196" s="51">
        <f t="shared" si="94"/>
        <v>0</v>
      </c>
      <c r="AP196" s="51">
        <f t="shared" si="95"/>
        <v>0</v>
      </c>
      <c r="AQ196" s="53" t="s">
        <v>149</v>
      </c>
      <c r="AV196" s="51">
        <f t="shared" si="96"/>
        <v>0</v>
      </c>
      <c r="AW196" s="51">
        <f t="shared" si="97"/>
        <v>0</v>
      </c>
      <c r="AX196" s="51">
        <f t="shared" si="98"/>
        <v>0</v>
      </c>
      <c r="AY196" s="53" t="s">
        <v>533</v>
      </c>
      <c r="AZ196" s="53" t="s">
        <v>534</v>
      </c>
      <c r="BA196" s="35" t="s">
        <v>117</v>
      </c>
      <c r="BC196" s="51">
        <f t="shared" si="99"/>
        <v>0</v>
      </c>
      <c r="BD196" s="51">
        <f t="shared" si="100"/>
        <v>0</v>
      </c>
      <c r="BE196" s="51">
        <v>0</v>
      </c>
      <c r="BF196" s="51">
        <f>196</f>
        <v>196</v>
      </c>
      <c r="BH196" s="51">
        <f t="shared" si="101"/>
        <v>0</v>
      </c>
      <c r="BI196" s="51">
        <f t="shared" si="102"/>
        <v>0</v>
      </c>
      <c r="BJ196" s="51">
        <f t="shared" si="103"/>
        <v>0</v>
      </c>
      <c r="BK196" s="51"/>
      <c r="BL196" s="51">
        <v>766</v>
      </c>
      <c r="BW196" s="51">
        <v>12</v>
      </c>
      <c r="BX196" s="3" t="s">
        <v>546</v>
      </c>
    </row>
    <row r="197" spans="1:76">
      <c r="A197" s="1" t="s">
        <v>547</v>
      </c>
      <c r="B197" s="2" t="s">
        <v>548</v>
      </c>
      <c r="C197" s="75" t="s">
        <v>549</v>
      </c>
      <c r="D197" s="70"/>
      <c r="E197" s="2" t="s">
        <v>114</v>
      </c>
      <c r="F197" s="51">
        <v>1</v>
      </c>
      <c r="G197" s="52">
        <v>0</v>
      </c>
      <c r="H197" s="51">
        <f t="shared" si="82"/>
        <v>0</v>
      </c>
      <c r="J197" s="41"/>
      <c r="Z197" s="51">
        <f t="shared" si="83"/>
        <v>0</v>
      </c>
      <c r="AB197" s="51">
        <f t="shared" si="84"/>
        <v>0</v>
      </c>
      <c r="AC197" s="51">
        <f t="shared" si="85"/>
        <v>0</v>
      </c>
      <c r="AD197" s="51">
        <f t="shared" si="86"/>
        <v>0</v>
      </c>
      <c r="AE197" s="51">
        <f t="shared" si="87"/>
        <v>0</v>
      </c>
      <c r="AF197" s="51">
        <f t="shared" si="88"/>
        <v>0</v>
      </c>
      <c r="AG197" s="51">
        <f t="shared" si="89"/>
        <v>0</v>
      </c>
      <c r="AH197" s="51">
        <f t="shared" si="90"/>
        <v>0</v>
      </c>
      <c r="AI197" s="35" t="s">
        <v>4</v>
      </c>
      <c r="AJ197" s="51">
        <f t="shared" si="91"/>
        <v>0</v>
      </c>
      <c r="AK197" s="51">
        <f t="shared" si="92"/>
        <v>0</v>
      </c>
      <c r="AL197" s="51">
        <f t="shared" si="93"/>
        <v>0</v>
      </c>
      <c r="AN197" s="51">
        <v>12</v>
      </c>
      <c r="AO197" s="51">
        <f t="shared" si="94"/>
        <v>0</v>
      </c>
      <c r="AP197" s="51">
        <f t="shared" si="95"/>
        <v>0</v>
      </c>
      <c r="AQ197" s="53" t="s">
        <v>149</v>
      </c>
      <c r="AV197" s="51">
        <f t="shared" si="96"/>
        <v>0</v>
      </c>
      <c r="AW197" s="51">
        <f t="shared" si="97"/>
        <v>0</v>
      </c>
      <c r="AX197" s="51">
        <f t="shared" si="98"/>
        <v>0</v>
      </c>
      <c r="AY197" s="53" t="s">
        <v>533</v>
      </c>
      <c r="AZ197" s="53" t="s">
        <v>534</v>
      </c>
      <c r="BA197" s="35" t="s">
        <v>117</v>
      </c>
      <c r="BC197" s="51">
        <f t="shared" si="99"/>
        <v>0</v>
      </c>
      <c r="BD197" s="51">
        <f t="shared" si="100"/>
        <v>0</v>
      </c>
      <c r="BE197" s="51">
        <v>0</v>
      </c>
      <c r="BF197" s="51">
        <f>197</f>
        <v>197</v>
      </c>
      <c r="BH197" s="51">
        <f t="shared" si="101"/>
        <v>0</v>
      </c>
      <c r="BI197" s="51">
        <f t="shared" si="102"/>
        <v>0</v>
      </c>
      <c r="BJ197" s="51">
        <f t="shared" si="103"/>
        <v>0</v>
      </c>
      <c r="BK197" s="51"/>
      <c r="BL197" s="51">
        <v>766</v>
      </c>
      <c r="BW197" s="51">
        <v>12</v>
      </c>
      <c r="BX197" s="3" t="s">
        <v>549</v>
      </c>
    </row>
    <row r="198" spans="1:76">
      <c r="A198" s="1" t="s">
        <v>550</v>
      </c>
      <c r="B198" s="2" t="s">
        <v>551</v>
      </c>
      <c r="C198" s="75" t="s">
        <v>552</v>
      </c>
      <c r="D198" s="70"/>
      <c r="E198" s="2" t="s">
        <v>114</v>
      </c>
      <c r="F198" s="51">
        <v>1</v>
      </c>
      <c r="G198" s="52">
        <v>0</v>
      </c>
      <c r="H198" s="51">
        <f t="shared" si="82"/>
        <v>0</v>
      </c>
      <c r="J198" s="41"/>
      <c r="Z198" s="51">
        <f t="shared" si="83"/>
        <v>0</v>
      </c>
      <c r="AB198" s="51">
        <f t="shared" si="84"/>
        <v>0</v>
      </c>
      <c r="AC198" s="51">
        <f t="shared" si="85"/>
        <v>0</v>
      </c>
      <c r="AD198" s="51">
        <f t="shared" si="86"/>
        <v>0</v>
      </c>
      <c r="AE198" s="51">
        <f t="shared" si="87"/>
        <v>0</v>
      </c>
      <c r="AF198" s="51">
        <f t="shared" si="88"/>
        <v>0</v>
      </c>
      <c r="AG198" s="51">
        <f t="shared" si="89"/>
        <v>0</v>
      </c>
      <c r="AH198" s="51">
        <f t="shared" si="90"/>
        <v>0</v>
      </c>
      <c r="AI198" s="35" t="s">
        <v>4</v>
      </c>
      <c r="AJ198" s="51">
        <f t="shared" si="91"/>
        <v>0</v>
      </c>
      <c r="AK198" s="51">
        <f t="shared" si="92"/>
        <v>0</v>
      </c>
      <c r="AL198" s="51">
        <f t="shared" si="93"/>
        <v>0</v>
      </c>
      <c r="AN198" s="51">
        <v>12</v>
      </c>
      <c r="AO198" s="51">
        <f t="shared" si="94"/>
        <v>0</v>
      </c>
      <c r="AP198" s="51">
        <f t="shared" si="95"/>
        <v>0</v>
      </c>
      <c r="AQ198" s="53" t="s">
        <v>149</v>
      </c>
      <c r="AV198" s="51">
        <f t="shared" si="96"/>
        <v>0</v>
      </c>
      <c r="AW198" s="51">
        <f t="shared" si="97"/>
        <v>0</v>
      </c>
      <c r="AX198" s="51">
        <f t="shared" si="98"/>
        <v>0</v>
      </c>
      <c r="AY198" s="53" t="s">
        <v>533</v>
      </c>
      <c r="AZ198" s="53" t="s">
        <v>534</v>
      </c>
      <c r="BA198" s="35" t="s">
        <v>117</v>
      </c>
      <c r="BC198" s="51">
        <f t="shared" si="99"/>
        <v>0</v>
      </c>
      <c r="BD198" s="51">
        <f t="shared" si="100"/>
        <v>0</v>
      </c>
      <c r="BE198" s="51">
        <v>0</v>
      </c>
      <c r="BF198" s="51">
        <f>198</f>
        <v>198</v>
      </c>
      <c r="BH198" s="51">
        <f t="shared" si="101"/>
        <v>0</v>
      </c>
      <c r="BI198" s="51">
        <f t="shared" si="102"/>
        <v>0</v>
      </c>
      <c r="BJ198" s="51">
        <f t="shared" si="103"/>
        <v>0</v>
      </c>
      <c r="BK198" s="51"/>
      <c r="BL198" s="51">
        <v>766</v>
      </c>
      <c r="BW198" s="51">
        <v>12</v>
      </c>
      <c r="BX198" s="3" t="s">
        <v>552</v>
      </c>
    </row>
    <row r="199" spans="1:76">
      <c r="A199" s="1" t="s">
        <v>553</v>
      </c>
      <c r="B199" s="2" t="s">
        <v>554</v>
      </c>
      <c r="C199" s="75" t="s">
        <v>555</v>
      </c>
      <c r="D199" s="70"/>
      <c r="E199" s="2" t="s">
        <v>114</v>
      </c>
      <c r="F199" s="51">
        <v>1</v>
      </c>
      <c r="G199" s="52">
        <v>0</v>
      </c>
      <c r="H199" s="51">
        <f t="shared" si="82"/>
        <v>0</v>
      </c>
      <c r="J199" s="41"/>
      <c r="Z199" s="51">
        <f t="shared" si="83"/>
        <v>0</v>
      </c>
      <c r="AB199" s="51">
        <f t="shared" si="84"/>
        <v>0</v>
      </c>
      <c r="AC199" s="51">
        <f t="shared" si="85"/>
        <v>0</v>
      </c>
      <c r="AD199" s="51">
        <f t="shared" si="86"/>
        <v>0</v>
      </c>
      <c r="AE199" s="51">
        <f t="shared" si="87"/>
        <v>0</v>
      </c>
      <c r="AF199" s="51">
        <f t="shared" si="88"/>
        <v>0</v>
      </c>
      <c r="AG199" s="51">
        <f t="shared" si="89"/>
        <v>0</v>
      </c>
      <c r="AH199" s="51">
        <f t="shared" si="90"/>
        <v>0</v>
      </c>
      <c r="AI199" s="35" t="s">
        <v>4</v>
      </c>
      <c r="AJ199" s="51">
        <f t="shared" si="91"/>
        <v>0</v>
      </c>
      <c r="AK199" s="51">
        <f t="shared" si="92"/>
        <v>0</v>
      </c>
      <c r="AL199" s="51">
        <f t="shared" si="93"/>
        <v>0</v>
      </c>
      <c r="AN199" s="51">
        <v>12</v>
      </c>
      <c r="AO199" s="51">
        <f t="shared" si="94"/>
        <v>0</v>
      </c>
      <c r="AP199" s="51">
        <f t="shared" si="95"/>
        <v>0</v>
      </c>
      <c r="AQ199" s="53" t="s">
        <v>149</v>
      </c>
      <c r="AV199" s="51">
        <f t="shared" si="96"/>
        <v>0</v>
      </c>
      <c r="AW199" s="51">
        <f t="shared" si="97"/>
        <v>0</v>
      </c>
      <c r="AX199" s="51">
        <f t="shared" si="98"/>
        <v>0</v>
      </c>
      <c r="AY199" s="53" t="s">
        <v>533</v>
      </c>
      <c r="AZ199" s="53" t="s">
        <v>534</v>
      </c>
      <c r="BA199" s="35" t="s">
        <v>117</v>
      </c>
      <c r="BC199" s="51">
        <f t="shared" si="99"/>
        <v>0</v>
      </c>
      <c r="BD199" s="51">
        <f t="shared" si="100"/>
        <v>0</v>
      </c>
      <c r="BE199" s="51">
        <v>0</v>
      </c>
      <c r="BF199" s="51">
        <f>199</f>
        <v>199</v>
      </c>
      <c r="BH199" s="51">
        <f t="shared" si="101"/>
        <v>0</v>
      </c>
      <c r="BI199" s="51">
        <f t="shared" si="102"/>
        <v>0</v>
      </c>
      <c r="BJ199" s="51">
        <f t="shared" si="103"/>
        <v>0</v>
      </c>
      <c r="BK199" s="51"/>
      <c r="BL199" s="51">
        <v>766</v>
      </c>
      <c r="BW199" s="51">
        <v>12</v>
      </c>
      <c r="BX199" s="3" t="s">
        <v>555</v>
      </c>
    </row>
    <row r="200" spans="1:76">
      <c r="A200" s="1" t="s">
        <v>556</v>
      </c>
      <c r="B200" s="2" t="s">
        <v>557</v>
      </c>
      <c r="C200" s="75" t="s">
        <v>558</v>
      </c>
      <c r="D200" s="70"/>
      <c r="E200" s="2" t="s">
        <v>559</v>
      </c>
      <c r="F200" s="51">
        <v>2</v>
      </c>
      <c r="G200" s="52">
        <v>0</v>
      </c>
      <c r="H200" s="51">
        <f t="shared" si="82"/>
        <v>0</v>
      </c>
      <c r="J200" s="41"/>
      <c r="Z200" s="51">
        <f t="shared" si="83"/>
        <v>0</v>
      </c>
      <c r="AB200" s="51">
        <f t="shared" si="84"/>
        <v>0</v>
      </c>
      <c r="AC200" s="51">
        <f t="shared" si="85"/>
        <v>0</v>
      </c>
      <c r="AD200" s="51">
        <f t="shared" si="86"/>
        <v>0</v>
      </c>
      <c r="AE200" s="51">
        <f t="shared" si="87"/>
        <v>0</v>
      </c>
      <c r="AF200" s="51">
        <f t="shared" si="88"/>
        <v>0</v>
      </c>
      <c r="AG200" s="51">
        <f t="shared" si="89"/>
        <v>0</v>
      </c>
      <c r="AH200" s="51">
        <f t="shared" si="90"/>
        <v>0</v>
      </c>
      <c r="AI200" s="35" t="s">
        <v>4</v>
      </c>
      <c r="AJ200" s="51">
        <f t="shared" si="91"/>
        <v>0</v>
      </c>
      <c r="AK200" s="51">
        <f t="shared" si="92"/>
        <v>0</v>
      </c>
      <c r="AL200" s="51">
        <f t="shared" si="93"/>
        <v>0</v>
      </c>
      <c r="AN200" s="51">
        <v>12</v>
      </c>
      <c r="AO200" s="51">
        <f t="shared" si="94"/>
        <v>0</v>
      </c>
      <c r="AP200" s="51">
        <f t="shared" si="95"/>
        <v>0</v>
      </c>
      <c r="AQ200" s="53" t="s">
        <v>149</v>
      </c>
      <c r="AV200" s="51">
        <f t="shared" si="96"/>
        <v>0</v>
      </c>
      <c r="AW200" s="51">
        <f t="shared" si="97"/>
        <v>0</v>
      </c>
      <c r="AX200" s="51">
        <f t="shared" si="98"/>
        <v>0</v>
      </c>
      <c r="AY200" s="53" t="s">
        <v>533</v>
      </c>
      <c r="AZ200" s="53" t="s">
        <v>534</v>
      </c>
      <c r="BA200" s="35" t="s">
        <v>117</v>
      </c>
      <c r="BC200" s="51">
        <f t="shared" si="99"/>
        <v>0</v>
      </c>
      <c r="BD200" s="51">
        <f t="shared" si="100"/>
        <v>0</v>
      </c>
      <c r="BE200" s="51">
        <v>0</v>
      </c>
      <c r="BF200" s="51">
        <f>200</f>
        <v>200</v>
      </c>
      <c r="BH200" s="51">
        <f t="shared" si="101"/>
        <v>0</v>
      </c>
      <c r="BI200" s="51">
        <f t="shared" si="102"/>
        <v>0</v>
      </c>
      <c r="BJ200" s="51">
        <f t="shared" si="103"/>
        <v>0</v>
      </c>
      <c r="BK200" s="51"/>
      <c r="BL200" s="51">
        <v>766</v>
      </c>
      <c r="BW200" s="51">
        <v>12</v>
      </c>
      <c r="BX200" s="3" t="s">
        <v>558</v>
      </c>
    </row>
    <row r="201" spans="1:76">
      <c r="A201" s="1" t="s">
        <v>560</v>
      </c>
      <c r="B201" s="2" t="s">
        <v>561</v>
      </c>
      <c r="C201" s="75" t="s">
        <v>562</v>
      </c>
      <c r="D201" s="70"/>
      <c r="E201" s="2" t="s">
        <v>114</v>
      </c>
      <c r="F201" s="51">
        <v>1</v>
      </c>
      <c r="G201" s="52">
        <v>0</v>
      </c>
      <c r="H201" s="51">
        <f t="shared" si="82"/>
        <v>0</v>
      </c>
      <c r="J201" s="41"/>
      <c r="Z201" s="51">
        <f t="shared" si="83"/>
        <v>0</v>
      </c>
      <c r="AB201" s="51">
        <f t="shared" si="84"/>
        <v>0</v>
      </c>
      <c r="AC201" s="51">
        <f t="shared" si="85"/>
        <v>0</v>
      </c>
      <c r="AD201" s="51">
        <f t="shared" si="86"/>
        <v>0</v>
      </c>
      <c r="AE201" s="51">
        <f t="shared" si="87"/>
        <v>0</v>
      </c>
      <c r="AF201" s="51">
        <f t="shared" si="88"/>
        <v>0</v>
      </c>
      <c r="AG201" s="51">
        <f t="shared" si="89"/>
        <v>0</v>
      </c>
      <c r="AH201" s="51">
        <f t="shared" si="90"/>
        <v>0</v>
      </c>
      <c r="AI201" s="35" t="s">
        <v>4</v>
      </c>
      <c r="AJ201" s="51">
        <f t="shared" si="91"/>
        <v>0</v>
      </c>
      <c r="AK201" s="51">
        <f t="shared" si="92"/>
        <v>0</v>
      </c>
      <c r="AL201" s="51">
        <f t="shared" si="93"/>
        <v>0</v>
      </c>
      <c r="AN201" s="51">
        <v>12</v>
      </c>
      <c r="AO201" s="51">
        <f>G201*0.036979861</f>
        <v>0</v>
      </c>
      <c r="AP201" s="51">
        <f>G201*(1-0.036979861)</f>
        <v>0</v>
      </c>
      <c r="AQ201" s="53" t="s">
        <v>149</v>
      </c>
      <c r="AV201" s="51">
        <f t="shared" si="96"/>
        <v>0</v>
      </c>
      <c r="AW201" s="51">
        <f t="shared" si="97"/>
        <v>0</v>
      </c>
      <c r="AX201" s="51">
        <f t="shared" si="98"/>
        <v>0</v>
      </c>
      <c r="AY201" s="53" t="s">
        <v>533</v>
      </c>
      <c r="AZ201" s="53" t="s">
        <v>534</v>
      </c>
      <c r="BA201" s="35" t="s">
        <v>117</v>
      </c>
      <c r="BC201" s="51">
        <f t="shared" si="99"/>
        <v>0</v>
      </c>
      <c r="BD201" s="51">
        <f t="shared" si="100"/>
        <v>0</v>
      </c>
      <c r="BE201" s="51">
        <v>0</v>
      </c>
      <c r="BF201" s="51">
        <f>201</f>
        <v>201</v>
      </c>
      <c r="BH201" s="51">
        <f t="shared" si="101"/>
        <v>0</v>
      </c>
      <c r="BI201" s="51">
        <f t="shared" si="102"/>
        <v>0</v>
      </c>
      <c r="BJ201" s="51">
        <f t="shared" si="103"/>
        <v>0</v>
      </c>
      <c r="BK201" s="51"/>
      <c r="BL201" s="51">
        <v>766</v>
      </c>
      <c r="BW201" s="51">
        <v>12</v>
      </c>
      <c r="BX201" s="3" t="s">
        <v>562</v>
      </c>
    </row>
    <row r="202" spans="1:76">
      <c r="A202" s="54"/>
      <c r="C202" s="56" t="s">
        <v>111</v>
      </c>
      <c r="D202" s="57" t="s">
        <v>563</v>
      </c>
      <c r="F202" s="58">
        <v>1</v>
      </c>
      <c r="J202" s="41"/>
    </row>
    <row r="203" spans="1:76" ht="25.5">
      <c r="A203" s="1" t="s">
        <v>564</v>
      </c>
      <c r="B203" s="2" t="s">
        <v>565</v>
      </c>
      <c r="C203" s="75" t="s">
        <v>566</v>
      </c>
      <c r="D203" s="70"/>
      <c r="E203" s="2" t="s">
        <v>114</v>
      </c>
      <c r="F203" s="51">
        <v>2</v>
      </c>
      <c r="G203" s="52">
        <v>0</v>
      </c>
      <c r="H203" s="51">
        <f>F203*G203</f>
        <v>0</v>
      </c>
      <c r="J203" s="41"/>
      <c r="Z203" s="51">
        <f>IF(AQ203="5",BJ203,0)</f>
        <v>0</v>
      </c>
      <c r="AB203" s="51">
        <f>IF(AQ203="1",BH203,0)</f>
        <v>0</v>
      </c>
      <c r="AC203" s="51">
        <f>IF(AQ203="1",BI203,0)</f>
        <v>0</v>
      </c>
      <c r="AD203" s="51">
        <f>IF(AQ203="7",BH203,0)</f>
        <v>0</v>
      </c>
      <c r="AE203" s="51">
        <f>IF(AQ203="7",BI203,0)</f>
        <v>0</v>
      </c>
      <c r="AF203" s="51">
        <f>IF(AQ203="2",BH203,0)</f>
        <v>0</v>
      </c>
      <c r="AG203" s="51">
        <f>IF(AQ203="2",BI203,0)</f>
        <v>0</v>
      </c>
      <c r="AH203" s="51">
        <f>IF(AQ203="0",BJ203,0)</f>
        <v>0</v>
      </c>
      <c r="AI203" s="35" t="s">
        <v>4</v>
      </c>
      <c r="AJ203" s="51">
        <f>IF(AN203=0,H203,0)</f>
        <v>0</v>
      </c>
      <c r="AK203" s="51">
        <f>IF(AN203=12,H203,0)</f>
        <v>0</v>
      </c>
      <c r="AL203" s="51">
        <f>IF(AN203=21,H203,0)</f>
        <v>0</v>
      </c>
      <c r="AN203" s="51">
        <v>12</v>
      </c>
      <c r="AO203" s="51">
        <f>G203*1</f>
        <v>0</v>
      </c>
      <c r="AP203" s="51">
        <f>G203*(1-1)</f>
        <v>0</v>
      </c>
      <c r="AQ203" s="53" t="s">
        <v>149</v>
      </c>
      <c r="AV203" s="51">
        <f>AW203+AX203</f>
        <v>0</v>
      </c>
      <c r="AW203" s="51">
        <f>F203*AO203</f>
        <v>0</v>
      </c>
      <c r="AX203" s="51">
        <f>F203*AP203</f>
        <v>0</v>
      </c>
      <c r="AY203" s="53" t="s">
        <v>533</v>
      </c>
      <c r="AZ203" s="53" t="s">
        <v>534</v>
      </c>
      <c r="BA203" s="35" t="s">
        <v>117</v>
      </c>
      <c r="BC203" s="51">
        <f>AW203+AX203</f>
        <v>0</v>
      </c>
      <c r="BD203" s="51">
        <f>G203/(100-BE203)*100</f>
        <v>0</v>
      </c>
      <c r="BE203" s="51">
        <v>0</v>
      </c>
      <c r="BF203" s="51">
        <f>203</f>
        <v>203</v>
      </c>
      <c r="BH203" s="51">
        <f>F203*AO203</f>
        <v>0</v>
      </c>
      <c r="BI203" s="51">
        <f>F203*AP203</f>
        <v>0</v>
      </c>
      <c r="BJ203" s="51">
        <f>F203*G203</f>
        <v>0</v>
      </c>
      <c r="BK203" s="51"/>
      <c r="BL203" s="51">
        <v>766</v>
      </c>
      <c r="BW203" s="51">
        <v>12</v>
      </c>
      <c r="BX203" s="3" t="s">
        <v>566</v>
      </c>
    </row>
    <row r="204" spans="1:76" ht="25.5">
      <c r="A204" s="1" t="s">
        <v>567</v>
      </c>
      <c r="B204" s="2" t="s">
        <v>568</v>
      </c>
      <c r="C204" s="75" t="s">
        <v>569</v>
      </c>
      <c r="D204" s="70"/>
      <c r="E204" s="2" t="s">
        <v>114</v>
      </c>
      <c r="F204" s="51">
        <v>1</v>
      </c>
      <c r="G204" s="52">
        <v>0</v>
      </c>
      <c r="H204" s="51">
        <f>F204*G204</f>
        <v>0</v>
      </c>
      <c r="J204" s="41"/>
      <c r="Z204" s="51">
        <f>IF(AQ204="5",BJ204,0)</f>
        <v>0</v>
      </c>
      <c r="AB204" s="51">
        <f>IF(AQ204="1",BH204,0)</f>
        <v>0</v>
      </c>
      <c r="AC204" s="51">
        <f>IF(AQ204="1",BI204,0)</f>
        <v>0</v>
      </c>
      <c r="AD204" s="51">
        <f>IF(AQ204="7",BH204,0)</f>
        <v>0</v>
      </c>
      <c r="AE204" s="51">
        <f>IF(AQ204="7",BI204,0)</f>
        <v>0</v>
      </c>
      <c r="AF204" s="51">
        <f>IF(AQ204="2",BH204,0)</f>
        <v>0</v>
      </c>
      <c r="AG204" s="51">
        <f>IF(AQ204="2",BI204,0)</f>
        <v>0</v>
      </c>
      <c r="AH204" s="51">
        <f>IF(AQ204="0",BJ204,0)</f>
        <v>0</v>
      </c>
      <c r="AI204" s="35" t="s">
        <v>4</v>
      </c>
      <c r="AJ204" s="51">
        <f>IF(AN204=0,H204,0)</f>
        <v>0</v>
      </c>
      <c r="AK204" s="51">
        <f>IF(AN204=12,H204,0)</f>
        <v>0</v>
      </c>
      <c r="AL204" s="51">
        <f>IF(AN204=21,H204,0)</f>
        <v>0</v>
      </c>
      <c r="AN204" s="51">
        <v>12</v>
      </c>
      <c r="AO204" s="51">
        <f>G204*1</f>
        <v>0</v>
      </c>
      <c r="AP204" s="51">
        <f>G204*(1-1)</f>
        <v>0</v>
      </c>
      <c r="AQ204" s="53" t="s">
        <v>149</v>
      </c>
      <c r="AV204" s="51">
        <f>AW204+AX204</f>
        <v>0</v>
      </c>
      <c r="AW204" s="51">
        <f>F204*AO204</f>
        <v>0</v>
      </c>
      <c r="AX204" s="51">
        <f>F204*AP204</f>
        <v>0</v>
      </c>
      <c r="AY204" s="53" t="s">
        <v>533</v>
      </c>
      <c r="AZ204" s="53" t="s">
        <v>534</v>
      </c>
      <c r="BA204" s="35" t="s">
        <v>117</v>
      </c>
      <c r="BC204" s="51">
        <f>AW204+AX204</f>
        <v>0</v>
      </c>
      <c r="BD204" s="51">
        <f>G204/(100-BE204)*100</f>
        <v>0</v>
      </c>
      <c r="BE204" s="51">
        <v>0</v>
      </c>
      <c r="BF204" s="51">
        <f>204</f>
        <v>204</v>
      </c>
      <c r="BH204" s="51">
        <f>F204*AO204</f>
        <v>0</v>
      </c>
      <c r="BI204" s="51">
        <f>F204*AP204</f>
        <v>0</v>
      </c>
      <c r="BJ204" s="51">
        <f>F204*G204</f>
        <v>0</v>
      </c>
      <c r="BK204" s="51"/>
      <c r="BL204" s="51">
        <v>766</v>
      </c>
      <c r="BW204" s="51">
        <v>12</v>
      </c>
      <c r="BX204" s="3" t="s">
        <v>569</v>
      </c>
    </row>
    <row r="205" spans="1:76" ht="25.5">
      <c r="A205" s="1" t="s">
        <v>570</v>
      </c>
      <c r="B205" s="2" t="s">
        <v>571</v>
      </c>
      <c r="C205" s="75" t="s">
        <v>572</v>
      </c>
      <c r="D205" s="70"/>
      <c r="E205" s="2" t="s">
        <v>114</v>
      </c>
      <c r="F205" s="51">
        <v>1</v>
      </c>
      <c r="G205" s="52">
        <v>0</v>
      </c>
      <c r="H205" s="51">
        <f>F205*G205</f>
        <v>0</v>
      </c>
      <c r="J205" s="41"/>
      <c r="Z205" s="51">
        <f>IF(AQ205="5",BJ205,0)</f>
        <v>0</v>
      </c>
      <c r="AB205" s="51">
        <f>IF(AQ205="1",BH205,0)</f>
        <v>0</v>
      </c>
      <c r="AC205" s="51">
        <f>IF(AQ205="1",BI205,0)</f>
        <v>0</v>
      </c>
      <c r="AD205" s="51">
        <f>IF(AQ205="7",BH205,0)</f>
        <v>0</v>
      </c>
      <c r="AE205" s="51">
        <f>IF(AQ205="7",BI205,0)</f>
        <v>0</v>
      </c>
      <c r="AF205" s="51">
        <f>IF(AQ205="2",BH205,0)</f>
        <v>0</v>
      </c>
      <c r="AG205" s="51">
        <f>IF(AQ205="2",BI205,0)</f>
        <v>0</v>
      </c>
      <c r="AH205" s="51">
        <f>IF(AQ205="0",BJ205,0)</f>
        <v>0</v>
      </c>
      <c r="AI205" s="35" t="s">
        <v>4</v>
      </c>
      <c r="AJ205" s="51">
        <f>IF(AN205=0,H205,0)</f>
        <v>0</v>
      </c>
      <c r="AK205" s="51">
        <f>IF(AN205=12,H205,0)</f>
        <v>0</v>
      </c>
      <c r="AL205" s="51">
        <f>IF(AN205=21,H205,0)</f>
        <v>0</v>
      </c>
      <c r="AN205" s="51">
        <v>12</v>
      </c>
      <c r="AO205" s="51">
        <f>G205*1</f>
        <v>0</v>
      </c>
      <c r="AP205" s="51">
        <f>G205*(1-1)</f>
        <v>0</v>
      </c>
      <c r="AQ205" s="53" t="s">
        <v>149</v>
      </c>
      <c r="AV205" s="51">
        <f>AW205+AX205</f>
        <v>0</v>
      </c>
      <c r="AW205" s="51">
        <f>F205*AO205</f>
        <v>0</v>
      </c>
      <c r="AX205" s="51">
        <f>F205*AP205</f>
        <v>0</v>
      </c>
      <c r="AY205" s="53" t="s">
        <v>533</v>
      </c>
      <c r="AZ205" s="53" t="s">
        <v>534</v>
      </c>
      <c r="BA205" s="35" t="s">
        <v>117</v>
      </c>
      <c r="BC205" s="51">
        <f>AW205+AX205</f>
        <v>0</v>
      </c>
      <c r="BD205" s="51">
        <f>G205/(100-BE205)*100</f>
        <v>0</v>
      </c>
      <c r="BE205" s="51">
        <v>0</v>
      </c>
      <c r="BF205" s="51">
        <f>205</f>
        <v>205</v>
      </c>
      <c r="BH205" s="51">
        <f>F205*AO205</f>
        <v>0</v>
      </c>
      <c r="BI205" s="51">
        <f>F205*AP205</f>
        <v>0</v>
      </c>
      <c r="BJ205" s="51">
        <f>F205*G205</f>
        <v>0</v>
      </c>
      <c r="BK205" s="51"/>
      <c r="BL205" s="51">
        <v>766</v>
      </c>
      <c r="BW205" s="51">
        <v>12</v>
      </c>
      <c r="BX205" s="3" t="s">
        <v>572</v>
      </c>
    </row>
    <row r="206" spans="1:76">
      <c r="A206" s="1" t="s">
        <v>573</v>
      </c>
      <c r="B206" s="2" t="s">
        <v>574</v>
      </c>
      <c r="C206" s="75" t="s">
        <v>575</v>
      </c>
      <c r="D206" s="70"/>
      <c r="E206" s="2" t="s">
        <v>114</v>
      </c>
      <c r="F206" s="51">
        <v>1</v>
      </c>
      <c r="G206" s="52">
        <v>0</v>
      </c>
      <c r="H206" s="51">
        <f>F206*G206</f>
        <v>0</v>
      </c>
      <c r="J206" s="41"/>
      <c r="Z206" s="51">
        <f>IF(AQ206="5",BJ206,0)</f>
        <v>0</v>
      </c>
      <c r="AB206" s="51">
        <f>IF(AQ206="1",BH206,0)</f>
        <v>0</v>
      </c>
      <c r="AC206" s="51">
        <f>IF(AQ206="1",BI206,0)</f>
        <v>0</v>
      </c>
      <c r="AD206" s="51">
        <f>IF(AQ206="7",BH206,0)</f>
        <v>0</v>
      </c>
      <c r="AE206" s="51">
        <f>IF(AQ206="7",BI206,0)</f>
        <v>0</v>
      </c>
      <c r="AF206" s="51">
        <f>IF(AQ206="2",BH206,0)</f>
        <v>0</v>
      </c>
      <c r="AG206" s="51">
        <f>IF(AQ206="2",BI206,0)</f>
        <v>0</v>
      </c>
      <c r="AH206" s="51">
        <f>IF(AQ206="0",BJ206,0)</f>
        <v>0</v>
      </c>
      <c r="AI206" s="35" t="s">
        <v>4</v>
      </c>
      <c r="AJ206" s="51">
        <f>IF(AN206=0,H206,0)</f>
        <v>0</v>
      </c>
      <c r="AK206" s="51">
        <f>IF(AN206=12,H206,0)</f>
        <v>0</v>
      </c>
      <c r="AL206" s="51">
        <f>IF(AN206=21,H206,0)</f>
        <v>0</v>
      </c>
      <c r="AN206" s="51">
        <v>12</v>
      </c>
      <c r="AO206" s="51">
        <f>G206*1</f>
        <v>0</v>
      </c>
      <c r="AP206" s="51">
        <f>G206*(1-1)</f>
        <v>0</v>
      </c>
      <c r="AQ206" s="53" t="s">
        <v>149</v>
      </c>
      <c r="AV206" s="51">
        <f>AW206+AX206</f>
        <v>0</v>
      </c>
      <c r="AW206" s="51">
        <f>F206*AO206</f>
        <v>0</v>
      </c>
      <c r="AX206" s="51">
        <f>F206*AP206</f>
        <v>0</v>
      </c>
      <c r="AY206" s="53" t="s">
        <v>533</v>
      </c>
      <c r="AZ206" s="53" t="s">
        <v>534</v>
      </c>
      <c r="BA206" s="35" t="s">
        <v>117</v>
      </c>
      <c r="BC206" s="51">
        <f>AW206+AX206</f>
        <v>0</v>
      </c>
      <c r="BD206" s="51">
        <f>G206/(100-BE206)*100</f>
        <v>0</v>
      </c>
      <c r="BE206" s="51">
        <v>0</v>
      </c>
      <c r="BF206" s="51">
        <f>206</f>
        <v>206</v>
      </c>
      <c r="BH206" s="51">
        <f>F206*AO206</f>
        <v>0</v>
      </c>
      <c r="BI206" s="51">
        <f>F206*AP206</f>
        <v>0</v>
      </c>
      <c r="BJ206" s="51">
        <f>F206*G206</f>
        <v>0</v>
      </c>
      <c r="BK206" s="51"/>
      <c r="BL206" s="51">
        <v>766</v>
      </c>
      <c r="BW206" s="51">
        <v>12</v>
      </c>
      <c r="BX206" s="3" t="s">
        <v>575</v>
      </c>
    </row>
    <row r="207" spans="1:76">
      <c r="A207" s="1" t="s">
        <v>576</v>
      </c>
      <c r="B207" s="2" t="s">
        <v>577</v>
      </c>
      <c r="C207" s="75" t="s">
        <v>578</v>
      </c>
      <c r="D207" s="70"/>
      <c r="E207" s="2" t="s">
        <v>293</v>
      </c>
      <c r="F207" s="51">
        <v>0.56100000000000005</v>
      </c>
      <c r="G207" s="52">
        <v>0</v>
      </c>
      <c r="H207" s="51">
        <f>F207*G207</f>
        <v>0</v>
      </c>
      <c r="J207" s="41"/>
      <c r="Z207" s="51">
        <f>IF(AQ207="5",BJ207,0)</f>
        <v>0</v>
      </c>
      <c r="AB207" s="51">
        <f>IF(AQ207="1",BH207,0)</f>
        <v>0</v>
      </c>
      <c r="AC207" s="51">
        <f>IF(AQ207="1",BI207,0)</f>
        <v>0</v>
      </c>
      <c r="AD207" s="51">
        <f>IF(AQ207="7",BH207,0)</f>
        <v>0</v>
      </c>
      <c r="AE207" s="51">
        <f>IF(AQ207="7",BI207,0)</f>
        <v>0</v>
      </c>
      <c r="AF207" s="51">
        <f>IF(AQ207="2",BH207,0)</f>
        <v>0</v>
      </c>
      <c r="AG207" s="51">
        <f>IF(AQ207="2",BI207,0)</f>
        <v>0</v>
      </c>
      <c r="AH207" s="51">
        <f>IF(AQ207="0",BJ207,0)</f>
        <v>0</v>
      </c>
      <c r="AI207" s="35" t="s">
        <v>4</v>
      </c>
      <c r="AJ207" s="51">
        <f>IF(AN207=0,H207,0)</f>
        <v>0</v>
      </c>
      <c r="AK207" s="51">
        <f>IF(AN207=12,H207,0)</f>
        <v>0</v>
      </c>
      <c r="AL207" s="51">
        <f>IF(AN207=21,H207,0)</f>
        <v>0</v>
      </c>
      <c r="AN207" s="51">
        <v>12</v>
      </c>
      <c r="AO207" s="51">
        <f>G207*0</f>
        <v>0</v>
      </c>
      <c r="AP207" s="51">
        <f>G207*(1-0)</f>
        <v>0</v>
      </c>
      <c r="AQ207" s="53" t="s">
        <v>137</v>
      </c>
      <c r="AV207" s="51">
        <f>AW207+AX207</f>
        <v>0</v>
      </c>
      <c r="AW207" s="51">
        <f>F207*AO207</f>
        <v>0</v>
      </c>
      <c r="AX207" s="51">
        <f>F207*AP207</f>
        <v>0</v>
      </c>
      <c r="AY207" s="53" t="s">
        <v>533</v>
      </c>
      <c r="AZ207" s="53" t="s">
        <v>534</v>
      </c>
      <c r="BA207" s="35" t="s">
        <v>117</v>
      </c>
      <c r="BC207" s="51">
        <f>AW207+AX207</f>
        <v>0</v>
      </c>
      <c r="BD207" s="51">
        <f>G207/(100-BE207)*100</f>
        <v>0</v>
      </c>
      <c r="BE207" s="51">
        <v>0</v>
      </c>
      <c r="BF207" s="51">
        <f>207</f>
        <v>207</v>
      </c>
      <c r="BH207" s="51">
        <f>F207*AO207</f>
        <v>0</v>
      </c>
      <c r="BI207" s="51">
        <f>F207*AP207</f>
        <v>0</v>
      </c>
      <c r="BJ207" s="51">
        <f>F207*G207</f>
        <v>0</v>
      </c>
      <c r="BK207" s="51"/>
      <c r="BL207" s="51">
        <v>766</v>
      </c>
      <c r="BW207" s="51">
        <v>12</v>
      </c>
      <c r="BX207" s="3" t="s">
        <v>578</v>
      </c>
    </row>
    <row r="208" spans="1:76">
      <c r="A208" s="47" t="s">
        <v>4</v>
      </c>
      <c r="B208" s="48" t="s">
        <v>579</v>
      </c>
      <c r="C208" s="150" t="s">
        <v>580</v>
      </c>
      <c r="D208" s="151"/>
      <c r="E208" s="49" t="s">
        <v>79</v>
      </c>
      <c r="F208" s="49" t="s">
        <v>79</v>
      </c>
      <c r="G208" s="50" t="s">
        <v>79</v>
      </c>
      <c r="H208" s="28">
        <f>SUM(H209:H220)</f>
        <v>0</v>
      </c>
      <c r="J208" s="41"/>
      <c r="AI208" s="35" t="s">
        <v>4</v>
      </c>
      <c r="AS208" s="28">
        <f>SUM(AJ209:AJ220)</f>
        <v>0</v>
      </c>
      <c r="AT208" s="28">
        <f>SUM(AK209:AK220)</f>
        <v>0</v>
      </c>
      <c r="AU208" s="28">
        <f>SUM(AL209:AL220)</f>
        <v>0</v>
      </c>
    </row>
    <row r="209" spans="1:76">
      <c r="A209" s="1" t="s">
        <v>581</v>
      </c>
      <c r="B209" s="2" t="s">
        <v>582</v>
      </c>
      <c r="C209" s="75" t="s">
        <v>583</v>
      </c>
      <c r="D209" s="70"/>
      <c r="E209" s="2" t="s">
        <v>124</v>
      </c>
      <c r="F209" s="51">
        <v>2.6</v>
      </c>
      <c r="G209" s="52">
        <v>0</v>
      </c>
      <c r="H209" s="51">
        <f>F209*G209</f>
        <v>0</v>
      </c>
      <c r="J209" s="41"/>
      <c r="Z209" s="51">
        <f>IF(AQ209="5",BJ209,0)</f>
        <v>0</v>
      </c>
      <c r="AB209" s="51">
        <f>IF(AQ209="1",BH209,0)</f>
        <v>0</v>
      </c>
      <c r="AC209" s="51">
        <f>IF(AQ209="1",BI209,0)</f>
        <v>0</v>
      </c>
      <c r="AD209" s="51">
        <f>IF(AQ209="7",BH209,0)</f>
        <v>0</v>
      </c>
      <c r="AE209" s="51">
        <f>IF(AQ209="7",BI209,0)</f>
        <v>0</v>
      </c>
      <c r="AF209" s="51">
        <f>IF(AQ209="2",BH209,0)</f>
        <v>0</v>
      </c>
      <c r="AG209" s="51">
        <f>IF(AQ209="2",BI209,0)</f>
        <v>0</v>
      </c>
      <c r="AH209" s="51">
        <f>IF(AQ209="0",BJ209,0)</f>
        <v>0</v>
      </c>
      <c r="AI209" s="35" t="s">
        <v>4</v>
      </c>
      <c r="AJ209" s="51">
        <f>IF(AN209=0,H209,0)</f>
        <v>0</v>
      </c>
      <c r="AK209" s="51">
        <f>IF(AN209=12,H209,0)</f>
        <v>0</v>
      </c>
      <c r="AL209" s="51">
        <f>IF(AN209=21,H209,0)</f>
        <v>0</v>
      </c>
      <c r="AN209" s="51">
        <v>12</v>
      </c>
      <c r="AO209" s="51">
        <f>G209*0.472426471</f>
        <v>0</v>
      </c>
      <c r="AP209" s="51">
        <f>G209*(1-0.472426471)</f>
        <v>0</v>
      </c>
      <c r="AQ209" s="53" t="s">
        <v>149</v>
      </c>
      <c r="AV209" s="51">
        <f>AW209+AX209</f>
        <v>0</v>
      </c>
      <c r="AW209" s="51">
        <f>F209*AO209</f>
        <v>0</v>
      </c>
      <c r="AX209" s="51">
        <f>F209*AP209</f>
        <v>0</v>
      </c>
      <c r="AY209" s="53" t="s">
        <v>584</v>
      </c>
      <c r="AZ209" s="53" t="s">
        <v>585</v>
      </c>
      <c r="BA209" s="35" t="s">
        <v>117</v>
      </c>
      <c r="BC209" s="51">
        <f>AW209+AX209</f>
        <v>0</v>
      </c>
      <c r="BD209" s="51">
        <f>G209/(100-BE209)*100</f>
        <v>0</v>
      </c>
      <c r="BE209" s="51">
        <v>0</v>
      </c>
      <c r="BF209" s="51">
        <f>209</f>
        <v>209</v>
      </c>
      <c r="BH209" s="51">
        <f>F209*AO209</f>
        <v>0</v>
      </c>
      <c r="BI209" s="51">
        <f>F209*AP209</f>
        <v>0</v>
      </c>
      <c r="BJ209" s="51">
        <f>F209*G209</f>
        <v>0</v>
      </c>
      <c r="BK209" s="51"/>
      <c r="BL209" s="51">
        <v>771</v>
      </c>
      <c r="BW209" s="51">
        <v>12</v>
      </c>
      <c r="BX209" s="3" t="s">
        <v>583</v>
      </c>
    </row>
    <row r="210" spans="1:76">
      <c r="A210" s="1" t="s">
        <v>586</v>
      </c>
      <c r="B210" s="2" t="s">
        <v>587</v>
      </c>
      <c r="C210" s="75" t="s">
        <v>588</v>
      </c>
      <c r="D210" s="70"/>
      <c r="E210" s="2" t="s">
        <v>124</v>
      </c>
      <c r="F210" s="51">
        <v>2.6</v>
      </c>
      <c r="G210" s="52">
        <v>0</v>
      </c>
      <c r="H210" s="51">
        <f>F210*G210</f>
        <v>0</v>
      </c>
      <c r="J210" s="41"/>
      <c r="Z210" s="51">
        <f>IF(AQ210="5",BJ210,0)</f>
        <v>0</v>
      </c>
      <c r="AB210" s="51">
        <f>IF(AQ210="1",BH210,0)</f>
        <v>0</v>
      </c>
      <c r="AC210" s="51">
        <f>IF(AQ210="1",BI210,0)</f>
        <v>0</v>
      </c>
      <c r="AD210" s="51">
        <f>IF(AQ210="7",BH210,0)</f>
        <v>0</v>
      </c>
      <c r="AE210" s="51">
        <f>IF(AQ210="7",BI210,0)</f>
        <v>0</v>
      </c>
      <c r="AF210" s="51">
        <f>IF(AQ210="2",BH210,0)</f>
        <v>0</v>
      </c>
      <c r="AG210" s="51">
        <f>IF(AQ210="2",BI210,0)</f>
        <v>0</v>
      </c>
      <c r="AH210" s="51">
        <f>IF(AQ210="0",BJ210,0)</f>
        <v>0</v>
      </c>
      <c r="AI210" s="35" t="s">
        <v>4</v>
      </c>
      <c r="AJ210" s="51">
        <f>IF(AN210=0,H210,0)</f>
        <v>0</v>
      </c>
      <c r="AK210" s="51">
        <f>IF(AN210=12,H210,0)</f>
        <v>0</v>
      </c>
      <c r="AL210" s="51">
        <f>IF(AN210=21,H210,0)</f>
        <v>0</v>
      </c>
      <c r="AN210" s="51">
        <v>12</v>
      </c>
      <c r="AO210" s="51">
        <f>G210*0</f>
        <v>0</v>
      </c>
      <c r="AP210" s="51">
        <f>G210*(1-0)</f>
        <v>0</v>
      </c>
      <c r="AQ210" s="53" t="s">
        <v>149</v>
      </c>
      <c r="AV210" s="51">
        <f>AW210+AX210</f>
        <v>0</v>
      </c>
      <c r="AW210" s="51">
        <f>F210*AO210</f>
        <v>0</v>
      </c>
      <c r="AX210" s="51">
        <f>F210*AP210</f>
        <v>0</v>
      </c>
      <c r="AY210" s="53" t="s">
        <v>584</v>
      </c>
      <c r="AZ210" s="53" t="s">
        <v>585</v>
      </c>
      <c r="BA210" s="35" t="s">
        <v>117</v>
      </c>
      <c r="BC210" s="51">
        <f>AW210+AX210</f>
        <v>0</v>
      </c>
      <c r="BD210" s="51">
        <f>G210/(100-BE210)*100</f>
        <v>0</v>
      </c>
      <c r="BE210" s="51">
        <v>0</v>
      </c>
      <c r="BF210" s="51">
        <f>210</f>
        <v>210</v>
      </c>
      <c r="BH210" s="51">
        <f>F210*AO210</f>
        <v>0</v>
      </c>
      <c r="BI210" s="51">
        <f>F210*AP210</f>
        <v>0</v>
      </c>
      <c r="BJ210" s="51">
        <f>F210*G210</f>
        <v>0</v>
      </c>
      <c r="BK210" s="51"/>
      <c r="BL210" s="51">
        <v>771</v>
      </c>
      <c r="BW210" s="51">
        <v>12</v>
      </c>
      <c r="BX210" s="3" t="s">
        <v>588</v>
      </c>
    </row>
    <row r="211" spans="1:76">
      <c r="A211" s="54"/>
      <c r="C211" s="56" t="s">
        <v>589</v>
      </c>
      <c r="D211" s="57" t="s">
        <v>339</v>
      </c>
      <c r="F211" s="58">
        <v>2.6</v>
      </c>
      <c r="J211" s="41"/>
    </row>
    <row r="212" spans="1:76">
      <c r="A212" s="1" t="s">
        <v>590</v>
      </c>
      <c r="B212" s="2" t="s">
        <v>591</v>
      </c>
      <c r="C212" s="75" t="s">
        <v>592</v>
      </c>
      <c r="D212" s="70"/>
      <c r="E212" s="2" t="s">
        <v>124</v>
      </c>
      <c r="F212" s="51">
        <v>2.6</v>
      </c>
      <c r="G212" s="52">
        <v>0</v>
      </c>
      <c r="H212" s="51">
        <f>F212*G212</f>
        <v>0</v>
      </c>
      <c r="J212" s="41"/>
      <c r="Z212" s="51">
        <f>IF(AQ212="5",BJ212,0)</f>
        <v>0</v>
      </c>
      <c r="AB212" s="51">
        <f>IF(AQ212="1",BH212,0)</f>
        <v>0</v>
      </c>
      <c r="AC212" s="51">
        <f>IF(AQ212="1",BI212,0)</f>
        <v>0</v>
      </c>
      <c r="AD212" s="51">
        <f>IF(AQ212="7",BH212,0)</f>
        <v>0</v>
      </c>
      <c r="AE212" s="51">
        <f>IF(AQ212="7",BI212,0)</f>
        <v>0</v>
      </c>
      <c r="AF212" s="51">
        <f>IF(AQ212="2",BH212,0)</f>
        <v>0</v>
      </c>
      <c r="AG212" s="51">
        <f>IF(AQ212="2",BI212,0)</f>
        <v>0</v>
      </c>
      <c r="AH212" s="51">
        <f>IF(AQ212="0",BJ212,0)</f>
        <v>0</v>
      </c>
      <c r="AI212" s="35" t="s">
        <v>4</v>
      </c>
      <c r="AJ212" s="51">
        <f>IF(AN212=0,H212,0)</f>
        <v>0</v>
      </c>
      <c r="AK212" s="51">
        <f>IF(AN212=12,H212,0)</f>
        <v>0</v>
      </c>
      <c r="AL212" s="51">
        <f>IF(AN212=21,H212,0)</f>
        <v>0</v>
      </c>
      <c r="AN212" s="51">
        <v>12</v>
      </c>
      <c r="AO212" s="51">
        <f>G212*0.245838926</f>
        <v>0</v>
      </c>
      <c r="AP212" s="51">
        <f>G212*(1-0.245838926)</f>
        <v>0</v>
      </c>
      <c r="AQ212" s="53" t="s">
        <v>149</v>
      </c>
      <c r="AV212" s="51">
        <f>AW212+AX212</f>
        <v>0</v>
      </c>
      <c r="AW212" s="51">
        <f>F212*AO212</f>
        <v>0</v>
      </c>
      <c r="AX212" s="51">
        <f>F212*AP212</f>
        <v>0</v>
      </c>
      <c r="AY212" s="53" t="s">
        <v>584</v>
      </c>
      <c r="AZ212" s="53" t="s">
        <v>585</v>
      </c>
      <c r="BA212" s="35" t="s">
        <v>117</v>
      </c>
      <c r="BC212" s="51">
        <f>AW212+AX212</f>
        <v>0</v>
      </c>
      <c r="BD212" s="51">
        <f>G212/(100-BE212)*100</f>
        <v>0</v>
      </c>
      <c r="BE212" s="51">
        <v>0</v>
      </c>
      <c r="BF212" s="51">
        <f>212</f>
        <v>212</v>
      </c>
      <c r="BH212" s="51">
        <f>F212*AO212</f>
        <v>0</v>
      </c>
      <c r="BI212" s="51">
        <f>F212*AP212</f>
        <v>0</v>
      </c>
      <c r="BJ212" s="51">
        <f>F212*G212</f>
        <v>0</v>
      </c>
      <c r="BK212" s="51"/>
      <c r="BL212" s="51">
        <v>771</v>
      </c>
      <c r="BW212" s="51">
        <v>12</v>
      </c>
      <c r="BX212" s="3" t="s">
        <v>592</v>
      </c>
    </row>
    <row r="213" spans="1:76">
      <c r="A213" s="54"/>
      <c r="C213" s="56" t="s">
        <v>589</v>
      </c>
      <c r="D213" s="57" t="s">
        <v>339</v>
      </c>
      <c r="F213" s="58">
        <v>2.6</v>
      </c>
      <c r="J213" s="41"/>
    </row>
    <row r="214" spans="1:76">
      <c r="A214" s="1" t="s">
        <v>593</v>
      </c>
      <c r="B214" s="2" t="s">
        <v>594</v>
      </c>
      <c r="C214" s="75" t="s">
        <v>595</v>
      </c>
      <c r="D214" s="70"/>
      <c r="E214" s="2" t="s">
        <v>124</v>
      </c>
      <c r="F214" s="51">
        <v>2.6</v>
      </c>
      <c r="G214" s="52">
        <v>0</v>
      </c>
      <c r="H214" s="51">
        <f>F214*G214</f>
        <v>0</v>
      </c>
      <c r="J214" s="41"/>
      <c r="Z214" s="51">
        <f>IF(AQ214="5",BJ214,0)</f>
        <v>0</v>
      </c>
      <c r="AB214" s="51">
        <f>IF(AQ214="1",BH214,0)</f>
        <v>0</v>
      </c>
      <c r="AC214" s="51">
        <f>IF(AQ214="1",BI214,0)</f>
        <v>0</v>
      </c>
      <c r="AD214" s="51">
        <f>IF(AQ214="7",BH214,0)</f>
        <v>0</v>
      </c>
      <c r="AE214" s="51">
        <f>IF(AQ214="7",BI214,0)</f>
        <v>0</v>
      </c>
      <c r="AF214" s="51">
        <f>IF(AQ214="2",BH214,0)</f>
        <v>0</v>
      </c>
      <c r="AG214" s="51">
        <f>IF(AQ214="2",BI214,0)</f>
        <v>0</v>
      </c>
      <c r="AH214" s="51">
        <f>IF(AQ214="0",BJ214,0)</f>
        <v>0</v>
      </c>
      <c r="AI214" s="35" t="s">
        <v>4</v>
      </c>
      <c r="AJ214" s="51">
        <f>IF(AN214=0,H214,0)</f>
        <v>0</v>
      </c>
      <c r="AK214" s="51">
        <f>IF(AN214=12,H214,0)</f>
        <v>0</v>
      </c>
      <c r="AL214" s="51">
        <f>IF(AN214=21,H214,0)</f>
        <v>0</v>
      </c>
      <c r="AN214" s="51">
        <v>12</v>
      </c>
      <c r="AO214" s="51">
        <f>G214*0</f>
        <v>0</v>
      </c>
      <c r="AP214" s="51">
        <f>G214*(1-0)</f>
        <v>0</v>
      </c>
      <c r="AQ214" s="53" t="s">
        <v>149</v>
      </c>
      <c r="AV214" s="51">
        <f>AW214+AX214</f>
        <v>0</v>
      </c>
      <c r="AW214" s="51">
        <f>F214*AO214</f>
        <v>0</v>
      </c>
      <c r="AX214" s="51">
        <f>F214*AP214</f>
        <v>0</v>
      </c>
      <c r="AY214" s="53" t="s">
        <v>584</v>
      </c>
      <c r="AZ214" s="53" t="s">
        <v>585</v>
      </c>
      <c r="BA214" s="35" t="s">
        <v>117</v>
      </c>
      <c r="BC214" s="51">
        <f>AW214+AX214</f>
        <v>0</v>
      </c>
      <c r="BD214" s="51">
        <f>G214/(100-BE214)*100</f>
        <v>0</v>
      </c>
      <c r="BE214" s="51">
        <v>0</v>
      </c>
      <c r="BF214" s="51">
        <f>214</f>
        <v>214</v>
      </c>
      <c r="BH214" s="51">
        <f>F214*AO214</f>
        <v>0</v>
      </c>
      <c r="BI214" s="51">
        <f>F214*AP214</f>
        <v>0</v>
      </c>
      <c r="BJ214" s="51">
        <f>F214*G214</f>
        <v>0</v>
      </c>
      <c r="BK214" s="51"/>
      <c r="BL214" s="51">
        <v>771</v>
      </c>
      <c r="BW214" s="51">
        <v>12</v>
      </c>
      <c r="BX214" s="3" t="s">
        <v>595</v>
      </c>
    </row>
    <row r="215" spans="1:76">
      <c r="A215" s="1" t="s">
        <v>596</v>
      </c>
      <c r="B215" s="2" t="s">
        <v>597</v>
      </c>
      <c r="C215" s="75" t="s">
        <v>598</v>
      </c>
      <c r="D215" s="70"/>
      <c r="E215" s="2" t="s">
        <v>134</v>
      </c>
      <c r="F215" s="51">
        <v>15.25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G215*0.495226131</f>
        <v>0</v>
      </c>
      <c r="AP215" s="51">
        <f>G215*(1-0.495226131)</f>
        <v>0</v>
      </c>
      <c r="AQ215" s="53" t="s">
        <v>149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584</v>
      </c>
      <c r="AZ215" s="53" t="s">
        <v>585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771</v>
      </c>
      <c r="BW215" s="51">
        <v>12</v>
      </c>
      <c r="BX215" s="3" t="s">
        <v>598</v>
      </c>
    </row>
    <row r="216" spans="1:76">
      <c r="A216" s="54"/>
      <c r="C216" s="56" t="s">
        <v>348</v>
      </c>
      <c r="D216" s="57" t="s">
        <v>599</v>
      </c>
      <c r="F216" s="58">
        <v>5.65</v>
      </c>
      <c r="J216" s="41"/>
    </row>
    <row r="217" spans="1:76">
      <c r="A217" s="54"/>
      <c r="C217" s="56" t="s">
        <v>600</v>
      </c>
      <c r="D217" s="57" t="s">
        <v>136</v>
      </c>
      <c r="F217" s="58">
        <v>8.4</v>
      </c>
      <c r="J217" s="41"/>
    </row>
    <row r="218" spans="1:76">
      <c r="A218" s="54"/>
      <c r="C218" s="56" t="s">
        <v>601</v>
      </c>
      <c r="D218" s="57" t="s">
        <v>602</v>
      </c>
      <c r="F218" s="58">
        <v>1.2</v>
      </c>
      <c r="J218" s="41"/>
    </row>
    <row r="219" spans="1:76">
      <c r="A219" s="1" t="s">
        <v>603</v>
      </c>
      <c r="B219" s="2" t="s">
        <v>604</v>
      </c>
      <c r="C219" s="75" t="s">
        <v>605</v>
      </c>
      <c r="D219" s="70"/>
      <c r="E219" s="2" t="s">
        <v>124</v>
      </c>
      <c r="F219" s="51">
        <v>3</v>
      </c>
      <c r="G219" s="52">
        <v>0</v>
      </c>
      <c r="H219" s="51">
        <f>F219*G219</f>
        <v>0</v>
      </c>
      <c r="J219" s="41"/>
      <c r="Z219" s="51">
        <f>IF(AQ219="5",BJ219,0)</f>
        <v>0</v>
      </c>
      <c r="AB219" s="51">
        <f>IF(AQ219="1",BH219,0)</f>
        <v>0</v>
      </c>
      <c r="AC219" s="51">
        <f>IF(AQ219="1",BI219,0)</f>
        <v>0</v>
      </c>
      <c r="AD219" s="51">
        <f>IF(AQ219="7",BH219,0)</f>
        <v>0</v>
      </c>
      <c r="AE219" s="51">
        <f>IF(AQ219="7",BI219,0)</f>
        <v>0</v>
      </c>
      <c r="AF219" s="51">
        <f>IF(AQ219="2",BH219,0)</f>
        <v>0</v>
      </c>
      <c r="AG219" s="51">
        <f>IF(AQ219="2",BI219,0)</f>
        <v>0</v>
      </c>
      <c r="AH219" s="51">
        <f>IF(AQ219="0",BJ219,0)</f>
        <v>0</v>
      </c>
      <c r="AI219" s="35" t="s">
        <v>4</v>
      </c>
      <c r="AJ219" s="51">
        <f>IF(AN219=0,H219,0)</f>
        <v>0</v>
      </c>
      <c r="AK219" s="51">
        <f>IF(AN219=12,H219,0)</f>
        <v>0</v>
      </c>
      <c r="AL219" s="51">
        <f>IF(AN219=21,H219,0)</f>
        <v>0</v>
      </c>
      <c r="AN219" s="51">
        <v>12</v>
      </c>
      <c r="AO219" s="51">
        <f>G219*1</f>
        <v>0</v>
      </c>
      <c r="AP219" s="51">
        <f>G219*(1-1)</f>
        <v>0</v>
      </c>
      <c r="AQ219" s="53" t="s">
        <v>149</v>
      </c>
      <c r="AV219" s="51">
        <f>AW219+AX219</f>
        <v>0</v>
      </c>
      <c r="AW219" s="51">
        <f>F219*AO219</f>
        <v>0</v>
      </c>
      <c r="AX219" s="51">
        <f>F219*AP219</f>
        <v>0</v>
      </c>
      <c r="AY219" s="53" t="s">
        <v>584</v>
      </c>
      <c r="AZ219" s="53" t="s">
        <v>585</v>
      </c>
      <c r="BA219" s="35" t="s">
        <v>117</v>
      </c>
      <c r="BC219" s="51">
        <f>AW219+AX219</f>
        <v>0</v>
      </c>
      <c r="BD219" s="51">
        <f>G219/(100-BE219)*100</f>
        <v>0</v>
      </c>
      <c r="BE219" s="51">
        <v>0</v>
      </c>
      <c r="BF219" s="51">
        <f>219</f>
        <v>219</v>
      </c>
      <c r="BH219" s="51">
        <f>F219*AO219</f>
        <v>0</v>
      </c>
      <c r="BI219" s="51">
        <f>F219*AP219</f>
        <v>0</v>
      </c>
      <c r="BJ219" s="51">
        <f>F219*G219</f>
        <v>0</v>
      </c>
      <c r="BK219" s="51"/>
      <c r="BL219" s="51">
        <v>771</v>
      </c>
      <c r="BW219" s="51">
        <v>12</v>
      </c>
      <c r="BX219" s="3" t="s">
        <v>605</v>
      </c>
    </row>
    <row r="220" spans="1:76">
      <c r="A220" s="1" t="s">
        <v>606</v>
      </c>
      <c r="B220" s="2" t="s">
        <v>607</v>
      </c>
      <c r="C220" s="75" t="s">
        <v>608</v>
      </c>
      <c r="D220" s="70"/>
      <c r="E220" s="2" t="s">
        <v>293</v>
      </c>
      <c r="F220" s="51">
        <v>7.1999999999999995E-2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</f>
        <v>0</v>
      </c>
      <c r="AP220" s="51">
        <f>G220*(1-0)</f>
        <v>0</v>
      </c>
      <c r="AQ220" s="53" t="s">
        <v>137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584</v>
      </c>
      <c r="AZ220" s="53" t="s">
        <v>585</v>
      </c>
      <c r="BA220" s="35" t="s">
        <v>117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771</v>
      </c>
      <c r="BW220" s="51">
        <v>12</v>
      </c>
      <c r="BX220" s="3" t="s">
        <v>608</v>
      </c>
    </row>
    <row r="221" spans="1:76">
      <c r="A221" s="47" t="s">
        <v>4</v>
      </c>
      <c r="B221" s="48" t="s">
        <v>609</v>
      </c>
      <c r="C221" s="150" t="s">
        <v>610</v>
      </c>
      <c r="D221" s="151"/>
      <c r="E221" s="49" t="s">
        <v>79</v>
      </c>
      <c r="F221" s="49" t="s">
        <v>79</v>
      </c>
      <c r="G221" s="50" t="s">
        <v>79</v>
      </c>
      <c r="H221" s="28">
        <f>SUM(H222:H239)</f>
        <v>0</v>
      </c>
      <c r="J221" s="41"/>
      <c r="AI221" s="35" t="s">
        <v>4</v>
      </c>
      <c r="AS221" s="28">
        <f>SUM(AJ222:AJ239)</f>
        <v>0</v>
      </c>
      <c r="AT221" s="28">
        <f>SUM(AK222:AK239)</f>
        <v>0</v>
      </c>
      <c r="AU221" s="28">
        <f>SUM(AL222:AL239)</f>
        <v>0</v>
      </c>
    </row>
    <row r="222" spans="1:76">
      <c r="A222" s="1" t="s">
        <v>611</v>
      </c>
      <c r="B222" s="2" t="s">
        <v>612</v>
      </c>
      <c r="C222" s="75" t="s">
        <v>613</v>
      </c>
      <c r="D222" s="70"/>
      <c r="E222" s="2" t="s">
        <v>134</v>
      </c>
      <c r="F222" s="51">
        <v>30.29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</f>
        <v>0</v>
      </c>
      <c r="AP222" s="51">
        <f>G222*(1-0)</f>
        <v>0</v>
      </c>
      <c r="AQ222" s="53" t="s">
        <v>149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614</v>
      </c>
      <c r="AZ222" s="53" t="s">
        <v>585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776</v>
      </c>
      <c r="BW222" s="51">
        <v>12</v>
      </c>
      <c r="BX222" s="3" t="s">
        <v>613</v>
      </c>
    </row>
    <row r="223" spans="1:76">
      <c r="A223" s="54"/>
      <c r="C223" s="56" t="s">
        <v>615</v>
      </c>
      <c r="D223" s="57" t="s">
        <v>616</v>
      </c>
      <c r="F223" s="58">
        <v>4.49</v>
      </c>
      <c r="J223" s="41"/>
    </row>
    <row r="224" spans="1:76">
      <c r="A224" s="54"/>
      <c r="C224" s="56" t="s">
        <v>617</v>
      </c>
      <c r="D224" s="57" t="s">
        <v>218</v>
      </c>
      <c r="F224" s="58">
        <v>14.65</v>
      </c>
      <c r="J224" s="41"/>
    </row>
    <row r="225" spans="1:76">
      <c r="A225" s="54"/>
      <c r="C225" s="56" t="s">
        <v>618</v>
      </c>
      <c r="D225" s="57" t="s">
        <v>201</v>
      </c>
      <c r="F225" s="58">
        <v>11.15</v>
      </c>
      <c r="J225" s="41"/>
    </row>
    <row r="226" spans="1:76">
      <c r="A226" s="1" t="s">
        <v>619</v>
      </c>
      <c r="B226" s="2" t="s">
        <v>620</v>
      </c>
      <c r="C226" s="75" t="s">
        <v>621</v>
      </c>
      <c r="D226" s="70"/>
      <c r="E226" s="2" t="s">
        <v>124</v>
      </c>
      <c r="F226" s="51">
        <v>26.428999999999998</v>
      </c>
      <c r="G226" s="52">
        <v>0</v>
      </c>
      <c r="H226" s="51">
        <f>F226*G226</f>
        <v>0</v>
      </c>
      <c r="J226" s="41"/>
      <c r="Z226" s="51">
        <f>IF(AQ226="5",BJ226,0)</f>
        <v>0</v>
      </c>
      <c r="AB226" s="51">
        <f>IF(AQ226="1",BH226,0)</f>
        <v>0</v>
      </c>
      <c r="AC226" s="51">
        <f>IF(AQ226="1",BI226,0)</f>
        <v>0</v>
      </c>
      <c r="AD226" s="51">
        <f>IF(AQ226="7",BH226,0)</f>
        <v>0</v>
      </c>
      <c r="AE226" s="51">
        <f>IF(AQ226="7",BI226,0)</f>
        <v>0</v>
      </c>
      <c r="AF226" s="51">
        <f>IF(AQ226="2",BH226,0)</f>
        <v>0</v>
      </c>
      <c r="AG226" s="51">
        <f>IF(AQ226="2",BI226,0)</f>
        <v>0</v>
      </c>
      <c r="AH226" s="51">
        <f>IF(AQ226="0",BJ226,0)</f>
        <v>0</v>
      </c>
      <c r="AI226" s="35" t="s">
        <v>4</v>
      </c>
      <c r="AJ226" s="51">
        <f>IF(AN226=0,H226,0)</f>
        <v>0</v>
      </c>
      <c r="AK226" s="51">
        <f>IF(AN226=12,H226,0)</f>
        <v>0</v>
      </c>
      <c r="AL226" s="51">
        <f>IF(AN226=21,H226,0)</f>
        <v>0</v>
      </c>
      <c r="AN226" s="51">
        <v>12</v>
      </c>
      <c r="AO226" s="51">
        <f>G226*0</f>
        <v>0</v>
      </c>
      <c r="AP226" s="51">
        <f>G226*(1-0)</f>
        <v>0</v>
      </c>
      <c r="AQ226" s="53" t="s">
        <v>149</v>
      </c>
      <c r="AV226" s="51">
        <f>AW226+AX226</f>
        <v>0</v>
      </c>
      <c r="AW226" s="51">
        <f>F226*AO226</f>
        <v>0</v>
      </c>
      <c r="AX226" s="51">
        <f>F226*AP226</f>
        <v>0</v>
      </c>
      <c r="AY226" s="53" t="s">
        <v>614</v>
      </c>
      <c r="AZ226" s="53" t="s">
        <v>585</v>
      </c>
      <c r="BA226" s="35" t="s">
        <v>117</v>
      </c>
      <c r="BC226" s="51">
        <f>AW226+AX226</f>
        <v>0</v>
      </c>
      <c r="BD226" s="51">
        <f>G226/(100-BE226)*100</f>
        <v>0</v>
      </c>
      <c r="BE226" s="51">
        <v>0</v>
      </c>
      <c r="BF226" s="51">
        <f>226</f>
        <v>226</v>
      </c>
      <c r="BH226" s="51">
        <f>F226*AO226</f>
        <v>0</v>
      </c>
      <c r="BI226" s="51">
        <f>F226*AP226</f>
        <v>0</v>
      </c>
      <c r="BJ226" s="51">
        <f>F226*G226</f>
        <v>0</v>
      </c>
      <c r="BK226" s="51"/>
      <c r="BL226" s="51">
        <v>776</v>
      </c>
      <c r="BW226" s="51">
        <v>12</v>
      </c>
      <c r="BX226" s="3" t="s">
        <v>621</v>
      </c>
    </row>
    <row r="227" spans="1:76">
      <c r="A227" s="54"/>
      <c r="C227" s="56" t="s">
        <v>622</v>
      </c>
      <c r="D227" s="57" t="s">
        <v>616</v>
      </c>
      <c r="F227" s="58">
        <v>2.9620000000000002</v>
      </c>
      <c r="J227" s="41"/>
    </row>
    <row r="228" spans="1:76">
      <c r="A228" s="54"/>
      <c r="C228" s="56" t="s">
        <v>623</v>
      </c>
      <c r="D228" s="57" t="s">
        <v>218</v>
      </c>
      <c r="F228" s="58">
        <v>14.805</v>
      </c>
      <c r="J228" s="41"/>
    </row>
    <row r="229" spans="1:76">
      <c r="A229" s="54"/>
      <c r="C229" s="56" t="s">
        <v>624</v>
      </c>
      <c r="D229" s="57" t="s">
        <v>201</v>
      </c>
      <c r="F229" s="58">
        <v>8.6620000000000008</v>
      </c>
      <c r="J229" s="41"/>
    </row>
    <row r="230" spans="1:76">
      <c r="A230" s="1" t="s">
        <v>625</v>
      </c>
      <c r="B230" s="2" t="s">
        <v>626</v>
      </c>
      <c r="C230" s="75" t="s">
        <v>627</v>
      </c>
      <c r="D230" s="70"/>
      <c r="E230" s="2" t="s">
        <v>134</v>
      </c>
      <c r="F230" s="51">
        <v>30.29</v>
      </c>
      <c r="G230" s="52">
        <v>0</v>
      </c>
      <c r="H230" s="51">
        <f>F230*G230</f>
        <v>0</v>
      </c>
      <c r="J230" s="41"/>
      <c r="Z230" s="51">
        <f>IF(AQ230="5",BJ230,0)</f>
        <v>0</v>
      </c>
      <c r="AB230" s="51">
        <f>IF(AQ230="1",BH230,0)</f>
        <v>0</v>
      </c>
      <c r="AC230" s="51">
        <f>IF(AQ230="1",BI230,0)</f>
        <v>0</v>
      </c>
      <c r="AD230" s="51">
        <f>IF(AQ230="7",BH230,0)</f>
        <v>0</v>
      </c>
      <c r="AE230" s="51">
        <f>IF(AQ230="7",BI230,0)</f>
        <v>0</v>
      </c>
      <c r="AF230" s="51">
        <f>IF(AQ230="2",BH230,0)</f>
        <v>0</v>
      </c>
      <c r="AG230" s="51">
        <f>IF(AQ230="2",BI230,0)</f>
        <v>0</v>
      </c>
      <c r="AH230" s="51">
        <f>IF(AQ230="0",BJ230,0)</f>
        <v>0</v>
      </c>
      <c r="AI230" s="35" t="s">
        <v>4</v>
      </c>
      <c r="AJ230" s="51">
        <f>IF(AN230=0,H230,0)</f>
        <v>0</v>
      </c>
      <c r="AK230" s="51">
        <f>IF(AN230=12,H230,0)</f>
        <v>0</v>
      </c>
      <c r="AL230" s="51">
        <f>IF(AN230=21,H230,0)</f>
        <v>0</v>
      </c>
      <c r="AN230" s="51">
        <v>12</v>
      </c>
      <c r="AO230" s="51">
        <f>G230*0.357142376</f>
        <v>0</v>
      </c>
      <c r="AP230" s="51">
        <f>G230*(1-0.357142376)</f>
        <v>0</v>
      </c>
      <c r="AQ230" s="53" t="s">
        <v>149</v>
      </c>
      <c r="AV230" s="51">
        <f>AW230+AX230</f>
        <v>0</v>
      </c>
      <c r="AW230" s="51">
        <f>F230*AO230</f>
        <v>0</v>
      </c>
      <c r="AX230" s="51">
        <f>F230*AP230</f>
        <v>0</v>
      </c>
      <c r="AY230" s="53" t="s">
        <v>614</v>
      </c>
      <c r="AZ230" s="53" t="s">
        <v>585</v>
      </c>
      <c r="BA230" s="35" t="s">
        <v>117</v>
      </c>
      <c r="BC230" s="51">
        <f>AW230+AX230</f>
        <v>0</v>
      </c>
      <c r="BD230" s="51">
        <f>G230/(100-BE230)*100</f>
        <v>0</v>
      </c>
      <c r="BE230" s="51">
        <v>0</v>
      </c>
      <c r="BF230" s="51">
        <f>230</f>
        <v>230</v>
      </c>
      <c r="BH230" s="51">
        <f>F230*AO230</f>
        <v>0</v>
      </c>
      <c r="BI230" s="51">
        <f>F230*AP230</f>
        <v>0</v>
      </c>
      <c r="BJ230" s="51">
        <f>F230*G230</f>
        <v>0</v>
      </c>
      <c r="BK230" s="51"/>
      <c r="BL230" s="51">
        <v>776</v>
      </c>
      <c r="BW230" s="51">
        <v>12</v>
      </c>
      <c r="BX230" s="3" t="s">
        <v>627</v>
      </c>
    </row>
    <row r="231" spans="1:76" ht="13.5" customHeight="1">
      <c r="A231" s="54"/>
      <c r="B231" s="55" t="s">
        <v>118</v>
      </c>
      <c r="C231" s="152" t="s">
        <v>628</v>
      </c>
      <c r="D231" s="153"/>
      <c r="E231" s="153"/>
      <c r="F231" s="153"/>
      <c r="G231" s="154"/>
      <c r="H231" s="153"/>
      <c r="I231" s="153"/>
      <c r="J231" s="155"/>
    </row>
    <row r="232" spans="1:76">
      <c r="A232" s="54"/>
      <c r="C232" s="56" t="s">
        <v>615</v>
      </c>
      <c r="D232" s="57" t="s">
        <v>203</v>
      </c>
      <c r="F232" s="58">
        <v>4.49</v>
      </c>
      <c r="J232" s="41"/>
    </row>
    <row r="233" spans="1:76">
      <c r="A233" s="54"/>
      <c r="C233" s="56" t="s">
        <v>617</v>
      </c>
      <c r="D233" s="57" t="s">
        <v>218</v>
      </c>
      <c r="F233" s="58">
        <v>14.65</v>
      </c>
      <c r="J233" s="41"/>
    </row>
    <row r="234" spans="1:76">
      <c r="A234" s="54"/>
      <c r="C234" s="56" t="s">
        <v>618</v>
      </c>
      <c r="D234" s="57" t="s">
        <v>201</v>
      </c>
      <c r="F234" s="58">
        <v>11.15</v>
      </c>
      <c r="J234" s="41"/>
    </row>
    <row r="235" spans="1:76">
      <c r="A235" s="1" t="s">
        <v>629</v>
      </c>
      <c r="B235" s="2" t="s">
        <v>630</v>
      </c>
      <c r="C235" s="75" t="s">
        <v>631</v>
      </c>
      <c r="D235" s="70"/>
      <c r="E235" s="2" t="s">
        <v>124</v>
      </c>
      <c r="F235" s="51">
        <v>26.425000000000001</v>
      </c>
      <c r="G235" s="52">
        <v>0</v>
      </c>
      <c r="H235" s="51">
        <f>F235*G235</f>
        <v>0</v>
      </c>
      <c r="J235" s="41"/>
      <c r="Z235" s="51">
        <f>IF(AQ235="5",BJ235,0)</f>
        <v>0</v>
      </c>
      <c r="AB235" s="51">
        <f>IF(AQ235="1",BH235,0)</f>
        <v>0</v>
      </c>
      <c r="AC235" s="51">
        <f>IF(AQ235="1",BI235,0)</f>
        <v>0</v>
      </c>
      <c r="AD235" s="51">
        <f>IF(AQ235="7",BH235,0)</f>
        <v>0</v>
      </c>
      <c r="AE235" s="51">
        <f>IF(AQ235="7",BI235,0)</f>
        <v>0</v>
      </c>
      <c r="AF235" s="51">
        <f>IF(AQ235="2",BH235,0)</f>
        <v>0</v>
      </c>
      <c r="AG235" s="51">
        <f>IF(AQ235="2",BI235,0)</f>
        <v>0</v>
      </c>
      <c r="AH235" s="51">
        <f>IF(AQ235="0",BJ235,0)</f>
        <v>0</v>
      </c>
      <c r="AI235" s="35" t="s">
        <v>4</v>
      </c>
      <c r="AJ235" s="51">
        <f>IF(AN235=0,H235,0)</f>
        <v>0</v>
      </c>
      <c r="AK235" s="51">
        <f>IF(AN235=12,H235,0)</f>
        <v>0</v>
      </c>
      <c r="AL235" s="51">
        <f>IF(AN235=21,H235,0)</f>
        <v>0</v>
      </c>
      <c r="AN235" s="51">
        <v>12</v>
      </c>
      <c r="AO235" s="51">
        <f>G235*0.207381377</f>
        <v>0</v>
      </c>
      <c r="AP235" s="51">
        <f>G235*(1-0.207381377)</f>
        <v>0</v>
      </c>
      <c r="AQ235" s="53" t="s">
        <v>149</v>
      </c>
      <c r="AV235" s="51">
        <f>AW235+AX235</f>
        <v>0</v>
      </c>
      <c r="AW235" s="51">
        <f>F235*AO235</f>
        <v>0</v>
      </c>
      <c r="AX235" s="51">
        <f>F235*AP235</f>
        <v>0</v>
      </c>
      <c r="AY235" s="53" t="s">
        <v>614</v>
      </c>
      <c r="AZ235" s="53" t="s">
        <v>585</v>
      </c>
      <c r="BA235" s="35" t="s">
        <v>117</v>
      </c>
      <c r="BC235" s="51">
        <f>AW235+AX235</f>
        <v>0</v>
      </c>
      <c r="BD235" s="51">
        <f>G235/(100-BE235)*100</f>
        <v>0</v>
      </c>
      <c r="BE235" s="51">
        <v>0</v>
      </c>
      <c r="BF235" s="51">
        <f>235</f>
        <v>235</v>
      </c>
      <c r="BH235" s="51">
        <f>F235*AO235</f>
        <v>0</v>
      </c>
      <c r="BI235" s="51">
        <f>F235*AP235</f>
        <v>0</v>
      </c>
      <c r="BJ235" s="51">
        <f>F235*G235</f>
        <v>0</v>
      </c>
      <c r="BK235" s="51"/>
      <c r="BL235" s="51">
        <v>776</v>
      </c>
      <c r="BW235" s="51">
        <v>12</v>
      </c>
      <c r="BX235" s="3" t="s">
        <v>631</v>
      </c>
    </row>
    <row r="236" spans="1:76">
      <c r="A236" s="1" t="s">
        <v>632</v>
      </c>
      <c r="B236" s="2" t="s">
        <v>633</v>
      </c>
      <c r="C236" s="75" t="s">
        <v>634</v>
      </c>
      <c r="D236" s="70"/>
      <c r="E236" s="2" t="s">
        <v>559</v>
      </c>
      <c r="F236" s="51">
        <v>1</v>
      </c>
      <c r="G236" s="52">
        <v>0</v>
      </c>
      <c r="H236" s="51">
        <f>F236*G236</f>
        <v>0</v>
      </c>
      <c r="J236" s="41"/>
      <c r="Z236" s="51">
        <f>IF(AQ236="5",BJ236,0)</f>
        <v>0</v>
      </c>
      <c r="AB236" s="51">
        <f>IF(AQ236="1",BH236,0)</f>
        <v>0</v>
      </c>
      <c r="AC236" s="51">
        <f>IF(AQ236="1",BI236,0)</f>
        <v>0</v>
      </c>
      <c r="AD236" s="51">
        <f>IF(AQ236="7",BH236,0)</f>
        <v>0</v>
      </c>
      <c r="AE236" s="51">
        <f>IF(AQ236="7",BI236,0)</f>
        <v>0</v>
      </c>
      <c r="AF236" s="51">
        <f>IF(AQ236="2",BH236,0)</f>
        <v>0</v>
      </c>
      <c r="AG236" s="51">
        <f>IF(AQ236="2",BI236,0)</f>
        <v>0</v>
      </c>
      <c r="AH236" s="51">
        <f>IF(AQ236="0",BJ236,0)</f>
        <v>0</v>
      </c>
      <c r="AI236" s="35" t="s">
        <v>4</v>
      </c>
      <c r="AJ236" s="51">
        <f>IF(AN236=0,H236,0)</f>
        <v>0</v>
      </c>
      <c r="AK236" s="51">
        <f>IF(AN236=12,H236,0)</f>
        <v>0</v>
      </c>
      <c r="AL236" s="51">
        <f>IF(AN236=21,H236,0)</f>
        <v>0</v>
      </c>
      <c r="AN236" s="51">
        <v>12</v>
      </c>
      <c r="AO236" s="51">
        <f>G236*0</f>
        <v>0</v>
      </c>
      <c r="AP236" s="51">
        <f>G236*(1-0)</f>
        <v>0</v>
      </c>
      <c r="AQ236" s="53" t="s">
        <v>149</v>
      </c>
      <c r="AV236" s="51">
        <f>AW236+AX236</f>
        <v>0</v>
      </c>
      <c r="AW236" s="51">
        <f>F236*AO236</f>
        <v>0</v>
      </c>
      <c r="AX236" s="51">
        <f>F236*AP236</f>
        <v>0</v>
      </c>
      <c r="AY236" s="53" t="s">
        <v>614</v>
      </c>
      <c r="AZ236" s="53" t="s">
        <v>585</v>
      </c>
      <c r="BA236" s="35" t="s">
        <v>117</v>
      </c>
      <c r="BC236" s="51">
        <f>AW236+AX236</f>
        <v>0</v>
      </c>
      <c r="BD236" s="51">
        <f>G236/(100-BE236)*100</f>
        <v>0</v>
      </c>
      <c r="BE236" s="51">
        <v>0</v>
      </c>
      <c r="BF236" s="51">
        <f>236</f>
        <v>236</v>
      </c>
      <c r="BH236" s="51">
        <f>F236*AO236</f>
        <v>0</v>
      </c>
      <c r="BI236" s="51">
        <f>F236*AP236</f>
        <v>0</v>
      </c>
      <c r="BJ236" s="51">
        <f>F236*G236</f>
        <v>0</v>
      </c>
      <c r="BK236" s="51"/>
      <c r="BL236" s="51">
        <v>776</v>
      </c>
      <c r="BW236" s="51">
        <v>12</v>
      </c>
      <c r="BX236" s="3" t="s">
        <v>634</v>
      </c>
    </row>
    <row r="237" spans="1:76">
      <c r="A237" s="1" t="s">
        <v>635</v>
      </c>
      <c r="B237" s="2" t="s">
        <v>636</v>
      </c>
      <c r="C237" s="75" t="s">
        <v>637</v>
      </c>
      <c r="D237" s="70"/>
      <c r="E237" s="2" t="s">
        <v>124</v>
      </c>
      <c r="F237" s="51">
        <v>29.071999999999999</v>
      </c>
      <c r="G237" s="52">
        <v>0</v>
      </c>
      <c r="H237" s="51">
        <f>F237*G237</f>
        <v>0</v>
      </c>
      <c r="J237" s="41"/>
      <c r="Z237" s="51">
        <f>IF(AQ237="5",BJ237,0)</f>
        <v>0</v>
      </c>
      <c r="AB237" s="51">
        <f>IF(AQ237="1",BH237,0)</f>
        <v>0</v>
      </c>
      <c r="AC237" s="51">
        <f>IF(AQ237="1",BI237,0)</f>
        <v>0</v>
      </c>
      <c r="AD237" s="51">
        <f>IF(AQ237="7",BH237,0)</f>
        <v>0</v>
      </c>
      <c r="AE237" s="51">
        <f>IF(AQ237="7",BI237,0)</f>
        <v>0</v>
      </c>
      <c r="AF237" s="51">
        <f>IF(AQ237="2",BH237,0)</f>
        <v>0</v>
      </c>
      <c r="AG237" s="51">
        <f>IF(AQ237="2",BI237,0)</f>
        <v>0</v>
      </c>
      <c r="AH237" s="51">
        <f>IF(AQ237="0",BJ237,0)</f>
        <v>0</v>
      </c>
      <c r="AI237" s="35" t="s">
        <v>4</v>
      </c>
      <c r="AJ237" s="51">
        <f>IF(AN237=0,H237,0)</f>
        <v>0</v>
      </c>
      <c r="AK237" s="51">
        <f>IF(AN237=12,H237,0)</f>
        <v>0</v>
      </c>
      <c r="AL237" s="51">
        <f>IF(AN237=21,H237,0)</f>
        <v>0</v>
      </c>
      <c r="AN237" s="51">
        <v>12</v>
      </c>
      <c r="AO237" s="51">
        <f>G237*1</f>
        <v>0</v>
      </c>
      <c r="AP237" s="51">
        <f>G237*(1-1)</f>
        <v>0</v>
      </c>
      <c r="AQ237" s="53" t="s">
        <v>149</v>
      </c>
      <c r="AV237" s="51">
        <f>AW237+AX237</f>
        <v>0</v>
      </c>
      <c r="AW237" s="51">
        <f>F237*AO237</f>
        <v>0</v>
      </c>
      <c r="AX237" s="51">
        <f>F237*AP237</f>
        <v>0</v>
      </c>
      <c r="AY237" s="53" t="s">
        <v>614</v>
      </c>
      <c r="AZ237" s="53" t="s">
        <v>585</v>
      </c>
      <c r="BA237" s="35" t="s">
        <v>117</v>
      </c>
      <c r="BC237" s="51">
        <f>AW237+AX237</f>
        <v>0</v>
      </c>
      <c r="BD237" s="51">
        <f>G237/(100-BE237)*100</f>
        <v>0</v>
      </c>
      <c r="BE237" s="51">
        <v>0</v>
      </c>
      <c r="BF237" s="51">
        <f>237</f>
        <v>237</v>
      </c>
      <c r="BH237" s="51">
        <f>F237*AO237</f>
        <v>0</v>
      </c>
      <c r="BI237" s="51">
        <f>F237*AP237</f>
        <v>0</v>
      </c>
      <c r="BJ237" s="51">
        <f>F237*G237</f>
        <v>0</v>
      </c>
      <c r="BK237" s="51"/>
      <c r="BL237" s="51">
        <v>776</v>
      </c>
      <c r="BW237" s="51">
        <v>12</v>
      </c>
      <c r="BX237" s="3" t="s">
        <v>637</v>
      </c>
    </row>
    <row r="238" spans="1:76">
      <c r="A238" s="54"/>
      <c r="C238" s="56" t="s">
        <v>638</v>
      </c>
      <c r="D238" s="57" t="s">
        <v>4</v>
      </c>
      <c r="F238" s="58">
        <v>29.071999999999999</v>
      </c>
      <c r="J238" s="41"/>
    </row>
    <row r="239" spans="1:76">
      <c r="A239" s="1" t="s">
        <v>639</v>
      </c>
      <c r="B239" s="2" t="s">
        <v>640</v>
      </c>
      <c r="C239" s="75" t="s">
        <v>641</v>
      </c>
      <c r="D239" s="70"/>
      <c r="E239" s="2" t="s">
        <v>293</v>
      </c>
      <c r="F239" s="51">
        <v>0.183</v>
      </c>
      <c r="G239" s="52">
        <v>0</v>
      </c>
      <c r="H239" s="51">
        <f>F239*G239</f>
        <v>0</v>
      </c>
      <c r="J239" s="41"/>
      <c r="Z239" s="51">
        <f>IF(AQ239="5",BJ239,0)</f>
        <v>0</v>
      </c>
      <c r="AB239" s="51">
        <f>IF(AQ239="1",BH239,0)</f>
        <v>0</v>
      </c>
      <c r="AC239" s="51">
        <f>IF(AQ239="1",BI239,0)</f>
        <v>0</v>
      </c>
      <c r="AD239" s="51">
        <f>IF(AQ239="7",BH239,0)</f>
        <v>0</v>
      </c>
      <c r="AE239" s="51">
        <f>IF(AQ239="7",BI239,0)</f>
        <v>0</v>
      </c>
      <c r="AF239" s="51">
        <f>IF(AQ239="2",BH239,0)</f>
        <v>0</v>
      </c>
      <c r="AG239" s="51">
        <f>IF(AQ239="2",BI239,0)</f>
        <v>0</v>
      </c>
      <c r="AH239" s="51">
        <f>IF(AQ239="0",BJ239,0)</f>
        <v>0</v>
      </c>
      <c r="AI239" s="35" t="s">
        <v>4</v>
      </c>
      <c r="AJ239" s="51">
        <f>IF(AN239=0,H239,0)</f>
        <v>0</v>
      </c>
      <c r="AK239" s="51">
        <f>IF(AN239=12,H239,0)</f>
        <v>0</v>
      </c>
      <c r="AL239" s="51">
        <f>IF(AN239=21,H239,0)</f>
        <v>0</v>
      </c>
      <c r="AN239" s="51">
        <v>12</v>
      </c>
      <c r="AO239" s="51">
        <f>G239*0</f>
        <v>0</v>
      </c>
      <c r="AP239" s="51">
        <f>G239*(1-0)</f>
        <v>0</v>
      </c>
      <c r="AQ239" s="53" t="s">
        <v>137</v>
      </c>
      <c r="AV239" s="51">
        <f>AW239+AX239</f>
        <v>0</v>
      </c>
      <c r="AW239" s="51">
        <f>F239*AO239</f>
        <v>0</v>
      </c>
      <c r="AX239" s="51">
        <f>F239*AP239</f>
        <v>0</v>
      </c>
      <c r="AY239" s="53" t="s">
        <v>614</v>
      </c>
      <c r="AZ239" s="53" t="s">
        <v>585</v>
      </c>
      <c r="BA239" s="35" t="s">
        <v>117</v>
      </c>
      <c r="BC239" s="51">
        <f>AW239+AX239</f>
        <v>0</v>
      </c>
      <c r="BD239" s="51">
        <f>G239/(100-BE239)*100</f>
        <v>0</v>
      </c>
      <c r="BE239" s="51">
        <v>0</v>
      </c>
      <c r="BF239" s="51">
        <f>239</f>
        <v>239</v>
      </c>
      <c r="BH239" s="51">
        <f>F239*AO239</f>
        <v>0</v>
      </c>
      <c r="BI239" s="51">
        <f>F239*AP239</f>
        <v>0</v>
      </c>
      <c r="BJ239" s="51">
        <f>F239*G239</f>
        <v>0</v>
      </c>
      <c r="BK239" s="51"/>
      <c r="BL239" s="51">
        <v>776</v>
      </c>
      <c r="BW239" s="51">
        <v>12</v>
      </c>
      <c r="BX239" s="3" t="s">
        <v>641</v>
      </c>
    </row>
    <row r="240" spans="1:76">
      <c r="A240" s="47" t="s">
        <v>4</v>
      </c>
      <c r="B240" s="48" t="s">
        <v>642</v>
      </c>
      <c r="C240" s="150" t="s">
        <v>643</v>
      </c>
      <c r="D240" s="151"/>
      <c r="E240" s="49" t="s">
        <v>79</v>
      </c>
      <c r="F240" s="49" t="s">
        <v>79</v>
      </c>
      <c r="G240" s="50" t="s">
        <v>79</v>
      </c>
      <c r="H240" s="28">
        <f>SUM(H241:H246)</f>
        <v>0</v>
      </c>
      <c r="J240" s="41"/>
      <c r="AI240" s="35" t="s">
        <v>4</v>
      </c>
      <c r="AS240" s="28">
        <f>SUM(AJ241:AJ246)</f>
        <v>0</v>
      </c>
      <c r="AT240" s="28">
        <f>SUM(AK241:AK246)</f>
        <v>0</v>
      </c>
      <c r="AU240" s="28">
        <f>SUM(AL241:AL246)</f>
        <v>0</v>
      </c>
    </row>
    <row r="241" spans="1:76">
      <c r="A241" s="1" t="s">
        <v>644</v>
      </c>
      <c r="B241" s="2" t="s">
        <v>645</v>
      </c>
      <c r="C241" s="75" t="s">
        <v>646</v>
      </c>
      <c r="D241" s="70"/>
      <c r="E241" s="2" t="s">
        <v>124</v>
      </c>
      <c r="F241" s="51">
        <v>26.428999999999998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G241*0.1743364</f>
        <v>0</v>
      </c>
      <c r="AP241" s="51">
        <f>G241*(1-0.1743364)</f>
        <v>0</v>
      </c>
      <c r="AQ241" s="53" t="s">
        <v>149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647</v>
      </c>
      <c r="AZ241" s="53" t="s">
        <v>585</v>
      </c>
      <c r="BA241" s="35" t="s">
        <v>117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>
        <v>777</v>
      </c>
      <c r="BW241" s="51">
        <v>12</v>
      </c>
      <c r="BX241" s="3" t="s">
        <v>646</v>
      </c>
    </row>
    <row r="242" spans="1:76">
      <c r="A242" s="54"/>
      <c r="C242" s="56" t="s">
        <v>622</v>
      </c>
      <c r="D242" s="57" t="s">
        <v>203</v>
      </c>
      <c r="F242" s="58">
        <v>2.9620000000000002</v>
      </c>
      <c r="J242" s="41"/>
    </row>
    <row r="243" spans="1:76">
      <c r="A243" s="54"/>
      <c r="C243" s="56" t="s">
        <v>623</v>
      </c>
      <c r="D243" s="57" t="s">
        <v>218</v>
      </c>
      <c r="F243" s="58">
        <v>14.805</v>
      </c>
      <c r="J243" s="41"/>
    </row>
    <row r="244" spans="1:76">
      <c r="A244" s="54"/>
      <c r="C244" s="56" t="s">
        <v>624</v>
      </c>
      <c r="D244" s="57" t="s">
        <v>201</v>
      </c>
      <c r="F244" s="58">
        <v>8.6620000000000008</v>
      </c>
      <c r="J244" s="41"/>
    </row>
    <row r="245" spans="1:76">
      <c r="A245" s="1" t="s">
        <v>648</v>
      </c>
      <c r="B245" s="2" t="s">
        <v>649</v>
      </c>
      <c r="C245" s="75" t="s">
        <v>650</v>
      </c>
      <c r="D245" s="70"/>
      <c r="E245" s="2" t="s">
        <v>124</v>
      </c>
      <c r="F245" s="51">
        <v>26.428999999999998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G245*0.231018875</f>
        <v>0</v>
      </c>
      <c r="AP245" s="51">
        <f>G245*(1-0.231018875)</f>
        <v>0</v>
      </c>
      <c r="AQ245" s="53" t="s">
        <v>149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647</v>
      </c>
      <c r="AZ245" s="53" t="s">
        <v>585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>
        <v>777</v>
      </c>
      <c r="BW245" s="51">
        <v>12</v>
      </c>
      <c r="BX245" s="3" t="s">
        <v>650</v>
      </c>
    </row>
    <row r="246" spans="1:76">
      <c r="A246" s="1" t="s">
        <v>651</v>
      </c>
      <c r="B246" s="2" t="s">
        <v>652</v>
      </c>
      <c r="C246" s="75" t="s">
        <v>653</v>
      </c>
      <c r="D246" s="70"/>
      <c r="E246" s="2" t="s">
        <v>293</v>
      </c>
      <c r="F246" s="51">
        <v>8.1000000000000003E-2</v>
      </c>
      <c r="G246" s="52">
        <v>0</v>
      </c>
      <c r="H246" s="51">
        <f>F246*G246</f>
        <v>0</v>
      </c>
      <c r="J246" s="41"/>
      <c r="Z246" s="51">
        <f>IF(AQ246="5",BJ246,0)</f>
        <v>0</v>
      </c>
      <c r="AB246" s="51">
        <f>IF(AQ246="1",BH246,0)</f>
        <v>0</v>
      </c>
      <c r="AC246" s="51">
        <f>IF(AQ246="1",BI246,0)</f>
        <v>0</v>
      </c>
      <c r="AD246" s="51">
        <f>IF(AQ246="7",BH246,0)</f>
        <v>0</v>
      </c>
      <c r="AE246" s="51">
        <f>IF(AQ246="7",BI246,0)</f>
        <v>0</v>
      </c>
      <c r="AF246" s="51">
        <f>IF(AQ246="2",BH246,0)</f>
        <v>0</v>
      </c>
      <c r="AG246" s="51">
        <f>IF(AQ246="2",BI246,0)</f>
        <v>0</v>
      </c>
      <c r="AH246" s="51">
        <f>IF(AQ246="0",BJ246,0)</f>
        <v>0</v>
      </c>
      <c r="AI246" s="35" t="s">
        <v>4</v>
      </c>
      <c r="AJ246" s="51">
        <f>IF(AN246=0,H246,0)</f>
        <v>0</v>
      </c>
      <c r="AK246" s="51">
        <f>IF(AN246=12,H246,0)</f>
        <v>0</v>
      </c>
      <c r="AL246" s="51">
        <f>IF(AN246=21,H246,0)</f>
        <v>0</v>
      </c>
      <c r="AN246" s="51">
        <v>12</v>
      </c>
      <c r="AO246" s="51">
        <f>G246*0</f>
        <v>0</v>
      </c>
      <c r="AP246" s="51">
        <f>G246*(1-0)</f>
        <v>0</v>
      </c>
      <c r="AQ246" s="53" t="s">
        <v>137</v>
      </c>
      <c r="AV246" s="51">
        <f>AW246+AX246</f>
        <v>0</v>
      </c>
      <c r="AW246" s="51">
        <f>F246*AO246</f>
        <v>0</v>
      </c>
      <c r="AX246" s="51">
        <f>F246*AP246</f>
        <v>0</v>
      </c>
      <c r="AY246" s="53" t="s">
        <v>647</v>
      </c>
      <c r="AZ246" s="53" t="s">
        <v>585</v>
      </c>
      <c r="BA246" s="35" t="s">
        <v>117</v>
      </c>
      <c r="BC246" s="51">
        <f>AW246+AX246</f>
        <v>0</v>
      </c>
      <c r="BD246" s="51">
        <f>G246/(100-BE246)*100</f>
        <v>0</v>
      </c>
      <c r="BE246" s="51">
        <v>0</v>
      </c>
      <c r="BF246" s="51">
        <f>246</f>
        <v>246</v>
      </c>
      <c r="BH246" s="51">
        <f>F246*AO246</f>
        <v>0</v>
      </c>
      <c r="BI246" s="51">
        <f>F246*AP246</f>
        <v>0</v>
      </c>
      <c r="BJ246" s="51">
        <f>F246*G246</f>
        <v>0</v>
      </c>
      <c r="BK246" s="51"/>
      <c r="BL246" s="51">
        <v>777</v>
      </c>
      <c r="BW246" s="51">
        <v>12</v>
      </c>
      <c r="BX246" s="3" t="s">
        <v>653</v>
      </c>
    </row>
    <row r="247" spans="1:76">
      <c r="A247" s="47" t="s">
        <v>4</v>
      </c>
      <c r="B247" s="48" t="s">
        <v>654</v>
      </c>
      <c r="C247" s="150" t="s">
        <v>655</v>
      </c>
      <c r="D247" s="151"/>
      <c r="E247" s="49" t="s">
        <v>79</v>
      </c>
      <c r="F247" s="49" t="s">
        <v>79</v>
      </c>
      <c r="G247" s="50" t="s">
        <v>79</v>
      </c>
      <c r="H247" s="28">
        <f>SUM(H248:H259)</f>
        <v>0</v>
      </c>
      <c r="J247" s="41"/>
      <c r="AI247" s="35" t="s">
        <v>4</v>
      </c>
      <c r="AS247" s="28">
        <f>SUM(AJ248:AJ259)</f>
        <v>0</v>
      </c>
      <c r="AT247" s="28">
        <f>SUM(AK248:AK259)</f>
        <v>0</v>
      </c>
      <c r="AU247" s="28">
        <f>SUM(AL248:AL259)</f>
        <v>0</v>
      </c>
    </row>
    <row r="248" spans="1:76">
      <c r="A248" s="1" t="s">
        <v>656</v>
      </c>
      <c r="B248" s="2" t="s">
        <v>657</v>
      </c>
      <c r="C248" s="75" t="s">
        <v>658</v>
      </c>
      <c r="D248" s="70"/>
      <c r="E248" s="2" t="s">
        <v>124</v>
      </c>
      <c r="F248" s="51">
        <v>13.555</v>
      </c>
      <c r="G248" s="52">
        <v>0</v>
      </c>
      <c r="H248" s="51">
        <f>F248*G248</f>
        <v>0</v>
      </c>
      <c r="J248" s="41"/>
      <c r="Z248" s="51">
        <f>IF(AQ248="5",BJ248,0)</f>
        <v>0</v>
      </c>
      <c r="AB248" s="51">
        <f>IF(AQ248="1",BH248,0)</f>
        <v>0</v>
      </c>
      <c r="AC248" s="51">
        <f>IF(AQ248="1",BI248,0)</f>
        <v>0</v>
      </c>
      <c r="AD248" s="51">
        <f>IF(AQ248="7",BH248,0)</f>
        <v>0</v>
      </c>
      <c r="AE248" s="51">
        <f>IF(AQ248="7",BI248,0)</f>
        <v>0</v>
      </c>
      <c r="AF248" s="51">
        <f>IF(AQ248="2",BH248,0)</f>
        <v>0</v>
      </c>
      <c r="AG248" s="51">
        <f>IF(AQ248="2",BI248,0)</f>
        <v>0</v>
      </c>
      <c r="AH248" s="51">
        <f>IF(AQ248="0",BJ248,0)</f>
        <v>0</v>
      </c>
      <c r="AI248" s="35" t="s">
        <v>4</v>
      </c>
      <c r="AJ248" s="51">
        <f>IF(AN248=0,H248,0)</f>
        <v>0</v>
      </c>
      <c r="AK248" s="51">
        <f>IF(AN248=12,H248,0)</f>
        <v>0</v>
      </c>
      <c r="AL248" s="51">
        <f>IF(AN248=21,H248,0)</f>
        <v>0</v>
      </c>
      <c r="AN248" s="51">
        <v>12</v>
      </c>
      <c r="AO248" s="51">
        <f>G248*0.182075209</f>
        <v>0</v>
      </c>
      <c r="AP248" s="51">
        <f>G248*(1-0.182075209)</f>
        <v>0</v>
      </c>
      <c r="AQ248" s="53" t="s">
        <v>149</v>
      </c>
      <c r="AV248" s="51">
        <f>AW248+AX248</f>
        <v>0</v>
      </c>
      <c r="AW248" s="51">
        <f>F248*AO248</f>
        <v>0</v>
      </c>
      <c r="AX248" s="51">
        <f>F248*AP248</f>
        <v>0</v>
      </c>
      <c r="AY248" s="53" t="s">
        <v>659</v>
      </c>
      <c r="AZ248" s="53" t="s">
        <v>660</v>
      </c>
      <c r="BA248" s="35" t="s">
        <v>117</v>
      </c>
      <c r="BC248" s="51">
        <f>AW248+AX248</f>
        <v>0</v>
      </c>
      <c r="BD248" s="51">
        <f>G248/(100-BE248)*100</f>
        <v>0</v>
      </c>
      <c r="BE248" s="51">
        <v>0</v>
      </c>
      <c r="BF248" s="51">
        <f>248</f>
        <v>248</v>
      </c>
      <c r="BH248" s="51">
        <f>F248*AO248</f>
        <v>0</v>
      </c>
      <c r="BI248" s="51">
        <f>F248*AP248</f>
        <v>0</v>
      </c>
      <c r="BJ248" s="51">
        <f>F248*G248</f>
        <v>0</v>
      </c>
      <c r="BK248" s="51"/>
      <c r="BL248" s="51">
        <v>781</v>
      </c>
      <c r="BW248" s="51">
        <v>12</v>
      </c>
      <c r="BX248" s="3" t="s">
        <v>658</v>
      </c>
    </row>
    <row r="249" spans="1:76">
      <c r="A249" s="54"/>
      <c r="C249" s="56" t="s">
        <v>282</v>
      </c>
      <c r="D249" s="57" t="s">
        <v>228</v>
      </c>
      <c r="F249" s="58">
        <v>10.17</v>
      </c>
      <c r="J249" s="41"/>
    </row>
    <row r="250" spans="1:76">
      <c r="A250" s="54"/>
      <c r="C250" s="56" t="s">
        <v>661</v>
      </c>
      <c r="D250" s="57" t="s">
        <v>4</v>
      </c>
      <c r="F250" s="58">
        <v>0.6</v>
      </c>
      <c r="J250" s="41"/>
    </row>
    <row r="251" spans="1:76">
      <c r="A251" s="54"/>
      <c r="C251" s="56" t="s">
        <v>165</v>
      </c>
      <c r="D251" s="57" t="s">
        <v>602</v>
      </c>
      <c r="F251" s="58">
        <v>2.2050000000000001</v>
      </c>
      <c r="J251" s="41"/>
    </row>
    <row r="252" spans="1:76">
      <c r="A252" s="54"/>
      <c r="C252" s="56" t="s">
        <v>167</v>
      </c>
      <c r="D252" s="57" t="s">
        <v>4</v>
      </c>
      <c r="F252" s="58">
        <v>0.57999999999999996</v>
      </c>
      <c r="J252" s="41"/>
    </row>
    <row r="253" spans="1:76">
      <c r="A253" s="1" t="s">
        <v>662</v>
      </c>
      <c r="B253" s="2" t="s">
        <v>663</v>
      </c>
      <c r="C253" s="75" t="s">
        <v>664</v>
      </c>
      <c r="D253" s="70"/>
      <c r="E253" s="2" t="s">
        <v>124</v>
      </c>
      <c r="F253" s="51">
        <v>2.7850000000000001</v>
      </c>
      <c r="G253" s="52">
        <v>0</v>
      </c>
      <c r="H253" s="51">
        <f>F253*G253</f>
        <v>0</v>
      </c>
      <c r="J253" s="41"/>
      <c r="Z253" s="51">
        <f>IF(AQ253="5",BJ253,0)</f>
        <v>0</v>
      </c>
      <c r="AB253" s="51">
        <f>IF(AQ253="1",BH253,0)</f>
        <v>0</v>
      </c>
      <c r="AC253" s="51">
        <f>IF(AQ253="1",BI253,0)</f>
        <v>0</v>
      </c>
      <c r="AD253" s="51">
        <f>IF(AQ253="7",BH253,0)</f>
        <v>0</v>
      </c>
      <c r="AE253" s="51">
        <f>IF(AQ253="7",BI253,0)</f>
        <v>0</v>
      </c>
      <c r="AF253" s="51">
        <f>IF(AQ253="2",BH253,0)</f>
        <v>0</v>
      </c>
      <c r="AG253" s="51">
        <f>IF(AQ253="2",BI253,0)</f>
        <v>0</v>
      </c>
      <c r="AH253" s="51">
        <f>IF(AQ253="0",BJ253,0)</f>
        <v>0</v>
      </c>
      <c r="AI253" s="35" t="s">
        <v>4</v>
      </c>
      <c r="AJ253" s="51">
        <f>IF(AN253=0,H253,0)</f>
        <v>0</v>
      </c>
      <c r="AK253" s="51">
        <f>IF(AN253=12,H253,0)</f>
        <v>0</v>
      </c>
      <c r="AL253" s="51">
        <f>IF(AN253=21,H253,0)</f>
        <v>0</v>
      </c>
      <c r="AN253" s="51">
        <v>12</v>
      </c>
      <c r="AO253" s="51">
        <f>G253*0</f>
        <v>0</v>
      </c>
      <c r="AP253" s="51">
        <f>G253*(1-0)</f>
        <v>0</v>
      </c>
      <c r="AQ253" s="53" t="s">
        <v>149</v>
      </c>
      <c r="AV253" s="51">
        <f>AW253+AX253</f>
        <v>0</v>
      </c>
      <c r="AW253" s="51">
        <f>F253*AO253</f>
        <v>0</v>
      </c>
      <c r="AX253" s="51">
        <f>F253*AP253</f>
        <v>0</v>
      </c>
      <c r="AY253" s="53" t="s">
        <v>659</v>
      </c>
      <c r="AZ253" s="53" t="s">
        <v>660</v>
      </c>
      <c r="BA253" s="35" t="s">
        <v>117</v>
      </c>
      <c r="BC253" s="51">
        <f>AW253+AX253</f>
        <v>0</v>
      </c>
      <c r="BD253" s="51">
        <f>G253/(100-BE253)*100</f>
        <v>0</v>
      </c>
      <c r="BE253" s="51">
        <v>0</v>
      </c>
      <c r="BF253" s="51">
        <f>253</f>
        <v>253</v>
      </c>
      <c r="BH253" s="51">
        <f>F253*AO253</f>
        <v>0</v>
      </c>
      <c r="BI253" s="51">
        <f>F253*AP253</f>
        <v>0</v>
      </c>
      <c r="BJ253" s="51">
        <f>F253*G253</f>
        <v>0</v>
      </c>
      <c r="BK253" s="51"/>
      <c r="BL253" s="51">
        <v>781</v>
      </c>
      <c r="BW253" s="51">
        <v>12</v>
      </c>
      <c r="BX253" s="3" t="s">
        <v>664</v>
      </c>
    </row>
    <row r="254" spans="1:76">
      <c r="A254" s="1" t="s">
        <v>665</v>
      </c>
      <c r="B254" s="2" t="s">
        <v>666</v>
      </c>
      <c r="C254" s="75" t="s">
        <v>667</v>
      </c>
      <c r="D254" s="70"/>
      <c r="E254" s="2" t="s">
        <v>134</v>
      </c>
      <c r="F254" s="51">
        <v>7.5</v>
      </c>
      <c r="G254" s="52">
        <v>0</v>
      </c>
      <c r="H254" s="51">
        <f>F254*G254</f>
        <v>0</v>
      </c>
      <c r="J254" s="41"/>
      <c r="Z254" s="51">
        <f>IF(AQ254="5",BJ254,0)</f>
        <v>0</v>
      </c>
      <c r="AB254" s="51">
        <f>IF(AQ254="1",BH254,0)</f>
        <v>0</v>
      </c>
      <c r="AC254" s="51">
        <f>IF(AQ254="1",BI254,0)</f>
        <v>0</v>
      </c>
      <c r="AD254" s="51">
        <f>IF(AQ254="7",BH254,0)</f>
        <v>0</v>
      </c>
      <c r="AE254" s="51">
        <f>IF(AQ254="7",BI254,0)</f>
        <v>0</v>
      </c>
      <c r="AF254" s="51">
        <f>IF(AQ254="2",BH254,0)</f>
        <v>0</v>
      </c>
      <c r="AG254" s="51">
        <f>IF(AQ254="2",BI254,0)</f>
        <v>0</v>
      </c>
      <c r="AH254" s="51">
        <f>IF(AQ254="0",BJ254,0)</f>
        <v>0</v>
      </c>
      <c r="AI254" s="35" t="s">
        <v>4</v>
      </c>
      <c r="AJ254" s="51">
        <f>IF(AN254=0,H254,0)</f>
        <v>0</v>
      </c>
      <c r="AK254" s="51">
        <f>IF(AN254=12,H254,0)</f>
        <v>0</v>
      </c>
      <c r="AL254" s="51">
        <f>IF(AN254=21,H254,0)</f>
        <v>0</v>
      </c>
      <c r="AN254" s="51">
        <v>12</v>
      </c>
      <c r="AO254" s="51">
        <f>G254*0.05314554</f>
        <v>0</v>
      </c>
      <c r="AP254" s="51">
        <f>G254*(1-0.05314554)</f>
        <v>0</v>
      </c>
      <c r="AQ254" s="53" t="s">
        <v>149</v>
      </c>
      <c r="AV254" s="51">
        <f>AW254+AX254</f>
        <v>0</v>
      </c>
      <c r="AW254" s="51">
        <f>F254*AO254</f>
        <v>0</v>
      </c>
      <c r="AX254" s="51">
        <f>F254*AP254</f>
        <v>0</v>
      </c>
      <c r="AY254" s="53" t="s">
        <v>659</v>
      </c>
      <c r="AZ254" s="53" t="s">
        <v>660</v>
      </c>
      <c r="BA254" s="35" t="s">
        <v>117</v>
      </c>
      <c r="BC254" s="51">
        <f>AW254+AX254</f>
        <v>0</v>
      </c>
      <c r="BD254" s="51">
        <f>G254/(100-BE254)*100</f>
        <v>0</v>
      </c>
      <c r="BE254" s="51">
        <v>0</v>
      </c>
      <c r="BF254" s="51">
        <f>254</f>
        <v>254</v>
      </c>
      <c r="BH254" s="51">
        <f>F254*AO254</f>
        <v>0</v>
      </c>
      <c r="BI254" s="51">
        <f>F254*AP254</f>
        <v>0</v>
      </c>
      <c r="BJ254" s="51">
        <f>F254*G254</f>
        <v>0</v>
      </c>
      <c r="BK254" s="51"/>
      <c r="BL254" s="51">
        <v>781</v>
      </c>
      <c r="BW254" s="51">
        <v>12</v>
      </c>
      <c r="BX254" s="3" t="s">
        <v>667</v>
      </c>
    </row>
    <row r="255" spans="1:76">
      <c r="A255" s="54"/>
      <c r="C255" s="56" t="s">
        <v>668</v>
      </c>
      <c r="D255" s="57" t="s">
        <v>4</v>
      </c>
      <c r="F255" s="58">
        <v>7.5</v>
      </c>
      <c r="J255" s="41"/>
    </row>
    <row r="256" spans="1:76">
      <c r="A256" s="1" t="s">
        <v>669</v>
      </c>
      <c r="B256" s="2" t="s">
        <v>670</v>
      </c>
      <c r="C256" s="75" t="s">
        <v>671</v>
      </c>
      <c r="D256" s="70"/>
      <c r="E256" s="2" t="s">
        <v>114</v>
      </c>
      <c r="F256" s="51">
        <v>8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G256*0.062462908</f>
        <v>0</v>
      </c>
      <c r="AP256" s="51">
        <f>G256*(1-0.062462908)</f>
        <v>0</v>
      </c>
      <c r="AQ256" s="53" t="s">
        <v>149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659</v>
      </c>
      <c r="AZ256" s="53" t="s">
        <v>660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>
        <v>781</v>
      </c>
      <c r="BW256" s="51">
        <v>12</v>
      </c>
      <c r="BX256" s="3" t="s">
        <v>671</v>
      </c>
    </row>
    <row r="257" spans="1:76">
      <c r="A257" s="1" t="s">
        <v>672</v>
      </c>
      <c r="B257" s="2" t="s">
        <v>673</v>
      </c>
      <c r="C257" s="75" t="s">
        <v>674</v>
      </c>
      <c r="D257" s="70"/>
      <c r="E257" s="2" t="s">
        <v>124</v>
      </c>
      <c r="F257" s="51">
        <v>14.911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G257*1</f>
        <v>0</v>
      </c>
      <c r="AP257" s="51">
        <f>G257*(1-1)</f>
        <v>0</v>
      </c>
      <c r="AQ257" s="53" t="s">
        <v>149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659</v>
      </c>
      <c r="AZ257" s="53" t="s">
        <v>660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>
        <v>781</v>
      </c>
      <c r="BW257" s="51">
        <v>12</v>
      </c>
      <c r="BX257" s="3" t="s">
        <v>674</v>
      </c>
    </row>
    <row r="258" spans="1:76">
      <c r="A258" s="54"/>
      <c r="C258" s="56" t="s">
        <v>675</v>
      </c>
      <c r="D258" s="57" t="s">
        <v>4</v>
      </c>
      <c r="F258" s="58">
        <v>14.911</v>
      </c>
      <c r="J258" s="41"/>
    </row>
    <row r="259" spans="1:76">
      <c r="A259" s="1" t="s">
        <v>676</v>
      </c>
      <c r="B259" s="2" t="s">
        <v>677</v>
      </c>
      <c r="C259" s="75" t="s">
        <v>678</v>
      </c>
      <c r="D259" s="70"/>
      <c r="E259" s="2" t="s">
        <v>293</v>
      </c>
      <c r="F259" s="51">
        <v>0.249</v>
      </c>
      <c r="G259" s="52">
        <v>0</v>
      </c>
      <c r="H259" s="51">
        <f>F259*G259</f>
        <v>0</v>
      </c>
      <c r="J259" s="41"/>
      <c r="Z259" s="51">
        <f>IF(AQ259="5",BJ259,0)</f>
        <v>0</v>
      </c>
      <c r="AB259" s="51">
        <f>IF(AQ259="1",BH259,0)</f>
        <v>0</v>
      </c>
      <c r="AC259" s="51">
        <f>IF(AQ259="1",BI259,0)</f>
        <v>0</v>
      </c>
      <c r="AD259" s="51">
        <f>IF(AQ259="7",BH259,0)</f>
        <v>0</v>
      </c>
      <c r="AE259" s="51">
        <f>IF(AQ259="7",BI259,0)</f>
        <v>0</v>
      </c>
      <c r="AF259" s="51">
        <f>IF(AQ259="2",BH259,0)</f>
        <v>0</v>
      </c>
      <c r="AG259" s="51">
        <f>IF(AQ259="2",BI259,0)</f>
        <v>0</v>
      </c>
      <c r="AH259" s="51">
        <f>IF(AQ259="0",BJ259,0)</f>
        <v>0</v>
      </c>
      <c r="AI259" s="35" t="s">
        <v>4</v>
      </c>
      <c r="AJ259" s="51">
        <f>IF(AN259=0,H259,0)</f>
        <v>0</v>
      </c>
      <c r="AK259" s="51">
        <f>IF(AN259=12,H259,0)</f>
        <v>0</v>
      </c>
      <c r="AL259" s="51">
        <f>IF(AN259=21,H259,0)</f>
        <v>0</v>
      </c>
      <c r="AN259" s="51">
        <v>12</v>
      </c>
      <c r="AO259" s="51">
        <f>G259*0</f>
        <v>0</v>
      </c>
      <c r="AP259" s="51">
        <f>G259*(1-0)</f>
        <v>0</v>
      </c>
      <c r="AQ259" s="53" t="s">
        <v>137</v>
      </c>
      <c r="AV259" s="51">
        <f>AW259+AX259</f>
        <v>0</v>
      </c>
      <c r="AW259" s="51">
        <f>F259*AO259</f>
        <v>0</v>
      </c>
      <c r="AX259" s="51">
        <f>F259*AP259</f>
        <v>0</v>
      </c>
      <c r="AY259" s="53" t="s">
        <v>659</v>
      </c>
      <c r="AZ259" s="53" t="s">
        <v>660</v>
      </c>
      <c r="BA259" s="35" t="s">
        <v>117</v>
      </c>
      <c r="BC259" s="51">
        <f>AW259+AX259</f>
        <v>0</v>
      </c>
      <c r="BD259" s="51">
        <f>G259/(100-BE259)*100</f>
        <v>0</v>
      </c>
      <c r="BE259" s="51">
        <v>0</v>
      </c>
      <c r="BF259" s="51">
        <f>259</f>
        <v>259</v>
      </c>
      <c r="BH259" s="51">
        <f>F259*AO259</f>
        <v>0</v>
      </c>
      <c r="BI259" s="51">
        <f>F259*AP259</f>
        <v>0</v>
      </c>
      <c r="BJ259" s="51">
        <f>F259*G259</f>
        <v>0</v>
      </c>
      <c r="BK259" s="51"/>
      <c r="BL259" s="51">
        <v>781</v>
      </c>
      <c r="BW259" s="51">
        <v>12</v>
      </c>
      <c r="BX259" s="3" t="s">
        <v>678</v>
      </c>
    </row>
    <row r="260" spans="1:76">
      <c r="A260" s="47" t="s">
        <v>4</v>
      </c>
      <c r="B260" s="48" t="s">
        <v>679</v>
      </c>
      <c r="C260" s="150" t="s">
        <v>680</v>
      </c>
      <c r="D260" s="151"/>
      <c r="E260" s="49" t="s">
        <v>79</v>
      </c>
      <c r="F260" s="49" t="s">
        <v>79</v>
      </c>
      <c r="G260" s="50" t="s">
        <v>79</v>
      </c>
      <c r="H260" s="28">
        <f>SUM(H261:H264)</f>
        <v>0</v>
      </c>
      <c r="J260" s="41"/>
      <c r="AI260" s="35" t="s">
        <v>4</v>
      </c>
      <c r="AS260" s="28">
        <f>SUM(AJ261:AJ264)</f>
        <v>0</v>
      </c>
      <c r="AT260" s="28">
        <f>SUM(AK261:AK264)</f>
        <v>0</v>
      </c>
      <c r="AU260" s="28">
        <f>SUM(AL261:AL264)</f>
        <v>0</v>
      </c>
    </row>
    <row r="261" spans="1:76">
      <c r="A261" s="1" t="s">
        <v>681</v>
      </c>
      <c r="B261" s="2" t="s">
        <v>682</v>
      </c>
      <c r="C261" s="75" t="s">
        <v>683</v>
      </c>
      <c r="D261" s="70"/>
      <c r="E261" s="2" t="s">
        <v>559</v>
      </c>
      <c r="F261" s="51">
        <v>4</v>
      </c>
      <c r="G261" s="52">
        <v>0</v>
      </c>
      <c r="H261" s="51">
        <f>F261*G261</f>
        <v>0</v>
      </c>
      <c r="J261" s="41"/>
      <c r="Z261" s="51">
        <f>IF(AQ261="5",BJ261,0)</f>
        <v>0</v>
      </c>
      <c r="AB261" s="51">
        <f>IF(AQ261="1",BH261,0)</f>
        <v>0</v>
      </c>
      <c r="AC261" s="51">
        <f>IF(AQ261="1",BI261,0)</f>
        <v>0</v>
      </c>
      <c r="AD261" s="51">
        <f>IF(AQ261="7",BH261,0)</f>
        <v>0</v>
      </c>
      <c r="AE261" s="51">
        <f>IF(AQ261="7",BI261,0)</f>
        <v>0</v>
      </c>
      <c r="AF261" s="51">
        <f>IF(AQ261="2",BH261,0)</f>
        <v>0</v>
      </c>
      <c r="AG261" s="51">
        <f>IF(AQ261="2",BI261,0)</f>
        <v>0</v>
      </c>
      <c r="AH261" s="51">
        <f>IF(AQ261="0",BJ261,0)</f>
        <v>0</v>
      </c>
      <c r="AI261" s="35" t="s">
        <v>4</v>
      </c>
      <c r="AJ261" s="51">
        <f>IF(AN261=0,H261,0)</f>
        <v>0</v>
      </c>
      <c r="AK261" s="51">
        <f>IF(AN261=12,H261,0)</f>
        <v>0</v>
      </c>
      <c r="AL261" s="51">
        <f>IF(AN261=21,H261,0)</f>
        <v>0</v>
      </c>
      <c r="AN261" s="51">
        <v>12</v>
      </c>
      <c r="AO261" s="51">
        <f>G261*0.194314286</f>
        <v>0</v>
      </c>
      <c r="AP261" s="51">
        <f>G261*(1-0.194314286)</f>
        <v>0</v>
      </c>
      <c r="AQ261" s="53" t="s">
        <v>149</v>
      </c>
      <c r="AV261" s="51">
        <f>AW261+AX261</f>
        <v>0</v>
      </c>
      <c r="AW261" s="51">
        <f>F261*AO261</f>
        <v>0</v>
      </c>
      <c r="AX261" s="51">
        <f>F261*AP261</f>
        <v>0</v>
      </c>
      <c r="AY261" s="53" t="s">
        <v>684</v>
      </c>
      <c r="AZ261" s="53" t="s">
        <v>660</v>
      </c>
      <c r="BA261" s="35" t="s">
        <v>117</v>
      </c>
      <c r="BC261" s="51">
        <f>AW261+AX261</f>
        <v>0</v>
      </c>
      <c r="BD261" s="51">
        <f>G261/(100-BE261)*100</f>
        <v>0</v>
      </c>
      <c r="BE261" s="51">
        <v>0</v>
      </c>
      <c r="BF261" s="51">
        <f>261</f>
        <v>261</v>
      </c>
      <c r="BH261" s="51">
        <f>F261*AO261</f>
        <v>0</v>
      </c>
      <c r="BI261" s="51">
        <f>F261*AP261</f>
        <v>0</v>
      </c>
      <c r="BJ261" s="51">
        <f>F261*G261</f>
        <v>0</v>
      </c>
      <c r="BK261" s="51"/>
      <c r="BL261" s="51">
        <v>783</v>
      </c>
      <c r="BW261" s="51">
        <v>12</v>
      </c>
      <c r="BX261" s="3" t="s">
        <v>683</v>
      </c>
    </row>
    <row r="262" spans="1:76" ht="13.5" customHeight="1">
      <c r="A262" s="54"/>
      <c r="B262" s="55" t="s">
        <v>118</v>
      </c>
      <c r="C262" s="152" t="s">
        <v>685</v>
      </c>
      <c r="D262" s="153"/>
      <c r="E262" s="153"/>
      <c r="F262" s="153"/>
      <c r="G262" s="154"/>
      <c r="H262" s="153"/>
      <c r="I262" s="153"/>
      <c r="J262" s="155"/>
    </row>
    <row r="263" spans="1:76">
      <c r="A263" s="1" t="s">
        <v>686</v>
      </c>
      <c r="B263" s="2" t="s">
        <v>687</v>
      </c>
      <c r="C263" s="75" t="s">
        <v>688</v>
      </c>
      <c r="D263" s="70"/>
      <c r="E263" s="2" t="s">
        <v>124</v>
      </c>
      <c r="F263" s="51">
        <v>6</v>
      </c>
      <c r="G263" s="52">
        <v>0</v>
      </c>
      <c r="H263" s="51">
        <f>F263*G263</f>
        <v>0</v>
      </c>
      <c r="J263" s="41"/>
      <c r="Z263" s="51">
        <f>IF(AQ263="5",BJ263,0)</f>
        <v>0</v>
      </c>
      <c r="AB263" s="51">
        <f>IF(AQ263="1",BH263,0)</f>
        <v>0</v>
      </c>
      <c r="AC263" s="51">
        <f>IF(AQ263="1",BI263,0)</f>
        <v>0</v>
      </c>
      <c r="AD263" s="51">
        <f>IF(AQ263="7",BH263,0)</f>
        <v>0</v>
      </c>
      <c r="AE263" s="51">
        <f>IF(AQ263="7",BI263,0)</f>
        <v>0</v>
      </c>
      <c r="AF263" s="51">
        <f>IF(AQ263="2",BH263,0)</f>
        <v>0</v>
      </c>
      <c r="AG263" s="51">
        <f>IF(AQ263="2",BI263,0)</f>
        <v>0</v>
      </c>
      <c r="AH263" s="51">
        <f>IF(AQ263="0",BJ263,0)</f>
        <v>0</v>
      </c>
      <c r="AI263" s="35" t="s">
        <v>4</v>
      </c>
      <c r="AJ263" s="51">
        <f>IF(AN263=0,H263,0)</f>
        <v>0</v>
      </c>
      <c r="AK263" s="51">
        <f>IF(AN263=12,H263,0)</f>
        <v>0</v>
      </c>
      <c r="AL263" s="51">
        <f>IF(AN263=21,H263,0)</f>
        <v>0</v>
      </c>
      <c r="AN263" s="51">
        <v>12</v>
      </c>
      <c r="AO263" s="51">
        <f>G263*0.032470588</f>
        <v>0</v>
      </c>
      <c r="AP263" s="51">
        <f>G263*(1-0.032470588)</f>
        <v>0</v>
      </c>
      <c r="AQ263" s="53" t="s">
        <v>149</v>
      </c>
      <c r="AV263" s="51">
        <f>AW263+AX263</f>
        <v>0</v>
      </c>
      <c r="AW263" s="51">
        <f>F263*AO263</f>
        <v>0</v>
      </c>
      <c r="AX263" s="51">
        <f>F263*AP263</f>
        <v>0</v>
      </c>
      <c r="AY263" s="53" t="s">
        <v>684</v>
      </c>
      <c r="AZ263" s="53" t="s">
        <v>660</v>
      </c>
      <c r="BA263" s="35" t="s">
        <v>117</v>
      </c>
      <c r="BC263" s="51">
        <f>AW263+AX263</f>
        <v>0</v>
      </c>
      <c r="BD263" s="51">
        <f>G263/(100-BE263)*100</f>
        <v>0</v>
      </c>
      <c r="BE263" s="51">
        <v>0</v>
      </c>
      <c r="BF263" s="51">
        <f>263</f>
        <v>263</v>
      </c>
      <c r="BH263" s="51">
        <f>F263*AO263</f>
        <v>0</v>
      </c>
      <c r="BI263" s="51">
        <f>F263*AP263</f>
        <v>0</v>
      </c>
      <c r="BJ263" s="51">
        <f>F263*G263</f>
        <v>0</v>
      </c>
      <c r="BK263" s="51"/>
      <c r="BL263" s="51">
        <v>783</v>
      </c>
      <c r="BW263" s="51">
        <v>12</v>
      </c>
      <c r="BX263" s="3" t="s">
        <v>688</v>
      </c>
    </row>
    <row r="264" spans="1:76">
      <c r="A264" s="1" t="s">
        <v>689</v>
      </c>
      <c r="B264" s="2" t="s">
        <v>690</v>
      </c>
      <c r="C264" s="75" t="s">
        <v>691</v>
      </c>
      <c r="D264" s="70"/>
      <c r="E264" s="2" t="s">
        <v>124</v>
      </c>
      <c r="F264" s="51">
        <v>6</v>
      </c>
      <c r="G264" s="52">
        <v>0</v>
      </c>
      <c r="H264" s="51">
        <f>F264*G264</f>
        <v>0</v>
      </c>
      <c r="J264" s="41"/>
      <c r="Z264" s="51">
        <f>IF(AQ264="5",BJ264,0)</f>
        <v>0</v>
      </c>
      <c r="AB264" s="51">
        <f>IF(AQ264="1",BH264,0)</f>
        <v>0</v>
      </c>
      <c r="AC264" s="51">
        <f>IF(AQ264="1",BI264,0)</f>
        <v>0</v>
      </c>
      <c r="AD264" s="51">
        <f>IF(AQ264="7",BH264,0)</f>
        <v>0</v>
      </c>
      <c r="AE264" s="51">
        <f>IF(AQ264="7",BI264,0)</f>
        <v>0</v>
      </c>
      <c r="AF264" s="51">
        <f>IF(AQ264="2",BH264,0)</f>
        <v>0</v>
      </c>
      <c r="AG264" s="51">
        <f>IF(AQ264="2",BI264,0)</f>
        <v>0</v>
      </c>
      <c r="AH264" s="51">
        <f>IF(AQ264="0",BJ264,0)</f>
        <v>0</v>
      </c>
      <c r="AI264" s="35" t="s">
        <v>4</v>
      </c>
      <c r="AJ264" s="51">
        <f>IF(AN264=0,H264,0)</f>
        <v>0</v>
      </c>
      <c r="AK264" s="51">
        <f>IF(AN264=12,H264,0)</f>
        <v>0</v>
      </c>
      <c r="AL264" s="51">
        <f>IF(AN264=21,H264,0)</f>
        <v>0</v>
      </c>
      <c r="AN264" s="51">
        <v>12</v>
      </c>
      <c r="AO264" s="51">
        <f>G264*0.421268827</f>
        <v>0</v>
      </c>
      <c r="AP264" s="51">
        <f>G264*(1-0.421268827)</f>
        <v>0</v>
      </c>
      <c r="AQ264" s="53" t="s">
        <v>149</v>
      </c>
      <c r="AV264" s="51">
        <f>AW264+AX264</f>
        <v>0</v>
      </c>
      <c r="AW264" s="51">
        <f>F264*AO264</f>
        <v>0</v>
      </c>
      <c r="AX264" s="51">
        <f>F264*AP264</f>
        <v>0</v>
      </c>
      <c r="AY264" s="53" t="s">
        <v>684</v>
      </c>
      <c r="AZ264" s="53" t="s">
        <v>660</v>
      </c>
      <c r="BA264" s="35" t="s">
        <v>117</v>
      </c>
      <c r="BC264" s="51">
        <f>AW264+AX264</f>
        <v>0</v>
      </c>
      <c r="BD264" s="51">
        <f>G264/(100-BE264)*100</f>
        <v>0</v>
      </c>
      <c r="BE264" s="51">
        <v>0</v>
      </c>
      <c r="BF264" s="51">
        <f>264</f>
        <v>264</v>
      </c>
      <c r="BH264" s="51">
        <f>F264*AO264</f>
        <v>0</v>
      </c>
      <c r="BI264" s="51">
        <f>F264*AP264</f>
        <v>0</v>
      </c>
      <c r="BJ264" s="51">
        <f>F264*G264</f>
        <v>0</v>
      </c>
      <c r="BK264" s="51"/>
      <c r="BL264" s="51">
        <v>783</v>
      </c>
      <c r="BW264" s="51">
        <v>12</v>
      </c>
      <c r="BX264" s="3" t="s">
        <v>691</v>
      </c>
    </row>
    <row r="265" spans="1:76">
      <c r="A265" s="47" t="s">
        <v>4</v>
      </c>
      <c r="B265" s="48" t="s">
        <v>692</v>
      </c>
      <c r="C265" s="150" t="s">
        <v>693</v>
      </c>
      <c r="D265" s="151"/>
      <c r="E265" s="49" t="s">
        <v>79</v>
      </c>
      <c r="F265" s="49" t="s">
        <v>79</v>
      </c>
      <c r="G265" s="50" t="s">
        <v>79</v>
      </c>
      <c r="H265" s="28">
        <f>SUM(H266:H275)</f>
        <v>0</v>
      </c>
      <c r="J265" s="41"/>
      <c r="AI265" s="35" t="s">
        <v>4</v>
      </c>
      <c r="AS265" s="28">
        <f>SUM(AJ266:AJ275)</f>
        <v>0</v>
      </c>
      <c r="AT265" s="28">
        <f>SUM(AK266:AK275)</f>
        <v>0</v>
      </c>
      <c r="AU265" s="28">
        <f>SUM(AL266:AL275)</f>
        <v>0</v>
      </c>
    </row>
    <row r="266" spans="1:76">
      <c r="A266" s="1" t="s">
        <v>694</v>
      </c>
      <c r="B266" s="2" t="s">
        <v>695</v>
      </c>
      <c r="C266" s="75" t="s">
        <v>696</v>
      </c>
      <c r="D266" s="70"/>
      <c r="E266" s="2" t="s">
        <v>124</v>
      </c>
      <c r="F266" s="51">
        <v>124.52</v>
      </c>
      <c r="G266" s="52">
        <v>0</v>
      </c>
      <c r="H266" s="51">
        <f>F266*G266</f>
        <v>0</v>
      </c>
      <c r="J266" s="41"/>
      <c r="Z266" s="51">
        <f>IF(AQ266="5",BJ266,0)</f>
        <v>0</v>
      </c>
      <c r="AB266" s="51">
        <f>IF(AQ266="1",BH266,0)</f>
        <v>0</v>
      </c>
      <c r="AC266" s="51">
        <f>IF(AQ266="1",BI266,0)</f>
        <v>0</v>
      </c>
      <c r="AD266" s="51">
        <f>IF(AQ266="7",BH266,0)</f>
        <v>0</v>
      </c>
      <c r="AE266" s="51">
        <f>IF(AQ266="7",BI266,0)</f>
        <v>0</v>
      </c>
      <c r="AF266" s="51">
        <f>IF(AQ266="2",BH266,0)</f>
        <v>0</v>
      </c>
      <c r="AG266" s="51">
        <f>IF(AQ266="2",BI266,0)</f>
        <v>0</v>
      </c>
      <c r="AH266" s="51">
        <f>IF(AQ266="0",BJ266,0)</f>
        <v>0</v>
      </c>
      <c r="AI266" s="35" t="s">
        <v>4</v>
      </c>
      <c r="AJ266" s="51">
        <f>IF(AN266=0,H266,0)</f>
        <v>0</v>
      </c>
      <c r="AK266" s="51">
        <f>IF(AN266=12,H266,0)</f>
        <v>0</v>
      </c>
      <c r="AL266" s="51">
        <f>IF(AN266=21,H266,0)</f>
        <v>0</v>
      </c>
      <c r="AN266" s="51">
        <v>12</v>
      </c>
      <c r="AO266" s="51">
        <f>G266*0.002564102</f>
        <v>0</v>
      </c>
      <c r="AP266" s="51">
        <f>G266*(1-0.002564102)</f>
        <v>0</v>
      </c>
      <c r="AQ266" s="53" t="s">
        <v>149</v>
      </c>
      <c r="AV266" s="51">
        <f>AW266+AX266</f>
        <v>0</v>
      </c>
      <c r="AW266" s="51">
        <f>F266*AO266</f>
        <v>0</v>
      </c>
      <c r="AX266" s="51">
        <f>F266*AP266</f>
        <v>0</v>
      </c>
      <c r="AY266" s="53" t="s">
        <v>697</v>
      </c>
      <c r="AZ266" s="53" t="s">
        <v>660</v>
      </c>
      <c r="BA266" s="35" t="s">
        <v>117</v>
      </c>
      <c r="BC266" s="51">
        <f>AW266+AX266</f>
        <v>0</v>
      </c>
      <c r="BD266" s="51">
        <f>G266/(100-BE266)*100</f>
        <v>0</v>
      </c>
      <c r="BE266" s="51">
        <v>0</v>
      </c>
      <c r="BF266" s="51">
        <f>266</f>
        <v>266</v>
      </c>
      <c r="BH266" s="51">
        <f>F266*AO266</f>
        <v>0</v>
      </c>
      <c r="BI266" s="51">
        <f>F266*AP266</f>
        <v>0</v>
      </c>
      <c r="BJ266" s="51">
        <f>F266*G266</f>
        <v>0</v>
      </c>
      <c r="BK266" s="51"/>
      <c r="BL266" s="51">
        <v>784</v>
      </c>
      <c r="BW266" s="51">
        <v>12</v>
      </c>
      <c r="BX266" s="3" t="s">
        <v>696</v>
      </c>
    </row>
    <row r="267" spans="1:76">
      <c r="A267" s="54"/>
      <c r="C267" s="56" t="s">
        <v>148</v>
      </c>
      <c r="D267" s="57" t="s">
        <v>698</v>
      </c>
      <c r="F267" s="58">
        <v>28.75</v>
      </c>
      <c r="J267" s="41"/>
    </row>
    <row r="268" spans="1:76">
      <c r="A268" s="54"/>
      <c r="C268" s="56" t="s">
        <v>220</v>
      </c>
      <c r="D268" s="57" t="s">
        <v>699</v>
      </c>
      <c r="F268" s="58">
        <v>13.114000000000001</v>
      </c>
      <c r="J268" s="41"/>
    </row>
    <row r="269" spans="1:76">
      <c r="A269" s="54"/>
      <c r="C269" s="56" t="s">
        <v>700</v>
      </c>
      <c r="D269" s="57" t="s">
        <v>228</v>
      </c>
      <c r="F269" s="58">
        <v>3.2250000000000001</v>
      </c>
      <c r="J269" s="41"/>
    </row>
    <row r="270" spans="1:76">
      <c r="A270" s="54"/>
      <c r="C270" s="56" t="s">
        <v>701</v>
      </c>
      <c r="D270" s="57" t="s">
        <v>201</v>
      </c>
      <c r="F270" s="58">
        <v>39.82</v>
      </c>
      <c r="J270" s="41"/>
    </row>
    <row r="271" spans="1:76">
      <c r="A271" s="54"/>
      <c r="C271" s="56" t="s">
        <v>702</v>
      </c>
      <c r="D271" s="57" t="s">
        <v>218</v>
      </c>
      <c r="F271" s="58">
        <v>36.545000000000002</v>
      </c>
      <c r="J271" s="41"/>
    </row>
    <row r="272" spans="1:76">
      <c r="A272" s="54"/>
      <c r="C272" s="56" t="s">
        <v>206</v>
      </c>
      <c r="D272" s="57" t="s">
        <v>207</v>
      </c>
      <c r="F272" s="58">
        <v>1.68</v>
      </c>
      <c r="J272" s="41"/>
    </row>
    <row r="273" spans="1:76">
      <c r="A273" s="54"/>
      <c r="C273" s="56" t="s">
        <v>703</v>
      </c>
      <c r="D273" s="57" t="s">
        <v>4</v>
      </c>
      <c r="F273" s="58">
        <v>1.3859999999999999</v>
      </c>
      <c r="J273" s="41"/>
    </row>
    <row r="274" spans="1:76">
      <c r="A274" s="1" t="s">
        <v>704</v>
      </c>
      <c r="B274" s="2" t="s">
        <v>705</v>
      </c>
      <c r="C274" s="75" t="s">
        <v>706</v>
      </c>
      <c r="D274" s="70"/>
      <c r="E274" s="2" t="s">
        <v>124</v>
      </c>
      <c r="F274" s="51">
        <v>127</v>
      </c>
      <c r="G274" s="52">
        <v>0</v>
      </c>
      <c r="H274" s="51">
        <f>F274*G274</f>
        <v>0</v>
      </c>
      <c r="J274" s="41"/>
      <c r="Z274" s="51">
        <f>IF(AQ274="5",BJ274,0)</f>
        <v>0</v>
      </c>
      <c r="AB274" s="51">
        <f>IF(AQ274="1",BH274,0)</f>
        <v>0</v>
      </c>
      <c r="AC274" s="51">
        <f>IF(AQ274="1",BI274,0)</f>
        <v>0</v>
      </c>
      <c r="AD274" s="51">
        <f>IF(AQ274="7",BH274,0)</f>
        <v>0</v>
      </c>
      <c r="AE274" s="51">
        <f>IF(AQ274="7",BI274,0)</f>
        <v>0</v>
      </c>
      <c r="AF274" s="51">
        <f>IF(AQ274="2",BH274,0)</f>
        <v>0</v>
      </c>
      <c r="AG274" s="51">
        <f>IF(AQ274="2",BI274,0)</f>
        <v>0</v>
      </c>
      <c r="AH274" s="51">
        <f>IF(AQ274="0",BJ274,0)</f>
        <v>0</v>
      </c>
      <c r="AI274" s="35" t="s">
        <v>4</v>
      </c>
      <c r="AJ274" s="51">
        <f>IF(AN274=0,H274,0)</f>
        <v>0</v>
      </c>
      <c r="AK274" s="51">
        <f>IF(AN274=12,H274,0)</f>
        <v>0</v>
      </c>
      <c r="AL274" s="51">
        <f>IF(AN274=21,H274,0)</f>
        <v>0</v>
      </c>
      <c r="AN274" s="51">
        <v>12</v>
      </c>
      <c r="AO274" s="51">
        <f>G274*0.271311794</f>
        <v>0</v>
      </c>
      <c r="AP274" s="51">
        <f>G274*(1-0.271311794)</f>
        <v>0</v>
      </c>
      <c r="AQ274" s="53" t="s">
        <v>149</v>
      </c>
      <c r="AV274" s="51">
        <f>AW274+AX274</f>
        <v>0</v>
      </c>
      <c r="AW274" s="51">
        <f>F274*AO274</f>
        <v>0</v>
      </c>
      <c r="AX274" s="51">
        <f>F274*AP274</f>
        <v>0</v>
      </c>
      <c r="AY274" s="53" t="s">
        <v>697</v>
      </c>
      <c r="AZ274" s="53" t="s">
        <v>660</v>
      </c>
      <c r="BA274" s="35" t="s">
        <v>117</v>
      </c>
      <c r="BC274" s="51">
        <f>AW274+AX274</f>
        <v>0</v>
      </c>
      <c r="BD274" s="51">
        <f>G274/(100-BE274)*100</f>
        <v>0</v>
      </c>
      <c r="BE274" s="51">
        <v>0</v>
      </c>
      <c r="BF274" s="51">
        <f>274</f>
        <v>274</v>
      </c>
      <c r="BH274" s="51">
        <f>F274*AO274</f>
        <v>0</v>
      </c>
      <c r="BI274" s="51">
        <f>F274*AP274</f>
        <v>0</v>
      </c>
      <c r="BJ274" s="51">
        <f>F274*G274</f>
        <v>0</v>
      </c>
      <c r="BK274" s="51"/>
      <c r="BL274" s="51">
        <v>784</v>
      </c>
      <c r="BW274" s="51">
        <v>12</v>
      </c>
      <c r="BX274" s="3" t="s">
        <v>706</v>
      </c>
    </row>
    <row r="275" spans="1:76">
      <c r="A275" s="1" t="s">
        <v>707</v>
      </c>
      <c r="B275" s="2" t="s">
        <v>708</v>
      </c>
      <c r="C275" s="75" t="s">
        <v>709</v>
      </c>
      <c r="D275" s="70"/>
      <c r="E275" s="2" t="s">
        <v>124</v>
      </c>
      <c r="F275" s="51">
        <v>127</v>
      </c>
      <c r="G275" s="52">
        <v>0</v>
      </c>
      <c r="H275" s="51">
        <f>F275*G275</f>
        <v>0</v>
      </c>
      <c r="J275" s="41"/>
      <c r="Z275" s="51">
        <f>IF(AQ275="5",BJ275,0)</f>
        <v>0</v>
      </c>
      <c r="AB275" s="51">
        <f>IF(AQ275="1",BH275,0)</f>
        <v>0</v>
      </c>
      <c r="AC275" s="51">
        <f>IF(AQ275="1",BI275,0)</f>
        <v>0</v>
      </c>
      <c r="AD275" s="51">
        <f>IF(AQ275="7",BH275,0)</f>
        <v>0</v>
      </c>
      <c r="AE275" s="51">
        <f>IF(AQ275="7",BI275,0)</f>
        <v>0</v>
      </c>
      <c r="AF275" s="51">
        <f>IF(AQ275="2",BH275,0)</f>
        <v>0</v>
      </c>
      <c r="AG275" s="51">
        <f>IF(AQ275="2",BI275,0)</f>
        <v>0</v>
      </c>
      <c r="AH275" s="51">
        <f>IF(AQ275="0",BJ275,0)</f>
        <v>0</v>
      </c>
      <c r="AI275" s="35" t="s">
        <v>4</v>
      </c>
      <c r="AJ275" s="51">
        <f>IF(AN275=0,H275,0)</f>
        <v>0</v>
      </c>
      <c r="AK275" s="51">
        <f>IF(AN275=12,H275,0)</f>
        <v>0</v>
      </c>
      <c r="AL275" s="51">
        <f>IF(AN275=21,H275,0)</f>
        <v>0</v>
      </c>
      <c r="AN275" s="51">
        <v>12</v>
      </c>
      <c r="AO275" s="51">
        <f>G275*0.242142026</f>
        <v>0</v>
      </c>
      <c r="AP275" s="51">
        <f>G275*(1-0.242142026)</f>
        <v>0</v>
      </c>
      <c r="AQ275" s="53" t="s">
        <v>149</v>
      </c>
      <c r="AV275" s="51">
        <f>AW275+AX275</f>
        <v>0</v>
      </c>
      <c r="AW275" s="51">
        <f>F275*AO275</f>
        <v>0</v>
      </c>
      <c r="AX275" s="51">
        <f>F275*AP275</f>
        <v>0</v>
      </c>
      <c r="AY275" s="53" t="s">
        <v>697</v>
      </c>
      <c r="AZ275" s="53" t="s">
        <v>660</v>
      </c>
      <c r="BA275" s="35" t="s">
        <v>117</v>
      </c>
      <c r="BC275" s="51">
        <f>AW275+AX275</f>
        <v>0</v>
      </c>
      <c r="BD275" s="51">
        <f>G275/(100-BE275)*100</f>
        <v>0</v>
      </c>
      <c r="BE275" s="51">
        <v>0</v>
      </c>
      <c r="BF275" s="51">
        <f>275</f>
        <v>275</v>
      </c>
      <c r="BH275" s="51">
        <f>F275*AO275</f>
        <v>0</v>
      </c>
      <c r="BI275" s="51">
        <f>F275*AP275</f>
        <v>0</v>
      </c>
      <c r="BJ275" s="51">
        <f>F275*G275</f>
        <v>0</v>
      </c>
      <c r="BK275" s="51"/>
      <c r="BL275" s="51">
        <v>784</v>
      </c>
      <c r="BW275" s="51">
        <v>12</v>
      </c>
      <c r="BX275" s="3" t="s">
        <v>709</v>
      </c>
    </row>
    <row r="276" spans="1:76">
      <c r="A276" s="54"/>
      <c r="C276" s="56" t="s">
        <v>710</v>
      </c>
      <c r="D276" s="57" t="s">
        <v>4</v>
      </c>
      <c r="F276" s="58">
        <v>127</v>
      </c>
      <c r="J276" s="41"/>
    </row>
    <row r="277" spans="1:76">
      <c r="A277" s="47" t="s">
        <v>4</v>
      </c>
      <c r="B277" s="48" t="s">
        <v>711</v>
      </c>
      <c r="C277" s="150" t="s">
        <v>712</v>
      </c>
      <c r="D277" s="151"/>
      <c r="E277" s="49" t="s">
        <v>79</v>
      </c>
      <c r="F277" s="49" t="s">
        <v>79</v>
      </c>
      <c r="G277" s="50" t="s">
        <v>79</v>
      </c>
      <c r="H277" s="28">
        <f>SUM(H278:H282)</f>
        <v>0</v>
      </c>
      <c r="J277" s="41"/>
      <c r="AI277" s="35" t="s">
        <v>4</v>
      </c>
      <c r="AS277" s="28">
        <f>SUM(AJ278:AJ282)</f>
        <v>0</v>
      </c>
      <c r="AT277" s="28">
        <f>SUM(AK278:AK282)</f>
        <v>0</v>
      </c>
      <c r="AU277" s="28">
        <f>SUM(AL278:AL282)</f>
        <v>0</v>
      </c>
    </row>
    <row r="278" spans="1:76">
      <c r="A278" s="1" t="s">
        <v>713</v>
      </c>
      <c r="B278" s="2" t="s">
        <v>714</v>
      </c>
      <c r="C278" s="75" t="s">
        <v>715</v>
      </c>
      <c r="D278" s="70"/>
      <c r="E278" s="2" t="s">
        <v>114</v>
      </c>
      <c r="F278" s="51">
        <v>1</v>
      </c>
      <c r="G278" s="52">
        <v>0</v>
      </c>
      <c r="H278" s="51">
        <f>F278*G278</f>
        <v>0</v>
      </c>
      <c r="J278" s="41"/>
      <c r="Z278" s="51">
        <f>IF(AQ278="5",BJ278,0)</f>
        <v>0</v>
      </c>
      <c r="AB278" s="51">
        <f>IF(AQ278="1",BH278,0)</f>
        <v>0</v>
      </c>
      <c r="AC278" s="51">
        <f>IF(AQ278="1",BI278,0)</f>
        <v>0</v>
      </c>
      <c r="AD278" s="51">
        <f>IF(AQ278="7",BH278,0)</f>
        <v>0</v>
      </c>
      <c r="AE278" s="51">
        <f>IF(AQ278="7",BI278,0)</f>
        <v>0</v>
      </c>
      <c r="AF278" s="51">
        <f>IF(AQ278="2",BH278,0)</f>
        <v>0</v>
      </c>
      <c r="AG278" s="51">
        <f>IF(AQ278="2",BI278,0)</f>
        <v>0</v>
      </c>
      <c r="AH278" s="51">
        <f>IF(AQ278="0",BJ278,0)</f>
        <v>0</v>
      </c>
      <c r="AI278" s="35" t="s">
        <v>4</v>
      </c>
      <c r="AJ278" s="51">
        <f>IF(AN278=0,H278,0)</f>
        <v>0</v>
      </c>
      <c r="AK278" s="51">
        <f>IF(AN278=12,H278,0)</f>
        <v>0</v>
      </c>
      <c r="AL278" s="51">
        <f>IF(AN278=21,H278,0)</f>
        <v>0</v>
      </c>
      <c r="AN278" s="51">
        <v>12</v>
      </c>
      <c r="AO278" s="51">
        <f>G278*0</f>
        <v>0</v>
      </c>
      <c r="AP278" s="51">
        <f>G278*(1-0)</f>
        <v>0</v>
      </c>
      <c r="AQ278" s="53" t="s">
        <v>120</v>
      </c>
      <c r="AV278" s="51">
        <f>AW278+AX278</f>
        <v>0</v>
      </c>
      <c r="AW278" s="51">
        <f>F278*AO278</f>
        <v>0</v>
      </c>
      <c r="AX278" s="51">
        <f>F278*AP278</f>
        <v>0</v>
      </c>
      <c r="AY278" s="53" t="s">
        <v>716</v>
      </c>
      <c r="AZ278" s="53" t="s">
        <v>241</v>
      </c>
      <c r="BA278" s="35" t="s">
        <v>117</v>
      </c>
      <c r="BC278" s="51">
        <f>AW278+AX278</f>
        <v>0</v>
      </c>
      <c r="BD278" s="51">
        <f>G278/(100-BE278)*100</f>
        <v>0</v>
      </c>
      <c r="BE278" s="51">
        <v>0</v>
      </c>
      <c r="BF278" s="51">
        <f>278</f>
        <v>278</v>
      </c>
      <c r="BH278" s="51">
        <f>F278*AO278</f>
        <v>0</v>
      </c>
      <c r="BI278" s="51">
        <f>F278*AP278</f>
        <v>0</v>
      </c>
      <c r="BJ278" s="51">
        <f>F278*G278</f>
        <v>0</v>
      </c>
      <c r="BK278" s="51"/>
      <c r="BL278" s="51"/>
      <c r="BW278" s="51">
        <v>12</v>
      </c>
      <c r="BX278" s="3" t="s">
        <v>715</v>
      </c>
    </row>
    <row r="279" spans="1:76">
      <c r="A279" s="1" t="s">
        <v>717</v>
      </c>
      <c r="B279" s="2" t="s">
        <v>718</v>
      </c>
      <c r="C279" s="75" t="s">
        <v>719</v>
      </c>
      <c r="D279" s="70"/>
      <c r="E279" s="2" t="s">
        <v>114</v>
      </c>
      <c r="F279" s="51">
        <v>1</v>
      </c>
      <c r="G279" s="52">
        <v>0</v>
      </c>
      <c r="H279" s="51">
        <f>F279*G279</f>
        <v>0</v>
      </c>
      <c r="J279" s="41"/>
      <c r="Z279" s="51">
        <f>IF(AQ279="5",BJ279,0)</f>
        <v>0</v>
      </c>
      <c r="AB279" s="51">
        <f>IF(AQ279="1",BH279,0)</f>
        <v>0</v>
      </c>
      <c r="AC279" s="51">
        <f>IF(AQ279="1",BI279,0)</f>
        <v>0</v>
      </c>
      <c r="AD279" s="51">
        <f>IF(AQ279="7",BH279,0)</f>
        <v>0</v>
      </c>
      <c r="AE279" s="51">
        <f>IF(AQ279="7",BI279,0)</f>
        <v>0</v>
      </c>
      <c r="AF279" s="51">
        <f>IF(AQ279="2",BH279,0)</f>
        <v>0</v>
      </c>
      <c r="AG279" s="51">
        <f>IF(AQ279="2",BI279,0)</f>
        <v>0</v>
      </c>
      <c r="AH279" s="51">
        <f>IF(AQ279="0",BJ279,0)</f>
        <v>0</v>
      </c>
      <c r="AI279" s="35" t="s">
        <v>4</v>
      </c>
      <c r="AJ279" s="51">
        <f>IF(AN279=0,H279,0)</f>
        <v>0</v>
      </c>
      <c r="AK279" s="51">
        <f>IF(AN279=12,H279,0)</f>
        <v>0</v>
      </c>
      <c r="AL279" s="51">
        <f>IF(AN279=21,H279,0)</f>
        <v>0</v>
      </c>
      <c r="AN279" s="51">
        <v>12</v>
      </c>
      <c r="AO279" s="51">
        <f>G279*0</f>
        <v>0</v>
      </c>
      <c r="AP279" s="51">
        <f>G279*(1-0)</f>
        <v>0</v>
      </c>
      <c r="AQ279" s="53" t="s">
        <v>120</v>
      </c>
      <c r="AV279" s="51">
        <f>AW279+AX279</f>
        <v>0</v>
      </c>
      <c r="AW279" s="51">
        <f>F279*AO279</f>
        <v>0</v>
      </c>
      <c r="AX279" s="51">
        <f>F279*AP279</f>
        <v>0</v>
      </c>
      <c r="AY279" s="53" t="s">
        <v>716</v>
      </c>
      <c r="AZ279" s="53" t="s">
        <v>241</v>
      </c>
      <c r="BA279" s="35" t="s">
        <v>117</v>
      </c>
      <c r="BC279" s="51">
        <f>AW279+AX279</f>
        <v>0</v>
      </c>
      <c r="BD279" s="51">
        <f>G279/(100-BE279)*100</f>
        <v>0</v>
      </c>
      <c r="BE279" s="51">
        <v>0</v>
      </c>
      <c r="BF279" s="51">
        <f>279</f>
        <v>279</v>
      </c>
      <c r="BH279" s="51">
        <f>F279*AO279</f>
        <v>0</v>
      </c>
      <c r="BI279" s="51">
        <f>F279*AP279</f>
        <v>0</v>
      </c>
      <c r="BJ279" s="51">
        <f>F279*G279</f>
        <v>0</v>
      </c>
      <c r="BK279" s="51"/>
      <c r="BL279" s="51"/>
      <c r="BW279" s="51">
        <v>12</v>
      </c>
      <c r="BX279" s="3" t="s">
        <v>719</v>
      </c>
    </row>
    <row r="280" spans="1:76">
      <c r="A280" s="1" t="s">
        <v>720</v>
      </c>
      <c r="B280" s="2" t="s">
        <v>721</v>
      </c>
      <c r="C280" s="75" t="s">
        <v>722</v>
      </c>
      <c r="D280" s="70"/>
      <c r="E280" s="2" t="s">
        <v>114</v>
      </c>
      <c r="F280" s="51">
        <v>1</v>
      </c>
      <c r="G280" s="52">
        <v>0</v>
      </c>
      <c r="H280" s="51">
        <f>F280*G280</f>
        <v>0</v>
      </c>
      <c r="J280" s="41"/>
      <c r="Z280" s="51">
        <f>IF(AQ280="5",BJ280,0)</f>
        <v>0</v>
      </c>
      <c r="AB280" s="51">
        <f>IF(AQ280="1",BH280,0)</f>
        <v>0</v>
      </c>
      <c r="AC280" s="51">
        <f>IF(AQ280="1",BI280,0)</f>
        <v>0</v>
      </c>
      <c r="AD280" s="51">
        <f>IF(AQ280="7",BH280,0)</f>
        <v>0</v>
      </c>
      <c r="AE280" s="51">
        <f>IF(AQ280="7",BI280,0)</f>
        <v>0</v>
      </c>
      <c r="AF280" s="51">
        <f>IF(AQ280="2",BH280,0)</f>
        <v>0</v>
      </c>
      <c r="AG280" s="51">
        <f>IF(AQ280="2",BI280,0)</f>
        <v>0</v>
      </c>
      <c r="AH280" s="51">
        <f>IF(AQ280="0",BJ280,0)</f>
        <v>0</v>
      </c>
      <c r="AI280" s="35" t="s">
        <v>4</v>
      </c>
      <c r="AJ280" s="51">
        <f>IF(AN280=0,H280,0)</f>
        <v>0</v>
      </c>
      <c r="AK280" s="51">
        <f>IF(AN280=12,H280,0)</f>
        <v>0</v>
      </c>
      <c r="AL280" s="51">
        <f>IF(AN280=21,H280,0)</f>
        <v>0</v>
      </c>
      <c r="AN280" s="51">
        <v>12</v>
      </c>
      <c r="AO280" s="51">
        <f>G280*0</f>
        <v>0</v>
      </c>
      <c r="AP280" s="51">
        <f>G280*(1-0)</f>
        <v>0</v>
      </c>
      <c r="AQ280" s="53" t="s">
        <v>120</v>
      </c>
      <c r="AV280" s="51">
        <f>AW280+AX280</f>
        <v>0</v>
      </c>
      <c r="AW280" s="51">
        <f>F280*AO280</f>
        <v>0</v>
      </c>
      <c r="AX280" s="51">
        <f>F280*AP280</f>
        <v>0</v>
      </c>
      <c r="AY280" s="53" t="s">
        <v>716</v>
      </c>
      <c r="AZ280" s="53" t="s">
        <v>241</v>
      </c>
      <c r="BA280" s="35" t="s">
        <v>117</v>
      </c>
      <c r="BC280" s="51">
        <f>AW280+AX280</f>
        <v>0</v>
      </c>
      <c r="BD280" s="51">
        <f>G280/(100-BE280)*100</f>
        <v>0</v>
      </c>
      <c r="BE280" s="51">
        <v>0</v>
      </c>
      <c r="BF280" s="51">
        <f>280</f>
        <v>280</v>
      </c>
      <c r="BH280" s="51">
        <f>F280*AO280</f>
        <v>0</v>
      </c>
      <c r="BI280" s="51">
        <f>F280*AP280</f>
        <v>0</v>
      </c>
      <c r="BJ280" s="51">
        <f>F280*G280</f>
        <v>0</v>
      </c>
      <c r="BK280" s="51"/>
      <c r="BL280" s="51"/>
      <c r="BW280" s="51">
        <v>12</v>
      </c>
      <c r="BX280" s="3" t="s">
        <v>722</v>
      </c>
    </row>
    <row r="281" spans="1:76">
      <c r="A281" s="1" t="s">
        <v>723</v>
      </c>
      <c r="B281" s="2" t="s">
        <v>724</v>
      </c>
      <c r="C281" s="75" t="s">
        <v>725</v>
      </c>
      <c r="D281" s="70"/>
      <c r="E281" s="2" t="s">
        <v>439</v>
      </c>
      <c r="F281" s="51">
        <v>1</v>
      </c>
      <c r="G281" s="52">
        <v>0</v>
      </c>
      <c r="H281" s="51">
        <f>F281*G281</f>
        <v>0</v>
      </c>
      <c r="J281" s="41"/>
      <c r="Z281" s="51">
        <f>IF(AQ281="5",BJ281,0)</f>
        <v>0</v>
      </c>
      <c r="AB281" s="51">
        <f>IF(AQ281="1",BH281,0)</f>
        <v>0</v>
      </c>
      <c r="AC281" s="51">
        <f>IF(AQ281="1",BI281,0)</f>
        <v>0</v>
      </c>
      <c r="AD281" s="51">
        <f>IF(AQ281="7",BH281,0)</f>
        <v>0</v>
      </c>
      <c r="AE281" s="51">
        <f>IF(AQ281="7",BI281,0)</f>
        <v>0</v>
      </c>
      <c r="AF281" s="51">
        <f>IF(AQ281="2",BH281,0)</f>
        <v>0</v>
      </c>
      <c r="AG281" s="51">
        <f>IF(AQ281="2",BI281,0)</f>
        <v>0</v>
      </c>
      <c r="AH281" s="51">
        <f>IF(AQ281="0",BJ281,0)</f>
        <v>0</v>
      </c>
      <c r="AI281" s="35" t="s">
        <v>4</v>
      </c>
      <c r="AJ281" s="51">
        <f>IF(AN281=0,H281,0)</f>
        <v>0</v>
      </c>
      <c r="AK281" s="51">
        <f>IF(AN281=12,H281,0)</f>
        <v>0</v>
      </c>
      <c r="AL281" s="51">
        <f>IF(AN281=21,H281,0)</f>
        <v>0</v>
      </c>
      <c r="AN281" s="51">
        <v>12</v>
      </c>
      <c r="AO281" s="51">
        <f>G281*0</f>
        <v>0</v>
      </c>
      <c r="AP281" s="51">
        <f>G281*(1-0)</f>
        <v>0</v>
      </c>
      <c r="AQ281" s="53" t="s">
        <v>120</v>
      </c>
      <c r="AV281" s="51">
        <f>AW281+AX281</f>
        <v>0</v>
      </c>
      <c r="AW281" s="51">
        <f>F281*AO281</f>
        <v>0</v>
      </c>
      <c r="AX281" s="51">
        <f>F281*AP281</f>
        <v>0</v>
      </c>
      <c r="AY281" s="53" t="s">
        <v>716</v>
      </c>
      <c r="AZ281" s="53" t="s">
        <v>241</v>
      </c>
      <c r="BA281" s="35" t="s">
        <v>117</v>
      </c>
      <c r="BC281" s="51">
        <f>AW281+AX281</f>
        <v>0</v>
      </c>
      <c r="BD281" s="51">
        <f>G281/(100-BE281)*100</f>
        <v>0</v>
      </c>
      <c r="BE281" s="51">
        <v>0</v>
      </c>
      <c r="BF281" s="51">
        <f>281</f>
        <v>281</v>
      </c>
      <c r="BH281" s="51">
        <f>F281*AO281</f>
        <v>0</v>
      </c>
      <c r="BI281" s="51">
        <f>F281*AP281</f>
        <v>0</v>
      </c>
      <c r="BJ281" s="51">
        <f>F281*G281</f>
        <v>0</v>
      </c>
      <c r="BK281" s="51"/>
      <c r="BL281" s="51"/>
      <c r="BW281" s="51">
        <v>12</v>
      </c>
      <c r="BX281" s="3" t="s">
        <v>725</v>
      </c>
    </row>
    <row r="282" spans="1:76">
      <c r="A282" s="1" t="s">
        <v>726</v>
      </c>
      <c r="B282" s="2" t="s">
        <v>727</v>
      </c>
      <c r="C282" s="75" t="s">
        <v>728</v>
      </c>
      <c r="D282" s="70"/>
      <c r="E282" s="2" t="s">
        <v>439</v>
      </c>
      <c r="F282" s="51">
        <v>1</v>
      </c>
      <c r="G282" s="52">
        <v>0</v>
      </c>
      <c r="H282" s="51">
        <f>F282*G282</f>
        <v>0</v>
      </c>
      <c r="J282" s="41"/>
      <c r="Z282" s="51">
        <f>IF(AQ282="5",BJ282,0)</f>
        <v>0</v>
      </c>
      <c r="AB282" s="51">
        <f>IF(AQ282="1",BH282,0)</f>
        <v>0</v>
      </c>
      <c r="AC282" s="51">
        <f>IF(AQ282="1",BI282,0)</f>
        <v>0</v>
      </c>
      <c r="AD282" s="51">
        <f>IF(AQ282="7",BH282,0)</f>
        <v>0</v>
      </c>
      <c r="AE282" s="51">
        <f>IF(AQ282="7",BI282,0)</f>
        <v>0</v>
      </c>
      <c r="AF282" s="51">
        <f>IF(AQ282="2",BH282,0)</f>
        <v>0</v>
      </c>
      <c r="AG282" s="51">
        <f>IF(AQ282="2",BI282,0)</f>
        <v>0</v>
      </c>
      <c r="AH282" s="51">
        <f>IF(AQ282="0",BJ282,0)</f>
        <v>0</v>
      </c>
      <c r="AI282" s="35" t="s">
        <v>4</v>
      </c>
      <c r="AJ282" s="51">
        <f>IF(AN282=0,H282,0)</f>
        <v>0</v>
      </c>
      <c r="AK282" s="51">
        <f>IF(AN282=12,H282,0)</f>
        <v>0</v>
      </c>
      <c r="AL282" s="51">
        <f>IF(AN282=21,H282,0)</f>
        <v>0</v>
      </c>
      <c r="AN282" s="51">
        <v>12</v>
      </c>
      <c r="AO282" s="51">
        <f>G282*0</f>
        <v>0</v>
      </c>
      <c r="AP282" s="51">
        <f>G282*(1-0)</f>
        <v>0</v>
      </c>
      <c r="AQ282" s="53" t="s">
        <v>120</v>
      </c>
      <c r="AV282" s="51">
        <f>AW282+AX282</f>
        <v>0</v>
      </c>
      <c r="AW282" s="51">
        <f>F282*AO282</f>
        <v>0</v>
      </c>
      <c r="AX282" s="51">
        <f>F282*AP282</f>
        <v>0</v>
      </c>
      <c r="AY282" s="53" t="s">
        <v>716</v>
      </c>
      <c r="AZ282" s="53" t="s">
        <v>241</v>
      </c>
      <c r="BA282" s="35" t="s">
        <v>117</v>
      </c>
      <c r="BC282" s="51">
        <f>AW282+AX282</f>
        <v>0</v>
      </c>
      <c r="BD282" s="51">
        <f>G282/(100-BE282)*100</f>
        <v>0</v>
      </c>
      <c r="BE282" s="51">
        <v>0</v>
      </c>
      <c r="BF282" s="51">
        <f>282</f>
        <v>282</v>
      </c>
      <c r="BH282" s="51">
        <f>F282*AO282</f>
        <v>0</v>
      </c>
      <c r="BI282" s="51">
        <f>F282*AP282</f>
        <v>0</v>
      </c>
      <c r="BJ282" s="51">
        <f>F282*G282</f>
        <v>0</v>
      </c>
      <c r="BK282" s="51"/>
      <c r="BL282" s="51"/>
      <c r="BW282" s="51">
        <v>12</v>
      </c>
      <c r="BX282" s="3" t="s">
        <v>728</v>
      </c>
    </row>
    <row r="283" spans="1:76">
      <c r="A283" s="47" t="s">
        <v>4</v>
      </c>
      <c r="B283" s="48" t="s">
        <v>729</v>
      </c>
      <c r="C283" s="150" t="s">
        <v>57</v>
      </c>
      <c r="D283" s="151"/>
      <c r="E283" s="49" t="s">
        <v>79</v>
      </c>
      <c r="F283" s="49" t="s">
        <v>79</v>
      </c>
      <c r="G283" s="50" t="s">
        <v>79</v>
      </c>
      <c r="H283" s="28">
        <f>H284+H286</f>
        <v>0</v>
      </c>
      <c r="J283" s="41"/>
      <c r="AI283" s="35" t="s">
        <v>4</v>
      </c>
    </row>
    <row r="284" spans="1:76">
      <c r="A284" s="47" t="s">
        <v>4</v>
      </c>
      <c r="B284" s="48" t="s">
        <v>730</v>
      </c>
      <c r="C284" s="150" t="s">
        <v>25</v>
      </c>
      <c r="D284" s="151"/>
      <c r="E284" s="49" t="s">
        <v>79</v>
      </c>
      <c r="F284" s="49" t="s">
        <v>79</v>
      </c>
      <c r="G284" s="50" t="s">
        <v>79</v>
      </c>
      <c r="H284" s="28">
        <f>SUM(H285:H285)</f>
        <v>0</v>
      </c>
      <c r="J284" s="41"/>
      <c r="AI284" s="35" t="s">
        <v>4</v>
      </c>
      <c r="AS284" s="28">
        <f>SUM(AJ285:AJ285)</f>
        <v>0</v>
      </c>
      <c r="AT284" s="28">
        <f>SUM(AK285:AK285)</f>
        <v>0</v>
      </c>
      <c r="AU284" s="28">
        <f>SUM(AL285:AL285)</f>
        <v>0</v>
      </c>
    </row>
    <row r="285" spans="1:76">
      <c r="A285" s="1" t="s">
        <v>731</v>
      </c>
      <c r="B285" s="2" t="s">
        <v>732</v>
      </c>
      <c r="C285" s="75" t="s">
        <v>25</v>
      </c>
      <c r="D285" s="70"/>
      <c r="E285" s="2" t="s">
        <v>733</v>
      </c>
      <c r="F285" s="51">
        <v>1</v>
      </c>
      <c r="G285" s="52">
        <v>0</v>
      </c>
      <c r="H285" s="51">
        <f>F285*G285</f>
        <v>0</v>
      </c>
      <c r="J285" s="41"/>
      <c r="Z285" s="51">
        <f>IF(AQ285="5",BJ285,0)</f>
        <v>0</v>
      </c>
      <c r="AB285" s="51">
        <f>IF(AQ285="1",BH285,0)</f>
        <v>0</v>
      </c>
      <c r="AC285" s="51">
        <f>IF(AQ285="1",BI285,0)</f>
        <v>0</v>
      </c>
      <c r="AD285" s="51">
        <f>IF(AQ285="7",BH285,0)</f>
        <v>0</v>
      </c>
      <c r="AE285" s="51">
        <f>IF(AQ285="7",BI285,0)</f>
        <v>0</v>
      </c>
      <c r="AF285" s="51">
        <f>IF(AQ285="2",BH285,0)</f>
        <v>0</v>
      </c>
      <c r="AG285" s="51">
        <f>IF(AQ285="2",BI285,0)</f>
        <v>0</v>
      </c>
      <c r="AH285" s="51">
        <f>IF(AQ285="0",BJ285,0)</f>
        <v>0</v>
      </c>
      <c r="AI285" s="35" t="s">
        <v>4</v>
      </c>
      <c r="AJ285" s="51">
        <f>IF(AN285=0,H285,0)</f>
        <v>0</v>
      </c>
      <c r="AK285" s="51">
        <f>IF(AN285=12,H285,0)</f>
        <v>0</v>
      </c>
      <c r="AL285" s="51">
        <f>IF(AN285=21,H285,0)</f>
        <v>0</v>
      </c>
      <c r="AN285" s="51">
        <v>12</v>
      </c>
      <c r="AO285" s="51">
        <f>G285*0</f>
        <v>0</v>
      </c>
      <c r="AP285" s="51">
        <f>G285*(1-0)</f>
        <v>0</v>
      </c>
      <c r="AQ285" s="53" t="s">
        <v>322</v>
      </c>
      <c r="AV285" s="51">
        <f>AW285+AX285</f>
        <v>0</v>
      </c>
      <c r="AW285" s="51">
        <f>F285*AO285</f>
        <v>0</v>
      </c>
      <c r="AX285" s="51">
        <f>F285*AP285</f>
        <v>0</v>
      </c>
      <c r="AY285" s="53" t="s">
        <v>734</v>
      </c>
      <c r="AZ285" s="53" t="s">
        <v>735</v>
      </c>
      <c r="BA285" s="35" t="s">
        <v>117</v>
      </c>
      <c r="BC285" s="51">
        <f>AW285+AX285</f>
        <v>0</v>
      </c>
      <c r="BD285" s="51">
        <f>G285/(100-BE285)*100</f>
        <v>0</v>
      </c>
      <c r="BE285" s="51">
        <v>0</v>
      </c>
      <c r="BF285" s="51">
        <f>285</f>
        <v>285</v>
      </c>
      <c r="BH285" s="51">
        <f>F285*AO285</f>
        <v>0</v>
      </c>
      <c r="BI285" s="51">
        <f>F285*AP285</f>
        <v>0</v>
      </c>
      <c r="BJ285" s="51">
        <f>F285*G285</f>
        <v>0</v>
      </c>
      <c r="BK285" s="51"/>
      <c r="BL285" s="51"/>
      <c r="BO285" s="51">
        <f>F285*G285</f>
        <v>0</v>
      </c>
      <c r="BW285" s="51">
        <v>12</v>
      </c>
      <c r="BX285" s="3" t="s">
        <v>25</v>
      </c>
    </row>
    <row r="286" spans="1:76">
      <c r="A286" s="47" t="s">
        <v>4</v>
      </c>
      <c r="B286" s="48" t="s">
        <v>736</v>
      </c>
      <c r="C286" s="150" t="s">
        <v>31</v>
      </c>
      <c r="D286" s="151"/>
      <c r="E286" s="49" t="s">
        <v>79</v>
      </c>
      <c r="F286" s="49" t="s">
        <v>79</v>
      </c>
      <c r="G286" s="50" t="s">
        <v>79</v>
      </c>
      <c r="H286" s="28">
        <f>SUM(H287:H287)</f>
        <v>0</v>
      </c>
      <c r="J286" s="41"/>
      <c r="AI286" s="35" t="s">
        <v>4</v>
      </c>
      <c r="AS286" s="28">
        <f>SUM(AJ287:AJ287)</f>
        <v>0</v>
      </c>
      <c r="AT286" s="28">
        <f>SUM(AK287:AK287)</f>
        <v>0</v>
      </c>
      <c r="AU286" s="28">
        <f>SUM(AL287:AL287)</f>
        <v>0</v>
      </c>
    </row>
    <row r="287" spans="1:76">
      <c r="A287" s="4" t="s">
        <v>737</v>
      </c>
      <c r="B287" s="5" t="s">
        <v>738</v>
      </c>
      <c r="C287" s="156" t="s">
        <v>739</v>
      </c>
      <c r="D287" s="73"/>
      <c r="E287" s="5" t="s">
        <v>733</v>
      </c>
      <c r="F287" s="59">
        <v>1</v>
      </c>
      <c r="G287" s="60">
        <v>0</v>
      </c>
      <c r="H287" s="59">
        <f>F287*G287</f>
        <v>0</v>
      </c>
      <c r="I287" s="61"/>
      <c r="J287" s="62"/>
      <c r="Z287" s="51">
        <f>IF(AQ287="5",BJ287,0)</f>
        <v>0</v>
      </c>
      <c r="AB287" s="51">
        <f>IF(AQ287="1",BH287,0)</f>
        <v>0</v>
      </c>
      <c r="AC287" s="51">
        <f>IF(AQ287="1",BI287,0)</f>
        <v>0</v>
      </c>
      <c r="AD287" s="51">
        <f>IF(AQ287="7",BH287,0)</f>
        <v>0</v>
      </c>
      <c r="AE287" s="51">
        <f>IF(AQ287="7",BI287,0)</f>
        <v>0</v>
      </c>
      <c r="AF287" s="51">
        <f>IF(AQ287="2",BH287,0)</f>
        <v>0</v>
      </c>
      <c r="AG287" s="51">
        <f>IF(AQ287="2",BI287,0)</f>
        <v>0</v>
      </c>
      <c r="AH287" s="51">
        <f>IF(AQ287="0",BJ287,0)</f>
        <v>0</v>
      </c>
      <c r="AI287" s="35" t="s">
        <v>4</v>
      </c>
      <c r="AJ287" s="51">
        <f>IF(AN287=0,H287,0)</f>
        <v>0</v>
      </c>
      <c r="AK287" s="51">
        <f>IF(AN287=12,H287,0)</f>
        <v>0</v>
      </c>
      <c r="AL287" s="51">
        <f>IF(AN287=21,H287,0)</f>
        <v>0</v>
      </c>
      <c r="AN287" s="51">
        <v>12</v>
      </c>
      <c r="AO287" s="51">
        <f>G287*0</f>
        <v>0</v>
      </c>
      <c r="AP287" s="51">
        <f>G287*(1-0)</f>
        <v>0</v>
      </c>
      <c r="AQ287" s="53" t="s">
        <v>322</v>
      </c>
      <c r="AV287" s="51">
        <f>AW287+AX287</f>
        <v>0</v>
      </c>
      <c r="AW287" s="51">
        <f>F287*AO287</f>
        <v>0</v>
      </c>
      <c r="AX287" s="51">
        <f>F287*AP287</f>
        <v>0</v>
      </c>
      <c r="AY287" s="53" t="s">
        <v>740</v>
      </c>
      <c r="AZ287" s="53" t="s">
        <v>735</v>
      </c>
      <c r="BA287" s="35" t="s">
        <v>117</v>
      </c>
      <c r="BC287" s="51">
        <f>AW287+AX287</f>
        <v>0</v>
      </c>
      <c r="BD287" s="51">
        <f>G287/(100-BE287)*100</f>
        <v>0</v>
      </c>
      <c r="BE287" s="51">
        <v>0</v>
      </c>
      <c r="BF287" s="51">
        <f>287</f>
        <v>287</v>
      </c>
      <c r="BH287" s="51">
        <f>F287*AO287</f>
        <v>0</v>
      </c>
      <c r="BI287" s="51">
        <f>F287*AP287</f>
        <v>0</v>
      </c>
      <c r="BJ287" s="51">
        <f>F287*G287</f>
        <v>0</v>
      </c>
      <c r="BK287" s="51"/>
      <c r="BL287" s="51"/>
      <c r="BR287" s="51">
        <f>F287*G287</f>
        <v>0</v>
      </c>
      <c r="BW287" s="51">
        <v>12</v>
      </c>
      <c r="BX287" s="3" t="s">
        <v>739</v>
      </c>
    </row>
    <row r="288" spans="1:76">
      <c r="H288" s="63">
        <f>H13+H26+H68+H74+H82+H117+H119+H131+H146+H158+H188+H191+H208+H221+H240+H247+H260+H265+H277+H284+H286</f>
        <v>0</v>
      </c>
    </row>
    <row r="289" spans="1:10">
      <c r="A289" s="64" t="s">
        <v>56</v>
      </c>
    </row>
    <row r="290" spans="1:10" ht="12.75" customHeight="1">
      <c r="A290" s="75" t="s">
        <v>4</v>
      </c>
      <c r="B290" s="70"/>
      <c r="C290" s="70"/>
      <c r="D290" s="70"/>
      <c r="E290" s="70"/>
      <c r="F290" s="70"/>
      <c r="G290" s="70"/>
      <c r="H290" s="70"/>
      <c r="I290" s="70"/>
      <c r="J290" s="70"/>
    </row>
  </sheetData>
  <sheetProtection password="CF7A" sheet="1"/>
  <mergeCells count="215">
    <mergeCell ref="C285:D285"/>
    <mergeCell ref="C286:D286"/>
    <mergeCell ref="C287:D287"/>
    <mergeCell ref="A290:J290"/>
    <mergeCell ref="C280:D280"/>
    <mergeCell ref="C281:D281"/>
    <mergeCell ref="C282:D282"/>
    <mergeCell ref="C283:D283"/>
    <mergeCell ref="C284:D284"/>
    <mergeCell ref="C274:D274"/>
    <mergeCell ref="C275:D275"/>
    <mergeCell ref="C277:D277"/>
    <mergeCell ref="C278:D278"/>
    <mergeCell ref="C279:D279"/>
    <mergeCell ref="C262:J262"/>
    <mergeCell ref="C263:D263"/>
    <mergeCell ref="C264:D264"/>
    <mergeCell ref="C265:D265"/>
    <mergeCell ref="C266:D266"/>
    <mergeCell ref="C256:D256"/>
    <mergeCell ref="C257:D257"/>
    <mergeCell ref="C259:D259"/>
    <mergeCell ref="C260:D260"/>
    <mergeCell ref="C261:D261"/>
    <mergeCell ref="C246:D246"/>
    <mergeCell ref="C247:D247"/>
    <mergeCell ref="C248:D248"/>
    <mergeCell ref="C253:D253"/>
    <mergeCell ref="C254:D254"/>
    <mergeCell ref="C237:D237"/>
    <mergeCell ref="C239:D239"/>
    <mergeCell ref="C240:D240"/>
    <mergeCell ref="C241:D241"/>
    <mergeCell ref="C245:D245"/>
    <mergeCell ref="C226:D226"/>
    <mergeCell ref="C230:D230"/>
    <mergeCell ref="C231:J231"/>
    <mergeCell ref="C235:D235"/>
    <mergeCell ref="C236:D236"/>
    <mergeCell ref="C215:D215"/>
    <mergeCell ref="C219:D219"/>
    <mergeCell ref="C220:D220"/>
    <mergeCell ref="C221:D221"/>
    <mergeCell ref="C222:D222"/>
    <mergeCell ref="C208:D208"/>
    <mergeCell ref="C209:D209"/>
    <mergeCell ref="C210:D210"/>
    <mergeCell ref="C212:D212"/>
    <mergeCell ref="C214:D214"/>
    <mergeCell ref="C203:D203"/>
    <mergeCell ref="C204:D204"/>
    <mergeCell ref="C205:D205"/>
    <mergeCell ref="C206:D206"/>
    <mergeCell ref="C207:D207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6:D166"/>
    <mergeCell ref="C167:D167"/>
    <mergeCell ref="C169:D169"/>
    <mergeCell ref="C170:D170"/>
    <mergeCell ref="C171:D171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0:D140"/>
    <mergeCell ref="C141:D141"/>
    <mergeCell ref="C143:D143"/>
    <mergeCell ref="C144:D144"/>
    <mergeCell ref="C145:D145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20:D120"/>
    <mergeCell ref="C121:D121"/>
    <mergeCell ref="C122:J122"/>
    <mergeCell ref="C126:D126"/>
    <mergeCell ref="C127:J127"/>
    <mergeCell ref="C112:D112"/>
    <mergeCell ref="C114:D114"/>
    <mergeCell ref="C117:D117"/>
    <mergeCell ref="C118:D118"/>
    <mergeCell ref="C119:D119"/>
    <mergeCell ref="C104:D104"/>
    <mergeCell ref="C106:D106"/>
    <mergeCell ref="C107:D107"/>
    <mergeCell ref="C109:D109"/>
    <mergeCell ref="C110:D110"/>
    <mergeCell ref="C96:D96"/>
    <mergeCell ref="C98:D98"/>
    <mergeCell ref="C100:D100"/>
    <mergeCell ref="C101:J101"/>
    <mergeCell ref="C103:D103"/>
    <mergeCell ref="C83:D83"/>
    <mergeCell ref="C86:D86"/>
    <mergeCell ref="C89:D89"/>
    <mergeCell ref="C92:D92"/>
    <mergeCell ref="C94:D94"/>
    <mergeCell ref="C77:D77"/>
    <mergeCell ref="C78:D78"/>
    <mergeCell ref="C79:J79"/>
    <mergeCell ref="C80:D80"/>
    <mergeCell ref="C82:D82"/>
    <mergeCell ref="C69:D69"/>
    <mergeCell ref="C73:D73"/>
    <mergeCell ref="C74:D74"/>
    <mergeCell ref="C75:D75"/>
    <mergeCell ref="C76:J76"/>
    <mergeCell ref="C59:D59"/>
    <mergeCell ref="C60:J60"/>
    <mergeCell ref="C62:D62"/>
    <mergeCell ref="C63:J63"/>
    <mergeCell ref="C68:D68"/>
    <mergeCell ref="C47:D47"/>
    <mergeCell ref="C48:J48"/>
    <mergeCell ref="C49:D49"/>
    <mergeCell ref="C50:J50"/>
    <mergeCell ref="C52:D52"/>
    <mergeCell ref="C33:D33"/>
    <mergeCell ref="C38:D38"/>
    <mergeCell ref="C42:D42"/>
    <mergeCell ref="C44:D44"/>
    <mergeCell ref="C45:J45"/>
    <mergeCell ref="C26:D26"/>
    <mergeCell ref="C27:D27"/>
    <mergeCell ref="C29:D29"/>
    <mergeCell ref="C31:D31"/>
    <mergeCell ref="C32:D32"/>
    <mergeCell ref="C17:D17"/>
    <mergeCell ref="C20:D20"/>
    <mergeCell ref="C21:J21"/>
    <mergeCell ref="C22:D22"/>
    <mergeCell ref="C24:D24"/>
    <mergeCell ref="C11:D11"/>
    <mergeCell ref="C12:D12"/>
    <mergeCell ref="C13:D13"/>
    <mergeCell ref="C14:D14"/>
    <mergeCell ref="C15:J15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2025-02-11T15:12:39Z</dcterms:modified>
</cp:coreProperties>
</file>