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JVES\Desktop\"/>
    </mc:Choice>
  </mc:AlternateContent>
  <xr:revisionPtr revIDLastSave="0" documentId="13_ncr:1_{86E3BB15-931D-496C-9659-06115C0878D6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Krycí list rozpočtu" sheetId="1" r:id="rId1"/>
    <sheet name="VORN" sheetId="2" state="hidden" r:id="rId2"/>
    <sheet name="Stavební rozpočet" sheetId="3" r:id="rId3"/>
  </sheets>
  <definedNames>
    <definedName name="vorn_sum">VORN!$I$45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106" i="3" l="1"/>
  <c r="F40" i="2" s="1"/>
  <c r="I40" i="2" s="1"/>
  <c r="BJ106" i="3"/>
  <c r="BF106" i="3"/>
  <c r="BD106" i="3"/>
  <c r="AP106" i="3"/>
  <c r="BI106" i="3" s="1"/>
  <c r="AO106" i="3"/>
  <c r="BH106" i="3" s="1"/>
  <c r="AL106" i="3"/>
  <c r="AU105" i="3" s="1"/>
  <c r="AJ106" i="3"/>
  <c r="AS105" i="3" s="1"/>
  <c r="AH106" i="3"/>
  <c r="AG106" i="3"/>
  <c r="AF106" i="3"/>
  <c r="AE106" i="3"/>
  <c r="AD106" i="3"/>
  <c r="AC106" i="3"/>
  <c r="AB106" i="3"/>
  <c r="Z106" i="3"/>
  <c r="H106" i="3"/>
  <c r="AK106" i="3" s="1"/>
  <c r="AT105" i="3" s="1"/>
  <c r="H105" i="3"/>
  <c r="BO104" i="3"/>
  <c r="F37" i="2" s="1"/>
  <c r="I37" i="2" s="1"/>
  <c r="BJ104" i="3"/>
  <c r="BF104" i="3"/>
  <c r="BD104" i="3"/>
  <c r="AP104" i="3"/>
  <c r="BI104" i="3" s="1"/>
  <c r="AO104" i="3"/>
  <c r="BH104" i="3" s="1"/>
  <c r="AL104" i="3"/>
  <c r="AU103" i="3" s="1"/>
  <c r="AJ104" i="3"/>
  <c r="AS103" i="3" s="1"/>
  <c r="AH104" i="3"/>
  <c r="AG104" i="3"/>
  <c r="AF104" i="3"/>
  <c r="AE104" i="3"/>
  <c r="AD104" i="3"/>
  <c r="AC104" i="3"/>
  <c r="AB104" i="3"/>
  <c r="Z104" i="3"/>
  <c r="H104" i="3"/>
  <c r="AK104" i="3" s="1"/>
  <c r="AT103" i="3" s="1"/>
  <c r="BJ101" i="3"/>
  <c r="BF101" i="3"/>
  <c r="BD101" i="3"/>
  <c r="AP101" i="3"/>
  <c r="BI101" i="3" s="1"/>
  <c r="AG101" i="3" s="1"/>
  <c r="AO101" i="3"/>
  <c r="BH101" i="3" s="1"/>
  <c r="AF101" i="3" s="1"/>
  <c r="AL101" i="3"/>
  <c r="AU100" i="3" s="1"/>
  <c r="AJ101" i="3"/>
  <c r="AH101" i="3"/>
  <c r="AE101" i="3"/>
  <c r="AD101" i="3"/>
  <c r="AC101" i="3"/>
  <c r="AB101" i="3"/>
  <c r="Z101" i="3"/>
  <c r="H101" i="3"/>
  <c r="AK101" i="3" s="1"/>
  <c r="AT100" i="3" s="1"/>
  <c r="AS100" i="3"/>
  <c r="H100" i="3"/>
  <c r="BJ99" i="3"/>
  <c r="BF99" i="3"/>
  <c r="BD99" i="3"/>
  <c r="AP99" i="3"/>
  <c r="BI99" i="3" s="1"/>
  <c r="AE99" i="3" s="1"/>
  <c r="AO99" i="3"/>
  <c r="BH99" i="3" s="1"/>
  <c r="AD99" i="3" s="1"/>
  <c r="AL99" i="3"/>
  <c r="AJ99" i="3"/>
  <c r="AH99" i="3"/>
  <c r="AG99" i="3"/>
  <c r="AF99" i="3"/>
  <c r="AC99" i="3"/>
  <c r="AB99" i="3"/>
  <c r="Z99" i="3"/>
  <c r="H99" i="3"/>
  <c r="AK99" i="3" s="1"/>
  <c r="BJ96" i="3"/>
  <c r="BF96" i="3"/>
  <c r="BD96" i="3"/>
  <c r="AW96" i="3"/>
  <c r="AV96" i="3" s="1"/>
  <c r="AP96" i="3"/>
  <c r="AX96" i="3" s="1"/>
  <c r="AO96" i="3"/>
  <c r="BH96" i="3" s="1"/>
  <c r="AD96" i="3" s="1"/>
  <c r="AL96" i="3"/>
  <c r="AJ96" i="3"/>
  <c r="AH96" i="3"/>
  <c r="AG96" i="3"/>
  <c r="AF96" i="3"/>
  <c r="AC96" i="3"/>
  <c r="AB96" i="3"/>
  <c r="Z96" i="3"/>
  <c r="H96" i="3"/>
  <c r="AK96" i="3" s="1"/>
  <c r="BJ93" i="3"/>
  <c r="BF93" i="3"/>
  <c r="BD93" i="3"/>
  <c r="AP93" i="3"/>
  <c r="BI93" i="3" s="1"/>
  <c r="AE93" i="3" s="1"/>
  <c r="AO93" i="3"/>
  <c r="AW93" i="3" s="1"/>
  <c r="AL93" i="3"/>
  <c r="AU92" i="3" s="1"/>
  <c r="AJ93" i="3"/>
  <c r="AH93" i="3"/>
  <c r="AG93" i="3"/>
  <c r="AF93" i="3"/>
  <c r="AC93" i="3"/>
  <c r="AB93" i="3"/>
  <c r="Z93" i="3"/>
  <c r="H93" i="3"/>
  <c r="AK93" i="3" s="1"/>
  <c r="BJ90" i="3"/>
  <c r="BF90" i="3"/>
  <c r="BD90" i="3"/>
  <c r="AP90" i="3"/>
  <c r="BI90" i="3" s="1"/>
  <c r="AE90" i="3" s="1"/>
  <c r="AO90" i="3"/>
  <c r="BH90" i="3" s="1"/>
  <c r="AD90" i="3" s="1"/>
  <c r="AL90" i="3"/>
  <c r="AJ90" i="3"/>
  <c r="AH90" i="3"/>
  <c r="AG90" i="3"/>
  <c r="AF90" i="3"/>
  <c r="AC90" i="3"/>
  <c r="AB90" i="3"/>
  <c r="Z90" i="3"/>
  <c r="H90" i="3"/>
  <c r="AK90" i="3" s="1"/>
  <c r="BJ89" i="3"/>
  <c r="BF89" i="3"/>
  <c r="BD89" i="3"/>
  <c r="AP89" i="3"/>
  <c r="BI89" i="3" s="1"/>
  <c r="AE89" i="3" s="1"/>
  <c r="AO89" i="3"/>
  <c r="BH89" i="3" s="1"/>
  <c r="AD89" i="3" s="1"/>
  <c r="AL89" i="3"/>
  <c r="AJ89" i="3"/>
  <c r="AS88" i="3" s="1"/>
  <c r="AH89" i="3"/>
  <c r="AG89" i="3"/>
  <c r="AF89" i="3"/>
  <c r="AC89" i="3"/>
  <c r="AB89" i="3"/>
  <c r="Z89" i="3"/>
  <c r="H89" i="3"/>
  <c r="AK89" i="3" s="1"/>
  <c r="H88" i="3"/>
  <c r="BJ87" i="3"/>
  <c r="BF87" i="3"/>
  <c r="BD87" i="3"/>
  <c r="AP87" i="3"/>
  <c r="AX87" i="3" s="1"/>
  <c r="AO87" i="3"/>
  <c r="BH87" i="3" s="1"/>
  <c r="AL87" i="3"/>
  <c r="AJ87" i="3"/>
  <c r="AH87" i="3"/>
  <c r="AG87" i="3"/>
  <c r="AF87" i="3"/>
  <c r="AE87" i="3"/>
  <c r="AD87" i="3"/>
  <c r="AC87" i="3"/>
  <c r="AB87" i="3"/>
  <c r="Z87" i="3"/>
  <c r="H87" i="3"/>
  <c r="AK87" i="3" s="1"/>
  <c r="BJ86" i="3"/>
  <c r="BF86" i="3"/>
  <c r="BD86" i="3"/>
  <c r="AP86" i="3"/>
  <c r="BI86" i="3" s="1"/>
  <c r="AE86" i="3" s="1"/>
  <c r="AO86" i="3"/>
  <c r="AW86" i="3" s="1"/>
  <c r="AL86" i="3"/>
  <c r="AJ86" i="3"/>
  <c r="AH86" i="3"/>
  <c r="AG86" i="3"/>
  <c r="AF86" i="3"/>
  <c r="AC86" i="3"/>
  <c r="AB86" i="3"/>
  <c r="Z86" i="3"/>
  <c r="H86" i="3"/>
  <c r="AK86" i="3" s="1"/>
  <c r="BJ85" i="3"/>
  <c r="BF85" i="3"/>
  <c r="BD85" i="3"/>
  <c r="AW85" i="3"/>
  <c r="AP85" i="3"/>
  <c r="BI85" i="3" s="1"/>
  <c r="AE85" i="3" s="1"/>
  <c r="AO85" i="3"/>
  <c r="BH85" i="3" s="1"/>
  <c r="AD85" i="3" s="1"/>
  <c r="AL85" i="3"/>
  <c r="AJ85" i="3"/>
  <c r="AS84" i="3" s="1"/>
  <c r="AH85" i="3"/>
  <c r="AG85" i="3"/>
  <c r="AF85" i="3"/>
  <c r="AC85" i="3"/>
  <c r="AB85" i="3"/>
  <c r="Z85" i="3"/>
  <c r="H85" i="3"/>
  <c r="AK85" i="3" s="1"/>
  <c r="AT84" i="3" s="1"/>
  <c r="AU84" i="3"/>
  <c r="BJ83" i="3"/>
  <c r="Z83" i="3" s="1"/>
  <c r="BF83" i="3"/>
  <c r="BD83" i="3"/>
  <c r="AP83" i="3"/>
  <c r="BI83" i="3" s="1"/>
  <c r="AO83" i="3"/>
  <c r="BH83" i="3" s="1"/>
  <c r="AL83" i="3"/>
  <c r="AJ83" i="3"/>
  <c r="AH83" i="3"/>
  <c r="AG83" i="3"/>
  <c r="AF83" i="3"/>
  <c r="AE83" i="3"/>
  <c r="AD83" i="3"/>
  <c r="AC83" i="3"/>
  <c r="AB83" i="3"/>
  <c r="H83" i="3"/>
  <c r="AK83" i="3" s="1"/>
  <c r="BJ80" i="3"/>
  <c r="BF80" i="3"/>
  <c r="BD80" i="3"/>
  <c r="AP80" i="3"/>
  <c r="AX80" i="3" s="1"/>
  <c r="AO80" i="3"/>
  <c r="BH80" i="3" s="1"/>
  <c r="AD80" i="3" s="1"/>
  <c r="AL80" i="3"/>
  <c r="AJ80" i="3"/>
  <c r="AH80" i="3"/>
  <c r="AG80" i="3"/>
  <c r="AF80" i="3"/>
  <c r="AC80" i="3"/>
  <c r="AB80" i="3"/>
  <c r="Z80" i="3"/>
  <c r="H80" i="3"/>
  <c r="AK80" i="3" s="1"/>
  <c r="BJ78" i="3"/>
  <c r="BF78" i="3"/>
  <c r="BD78" i="3"/>
  <c r="AP78" i="3"/>
  <c r="BI78" i="3" s="1"/>
  <c r="AE78" i="3" s="1"/>
  <c r="AO78" i="3"/>
  <c r="AW78" i="3" s="1"/>
  <c r="AL78" i="3"/>
  <c r="AJ78" i="3"/>
  <c r="AH78" i="3"/>
  <c r="AG78" i="3"/>
  <c r="AF78" i="3"/>
  <c r="AC78" i="3"/>
  <c r="AB78" i="3"/>
  <c r="Z78" i="3"/>
  <c r="H78" i="3"/>
  <c r="AK78" i="3" s="1"/>
  <c r="BJ77" i="3"/>
  <c r="BF77" i="3"/>
  <c r="BD77" i="3"/>
  <c r="AP77" i="3"/>
  <c r="BI77" i="3" s="1"/>
  <c r="AE77" i="3" s="1"/>
  <c r="AO77" i="3"/>
  <c r="BH77" i="3" s="1"/>
  <c r="AD77" i="3" s="1"/>
  <c r="AL77" i="3"/>
  <c r="AJ77" i="3"/>
  <c r="AH77" i="3"/>
  <c r="AG77" i="3"/>
  <c r="AF77" i="3"/>
  <c r="AC77" i="3"/>
  <c r="AB77" i="3"/>
  <c r="Z77" i="3"/>
  <c r="H77" i="3"/>
  <c r="AK77" i="3" s="1"/>
  <c r="BJ75" i="3"/>
  <c r="BF75" i="3"/>
  <c r="BD75" i="3"/>
  <c r="AP75" i="3"/>
  <c r="BI75" i="3" s="1"/>
  <c r="AE75" i="3" s="1"/>
  <c r="AO75" i="3"/>
  <c r="BH75" i="3" s="1"/>
  <c r="AD75" i="3" s="1"/>
  <c r="AL75" i="3"/>
  <c r="AJ75" i="3"/>
  <c r="AH75" i="3"/>
  <c r="AG75" i="3"/>
  <c r="AF75" i="3"/>
  <c r="AC75" i="3"/>
  <c r="AB75" i="3"/>
  <c r="Z75" i="3"/>
  <c r="H75" i="3"/>
  <c r="AK75" i="3" s="1"/>
  <c r="BJ73" i="3"/>
  <c r="BF73" i="3"/>
  <c r="BD73" i="3"/>
  <c r="AP73" i="3"/>
  <c r="AX73" i="3" s="1"/>
  <c r="AO73" i="3"/>
  <c r="BH73" i="3" s="1"/>
  <c r="AD73" i="3" s="1"/>
  <c r="AL73" i="3"/>
  <c r="AJ73" i="3"/>
  <c r="AH73" i="3"/>
  <c r="AG73" i="3"/>
  <c r="AF73" i="3"/>
  <c r="AC73" i="3"/>
  <c r="AB73" i="3"/>
  <c r="Z73" i="3"/>
  <c r="H73" i="3"/>
  <c r="AK73" i="3" s="1"/>
  <c r="BJ70" i="3"/>
  <c r="BF70" i="3"/>
  <c r="BD70" i="3"/>
  <c r="AP70" i="3"/>
  <c r="BI70" i="3" s="1"/>
  <c r="AE70" i="3" s="1"/>
  <c r="AO70" i="3"/>
  <c r="AW70" i="3" s="1"/>
  <c r="AL70" i="3"/>
  <c r="AJ70" i="3"/>
  <c r="AH70" i="3"/>
  <c r="AG70" i="3"/>
  <c r="AF70" i="3"/>
  <c r="AC70" i="3"/>
  <c r="AB70" i="3"/>
  <c r="Z70" i="3"/>
  <c r="H70" i="3"/>
  <c r="AK70" i="3" s="1"/>
  <c r="BJ68" i="3"/>
  <c r="BF68" i="3"/>
  <c r="BD68" i="3"/>
  <c r="AP68" i="3"/>
  <c r="BI68" i="3" s="1"/>
  <c r="AE68" i="3" s="1"/>
  <c r="AO68" i="3"/>
  <c r="BH68" i="3" s="1"/>
  <c r="AD68" i="3" s="1"/>
  <c r="AL68" i="3"/>
  <c r="AJ68" i="3"/>
  <c r="AH68" i="3"/>
  <c r="AG68" i="3"/>
  <c r="AF68" i="3"/>
  <c r="AC68" i="3"/>
  <c r="AB68" i="3"/>
  <c r="Z68" i="3"/>
  <c r="H68" i="3"/>
  <c r="AK68" i="3" s="1"/>
  <c r="BJ67" i="3"/>
  <c r="BF67" i="3"/>
  <c r="BD67" i="3"/>
  <c r="AP67" i="3"/>
  <c r="AX67" i="3" s="1"/>
  <c r="AO67" i="3"/>
  <c r="BH67" i="3" s="1"/>
  <c r="AD67" i="3" s="1"/>
  <c r="AL67" i="3"/>
  <c r="AJ67" i="3"/>
  <c r="AS66" i="3" s="1"/>
  <c r="AH67" i="3"/>
  <c r="AG67" i="3"/>
  <c r="AF67" i="3"/>
  <c r="AC67" i="3"/>
  <c r="AB67" i="3"/>
  <c r="Z67" i="3"/>
  <c r="H67" i="3"/>
  <c r="AK67" i="3" s="1"/>
  <c r="BJ65" i="3"/>
  <c r="BF65" i="3"/>
  <c r="BD65" i="3"/>
  <c r="AP65" i="3"/>
  <c r="AX65" i="3" s="1"/>
  <c r="AO65" i="3"/>
  <c r="BH65" i="3" s="1"/>
  <c r="AD65" i="3" s="1"/>
  <c r="AL65" i="3"/>
  <c r="AU64" i="3" s="1"/>
  <c r="AJ65" i="3"/>
  <c r="AS64" i="3" s="1"/>
  <c r="AH65" i="3"/>
  <c r="AG65" i="3"/>
  <c r="AF65" i="3"/>
  <c r="AC65" i="3"/>
  <c r="AB65" i="3"/>
  <c r="Z65" i="3"/>
  <c r="H65" i="3"/>
  <c r="AK65" i="3" s="1"/>
  <c r="AT64" i="3" s="1"/>
  <c r="H64" i="3"/>
  <c r="BJ63" i="3"/>
  <c r="Z63" i="3" s="1"/>
  <c r="BF63" i="3"/>
  <c r="BD63" i="3"/>
  <c r="AP63" i="3"/>
  <c r="BI63" i="3" s="1"/>
  <c r="AO63" i="3"/>
  <c r="AW63" i="3" s="1"/>
  <c r="AL63" i="3"/>
  <c r="AU62" i="3" s="1"/>
  <c r="AJ63" i="3"/>
  <c r="AH63" i="3"/>
  <c r="AG63" i="3"/>
  <c r="AF63" i="3"/>
  <c r="AE63" i="3"/>
  <c r="AD63" i="3"/>
  <c r="AC63" i="3"/>
  <c r="AB63" i="3"/>
  <c r="H63" i="3"/>
  <c r="AK63" i="3" s="1"/>
  <c r="AT62" i="3" s="1"/>
  <c r="AS62" i="3"/>
  <c r="H62" i="3"/>
  <c r="BJ59" i="3"/>
  <c r="Z59" i="3" s="1"/>
  <c r="BF59" i="3"/>
  <c r="BD59" i="3"/>
  <c r="AW59" i="3"/>
  <c r="AP59" i="3"/>
  <c r="BI59" i="3" s="1"/>
  <c r="AO59" i="3"/>
  <c r="BH59" i="3" s="1"/>
  <c r="AL59" i="3"/>
  <c r="AJ59" i="3"/>
  <c r="AH59" i="3"/>
  <c r="AG59" i="3"/>
  <c r="AF59" i="3"/>
  <c r="AE59" i="3"/>
  <c r="AD59" i="3"/>
  <c r="AC59" i="3"/>
  <c r="AB59" i="3"/>
  <c r="H59" i="3"/>
  <c r="AK59" i="3" s="1"/>
  <c r="BJ57" i="3"/>
  <c r="Z57" i="3" s="1"/>
  <c r="BF57" i="3"/>
  <c r="BD57" i="3"/>
  <c r="AP57" i="3"/>
  <c r="AX57" i="3" s="1"/>
  <c r="AO57" i="3"/>
  <c r="BH57" i="3" s="1"/>
  <c r="AL57" i="3"/>
  <c r="AK57" i="3"/>
  <c r="AJ57" i="3"/>
  <c r="AH57" i="3"/>
  <c r="AG57" i="3"/>
  <c r="AF57" i="3"/>
  <c r="AE57" i="3"/>
  <c r="AD57" i="3"/>
  <c r="AC57" i="3"/>
  <c r="AB57" i="3"/>
  <c r="H57" i="3"/>
  <c r="BJ55" i="3"/>
  <c r="BF55" i="3"/>
  <c r="BD55" i="3"/>
  <c r="AP55" i="3"/>
  <c r="AX55" i="3" s="1"/>
  <c r="AO55" i="3"/>
  <c r="BH55" i="3" s="1"/>
  <c r="AL55" i="3"/>
  <c r="AJ55" i="3"/>
  <c r="AH55" i="3"/>
  <c r="AG55" i="3"/>
  <c r="AF55" i="3"/>
  <c r="AE55" i="3"/>
  <c r="AD55" i="3"/>
  <c r="AC55" i="3"/>
  <c r="AB55" i="3"/>
  <c r="Z55" i="3"/>
  <c r="H55" i="3"/>
  <c r="AK55" i="3" s="1"/>
  <c r="BJ54" i="3"/>
  <c r="BF54" i="3"/>
  <c r="BD54" i="3"/>
  <c r="AP54" i="3"/>
  <c r="BI54" i="3" s="1"/>
  <c r="AO54" i="3"/>
  <c r="AW54" i="3" s="1"/>
  <c r="AL54" i="3"/>
  <c r="AJ54" i="3"/>
  <c r="AH54" i="3"/>
  <c r="AG54" i="3"/>
  <c r="AF54" i="3"/>
  <c r="AE54" i="3"/>
  <c r="AD54" i="3"/>
  <c r="AC54" i="3"/>
  <c r="AB54" i="3"/>
  <c r="Z54" i="3"/>
  <c r="H54" i="3"/>
  <c r="AK54" i="3" s="1"/>
  <c r="BJ52" i="3"/>
  <c r="BF52" i="3"/>
  <c r="BD52" i="3"/>
  <c r="AW52" i="3"/>
  <c r="AP52" i="3"/>
  <c r="BI52" i="3" s="1"/>
  <c r="AO52" i="3"/>
  <c r="BH52" i="3" s="1"/>
  <c r="AL52" i="3"/>
  <c r="AJ52" i="3"/>
  <c r="AH52" i="3"/>
  <c r="AG52" i="3"/>
  <c r="AF52" i="3"/>
  <c r="AE52" i="3"/>
  <c r="AD52" i="3"/>
  <c r="AC52" i="3"/>
  <c r="AB52" i="3"/>
  <c r="Z52" i="3"/>
  <c r="H52" i="3"/>
  <c r="AK52" i="3" s="1"/>
  <c r="BJ51" i="3"/>
  <c r="Z51" i="3" s="1"/>
  <c r="BF51" i="3"/>
  <c r="BD51" i="3"/>
  <c r="AP51" i="3"/>
  <c r="AX51" i="3" s="1"/>
  <c r="AO51" i="3"/>
  <c r="BH51" i="3" s="1"/>
  <c r="AL51" i="3"/>
  <c r="AJ51" i="3"/>
  <c r="AH51" i="3"/>
  <c r="AG51" i="3"/>
  <c r="AF51" i="3"/>
  <c r="AE51" i="3"/>
  <c r="AD51" i="3"/>
  <c r="AC51" i="3"/>
  <c r="AB51" i="3"/>
  <c r="H51" i="3"/>
  <c r="AK51" i="3" s="1"/>
  <c r="BJ49" i="3"/>
  <c r="BF49" i="3"/>
  <c r="BD49" i="3"/>
  <c r="AP49" i="3"/>
  <c r="AX49" i="3" s="1"/>
  <c r="AO49" i="3"/>
  <c r="AW49" i="3" s="1"/>
  <c r="AL49" i="3"/>
  <c r="AJ49" i="3"/>
  <c r="AH49" i="3"/>
  <c r="AG49" i="3"/>
  <c r="AF49" i="3"/>
  <c r="AE49" i="3"/>
  <c r="AD49" i="3"/>
  <c r="AC49" i="3"/>
  <c r="AB49" i="3"/>
  <c r="Z49" i="3"/>
  <c r="H49" i="3"/>
  <c r="AK49" i="3" s="1"/>
  <c r="BJ48" i="3"/>
  <c r="BF48" i="3"/>
  <c r="BD48" i="3"/>
  <c r="AP48" i="3"/>
  <c r="BI48" i="3" s="1"/>
  <c r="AO48" i="3"/>
  <c r="AW48" i="3" s="1"/>
  <c r="AL48" i="3"/>
  <c r="AJ48" i="3"/>
  <c r="AH48" i="3"/>
  <c r="AG48" i="3"/>
  <c r="AF48" i="3"/>
  <c r="AE48" i="3"/>
  <c r="AD48" i="3"/>
  <c r="AC48" i="3"/>
  <c r="AB48" i="3"/>
  <c r="Z48" i="3"/>
  <c r="H48" i="3"/>
  <c r="AK48" i="3" s="1"/>
  <c r="BJ46" i="3"/>
  <c r="BF46" i="3"/>
  <c r="BD46" i="3"/>
  <c r="AP46" i="3"/>
  <c r="BI46" i="3" s="1"/>
  <c r="AC46" i="3" s="1"/>
  <c r="AO46" i="3"/>
  <c r="BH46" i="3" s="1"/>
  <c r="AB46" i="3" s="1"/>
  <c r="AL46" i="3"/>
  <c r="AJ46" i="3"/>
  <c r="AH46" i="3"/>
  <c r="AG46" i="3"/>
  <c r="AF46" i="3"/>
  <c r="AE46" i="3"/>
  <c r="AD46" i="3"/>
  <c r="Z46" i="3"/>
  <c r="H46" i="3"/>
  <c r="AK46" i="3" s="1"/>
  <c r="BJ43" i="3"/>
  <c r="BF43" i="3"/>
  <c r="BD43" i="3"/>
  <c r="AP43" i="3"/>
  <c r="AX43" i="3" s="1"/>
  <c r="AO43" i="3"/>
  <c r="BH43" i="3" s="1"/>
  <c r="AB43" i="3" s="1"/>
  <c r="AL43" i="3"/>
  <c r="AJ43" i="3"/>
  <c r="AH43" i="3"/>
  <c r="AG43" i="3"/>
  <c r="AF43" i="3"/>
  <c r="AE43" i="3"/>
  <c r="AD43" i="3"/>
  <c r="Z43" i="3"/>
  <c r="H43" i="3"/>
  <c r="AK43" i="3" s="1"/>
  <c r="BJ42" i="3"/>
  <c r="BF42" i="3"/>
  <c r="BD42" i="3"/>
  <c r="AP42" i="3"/>
  <c r="AX42" i="3" s="1"/>
  <c r="AO42" i="3"/>
  <c r="BH42" i="3" s="1"/>
  <c r="AB42" i="3" s="1"/>
  <c r="AL42" i="3"/>
  <c r="AU41" i="3" s="1"/>
  <c r="AJ42" i="3"/>
  <c r="AS41" i="3" s="1"/>
  <c r="AH42" i="3"/>
  <c r="AG42" i="3"/>
  <c r="AF42" i="3"/>
  <c r="AE42" i="3"/>
  <c r="AD42" i="3"/>
  <c r="Z42" i="3"/>
  <c r="H42" i="3"/>
  <c r="AK42" i="3" s="1"/>
  <c r="BJ38" i="3"/>
  <c r="BF38" i="3"/>
  <c r="BD38" i="3"/>
  <c r="AP38" i="3"/>
  <c r="BI38" i="3" s="1"/>
  <c r="AC38" i="3" s="1"/>
  <c r="AO38" i="3"/>
  <c r="AW38" i="3" s="1"/>
  <c r="AL38" i="3"/>
  <c r="AU37" i="3" s="1"/>
  <c r="AJ38" i="3"/>
  <c r="AS37" i="3" s="1"/>
  <c r="AH38" i="3"/>
  <c r="AG38" i="3"/>
  <c r="AF38" i="3"/>
  <c r="AE38" i="3"/>
  <c r="AD38" i="3"/>
  <c r="Z38" i="3"/>
  <c r="H38" i="3"/>
  <c r="AK38" i="3" s="1"/>
  <c r="AT37" i="3" s="1"/>
  <c r="BJ36" i="3"/>
  <c r="BF36" i="3"/>
  <c r="BD36" i="3"/>
  <c r="AP36" i="3"/>
  <c r="BI36" i="3" s="1"/>
  <c r="AC36" i="3" s="1"/>
  <c r="AO36" i="3"/>
  <c r="BH36" i="3" s="1"/>
  <c r="AB36" i="3" s="1"/>
  <c r="AL36" i="3"/>
  <c r="AJ36" i="3"/>
  <c r="AH36" i="3"/>
  <c r="AG36" i="3"/>
  <c r="AF36" i="3"/>
  <c r="AE36" i="3"/>
  <c r="AD36" i="3"/>
  <c r="Z36" i="3"/>
  <c r="H36" i="3"/>
  <c r="AK36" i="3" s="1"/>
  <c r="BJ33" i="3"/>
  <c r="BF33" i="3"/>
  <c r="BD33" i="3"/>
  <c r="AP33" i="3"/>
  <c r="BI33" i="3" s="1"/>
  <c r="AC33" i="3" s="1"/>
  <c r="AO33" i="3"/>
  <c r="BH33" i="3" s="1"/>
  <c r="AB33" i="3" s="1"/>
  <c r="AL33" i="3"/>
  <c r="AJ33" i="3"/>
  <c r="AH33" i="3"/>
  <c r="AG33" i="3"/>
  <c r="AF33" i="3"/>
  <c r="AE33" i="3"/>
  <c r="AD33" i="3"/>
  <c r="Z33" i="3"/>
  <c r="H33" i="3"/>
  <c r="AK33" i="3" s="1"/>
  <c r="BJ31" i="3"/>
  <c r="BF31" i="3"/>
  <c r="BD31" i="3"/>
  <c r="AP31" i="3"/>
  <c r="AX31" i="3" s="1"/>
  <c r="AO31" i="3"/>
  <c r="BH31" i="3" s="1"/>
  <c r="AB31" i="3" s="1"/>
  <c r="AL31" i="3"/>
  <c r="AJ31" i="3"/>
  <c r="AH31" i="3"/>
  <c r="AG31" i="3"/>
  <c r="AF31" i="3"/>
  <c r="AE31" i="3"/>
  <c r="AD31" i="3"/>
  <c r="Z31" i="3"/>
  <c r="H31" i="3"/>
  <c r="AK31" i="3" s="1"/>
  <c r="H30" i="3"/>
  <c r="BJ27" i="3"/>
  <c r="BF27" i="3"/>
  <c r="BD27" i="3"/>
  <c r="AP27" i="3"/>
  <c r="BI27" i="3" s="1"/>
  <c r="AC27" i="3" s="1"/>
  <c r="AO27" i="3"/>
  <c r="AW27" i="3" s="1"/>
  <c r="AL27" i="3"/>
  <c r="AJ27" i="3"/>
  <c r="AH27" i="3"/>
  <c r="AG27" i="3"/>
  <c r="AF27" i="3"/>
  <c r="AE27" i="3"/>
  <c r="AD27" i="3"/>
  <c r="Z27" i="3"/>
  <c r="H27" i="3"/>
  <c r="AK27" i="3" s="1"/>
  <c r="BJ25" i="3"/>
  <c r="BF25" i="3"/>
  <c r="BD25" i="3"/>
  <c r="AW25" i="3"/>
  <c r="AP25" i="3"/>
  <c r="BI25" i="3" s="1"/>
  <c r="AC25" i="3" s="1"/>
  <c r="AO25" i="3"/>
  <c r="BH25" i="3" s="1"/>
  <c r="AB25" i="3" s="1"/>
  <c r="AL25" i="3"/>
  <c r="AJ25" i="3"/>
  <c r="AH25" i="3"/>
  <c r="AG25" i="3"/>
  <c r="AF25" i="3"/>
  <c r="AE25" i="3"/>
  <c r="AD25" i="3"/>
  <c r="Z25" i="3"/>
  <c r="H25" i="3"/>
  <c r="AK25" i="3" s="1"/>
  <c r="BJ17" i="3"/>
  <c r="BF17" i="3"/>
  <c r="BD17" i="3"/>
  <c r="AP17" i="3"/>
  <c r="BI17" i="3" s="1"/>
  <c r="AC17" i="3" s="1"/>
  <c r="AO17" i="3"/>
  <c r="BH17" i="3" s="1"/>
  <c r="AB17" i="3" s="1"/>
  <c r="AL17" i="3"/>
  <c r="AK17" i="3"/>
  <c r="AJ17" i="3"/>
  <c r="AH17" i="3"/>
  <c r="AG17" i="3"/>
  <c r="AF17" i="3"/>
  <c r="AE17" i="3"/>
  <c r="AD17" i="3"/>
  <c r="Z17" i="3"/>
  <c r="H17" i="3"/>
  <c r="BJ16" i="3"/>
  <c r="BF16" i="3"/>
  <c r="BD16" i="3"/>
  <c r="AP16" i="3"/>
  <c r="AX16" i="3" s="1"/>
  <c r="AO16" i="3"/>
  <c r="BH16" i="3" s="1"/>
  <c r="AB16" i="3" s="1"/>
  <c r="AL16" i="3"/>
  <c r="AJ16" i="3"/>
  <c r="AH16" i="3"/>
  <c r="AG16" i="3"/>
  <c r="AF16" i="3"/>
  <c r="AE16" i="3"/>
  <c r="AD16" i="3"/>
  <c r="Z16" i="3"/>
  <c r="H16" i="3"/>
  <c r="AK16" i="3" s="1"/>
  <c r="BJ14" i="3"/>
  <c r="BF14" i="3"/>
  <c r="BD14" i="3"/>
  <c r="AP14" i="3"/>
  <c r="BI14" i="3" s="1"/>
  <c r="AC14" i="3" s="1"/>
  <c r="AO14" i="3"/>
  <c r="AW14" i="3" s="1"/>
  <c r="AL14" i="3"/>
  <c r="AU13" i="3" s="1"/>
  <c r="AJ14" i="3"/>
  <c r="AS13" i="3" s="1"/>
  <c r="AH14" i="3"/>
  <c r="AG14" i="3"/>
  <c r="AF14" i="3"/>
  <c r="AE14" i="3"/>
  <c r="AD14" i="3"/>
  <c r="Z14" i="3"/>
  <c r="H14" i="3"/>
  <c r="AK14" i="3" s="1"/>
  <c r="AU1" i="3"/>
  <c r="AT1" i="3"/>
  <c r="AS1" i="3"/>
  <c r="F44" i="2"/>
  <c r="I44" i="2" s="1"/>
  <c r="F43" i="2"/>
  <c r="I43" i="2" s="1"/>
  <c r="F42" i="2"/>
  <c r="I42" i="2" s="1"/>
  <c r="F41" i="2"/>
  <c r="I41" i="2" s="1"/>
  <c r="F39" i="2"/>
  <c r="I39" i="2" s="1"/>
  <c r="F38" i="2"/>
  <c r="I38" i="2" s="1"/>
  <c r="F36" i="2"/>
  <c r="I36" i="2" s="1"/>
  <c r="F35" i="2"/>
  <c r="I35" i="2" s="1"/>
  <c r="I26" i="2"/>
  <c r="I19" i="1" s="1"/>
  <c r="I25" i="2"/>
  <c r="I18" i="1" s="1"/>
  <c r="I24" i="2"/>
  <c r="I17" i="1" s="1"/>
  <c r="I23" i="2"/>
  <c r="I16" i="1" s="1"/>
  <c r="I22" i="2"/>
  <c r="I15" i="1" s="1"/>
  <c r="I21" i="2"/>
  <c r="I14" i="1" s="1"/>
  <c r="I17" i="2"/>
  <c r="F16" i="1" s="1"/>
  <c r="I16" i="2"/>
  <c r="F15" i="1" s="1"/>
  <c r="I15" i="2"/>
  <c r="I18" i="2" s="1"/>
  <c r="I10" i="2"/>
  <c r="F10" i="2"/>
  <c r="C10" i="2"/>
  <c r="F8" i="2"/>
  <c r="C8" i="2"/>
  <c r="F6" i="2"/>
  <c r="C6" i="2"/>
  <c r="F4" i="2"/>
  <c r="C4" i="2"/>
  <c r="F2" i="2"/>
  <c r="C2" i="2"/>
  <c r="I10" i="1"/>
  <c r="F10" i="1"/>
  <c r="C10" i="1"/>
  <c r="F8" i="1"/>
  <c r="C8" i="1"/>
  <c r="F6" i="1"/>
  <c r="C6" i="1"/>
  <c r="F4" i="1"/>
  <c r="C4" i="1"/>
  <c r="F2" i="1"/>
  <c r="C2" i="1"/>
  <c r="H69" i="3" l="1"/>
  <c r="AW73" i="3"/>
  <c r="BC73" i="3" s="1"/>
  <c r="AU69" i="3"/>
  <c r="AX70" i="3"/>
  <c r="AV70" i="3" s="1"/>
  <c r="AW68" i="3"/>
  <c r="AT66" i="3"/>
  <c r="AS45" i="3"/>
  <c r="AU45" i="3"/>
  <c r="H41" i="3"/>
  <c r="AW42" i="3"/>
  <c r="AU30" i="3"/>
  <c r="AS30" i="3"/>
  <c r="C20" i="1"/>
  <c r="AX17" i="3"/>
  <c r="F14" i="1"/>
  <c r="F22" i="1" s="1"/>
  <c r="AT30" i="3"/>
  <c r="AW55" i="3"/>
  <c r="AV55" i="3" s="1"/>
  <c r="AW80" i="3"/>
  <c r="BC80" i="3" s="1"/>
  <c r="AX89" i="3"/>
  <c r="AX48" i="3"/>
  <c r="AV48" i="3" s="1"/>
  <c r="AW65" i="3"/>
  <c r="AV65" i="3" s="1"/>
  <c r="AW90" i="3"/>
  <c r="AV90" i="3" s="1"/>
  <c r="AS92" i="3"/>
  <c r="H13" i="3"/>
  <c r="AX14" i="3"/>
  <c r="AV14" i="3" s="1"/>
  <c r="BC16" i="3"/>
  <c r="AU66" i="3"/>
  <c r="H103" i="3"/>
  <c r="H102" i="3" s="1"/>
  <c r="I45" i="2"/>
  <c r="I24" i="1" s="1"/>
  <c r="AW16" i="3"/>
  <c r="AX83" i="3"/>
  <c r="H37" i="3"/>
  <c r="AX38" i="3"/>
  <c r="AT88" i="3"/>
  <c r="AX93" i="3"/>
  <c r="AV93" i="3" s="1"/>
  <c r="BC96" i="3"/>
  <c r="AW104" i="3"/>
  <c r="C27" i="1"/>
  <c r="AV73" i="3"/>
  <c r="C18" i="1"/>
  <c r="C29" i="1"/>
  <c r="F29" i="1" s="1"/>
  <c r="AW87" i="3"/>
  <c r="AV87" i="3" s="1"/>
  <c r="C19" i="1"/>
  <c r="I22" i="1"/>
  <c r="AW31" i="3"/>
  <c r="BC31" i="3" s="1"/>
  <c r="AT41" i="3"/>
  <c r="AX54" i="3"/>
  <c r="AV54" i="3" s="1"/>
  <c r="AX63" i="3"/>
  <c r="BC63" i="3" s="1"/>
  <c r="AX75" i="3"/>
  <c r="AW101" i="3"/>
  <c r="AW106" i="3"/>
  <c r="BC106" i="3" s="1"/>
  <c r="AW46" i="3"/>
  <c r="AW77" i="3"/>
  <c r="AU88" i="3"/>
  <c r="AX33" i="3"/>
  <c r="AX78" i="3"/>
  <c r="BC78" i="3" s="1"/>
  <c r="AW36" i="3"/>
  <c r="BC36" i="3" s="1"/>
  <c r="H66" i="3"/>
  <c r="AS69" i="3"/>
  <c r="H92" i="3"/>
  <c r="AX27" i="3"/>
  <c r="AV27" i="3" s="1"/>
  <c r="BC42" i="3"/>
  <c r="AX86" i="3"/>
  <c r="AV86" i="3" s="1"/>
  <c r="AX99" i="3"/>
  <c r="AV78" i="3"/>
  <c r="AV16" i="3"/>
  <c r="AT45" i="3"/>
  <c r="AT69" i="3"/>
  <c r="AT92" i="3"/>
  <c r="AT13" i="3"/>
  <c r="C28" i="1"/>
  <c r="F28" i="1" s="1"/>
  <c r="BC70" i="3"/>
  <c r="AV38" i="3"/>
  <c r="BC38" i="3"/>
  <c r="BC49" i="3"/>
  <c r="AV49" i="3"/>
  <c r="AV42" i="3"/>
  <c r="C21" i="1"/>
  <c r="AV80" i="3"/>
  <c r="I27" i="2"/>
  <c r="F29" i="2" s="1"/>
  <c r="AW17" i="3"/>
  <c r="AX25" i="3"/>
  <c r="BC25" i="3" s="1"/>
  <c r="AW33" i="3"/>
  <c r="AX36" i="3"/>
  <c r="AW43" i="3"/>
  <c r="H45" i="3"/>
  <c r="AX46" i="3"/>
  <c r="BC46" i="3" s="1"/>
  <c r="AW51" i="3"/>
  <c r="AX52" i="3"/>
  <c r="BC52" i="3" s="1"/>
  <c r="AW57" i="3"/>
  <c r="AX59" i="3"/>
  <c r="BC59" i="3" s="1"/>
  <c r="AW67" i="3"/>
  <c r="AX68" i="3"/>
  <c r="BC68" i="3" s="1"/>
  <c r="AW75" i="3"/>
  <c r="AX77" i="3"/>
  <c r="BC77" i="3" s="1"/>
  <c r="AW83" i="3"/>
  <c r="H84" i="3"/>
  <c r="AX85" i="3"/>
  <c r="BC85" i="3" s="1"/>
  <c r="AW89" i="3"/>
  <c r="AX90" i="3"/>
  <c r="AW99" i="3"/>
  <c r="AX101" i="3"/>
  <c r="AX104" i="3"/>
  <c r="AX106" i="3"/>
  <c r="BH14" i="3"/>
  <c r="AB14" i="3" s="1"/>
  <c r="BI16" i="3"/>
  <c r="AC16" i="3" s="1"/>
  <c r="BH27" i="3"/>
  <c r="AB27" i="3" s="1"/>
  <c r="BI31" i="3"/>
  <c r="AC31" i="3" s="1"/>
  <c r="BH38" i="3"/>
  <c r="AB38" i="3" s="1"/>
  <c r="BI42" i="3"/>
  <c r="AC42" i="3" s="1"/>
  <c r="BH48" i="3"/>
  <c r="BI49" i="3"/>
  <c r="BH54" i="3"/>
  <c r="BI55" i="3"/>
  <c r="BH63" i="3"/>
  <c r="BI65" i="3"/>
  <c r="AE65" i="3" s="1"/>
  <c r="BH70" i="3"/>
  <c r="AD70" i="3" s="1"/>
  <c r="BI73" i="3"/>
  <c r="AE73" i="3" s="1"/>
  <c r="BH78" i="3"/>
  <c r="AD78" i="3" s="1"/>
  <c r="BI80" i="3"/>
  <c r="AE80" i="3" s="1"/>
  <c r="BH86" i="3"/>
  <c r="AD86" i="3" s="1"/>
  <c r="BI87" i="3"/>
  <c r="BH93" i="3"/>
  <c r="AD93" i="3" s="1"/>
  <c r="BI96" i="3"/>
  <c r="AE96" i="3" s="1"/>
  <c r="AV25" i="3"/>
  <c r="BI43" i="3"/>
  <c r="AC43" i="3" s="1"/>
  <c r="BH49" i="3"/>
  <c r="BI51" i="3"/>
  <c r="BI57" i="3"/>
  <c r="AV59" i="3"/>
  <c r="BI67" i="3"/>
  <c r="AE67" i="3" s="1"/>
  <c r="AV104" i="3" l="1"/>
  <c r="BC90" i="3"/>
  <c r="BC87" i="3"/>
  <c r="AV68" i="3"/>
  <c r="BC55" i="3"/>
  <c r="BC54" i="3"/>
  <c r="AV52" i="3"/>
  <c r="AV46" i="3"/>
  <c r="AV36" i="3"/>
  <c r="AV31" i="3"/>
  <c r="H107" i="3"/>
  <c r="AV106" i="3"/>
  <c r="BC14" i="3"/>
  <c r="AV85" i="3"/>
  <c r="AV77" i="3"/>
  <c r="BC27" i="3"/>
  <c r="AV63" i="3"/>
  <c r="C15" i="1"/>
  <c r="BC48" i="3"/>
  <c r="BC93" i="3"/>
  <c r="BC65" i="3"/>
  <c r="BC86" i="3"/>
  <c r="C14" i="1"/>
  <c r="C16" i="1"/>
  <c r="BC104" i="3"/>
  <c r="BC101" i="3"/>
  <c r="BC89" i="3"/>
  <c r="AV89" i="3"/>
  <c r="BC33" i="3"/>
  <c r="AV33" i="3"/>
  <c r="BC83" i="3"/>
  <c r="AV83" i="3"/>
  <c r="BC67" i="3"/>
  <c r="AV67" i="3"/>
  <c r="BC51" i="3"/>
  <c r="AV51" i="3"/>
  <c r="AV101" i="3"/>
  <c r="H12" i="3"/>
  <c r="I28" i="1"/>
  <c r="I29" i="1" s="1"/>
  <c r="BC75" i="3"/>
  <c r="AV75" i="3"/>
  <c r="BC57" i="3"/>
  <c r="AV57" i="3"/>
  <c r="BC99" i="3"/>
  <c r="AV99" i="3"/>
  <c r="BC43" i="3"/>
  <c r="AV43" i="3"/>
  <c r="BC17" i="3"/>
  <c r="AV17" i="3"/>
  <c r="C17" i="1"/>
  <c r="C22" i="1" l="1"/>
</calcChain>
</file>

<file path=xl/sharedStrings.xml><?xml version="1.0" encoding="utf-8"?>
<sst xmlns="http://schemas.openxmlformats.org/spreadsheetml/2006/main" count="907" uniqueCount="343">
  <si>
    <t>Krycí list slepého rozpočtu</t>
  </si>
  <si>
    <t>Název stavby:</t>
  </si>
  <si>
    <t>Objednatel:</t>
  </si>
  <si>
    <t>IČO/DIČ:</t>
  </si>
  <si>
    <t/>
  </si>
  <si>
    <t>Druh stavby:</t>
  </si>
  <si>
    <t>Projektant:</t>
  </si>
  <si>
    <t>Lokalita:</t>
  </si>
  <si>
    <t>Zhotovitel: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</si>
  <si>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</si>
  <si>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</si>
  <si>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</si>
  <si>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</si>
  <si>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</si>
  <si>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</si>
  <si>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</si>
  <si>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</si>
  <si>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</si>
  <si>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</si>
  <si>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</si>
  <si>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</si>
  <si>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</si>
  <si>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</si>
  <si>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</si>
  <si>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</si>
  <si>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</si>
  <si>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</si>
  <si>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</si>
  <si>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</si>
  <si>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</si>
  <si>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</si>
  <si>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</si>
  <si>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</si>
  <si>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</si>
  <si>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</si>
  <si>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</si>
  <si>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</si>
  <si>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</si>
  <si>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</si>
  <si>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</si>
  <si>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</si>
  <si>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</si>
  <si>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</si>
  <si>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</si>
  <si>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</si>
  <si>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</si>
  <si>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</si>
  <si>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</si>
  <si>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</si>
  <si>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</si>
  <si>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</si>
  <si>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</si>
  <si>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</si>
  <si>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</si>
  <si>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</si>
  <si>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</si>
  <si>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</si>
  <si>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</si>
  <si>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</si>
  <si>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</si>
  <si>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</si>
  <si>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</si>
  <si>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</si>
  <si>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</si>
  <si>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</si>
  <si>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</si>
  <si>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</si>
  <si>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</si>
  <si>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</si>
  <si>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</si>
  <si>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</si>
  <si>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</si>
  <si>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</si>
  <si>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</si>
  <si>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</si>
  <si>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</si>
  <si>
    <t>Slepý stavební rozpočet</t>
  </si>
  <si>
    <t>110-2025 Haškova 2163/11, byt č. 45  Žďár nad Sázavou</t>
  </si>
  <si>
    <t>Doba výstavby:</t>
  </si>
  <si>
    <t xml:space="preserve"> </t>
  </si>
  <si>
    <t> </t>
  </si>
  <si>
    <t>Oprava bytu 2+1</t>
  </si>
  <si>
    <t>Zpracováno dne:</t>
  </si>
  <si>
    <t>Č</t>
  </si>
  <si>
    <t>Kód</t>
  </si>
  <si>
    <t>Zkrácený popis / Varianta</t>
  </si>
  <si>
    <t>MJ</t>
  </si>
  <si>
    <t>Množství</t>
  </si>
  <si>
    <t>Cena/MJ</t>
  </si>
  <si>
    <t>Náklady (Kč)</t>
  </si>
  <si>
    <t>ISWORK</t>
  </si>
  <si>
    <t>GROUPCODE</t>
  </si>
  <si>
    <t>VATTAX</t>
  </si>
  <si>
    <t>Rozměry</t>
  </si>
  <si>
    <t>(Kč)</t>
  </si>
  <si>
    <t>Celkem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</si>
  <si>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</si>
  <si>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</si>
  <si>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</si>
  <si>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</si>
  <si>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</si>
  <si>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</si>
  <si>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</si>
  <si>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</si>
  <si>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</si>
  <si>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</si>
  <si>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</si>
  <si>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</si>
  <si>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Nezařazeno</t>
  </si>
  <si>
    <t>61</t>
  </si>
  <si>
    <t>Úprava povrchů vnitřní</t>
  </si>
  <si>
    <t>1</t>
  </si>
  <si>
    <t>601016191R00</t>
  </si>
  <si>
    <t>Penetrační nátěr stropů</t>
  </si>
  <si>
    <t>m2</t>
  </si>
  <si>
    <t>61_</t>
  </si>
  <si>
    <t>_6_</t>
  </si>
  <si>
    <t>_</t>
  </si>
  <si>
    <t>P</t>
  </si>
  <si>
    <t>16,61+12,2+7,79+4,43+2,52+1,68+6,35+2,03</t>
  </si>
  <si>
    <t>2</t>
  </si>
  <si>
    <t>611471411R00</t>
  </si>
  <si>
    <t>Úprava stropů aktivovaným štukem tl. 2 - 3 mm</t>
  </si>
  <si>
    <t>3</t>
  </si>
  <si>
    <t>602016191R00</t>
  </si>
  <si>
    <t>Penetrační nátěr stěn</t>
  </si>
  <si>
    <t>(3,45+4,71)*2*2,6-0,8*2-1,2*1,6-0,92*2,4</t>
  </si>
  <si>
    <t>pokoj</t>
  </si>
  <si>
    <t>(3,45+3,49)*2*2,6-0,8*2-2,12*1,6</t>
  </si>
  <si>
    <t>(3,45+2,4*2)*2,6-0,8*2*3-0,6*2</t>
  </si>
  <si>
    <t>chodba</t>
  </si>
  <si>
    <t>(3,45+4,71+2,4)*2,6-2,12*1,6</t>
  </si>
  <si>
    <t>kuchyň</t>
  </si>
  <si>
    <t>(1,8+1,07)*2*2,6-0,6*2</t>
  </si>
  <si>
    <t>komora</t>
  </si>
  <si>
    <t>(2,12+1,6*2)*0,2*2</t>
  </si>
  <si>
    <t>ostění oken</t>
  </si>
  <si>
    <t>(2,12+2,4*2)*0,2</t>
  </si>
  <si>
    <t>4</t>
  </si>
  <si>
    <t>612471411RT2</t>
  </si>
  <si>
    <t>Úprava vnitřních stěn aktivovaným štukem</t>
  </si>
  <si>
    <t>Varianta:</t>
  </si>
  <si>
    <t>s použitím suché maltové směsi</t>
  </si>
  <si>
    <t>5</t>
  </si>
  <si>
    <t>610991111R00</t>
  </si>
  <si>
    <t>Zakrývání výplní vnitřních otvorů</t>
  </si>
  <si>
    <t>2,12*1,6*2</t>
  </si>
  <si>
    <t>1,2*1,6+0,92*2,4</t>
  </si>
  <si>
    <t>63</t>
  </si>
  <si>
    <t>Podlahy a podlahové konstrukce</t>
  </si>
  <si>
    <t>6</t>
  </si>
  <si>
    <t>632451024R00</t>
  </si>
  <si>
    <t>Vyrovnávací potěr MC 15, v pásu, tl. 50 mm</t>
  </si>
  <si>
    <t>63_</t>
  </si>
  <si>
    <t>(2,12*2+1,2)*0,2</t>
  </si>
  <si>
    <t>parapet oken</t>
  </si>
  <si>
    <t>7</t>
  </si>
  <si>
    <t>632411110RT2</t>
  </si>
  <si>
    <t>Samonivelační stěrka , ruční zpracování tl. 10 mm</t>
  </si>
  <si>
    <t>samonivelační polymercementová stěrka  30 MPa</t>
  </si>
  <si>
    <t>28,81</t>
  </si>
  <si>
    <t>8</t>
  </si>
  <si>
    <t>632411904R00</t>
  </si>
  <si>
    <t>Penetrace savých podkladů  0,25 l/m2</t>
  </si>
  <si>
    <t>64</t>
  </si>
  <si>
    <t>Výplně otvorů</t>
  </si>
  <si>
    <t>9</t>
  </si>
  <si>
    <t>648991113RT2</t>
  </si>
  <si>
    <t>Osazení parapet.desek plast. a lamin. š.nad 20cm</t>
  </si>
  <si>
    <t>m</t>
  </si>
  <si>
    <t>64_</t>
  </si>
  <si>
    <t>včetně dodávky plastové parapetní desky š. 250 mm</t>
  </si>
  <si>
    <t>2,15*2+1,2</t>
  </si>
  <si>
    <t>95</t>
  </si>
  <si>
    <t>Různé dokončovací konstrukce a práce na pozemních stavbách</t>
  </si>
  <si>
    <t>10</t>
  </si>
  <si>
    <t>952901111R00</t>
  </si>
  <si>
    <t>Vyčištění budov o výšce podlaží do 4 m</t>
  </si>
  <si>
    <t>95_</t>
  </si>
  <si>
    <t>_9_</t>
  </si>
  <si>
    <t>11</t>
  </si>
  <si>
    <t>952902110RVV</t>
  </si>
  <si>
    <t>Zametání a vytírání v místnostech, chodbách, na  schodišti</t>
  </si>
  <si>
    <t>KPL.</t>
  </si>
  <si>
    <t xml:space="preserve"> v průběhu rekonstrukce</t>
  </si>
  <si>
    <t>96</t>
  </si>
  <si>
    <t>Bourání konstrukcí</t>
  </si>
  <si>
    <t>12</t>
  </si>
  <si>
    <t>965048515R00</t>
  </si>
  <si>
    <t>Broušení betonových povrchů do tl. 5 mm</t>
  </si>
  <si>
    <t>96_</t>
  </si>
  <si>
    <t>stáv. místnosti, po odstranění PVC</t>
  </si>
  <si>
    <t>13</t>
  </si>
  <si>
    <t>979011111R00</t>
  </si>
  <si>
    <t>Svislá doprava suti a vybour. hmot za 2.NP a 1.PP</t>
  </si>
  <si>
    <t>t</t>
  </si>
  <si>
    <t>14</t>
  </si>
  <si>
    <t>979011121R00</t>
  </si>
  <si>
    <t>Příplatek za každé další podlaží</t>
  </si>
  <si>
    <t>0,487*2</t>
  </si>
  <si>
    <t>15</t>
  </si>
  <si>
    <t>979081111R00</t>
  </si>
  <si>
    <t>Odvoz suti a vybour. hmot na skládku do 1 km</t>
  </si>
  <si>
    <t>16</t>
  </si>
  <si>
    <t>979081121R00</t>
  </si>
  <si>
    <t>Příplatek k odvozu za každý další 1 km</t>
  </si>
  <si>
    <t>0,487*5</t>
  </si>
  <si>
    <t>17</t>
  </si>
  <si>
    <t>979082111R00</t>
  </si>
  <si>
    <t>Vnitrostaveništní doprava suti do 10 m</t>
  </si>
  <si>
    <t>18</t>
  </si>
  <si>
    <t>979082121R00</t>
  </si>
  <si>
    <t>Příplatek k vnitrost. dopravě suti za dalších 5 m</t>
  </si>
  <si>
    <t>0,487*4</t>
  </si>
  <si>
    <t>19</t>
  </si>
  <si>
    <t>979990107R00</t>
  </si>
  <si>
    <t>Poplatek za uložení suti - směs betonu, cihel, dřeva, skupina odpadu 170904</t>
  </si>
  <si>
    <t>0,487-0,124</t>
  </si>
  <si>
    <t>20</t>
  </si>
  <si>
    <t>979990181R00</t>
  </si>
  <si>
    <t>Poplatek za uložení suti - PVC podlahová krytina, skupina odpadu 200307</t>
  </si>
  <si>
    <t>28,81*0,0035</t>
  </si>
  <si>
    <t>PVC</t>
  </si>
  <si>
    <t>28,6*0,0008</t>
  </si>
  <si>
    <t>sokl PVC</t>
  </si>
  <si>
    <t>99</t>
  </si>
  <si>
    <t>Staveništní přesun hmot</t>
  </si>
  <si>
    <t>21</t>
  </si>
  <si>
    <t>999281108R00</t>
  </si>
  <si>
    <t>Přesun hmot pro opravy a údržbu do výšky 12 m</t>
  </si>
  <si>
    <t>99_</t>
  </si>
  <si>
    <t>722</t>
  </si>
  <si>
    <t>Vnitřní vodovod</t>
  </si>
  <si>
    <t>22</t>
  </si>
  <si>
    <t>722. 1</t>
  </si>
  <si>
    <t>Dod + mont umyvadla, sifon, baterie</t>
  </si>
  <si>
    <t>soubor</t>
  </si>
  <si>
    <t>722_</t>
  </si>
  <si>
    <t>_72_</t>
  </si>
  <si>
    <t>735</t>
  </si>
  <si>
    <t>Otopná tělesa</t>
  </si>
  <si>
    <t>23</t>
  </si>
  <si>
    <t>730. 1</t>
  </si>
  <si>
    <t>Úprava rozvodů topení v koupelně</t>
  </si>
  <si>
    <t>735_</t>
  </si>
  <si>
    <t>_73_</t>
  </si>
  <si>
    <t>24</t>
  </si>
  <si>
    <t>730. 2</t>
  </si>
  <si>
    <t>Dod + mont ÚT žebřík koupelna</t>
  </si>
  <si>
    <t>776</t>
  </si>
  <si>
    <t>Podlahy povlakové</t>
  </si>
  <si>
    <t>25</t>
  </si>
  <si>
    <t>776401800R00</t>
  </si>
  <si>
    <t>Demontáž soklíků nebo lišt, pryžových nebo z PVC</t>
  </si>
  <si>
    <t>776_</t>
  </si>
  <si>
    <t>_77_</t>
  </si>
  <si>
    <t>(3,45+3,49)*2-0,8</t>
  </si>
  <si>
    <t>ložnice</t>
  </si>
  <si>
    <t>(3,45+4,71)*2-0,8</t>
  </si>
  <si>
    <t>26</t>
  </si>
  <si>
    <t>776511810R00</t>
  </si>
  <si>
    <t>Odstranění PVC a koberců lepených bez podložky</t>
  </si>
  <si>
    <t>12,2+16,61</t>
  </si>
  <si>
    <t>27</t>
  </si>
  <si>
    <t>776421100RU1</t>
  </si>
  <si>
    <t>Lepení podlahových soklíků z PVC a vinylu</t>
  </si>
  <si>
    <t>včetně dodávky soklíku PVC</t>
  </si>
  <si>
    <t>28</t>
  </si>
  <si>
    <t>776521200R00</t>
  </si>
  <si>
    <t>Lepení povlakových podlah z dílců PVC a CV (vinyl)</t>
  </si>
  <si>
    <t>29</t>
  </si>
  <si>
    <t>2841</t>
  </si>
  <si>
    <t>Dodávka podlahovina PVC - dle Standardu a vzorkování</t>
  </si>
  <si>
    <t>M</t>
  </si>
  <si>
    <t>28,6*1,1</t>
  </si>
  <si>
    <t>30</t>
  </si>
  <si>
    <t>776981112RT1</t>
  </si>
  <si>
    <t>Lišta hliníková přechodová, stejná výška povlakové podlahy</t>
  </si>
  <si>
    <t>samolepicí, šířky 30 mm</t>
  </si>
  <si>
    <t>0,8+0,8</t>
  </si>
  <si>
    <t>31</t>
  </si>
  <si>
    <t>998776102R00</t>
  </si>
  <si>
    <t>Přesun hmot pro podlahy povlakové, výšky do 12 m</t>
  </si>
  <si>
    <t>777</t>
  </si>
  <si>
    <t>Podlahy ze syntetických hmot</t>
  </si>
  <si>
    <t>32</t>
  </si>
  <si>
    <t>777553010R00</t>
  </si>
  <si>
    <t>Penetrace savého podkladu disperzí</t>
  </si>
  <si>
    <t>777_</t>
  </si>
  <si>
    <t>33</t>
  </si>
  <si>
    <t>777553210R00</t>
  </si>
  <si>
    <t>Vyrovnání podlah, samonivel. hmota  tl. 2mm</t>
  </si>
  <si>
    <t>34</t>
  </si>
  <si>
    <t>998777102R00</t>
  </si>
  <si>
    <t>Přesun hmot pro podlahy syntetické, výšky do 12 m</t>
  </si>
  <si>
    <t>783</t>
  </si>
  <si>
    <t>Nátěry</t>
  </si>
  <si>
    <t>35</t>
  </si>
  <si>
    <t>783424140R00</t>
  </si>
  <si>
    <t>Nátěr syntetický potrubí do DN 50 mm  Z + 2x</t>
  </si>
  <si>
    <t>783_</t>
  </si>
  <si>
    <t>_78_</t>
  </si>
  <si>
    <t>36</t>
  </si>
  <si>
    <t>783222100RV1</t>
  </si>
  <si>
    <t>Nátěr syntetický kovových konstrukcí dvojnásobný</t>
  </si>
  <si>
    <t>ks</t>
  </si>
  <si>
    <t>zárubně - dle standardů</t>
  </si>
  <si>
    <t>784</t>
  </si>
  <si>
    <t>Malby</t>
  </si>
  <si>
    <t>37</t>
  </si>
  <si>
    <t>784402801R00</t>
  </si>
  <si>
    <t>Odstranění malby oškrábáním v místnosti H do 3,8 m</t>
  </si>
  <si>
    <t>784_</t>
  </si>
  <si>
    <t>53,61</t>
  </si>
  <si>
    <t>strop</t>
  </si>
  <si>
    <t>124,55</t>
  </si>
  <si>
    <t>stěny</t>
  </si>
  <si>
    <t>38</t>
  </si>
  <si>
    <t>784161401R00</t>
  </si>
  <si>
    <t>Penetrace podkladu nátěrem , 1 x</t>
  </si>
  <si>
    <t>54</t>
  </si>
  <si>
    <t>125</t>
  </si>
  <si>
    <t>39</t>
  </si>
  <si>
    <t>784165512R00</t>
  </si>
  <si>
    <t>Malba bílá, bez penetrace, 2 x - dle standardů</t>
  </si>
  <si>
    <t>M21</t>
  </si>
  <si>
    <t>Elektromontáže</t>
  </si>
  <si>
    <t>40</t>
  </si>
  <si>
    <t>210. 4</t>
  </si>
  <si>
    <t>D + M požární hlásič bateriový - životnost baterie min. 5 let</t>
  </si>
  <si>
    <t>M21_</t>
  </si>
  <si>
    <t>VORN</t>
  </si>
  <si>
    <t>03VRN</t>
  </si>
  <si>
    <t>41</t>
  </si>
  <si>
    <t>030001VRN</t>
  </si>
  <si>
    <t>Soubor</t>
  </si>
  <si>
    <t>03VRN_</t>
  </si>
  <si>
    <t>_Â _</t>
  </si>
  <si>
    <t>06VRN</t>
  </si>
  <si>
    <t>42</t>
  </si>
  <si>
    <t>065002VRN</t>
  </si>
  <si>
    <t>Mimostaveništní doprava</t>
  </si>
  <si>
    <t>06VRN_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</si>
</sst>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sz val="10"/>
      <color rgb="FF400040"/>
      <name val="Arial"/>
      <charset val="238"/>
    </font>
    <font>
      <b/>
      <sz val="10"/>
      <color rgb="FF400040"/>
      <name val="Arial"/>
      <charset val="238"/>
    </font>
    <font>
      <i/>
      <sz val="10"/>
      <color rgb="FF400040"/>
      <name val="Arial"/>
      <charset val="238"/>
    </font>
    <font>
      <i/>
      <sz val="10"/>
      <color rgb="FF0000FF"/>
      <name val="Arial"/>
      <charset val="238"/>
    </font>
    <font>
      <i/>
      <sz val="10"/>
      <color rgb="FF00000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EAEAEA"/>
        <bgColor rgb="FFEAEAEA"/>
      </patternFill>
    </fill>
    <fill>
      <patternFill patternType="solid">
        <fgColor rgb="FFCCFFFF"/>
        <bgColor rgb="FFCCFFFF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Border="1" applyAlignment="1">
      <alignment horizontal="right" vertical="center"/>
    </xf>
    <xf numFmtId="4" fontId="3" fillId="0" borderId="22" xfId="0" applyNumberFormat="1" applyFont="1" applyBorder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0" fontId="3" fillId="0" borderId="24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0" fillId="0" borderId="28" xfId="0" applyBorder="1"/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29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10" fillId="3" borderId="3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4" fontId="3" fillId="0" borderId="34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4" fontId="7" fillId="0" borderId="23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 wrapText="1"/>
    </xf>
    <xf numFmtId="1" fontId="2" fillId="0" borderId="28" xfId="0" applyNumberFormat="1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4" fontId="8" fillId="0" borderId="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/>
    </xf>
    <xf numFmtId="0" fontId="8" fillId="0" borderId="7" xfId="0" applyFont="1" applyBorder="1" applyAlignment="1">
      <alignment horizontal="right" vertical="center"/>
    </xf>
    <xf numFmtId="0" fontId="7" fillId="0" borderId="33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4" fontId="8" fillId="0" borderId="28" xfId="0" applyNumberFormat="1" applyFont="1" applyBorder="1" applyAlignment="1">
      <alignment horizontal="right" vertical="center"/>
    </xf>
    <xf numFmtId="0" fontId="8" fillId="0" borderId="34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28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4" fontId="8" fillId="0" borderId="31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/>
    </xf>
    <xf numFmtId="4" fontId="7" fillId="2" borderId="5" xfId="0" applyNumberFormat="1" applyFont="1" applyFill="1" applyBorder="1" applyAlignment="1">
      <alignment horizontal="right" vertical="center"/>
    </xf>
    <xf numFmtId="0" fontId="8" fillId="0" borderId="26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4" fontId="2" fillId="0" borderId="7" xfId="0" applyNumberFormat="1" applyFont="1" applyBorder="1" applyAlignment="1">
      <alignment horizontal="right" vertical="center"/>
    </xf>
    <xf numFmtId="0" fontId="2" fillId="0" borderId="34" xfId="0" applyFont="1" applyBorder="1" applyAlignment="1">
      <alignment horizontal="left" vertical="center"/>
    </xf>
    <xf numFmtId="4" fontId="2" fillId="0" borderId="28" xfId="0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2" fillId="4" borderId="2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28" xfId="0" applyFont="1" applyFill="1" applyBorder="1" applyAlignment="1" applyProtection="1">
      <alignment horizontal="left" vertical="center"/>
      <protection locked="0"/>
    </xf>
    <xf numFmtId="0" fontId="2" fillId="4" borderId="34" xfId="0" applyFont="1" applyFill="1" applyBorder="1" applyAlignment="1" applyProtection="1">
      <alignment horizontal="left" vertical="center"/>
      <protection locked="0"/>
    </xf>
    <xf numFmtId="0" fontId="2" fillId="4" borderId="12" xfId="0" applyFont="1" applyFill="1" applyBorder="1" applyAlignment="1" applyProtection="1">
      <alignment horizontal="left" vertical="center"/>
      <protection locked="0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3" fillId="0" borderId="26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horizontal="left" vertical="center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0" fontId="11" fillId="3" borderId="34" xfId="0" applyFont="1" applyFill="1" applyBorder="1" applyAlignment="1">
      <alignment horizontal="left" vertical="center"/>
    </xf>
    <xf numFmtId="0" fontId="11" fillId="3" borderId="34" xfId="0" applyFont="1" applyFill="1" applyBorder="1" applyAlignment="1">
      <alignment horizontal="left" vertical="center" wrapText="1"/>
    </xf>
    <xf numFmtId="0" fontId="11" fillId="3" borderId="34" xfId="0" applyFont="1" applyFill="1" applyBorder="1" applyAlignment="1">
      <alignment horizontal="left" vertical="center"/>
    </xf>
    <xf numFmtId="0" fontId="10" fillId="3" borderId="34" xfId="0" applyFont="1" applyFill="1" applyBorder="1" applyAlignment="1">
      <alignment horizontal="left" vertical="center"/>
    </xf>
    <xf numFmtId="0" fontId="10" fillId="4" borderId="34" xfId="0" applyFont="1" applyFill="1" applyBorder="1" applyAlignment="1" applyProtection="1">
      <alignment horizontal="left" vertical="center"/>
      <protection locked="0"/>
    </xf>
    <xf numFmtId="4" fontId="11" fillId="3" borderId="34" xfId="0" applyNumberFormat="1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4" fontId="2" fillId="4" borderId="0" xfId="0" applyNumberFormat="1" applyFont="1" applyFill="1" applyAlignment="1" applyProtection="1">
      <alignment horizontal="right" vertical="center"/>
      <protection locked="0"/>
    </xf>
    <xf numFmtId="0" fontId="0" fillId="0" borderId="33" xfId="0" applyBorder="1"/>
    <xf numFmtId="0" fontId="12" fillId="4" borderId="0" xfId="0" applyFont="1" applyFill="1" applyAlignment="1" applyProtection="1">
      <alignment horizontal="left" vertical="center"/>
      <protection locked="0"/>
    </xf>
    <xf numFmtId="0" fontId="12" fillId="0" borderId="2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4" fontId="2" fillId="0" borderId="12" xfId="0" applyNumberFormat="1" applyFont="1" applyBorder="1" applyAlignment="1">
      <alignment horizontal="right" vertical="center"/>
    </xf>
    <xf numFmtId="4" fontId="2" fillId="4" borderId="12" xfId="0" applyNumberFormat="1" applyFont="1" applyFill="1" applyBorder="1" applyAlignment="1" applyProtection="1">
      <alignment horizontal="right" vertical="center"/>
      <protection locked="0"/>
    </xf>
    <xf numFmtId="0" fontId="0" fillId="0" borderId="12" xfId="0" applyBorder="1"/>
    <xf numFmtId="0" fontId="0" fillId="0" borderId="7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429496729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429496729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2" name="Obrázek 429496729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opLeftCell="A16" workbookViewId="0">
      <selection activeCell="A37" sqref="A37:I37"/>
    </sheetView>
  </sheetViews>
  <sheetFormatPr defaultColWidth="12.140625" defaultRowHeight="15" customHeight="1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>
      <c r="A1" s="76" t="s">
        <v>0</v>
      </c>
      <c r="B1" s="77"/>
      <c r="C1" s="77"/>
      <c r="D1" s="77"/>
      <c r="E1" s="77"/>
      <c r="F1" s="77"/>
      <c r="G1" s="77"/>
      <c r="H1" s="77"/>
      <c r="I1" s="77"/>
    </row>
    <row r="2" spans="1:9">
      <c r="A2" s="38" t="s">
        <v>1</v>
      </c>
      <c r="B2" s="39"/>
      <c r="C2" s="44" t="str">
        <f>'Stavební rozpočet'!C2</f>
        <v>110-2025 Haškova 2163/11, byt č. 45  Žďár nad Sázavou</v>
      </c>
      <c r="D2" s="45"/>
      <c r="E2" s="41" t="s">
        <v>2</v>
      </c>
      <c r="F2" s="41" t="str">
        <f>'Stavební rozpočet'!I2</f>
        <v> </v>
      </c>
      <c r="G2" s="39"/>
      <c r="H2" s="41" t="s">
        <v>3</v>
      </c>
      <c r="I2" s="43" t="s">
        <v>4</v>
      </c>
    </row>
    <row r="3" spans="1:9" ht="15" customHeight="1">
      <c r="A3" s="78"/>
      <c r="B3" s="40"/>
      <c r="C3" s="46"/>
      <c r="D3" s="46"/>
      <c r="E3" s="40"/>
      <c r="F3" s="40"/>
      <c r="G3" s="40"/>
      <c r="H3" s="40"/>
      <c r="I3" s="79"/>
    </row>
    <row r="4" spans="1:9">
      <c r="A4" s="80" t="s">
        <v>5</v>
      </c>
      <c r="B4" s="40"/>
      <c r="C4" s="42" t="str">
        <f>'Stavební rozpočet'!C4</f>
        <v>Oprava bytu 2+1</v>
      </c>
      <c r="D4" s="40"/>
      <c r="E4" s="42" t="s">
        <v>6</v>
      </c>
      <c r="F4" s="42" t="str">
        <f>'Stavební rozpočet'!I4</f>
        <v> </v>
      </c>
      <c r="G4" s="40"/>
      <c r="H4" s="42" t="s">
        <v>3</v>
      </c>
      <c r="I4" s="79" t="s">
        <v>4</v>
      </c>
    </row>
    <row r="5" spans="1:9" ht="15" customHeight="1">
      <c r="A5" s="78"/>
      <c r="B5" s="40"/>
      <c r="C5" s="40"/>
      <c r="D5" s="40"/>
      <c r="E5" s="40"/>
      <c r="F5" s="40"/>
      <c r="G5" s="40"/>
      <c r="H5" s="40"/>
      <c r="I5" s="79"/>
    </row>
    <row r="6" spans="1:9">
      <c r="A6" s="80" t="s">
        <v>7</v>
      </c>
      <c r="B6" s="40"/>
      <c r="C6" s="42" t="str">
        <f>'Stavební rozpočet'!C6</f>
        <v xml:space="preserve"> </v>
      </c>
      <c r="D6" s="40"/>
      <c r="E6" s="42" t="s">
        <v>8</v>
      </c>
      <c r="F6" s="42" t="str">
        <f>'Stavební rozpočet'!I6</f>
        <v> </v>
      </c>
      <c r="G6" s="40"/>
      <c r="H6" s="42" t="s">
        <v>3</v>
      </c>
      <c r="I6" s="79" t="s">
        <v>4</v>
      </c>
    </row>
    <row r="7" spans="1:9" ht="15" customHeight="1">
      <c r="A7" s="78"/>
      <c r="B7" s="40"/>
      <c r="C7" s="40"/>
      <c r="D7" s="40"/>
      <c r="E7" s="40"/>
      <c r="F7" s="40"/>
      <c r="G7" s="40"/>
      <c r="H7" s="40"/>
      <c r="I7" s="79"/>
    </row>
    <row r="8" spans="1:9">
      <c r="A8" s="80" t="s">
        <v>9</v>
      </c>
      <c r="B8" s="40"/>
      <c r="C8" s="42" t="str">
        <f>'Stavební rozpočet'!G4</f>
        <v xml:space="preserve"> </v>
      </c>
      <c r="D8" s="40"/>
      <c r="E8" s="42" t="s">
        <v>10</v>
      </c>
      <c r="F8" s="42" t="str">
        <f>'Stavební rozpočet'!G6</f>
        <v xml:space="preserve"> </v>
      </c>
      <c r="G8" s="40"/>
      <c r="H8" s="40" t="s">
        <v>11</v>
      </c>
      <c r="I8" s="81">
        <v>42</v>
      </c>
    </row>
    <row r="9" spans="1:9">
      <c r="A9" s="78"/>
      <c r="B9" s="40"/>
      <c r="C9" s="40"/>
      <c r="D9" s="40"/>
      <c r="E9" s="40"/>
      <c r="F9" s="40"/>
      <c r="G9" s="40"/>
      <c r="H9" s="40"/>
      <c r="I9" s="79"/>
    </row>
    <row r="10" spans="1:9">
      <c r="A10" s="80" t="s">
        <v>12</v>
      </c>
      <c r="B10" s="40"/>
      <c r="C10" s="42" t="str">
        <f>'Stavební rozpočet'!C8</f>
        <v xml:space="preserve"> </v>
      </c>
      <c r="D10" s="40"/>
      <c r="E10" s="42" t="s">
        <v>13</v>
      </c>
      <c r="F10" s="42" t="str">
        <f>'Stavební rozpočet'!I8</f>
        <v> </v>
      </c>
      <c r="G10" s="40"/>
      <c r="H10" s="40" t="s">
        <v>14</v>
      </c>
      <c r="I10" s="82">
        <f>'Stavební rozpočet'!G8</f>
        <v>0</v>
      </c>
    </row>
    <row r="11" spans="1:9">
      <c r="A11" s="63"/>
      <c r="B11" s="64"/>
      <c r="C11" s="64"/>
      <c r="D11" s="64"/>
      <c r="E11" s="64"/>
      <c r="F11" s="64"/>
      <c r="G11" s="64"/>
      <c r="H11" s="64"/>
      <c r="I11" s="65"/>
    </row>
    <row r="12" spans="1:9" ht="23.25">
      <c r="A12" s="83" t="s">
        <v>15</v>
      </c>
      <c r="B12" s="83"/>
      <c r="C12" s="83"/>
      <c r="D12" s="83"/>
      <c r="E12" s="83"/>
      <c r="F12" s="83"/>
      <c r="G12" s="83"/>
      <c r="H12" s="83"/>
      <c r="I12" s="83"/>
    </row>
    <row r="13" spans="1:9" ht="26.25" customHeight="1">
      <c r="A13" s="3" t="s">
        <v>16</v>
      </c>
      <c r="B13" s="84" t="s">
        <v>17</v>
      </c>
      <c r="C13" s="85"/>
      <c r="D13" s="4" t="s">
        <v>18</v>
      </c>
      <c r="E13" s="84" t="s">
        <v>19</v>
      </c>
      <c r="F13" s="85"/>
      <c r="G13" s="4" t="s">
        <v>20</v>
      </c>
      <c r="H13" s="84" t="s">
        <v>21</v>
      </c>
      <c r="I13" s="85"/>
    </row>
    <row r="14" spans="1:9" ht="15.75">
      <c r="A14" s="5" t="s">
        <v>22</v>
      </c>
      <c r="B14" s="33" t="s">
        <v>23</v>
      </c>
      <c r="C14" s="86">
        <f>SUM('Stavební rozpočet'!AB12:AB212)</f>
        <v>0</v>
      </c>
      <c r="D14" s="87" t="s">
        <v>24</v>
      </c>
      <c r="E14" s="50"/>
      <c r="F14" s="86">
        <f>VORN!I15</f>
        <v>0</v>
      </c>
      <c r="G14" s="87" t="s">
        <v>25</v>
      </c>
      <c r="H14" s="50"/>
      <c r="I14" s="88">
        <f>VORN!I21</f>
        <v>0</v>
      </c>
    </row>
    <row r="15" spans="1:9" ht="15.75">
      <c r="A15" s="6" t="s">
        <v>4</v>
      </c>
      <c r="B15" s="33" t="s">
        <v>26</v>
      </c>
      <c r="C15" s="86">
        <f>SUM('Stavební rozpočet'!AC12:AC212)</f>
        <v>0</v>
      </c>
      <c r="D15" s="87" t="s">
        <v>27</v>
      </c>
      <c r="E15" s="50"/>
      <c r="F15" s="86">
        <f>VORN!I16</f>
        <v>0</v>
      </c>
      <c r="G15" s="87" t="s">
        <v>28</v>
      </c>
      <c r="H15" s="50"/>
      <c r="I15" s="88">
        <f>VORN!I22</f>
        <v>0</v>
      </c>
    </row>
    <row r="16" spans="1:9" ht="15.75">
      <c r="A16" s="5" t="s">
        <v>29</v>
      </c>
      <c r="B16" s="33" t="s">
        <v>23</v>
      </c>
      <c r="C16" s="86">
        <f>SUM('Stavební rozpočet'!AD12:AD212)</f>
        <v>0</v>
      </c>
      <c r="D16" s="87" t="s">
        <v>30</v>
      </c>
      <c r="E16" s="50"/>
      <c r="F16" s="86">
        <f>VORN!I17</f>
        <v>0</v>
      </c>
      <c r="G16" s="87" t="s">
        <v>31</v>
      </c>
      <c r="H16" s="50"/>
      <c r="I16" s="88">
        <f>VORN!I23</f>
        <v>0</v>
      </c>
    </row>
    <row r="17" spans="1:9" ht="15.75">
      <c r="A17" s="6" t="s">
        <v>4</v>
      </c>
      <c r="B17" s="33" t="s">
        <v>26</v>
      </c>
      <c r="C17" s="86">
        <f>SUM('Stavební rozpočet'!AE12:AE212)</f>
        <v>0</v>
      </c>
      <c r="D17" s="87" t="s">
        <v>4</v>
      </c>
      <c r="E17" s="50"/>
      <c r="F17" s="88" t="s">
        <v>4</v>
      </c>
      <c r="G17" s="87" t="s">
        <v>32</v>
      </c>
      <c r="H17" s="50"/>
      <c r="I17" s="88">
        <f>VORN!I24</f>
        <v>0</v>
      </c>
    </row>
    <row r="18" spans="1:9" ht="15.75">
      <c r="A18" s="5" t="s">
        <v>33</v>
      </c>
      <c r="B18" s="33" t="s">
        <v>23</v>
      </c>
      <c r="C18" s="86">
        <f>SUM('Stavební rozpočet'!AF12:AF212)</f>
        <v>0</v>
      </c>
      <c r="D18" s="87" t="s">
        <v>4</v>
      </c>
      <c r="E18" s="50"/>
      <c r="F18" s="88" t="s">
        <v>4</v>
      </c>
      <c r="G18" s="87" t="s">
        <v>34</v>
      </c>
      <c r="H18" s="50"/>
      <c r="I18" s="88">
        <f>VORN!I25</f>
        <v>0</v>
      </c>
    </row>
    <row r="19" spans="1:9" ht="15.75">
      <c r="A19" s="6" t="s">
        <v>4</v>
      </c>
      <c r="B19" s="33" t="s">
        <v>26</v>
      </c>
      <c r="C19" s="86">
        <f>SUM('Stavební rozpočet'!AG12:AG212)</f>
        <v>0</v>
      </c>
      <c r="D19" s="87" t="s">
        <v>4</v>
      </c>
      <c r="E19" s="50"/>
      <c r="F19" s="88" t="s">
        <v>4</v>
      </c>
      <c r="G19" s="87" t="s">
        <v>35</v>
      </c>
      <c r="H19" s="50"/>
      <c r="I19" s="88">
        <f>VORN!I26</f>
        <v>0</v>
      </c>
    </row>
    <row r="20" spans="1:9" ht="15.75">
      <c r="A20" s="47" t="s">
        <v>36</v>
      </c>
      <c r="B20" s="48"/>
      <c r="C20" s="86">
        <f>SUM('Stavební rozpočet'!AH12:AH212)</f>
        <v>0</v>
      </c>
      <c r="D20" s="87" t="s">
        <v>4</v>
      </c>
      <c r="E20" s="50"/>
      <c r="F20" s="88" t="s">
        <v>4</v>
      </c>
      <c r="G20" s="87" t="s">
        <v>4</v>
      </c>
      <c r="H20" s="50"/>
      <c r="I20" s="88" t="s">
        <v>4</v>
      </c>
    </row>
    <row r="21" spans="1:9" ht="15.75">
      <c r="A21" s="89" t="s">
        <v>37</v>
      </c>
      <c r="B21" s="90"/>
      <c r="C21" s="91">
        <f>SUM('Stavební rozpočet'!Z12:Z212)</f>
        <v>0</v>
      </c>
      <c r="D21" s="92" t="s">
        <v>4</v>
      </c>
      <c r="E21" s="93"/>
      <c r="F21" s="94" t="s">
        <v>4</v>
      </c>
      <c r="G21" s="92" t="s">
        <v>4</v>
      </c>
      <c r="H21" s="93"/>
      <c r="I21" s="94" t="s">
        <v>4</v>
      </c>
    </row>
    <row r="22" spans="1:9" ht="16.5" customHeight="1">
      <c r="A22" s="49" t="s">
        <v>38</v>
      </c>
      <c r="B22" s="95"/>
      <c r="C22" s="7">
        <f>ROUND(SUM(C14:C21),2)</f>
        <v>0</v>
      </c>
      <c r="D22" s="96" t="s">
        <v>39</v>
      </c>
      <c r="E22" s="95"/>
      <c r="F22" s="7">
        <f>SUM(F14:F21)</f>
        <v>0</v>
      </c>
      <c r="G22" s="96" t="s">
        <v>40</v>
      </c>
      <c r="H22" s="95"/>
      <c r="I22" s="7">
        <f>SUM(I14:I21)</f>
        <v>0</v>
      </c>
    </row>
    <row r="23" spans="1:9" ht="15.75">
      <c r="D23" s="47" t="s">
        <v>41</v>
      </c>
      <c r="E23" s="48"/>
      <c r="F23" s="97">
        <v>0</v>
      </c>
      <c r="G23" s="98" t="s">
        <v>42</v>
      </c>
      <c r="H23" s="48"/>
      <c r="I23" s="86">
        <v>0</v>
      </c>
    </row>
    <row r="24" spans="1:9" ht="15.75">
      <c r="G24" s="47" t="s">
        <v>43</v>
      </c>
      <c r="H24" s="48"/>
      <c r="I24" s="91">
        <f>vorn_sum</f>
        <v>0</v>
      </c>
    </row>
    <row r="25" spans="1:9" ht="15.75">
      <c r="G25" s="47" t="s">
        <v>44</v>
      </c>
      <c r="H25" s="48"/>
      <c r="I25" s="7">
        <v>0</v>
      </c>
    </row>
    <row r="27" spans="1:9" ht="15.75">
      <c r="A27" s="51" t="s">
        <v>45</v>
      </c>
      <c r="B27" s="52"/>
      <c r="C27" s="99">
        <f>ROUND(SUM('Stavební rozpočet'!AJ12:AJ212),2)</f>
        <v>0</v>
      </c>
    </row>
    <row r="28" spans="1:9" ht="15.75">
      <c r="A28" s="53" t="s">
        <v>46</v>
      </c>
      <c r="B28" s="54"/>
      <c r="C28" s="8">
        <f>ROUND(SUM('Stavební rozpočet'!AK12:AK212),2)</f>
        <v>0</v>
      </c>
      <c r="D28" s="52" t="s">
        <v>47</v>
      </c>
      <c r="E28" s="52"/>
      <c r="F28" s="99">
        <f>ROUND(C28*(12/100),2)</f>
        <v>0</v>
      </c>
      <c r="G28" s="52" t="s">
        <v>48</v>
      </c>
      <c r="H28" s="52"/>
      <c r="I28" s="99">
        <f>ROUND(SUM(C27:C29),2)</f>
        <v>0</v>
      </c>
    </row>
    <row r="29" spans="1:9" ht="15.75">
      <c r="A29" s="53" t="s">
        <v>49</v>
      </c>
      <c r="B29" s="54"/>
      <c r="C29" s="8">
        <f>ROUND(SUM('Stavební rozpočet'!AL12:AL212),2)</f>
        <v>0</v>
      </c>
      <c r="D29" s="54" t="s">
        <v>50</v>
      </c>
      <c r="E29" s="54"/>
      <c r="F29" s="8">
        <f>ROUND(C29*(21/100),2)</f>
        <v>0</v>
      </c>
      <c r="G29" s="54" t="s">
        <v>51</v>
      </c>
      <c r="H29" s="54"/>
      <c r="I29" s="8">
        <f>ROUND(SUM(F28:F29)+I28,0)</f>
        <v>0</v>
      </c>
    </row>
    <row r="31" spans="1:9">
      <c r="A31" s="58" t="s">
        <v>52</v>
      </c>
      <c r="B31" s="100"/>
      <c r="C31" s="55"/>
      <c r="D31" s="100" t="s">
        <v>53</v>
      </c>
      <c r="E31" s="100"/>
      <c r="F31" s="55"/>
      <c r="G31" s="100" t="s">
        <v>54</v>
      </c>
      <c r="H31" s="100"/>
      <c r="I31" s="55"/>
    </row>
    <row r="32" spans="1:9">
      <c r="A32" s="59" t="s">
        <v>4</v>
      </c>
      <c r="B32" s="56"/>
      <c r="C32" s="57"/>
      <c r="D32" s="92" t="s">
        <v>4</v>
      </c>
      <c r="E32" s="56"/>
      <c r="F32" s="57"/>
      <c r="G32" s="92" t="s">
        <v>4</v>
      </c>
      <c r="H32" s="56"/>
      <c r="I32" s="57"/>
    </row>
    <row r="33" spans="1:9">
      <c r="A33" s="59" t="s">
        <v>4</v>
      </c>
      <c r="B33" s="56"/>
      <c r="C33" s="57"/>
      <c r="D33" s="92" t="s">
        <v>4</v>
      </c>
      <c r="E33" s="56"/>
      <c r="F33" s="57"/>
      <c r="G33" s="92" t="s">
        <v>4</v>
      </c>
      <c r="H33" s="56"/>
      <c r="I33" s="57"/>
    </row>
    <row r="34" spans="1:9">
      <c r="A34" s="59" t="s">
        <v>4</v>
      </c>
      <c r="B34" s="56"/>
      <c r="C34" s="57"/>
      <c r="D34" s="92" t="s">
        <v>4</v>
      </c>
      <c r="E34" s="56"/>
      <c r="F34" s="57"/>
      <c r="G34" s="92" t="s">
        <v>4</v>
      </c>
      <c r="H34" s="56"/>
      <c r="I34" s="57"/>
    </row>
    <row r="35" spans="1:9">
      <c r="A35" s="60" t="s">
        <v>55</v>
      </c>
      <c r="B35" s="101"/>
      <c r="C35" s="102"/>
      <c r="D35" s="101" t="s">
        <v>55</v>
      </c>
      <c r="E35" s="101"/>
      <c r="F35" s="102"/>
      <c r="G35" s="101" t="s">
        <v>55</v>
      </c>
      <c r="H35" s="101"/>
      <c r="I35" s="102"/>
    </row>
    <row r="36" spans="1:9">
      <c r="A36" s="103" t="s">
        <v>56</v>
      </c>
    </row>
    <row r="37" spans="1:9" ht="12.75" customHeight="1">
      <c r="A37" s="42" t="s">
        <v>4</v>
      </c>
      <c r="B37" s="40"/>
      <c r="C37" s="40"/>
      <c r="D37" s="40"/>
      <c r="E37" s="40"/>
      <c r="F37" s="40"/>
      <c r="G37" s="40"/>
      <c r="H37" s="40"/>
      <c r="I37" s="40"/>
    </row>
  </sheetData>
  <sheetProtection password="CF7A" sheet="1"/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A10:B11"/>
    <mergeCell ref="H2:H3"/>
    <mergeCell ref="H4:H5"/>
    <mergeCell ref="H6:H7"/>
    <mergeCell ref="H8:H9"/>
    <mergeCell ref="H10:H11"/>
    <mergeCell ref="C8:D9"/>
    <mergeCell ref="C10:D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>
      <c r="A1" s="76" t="s">
        <v>57</v>
      </c>
      <c r="B1" s="77"/>
      <c r="C1" s="77"/>
      <c r="D1" s="77"/>
      <c r="E1" s="77"/>
      <c r="F1" s="77"/>
      <c r="G1" s="77"/>
      <c r="H1" s="77"/>
      <c r="I1" s="77"/>
    </row>
    <row r="2" spans="1:9">
      <c r="A2" s="38" t="s">
        <v>1</v>
      </c>
      <c r="B2" s="39"/>
      <c r="C2" s="44" t="str">
        <f>'Stavební rozpočet'!C2</f>
        <v>110-2025 Haškova 2163/11, byt č. 45  Žďár nad Sázavou</v>
      </c>
      <c r="D2" s="45"/>
      <c r="E2" s="41" t="s">
        <v>2</v>
      </c>
      <c r="F2" s="41" t="str">
        <f>'Stavební rozpočet'!I2</f>
        <v> </v>
      </c>
      <c r="G2" s="39"/>
      <c r="H2" s="41" t="s">
        <v>3</v>
      </c>
      <c r="I2" s="43" t="s">
        <v>4</v>
      </c>
    </row>
    <row r="3" spans="1:9" ht="15" customHeight="1">
      <c r="A3" s="78"/>
      <c r="B3" s="40"/>
      <c r="C3" s="46"/>
      <c r="D3" s="46"/>
      <c r="E3" s="40"/>
      <c r="F3" s="40"/>
      <c r="G3" s="40"/>
      <c r="H3" s="40"/>
      <c r="I3" s="79"/>
    </row>
    <row r="4" spans="1:9">
      <c r="A4" s="80" t="s">
        <v>5</v>
      </c>
      <c r="B4" s="40"/>
      <c r="C4" s="42" t="str">
        <f>'Stavební rozpočet'!C4</f>
        <v>Oprava bytu 2+1</v>
      </c>
      <c r="D4" s="40"/>
      <c r="E4" s="42" t="s">
        <v>6</v>
      </c>
      <c r="F4" s="42" t="str">
        <f>'Stavební rozpočet'!I4</f>
        <v> </v>
      </c>
      <c r="G4" s="40"/>
      <c r="H4" s="42" t="s">
        <v>3</v>
      </c>
      <c r="I4" s="79" t="s">
        <v>4</v>
      </c>
    </row>
    <row r="5" spans="1:9" ht="15" customHeight="1">
      <c r="A5" s="78"/>
      <c r="B5" s="40"/>
      <c r="C5" s="40"/>
      <c r="D5" s="40"/>
      <c r="E5" s="40"/>
      <c r="F5" s="40"/>
      <c r="G5" s="40"/>
      <c r="H5" s="40"/>
      <c r="I5" s="79"/>
    </row>
    <row r="6" spans="1:9">
      <c r="A6" s="80" t="s">
        <v>7</v>
      </c>
      <c r="B6" s="40"/>
      <c r="C6" s="42" t="str">
        <f>'Stavební rozpočet'!C6</f>
        <v xml:space="preserve"> </v>
      </c>
      <c r="D6" s="40"/>
      <c r="E6" s="42" t="s">
        <v>8</v>
      </c>
      <c r="F6" s="42" t="str">
        <f>'Stavební rozpočet'!I6</f>
        <v> </v>
      </c>
      <c r="G6" s="40"/>
      <c r="H6" s="42" t="s">
        <v>3</v>
      </c>
      <c r="I6" s="79" t="s">
        <v>4</v>
      </c>
    </row>
    <row r="7" spans="1:9" ht="15" customHeight="1">
      <c r="A7" s="78"/>
      <c r="B7" s="40"/>
      <c r="C7" s="40"/>
      <c r="D7" s="40"/>
      <c r="E7" s="40"/>
      <c r="F7" s="40"/>
      <c r="G7" s="40"/>
      <c r="H7" s="40"/>
      <c r="I7" s="79"/>
    </row>
    <row r="8" spans="1:9">
      <c r="A8" s="80" t="s">
        <v>9</v>
      </c>
      <c r="B8" s="40"/>
      <c r="C8" s="42" t="str">
        <f>'Stavební rozpočet'!G4</f>
        <v xml:space="preserve"> </v>
      </c>
      <c r="D8" s="40"/>
      <c r="E8" s="42" t="s">
        <v>10</v>
      </c>
      <c r="F8" s="42" t="str">
        <f>'Stavební rozpočet'!G6</f>
        <v xml:space="preserve"> </v>
      </c>
      <c r="G8" s="40"/>
      <c r="H8" s="40" t="s">
        <v>11</v>
      </c>
      <c r="I8" s="81">
        <v>42</v>
      </c>
    </row>
    <row r="9" spans="1:9">
      <c r="A9" s="78"/>
      <c r="B9" s="40"/>
      <c r="C9" s="40"/>
      <c r="D9" s="40"/>
      <c r="E9" s="40"/>
      <c r="F9" s="40"/>
      <c r="G9" s="40"/>
      <c r="H9" s="40"/>
      <c r="I9" s="79"/>
    </row>
    <row r="10" spans="1:9">
      <c r="A10" s="80" t="s">
        <v>12</v>
      </c>
      <c r="B10" s="40"/>
      <c r="C10" s="42" t="str">
        <f>'Stavební rozpočet'!C8</f>
        <v xml:space="preserve"> </v>
      </c>
      <c r="D10" s="40"/>
      <c r="E10" s="42" t="s">
        <v>13</v>
      </c>
      <c r="F10" s="42" t="str">
        <f>'Stavební rozpočet'!I8</f>
        <v> </v>
      </c>
      <c r="G10" s="40"/>
      <c r="H10" s="40" t="s">
        <v>14</v>
      </c>
      <c r="I10" s="82">
        <f>'Stavební rozpočet'!G8</f>
        <v>0</v>
      </c>
    </row>
    <row r="11" spans="1:9">
      <c r="A11" s="63"/>
      <c r="B11" s="64"/>
      <c r="C11" s="64"/>
      <c r="D11" s="64"/>
      <c r="E11" s="64"/>
      <c r="F11" s="64"/>
      <c r="G11" s="64"/>
      <c r="H11" s="64"/>
      <c r="I11" s="65"/>
    </row>
    <row r="13" spans="1:9" ht="15.75">
      <c r="A13" s="104" t="s">
        <v>58</v>
      </c>
      <c r="B13" s="104"/>
      <c r="C13" s="104"/>
      <c r="D13" s="104"/>
      <c r="E13" s="104"/>
    </row>
    <row r="14" spans="1:9">
      <c r="A14" s="61" t="s">
        <v>59</v>
      </c>
      <c r="B14" s="62"/>
      <c r="C14" s="62"/>
      <c r="D14" s="62"/>
      <c r="E14" s="105"/>
      <c r="F14" s="9" t="s">
        <v>60</v>
      </c>
      <c r="G14" s="9" t="s">
        <v>61</v>
      </c>
      <c r="H14" s="9" t="s">
        <v>62</v>
      </c>
      <c r="I14" s="9" t="s">
        <v>60</v>
      </c>
    </row>
    <row r="15" spans="1:9">
      <c r="A15" s="63" t="s">
        <v>24</v>
      </c>
      <c r="B15" s="64"/>
      <c r="C15" s="64"/>
      <c r="D15" s="64"/>
      <c r="E15" s="65"/>
      <c r="F15" s="106">
        <v>0</v>
      </c>
      <c r="G15" s="36" t="s">
        <v>4</v>
      </c>
      <c r="H15" s="36" t="s">
        <v>4</v>
      </c>
      <c r="I15" s="106">
        <f>F15</f>
        <v>0</v>
      </c>
    </row>
    <row r="16" spans="1:9">
      <c r="A16" s="63" t="s">
        <v>27</v>
      </c>
      <c r="B16" s="64"/>
      <c r="C16" s="64"/>
      <c r="D16" s="64"/>
      <c r="E16" s="65"/>
      <c r="F16" s="106">
        <v>0</v>
      </c>
      <c r="G16" s="36" t="s">
        <v>4</v>
      </c>
      <c r="H16" s="36" t="s">
        <v>4</v>
      </c>
      <c r="I16" s="106">
        <f>F16</f>
        <v>0</v>
      </c>
    </row>
    <row r="17" spans="1:9">
      <c r="A17" s="78" t="s">
        <v>30</v>
      </c>
      <c r="B17" s="107"/>
      <c r="C17" s="107"/>
      <c r="D17" s="107"/>
      <c r="E17" s="79"/>
      <c r="F17" s="108">
        <v>0</v>
      </c>
      <c r="G17" s="109" t="s">
        <v>4</v>
      </c>
      <c r="H17" s="109" t="s">
        <v>4</v>
      </c>
      <c r="I17" s="108">
        <f>F17</f>
        <v>0</v>
      </c>
    </row>
    <row r="18" spans="1:9">
      <c r="A18" s="66" t="s">
        <v>63</v>
      </c>
      <c r="B18" s="110"/>
      <c r="C18" s="110"/>
      <c r="D18" s="110"/>
      <c r="E18" s="111"/>
      <c r="F18" s="10" t="s">
        <v>4</v>
      </c>
      <c r="G18" s="11" t="s">
        <v>4</v>
      </c>
      <c r="H18" s="11" t="s">
        <v>4</v>
      </c>
      <c r="I18" s="12">
        <f>SUM(I15:I17)</f>
        <v>0</v>
      </c>
    </row>
    <row r="20" spans="1:9">
      <c r="A20" s="61" t="s">
        <v>21</v>
      </c>
      <c r="B20" s="62"/>
      <c r="C20" s="62"/>
      <c r="D20" s="62"/>
      <c r="E20" s="105"/>
      <c r="F20" s="9" t="s">
        <v>60</v>
      </c>
      <c r="G20" s="9" t="s">
        <v>61</v>
      </c>
      <c r="H20" s="9" t="s">
        <v>62</v>
      </c>
      <c r="I20" s="9" t="s">
        <v>60</v>
      </c>
    </row>
    <row r="21" spans="1:9">
      <c r="A21" s="63" t="s">
        <v>25</v>
      </c>
      <c r="B21" s="64"/>
      <c r="C21" s="64"/>
      <c r="D21" s="64"/>
      <c r="E21" s="65"/>
      <c r="F21" s="106">
        <v>0</v>
      </c>
      <c r="G21" s="36" t="s">
        <v>4</v>
      </c>
      <c r="H21" s="36" t="s">
        <v>4</v>
      </c>
      <c r="I21" s="106">
        <f t="shared" ref="I21:I26" si="0">F21</f>
        <v>0</v>
      </c>
    </row>
    <row r="22" spans="1:9">
      <c r="A22" s="63" t="s">
        <v>28</v>
      </c>
      <c r="B22" s="64"/>
      <c r="C22" s="64"/>
      <c r="D22" s="64"/>
      <c r="E22" s="65"/>
      <c r="F22" s="106">
        <v>0</v>
      </c>
      <c r="G22" s="36" t="s">
        <v>4</v>
      </c>
      <c r="H22" s="36" t="s">
        <v>4</v>
      </c>
      <c r="I22" s="106">
        <f t="shared" si="0"/>
        <v>0</v>
      </c>
    </row>
    <row r="23" spans="1:9">
      <c r="A23" s="63" t="s">
        <v>31</v>
      </c>
      <c r="B23" s="64"/>
      <c r="C23" s="64"/>
      <c r="D23" s="64"/>
      <c r="E23" s="65"/>
      <c r="F23" s="106">
        <v>0</v>
      </c>
      <c r="G23" s="36" t="s">
        <v>4</v>
      </c>
      <c r="H23" s="36" t="s">
        <v>4</v>
      </c>
      <c r="I23" s="106">
        <f t="shared" si="0"/>
        <v>0</v>
      </c>
    </row>
    <row r="24" spans="1:9">
      <c r="A24" s="63" t="s">
        <v>32</v>
      </c>
      <c r="B24" s="64"/>
      <c r="C24" s="64"/>
      <c r="D24" s="64"/>
      <c r="E24" s="65"/>
      <c r="F24" s="106">
        <v>0</v>
      </c>
      <c r="G24" s="36" t="s">
        <v>4</v>
      </c>
      <c r="H24" s="36" t="s">
        <v>4</v>
      </c>
      <c r="I24" s="106">
        <f t="shared" si="0"/>
        <v>0</v>
      </c>
    </row>
    <row r="25" spans="1:9">
      <c r="A25" s="63" t="s">
        <v>34</v>
      </c>
      <c r="B25" s="64"/>
      <c r="C25" s="64"/>
      <c r="D25" s="64"/>
      <c r="E25" s="65"/>
      <c r="F25" s="106">
        <v>0</v>
      </c>
      <c r="G25" s="36" t="s">
        <v>4</v>
      </c>
      <c r="H25" s="36" t="s">
        <v>4</v>
      </c>
      <c r="I25" s="106">
        <f t="shared" si="0"/>
        <v>0</v>
      </c>
    </row>
    <row r="26" spans="1:9">
      <c r="A26" s="78" t="s">
        <v>35</v>
      </c>
      <c r="B26" s="107"/>
      <c r="C26" s="107"/>
      <c r="D26" s="107"/>
      <c r="E26" s="79"/>
      <c r="F26" s="108">
        <v>0</v>
      </c>
      <c r="G26" s="109" t="s">
        <v>4</v>
      </c>
      <c r="H26" s="109" t="s">
        <v>4</v>
      </c>
      <c r="I26" s="108">
        <f t="shared" si="0"/>
        <v>0</v>
      </c>
    </row>
    <row r="27" spans="1:9">
      <c r="A27" s="66" t="s">
        <v>64</v>
      </c>
      <c r="B27" s="110"/>
      <c r="C27" s="110"/>
      <c r="D27" s="110"/>
      <c r="E27" s="111"/>
      <c r="F27" s="10" t="s">
        <v>4</v>
      </c>
      <c r="G27" s="11" t="s">
        <v>4</v>
      </c>
      <c r="H27" s="11" t="s">
        <v>4</v>
      </c>
      <c r="I27" s="12">
        <f>SUM(I21:I26)</f>
        <v>0</v>
      </c>
    </row>
    <row r="29" spans="1:9" ht="15.75">
      <c r="A29" s="67" t="s">
        <v>65</v>
      </c>
      <c r="B29" s="112"/>
      <c r="C29" s="112"/>
      <c r="D29" s="112"/>
      <c r="E29" s="113"/>
      <c r="F29" s="68">
        <f>I18+I27</f>
        <v>0</v>
      </c>
      <c r="G29" s="114"/>
      <c r="H29" s="114"/>
      <c r="I29" s="115"/>
    </row>
    <row r="33" spans="1:9" ht="15.75">
      <c r="A33" s="104" t="s">
        <v>66</v>
      </c>
      <c r="B33" s="104"/>
      <c r="C33" s="104"/>
      <c r="D33" s="104"/>
      <c r="E33" s="104"/>
    </row>
    <row r="34" spans="1:9">
      <c r="A34" s="61" t="s">
        <v>67</v>
      </c>
      <c r="B34" s="62"/>
      <c r="C34" s="62"/>
      <c r="D34" s="62"/>
      <c r="E34" s="105"/>
      <c r="F34" s="9" t="s">
        <v>60</v>
      </c>
      <c r="G34" s="9" t="s">
        <v>61</v>
      </c>
      <c r="H34" s="9" t="s">
        <v>62</v>
      </c>
      <c r="I34" s="9" t="s">
        <v>60</v>
      </c>
    </row>
    <row r="35" spans="1:9">
      <c r="A35" s="63" t="s">
        <v>68</v>
      </c>
      <c r="B35" s="64"/>
      <c r="C35" s="64"/>
      <c r="D35" s="64"/>
      <c r="E35" s="65"/>
      <c r="F35" s="106">
        <f>SUM('Stavební rozpočet'!BM12:BM212)</f>
        <v>0</v>
      </c>
      <c r="G35" s="36" t="s">
        <v>4</v>
      </c>
      <c r="H35" s="36" t="s">
        <v>4</v>
      </c>
      <c r="I35" s="106">
        <f t="shared" ref="I35:I44" si="1">F35</f>
        <v>0</v>
      </c>
    </row>
    <row r="36" spans="1:9">
      <c r="A36" s="63" t="s">
        <v>69</v>
      </c>
      <c r="B36" s="64"/>
      <c r="C36" s="64"/>
      <c r="D36" s="64"/>
      <c r="E36" s="65"/>
      <c r="F36" s="106">
        <f>SUM('Stavební rozpočet'!BN12:BN212)</f>
        <v>0</v>
      </c>
      <c r="G36" s="36" t="s">
        <v>4</v>
      </c>
      <c r="H36" s="36" t="s">
        <v>4</v>
      </c>
      <c r="I36" s="106">
        <f t="shared" si="1"/>
        <v>0</v>
      </c>
    </row>
    <row r="37" spans="1:9">
      <c r="A37" s="63" t="s">
        <v>25</v>
      </c>
      <c r="B37" s="64"/>
      <c r="C37" s="64"/>
      <c r="D37" s="64"/>
      <c r="E37" s="65"/>
      <c r="F37" s="106">
        <f>SUM('Stavební rozpočet'!BO12:BO212)</f>
        <v>0</v>
      </c>
      <c r="G37" s="36" t="s">
        <v>4</v>
      </c>
      <c r="H37" s="36" t="s">
        <v>4</v>
      </c>
      <c r="I37" s="106">
        <f t="shared" si="1"/>
        <v>0</v>
      </c>
    </row>
    <row r="38" spans="1:9">
      <c r="A38" s="63" t="s">
        <v>70</v>
      </c>
      <c r="B38" s="64"/>
      <c r="C38" s="64"/>
      <c r="D38" s="64"/>
      <c r="E38" s="65"/>
      <c r="F38" s="106">
        <f>SUM('Stavební rozpočet'!BP12:BP212)</f>
        <v>0</v>
      </c>
      <c r="G38" s="36" t="s">
        <v>4</v>
      </c>
      <c r="H38" s="36" t="s">
        <v>4</v>
      </c>
      <c r="I38" s="106">
        <f t="shared" si="1"/>
        <v>0</v>
      </c>
    </row>
    <row r="39" spans="1:9">
      <c r="A39" s="63" t="s">
        <v>71</v>
      </c>
      <c r="B39" s="64"/>
      <c r="C39" s="64"/>
      <c r="D39" s="64"/>
      <c r="E39" s="65"/>
      <c r="F39" s="106">
        <f>SUM('Stavební rozpočet'!BQ12:BQ212)</f>
        <v>0</v>
      </c>
      <c r="G39" s="36" t="s">
        <v>4</v>
      </c>
      <c r="H39" s="36" t="s">
        <v>4</v>
      </c>
      <c r="I39" s="106">
        <f t="shared" si="1"/>
        <v>0</v>
      </c>
    </row>
    <row r="40" spans="1:9">
      <c r="A40" s="63" t="s">
        <v>31</v>
      </c>
      <c r="B40" s="64"/>
      <c r="C40" s="64"/>
      <c r="D40" s="64"/>
      <c r="E40" s="65"/>
      <c r="F40" s="106">
        <f>SUM('Stavební rozpočet'!BR12:BR212)</f>
        <v>0</v>
      </c>
      <c r="G40" s="36" t="s">
        <v>4</v>
      </c>
      <c r="H40" s="36" t="s">
        <v>4</v>
      </c>
      <c r="I40" s="106">
        <f t="shared" si="1"/>
        <v>0</v>
      </c>
    </row>
    <row r="41" spans="1:9">
      <c r="A41" s="63" t="s">
        <v>32</v>
      </c>
      <c r="B41" s="64"/>
      <c r="C41" s="64"/>
      <c r="D41" s="64"/>
      <c r="E41" s="65"/>
      <c r="F41" s="106">
        <f>SUM('Stavební rozpočet'!BS12:BS212)</f>
        <v>0</v>
      </c>
      <c r="G41" s="36" t="s">
        <v>4</v>
      </c>
      <c r="H41" s="36" t="s">
        <v>4</v>
      </c>
      <c r="I41" s="106">
        <f t="shared" si="1"/>
        <v>0</v>
      </c>
    </row>
    <row r="42" spans="1:9">
      <c r="A42" s="63" t="s">
        <v>72</v>
      </c>
      <c r="B42" s="64"/>
      <c r="C42" s="64"/>
      <c r="D42" s="64"/>
      <c r="E42" s="65"/>
      <c r="F42" s="106">
        <f>SUM('Stavební rozpočet'!BT12:BT212)</f>
        <v>0</v>
      </c>
      <c r="G42" s="36" t="s">
        <v>4</v>
      </c>
      <c r="H42" s="36" t="s">
        <v>4</v>
      </c>
      <c r="I42" s="106">
        <f t="shared" si="1"/>
        <v>0</v>
      </c>
    </row>
    <row r="43" spans="1:9">
      <c r="A43" s="63" t="s">
        <v>73</v>
      </c>
      <c r="B43" s="64"/>
      <c r="C43" s="64"/>
      <c r="D43" s="64"/>
      <c r="E43" s="65"/>
      <c r="F43" s="106">
        <f>SUM('Stavební rozpočet'!BU12:BU212)</f>
        <v>0</v>
      </c>
      <c r="G43" s="36" t="s">
        <v>4</v>
      </c>
      <c r="H43" s="36" t="s">
        <v>4</v>
      </c>
      <c r="I43" s="106">
        <f t="shared" si="1"/>
        <v>0</v>
      </c>
    </row>
    <row r="44" spans="1:9">
      <c r="A44" s="78" t="s">
        <v>74</v>
      </c>
      <c r="B44" s="107"/>
      <c r="C44" s="107"/>
      <c r="D44" s="107"/>
      <c r="E44" s="79"/>
      <c r="F44" s="108">
        <f>SUM('Stavební rozpočet'!BV12:BV212)</f>
        <v>0</v>
      </c>
      <c r="G44" s="109" t="s">
        <v>4</v>
      </c>
      <c r="H44" s="109" t="s">
        <v>4</v>
      </c>
      <c r="I44" s="108">
        <f t="shared" si="1"/>
        <v>0</v>
      </c>
    </row>
    <row r="45" spans="1:9">
      <c r="A45" s="66" t="s">
        <v>75</v>
      </c>
      <c r="B45" s="110"/>
      <c r="C45" s="110"/>
      <c r="D45" s="110"/>
      <c r="E45" s="111"/>
      <c r="F45" s="10" t="s">
        <v>4</v>
      </c>
      <c r="G45" s="11" t="s">
        <v>4</v>
      </c>
      <c r="H45" s="11" t="s">
        <v>4</v>
      </c>
      <c r="I45" s="12">
        <f>SUM(I35:I44)</f>
        <v>0</v>
      </c>
    </row>
  </sheetData>
  <sheetProtection password="CF7A" sheet="1"/>
  <mergeCells count="60">
    <mergeCell ref="A41:E41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A10:B11"/>
    <mergeCell ref="C2:D3"/>
    <mergeCell ref="C4:D5"/>
    <mergeCell ref="C6:D7"/>
    <mergeCell ref="C8:D9"/>
    <mergeCell ref="C10:D11"/>
    <mergeCell ref="E8:E9"/>
    <mergeCell ref="E10:E11"/>
    <mergeCell ref="F2:G3"/>
    <mergeCell ref="F4:G5"/>
    <mergeCell ref="F6:G7"/>
    <mergeCell ref="F8:G9"/>
    <mergeCell ref="F10:G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Z109"/>
  <sheetViews>
    <sheetView tabSelected="1" workbookViewId="0">
      <pane ySplit="11" topLeftCell="A12" activePane="bottomLeft" state="frozen"/>
      <selection pane="bottomLeft" activeCell="G106" sqref="G106"/>
    </sheetView>
  </sheetViews>
  <sheetFormatPr defaultColWidth="12.140625" defaultRowHeight="15" customHeight="1"/>
  <cols>
    <col min="1" max="1" width="3.140625" customWidth="1"/>
    <col min="2" max="2" width="17.85546875" customWidth="1"/>
    <col min="3" max="3" width="39" customWidth="1"/>
    <col min="4" max="4" width="29.5703125" customWidth="1"/>
    <col min="5" max="5" width="6.7109375" customWidth="1"/>
    <col min="6" max="6" width="12.85546875" customWidth="1"/>
    <col min="7" max="7" width="12" customWidth="1"/>
    <col min="8" max="8" width="15.7109375" customWidth="1"/>
    <col min="25" max="75" width="12.140625" hidden="1"/>
    <col min="76" max="76" width="68.5703125" hidden="1" customWidth="1"/>
    <col min="77" max="78" width="12.140625" hidden="1"/>
  </cols>
  <sheetData>
    <row r="1" spans="1:76" ht="54.75" customHeight="1">
      <c r="A1" s="77" t="s">
        <v>76</v>
      </c>
      <c r="B1" s="77"/>
      <c r="C1" s="77"/>
      <c r="D1" s="77"/>
      <c r="E1" s="77"/>
      <c r="F1" s="77"/>
      <c r="G1" s="77"/>
      <c r="H1" s="77"/>
      <c r="I1" s="77"/>
      <c r="J1" s="77"/>
      <c r="AS1" s="13">
        <f>SUM(AJ1:AJ2)</f>
        <v>0</v>
      </c>
      <c r="AT1" s="13">
        <f>SUM(AK1:AK2)</f>
        <v>0</v>
      </c>
      <c r="AU1" s="13">
        <f>SUM(AL1:AL2)</f>
        <v>0</v>
      </c>
    </row>
    <row r="2" spans="1:76">
      <c r="A2" s="38" t="s">
        <v>1</v>
      </c>
      <c r="B2" s="39"/>
      <c r="C2" s="44" t="s">
        <v>77</v>
      </c>
      <c r="D2" s="45"/>
      <c r="E2" s="39" t="s">
        <v>78</v>
      </c>
      <c r="F2" s="39"/>
      <c r="G2" s="116" t="s">
        <v>79</v>
      </c>
      <c r="H2" s="41" t="s">
        <v>2</v>
      </c>
      <c r="I2" s="39" t="s">
        <v>80</v>
      </c>
      <c r="J2" s="43"/>
    </row>
    <row r="3" spans="1:76">
      <c r="A3" s="78"/>
      <c r="B3" s="40"/>
      <c r="C3" s="46"/>
      <c r="D3" s="46"/>
      <c r="E3" s="40"/>
      <c r="F3" s="40"/>
      <c r="G3" s="117"/>
      <c r="H3" s="40"/>
      <c r="I3" s="40"/>
      <c r="J3" s="79"/>
    </row>
    <row r="4" spans="1:76">
      <c r="A4" s="80" t="s">
        <v>5</v>
      </c>
      <c r="B4" s="40"/>
      <c r="C4" s="42" t="s">
        <v>81</v>
      </c>
      <c r="D4" s="40"/>
      <c r="E4" s="40" t="s">
        <v>9</v>
      </c>
      <c r="F4" s="40"/>
      <c r="G4" s="117" t="s">
        <v>79</v>
      </c>
      <c r="H4" s="42" t="s">
        <v>6</v>
      </c>
      <c r="I4" s="40" t="s">
        <v>80</v>
      </c>
      <c r="J4" s="79"/>
    </row>
    <row r="5" spans="1:76">
      <c r="A5" s="78"/>
      <c r="B5" s="40"/>
      <c r="C5" s="40"/>
      <c r="D5" s="40"/>
      <c r="E5" s="40"/>
      <c r="F5" s="40"/>
      <c r="G5" s="117"/>
      <c r="H5" s="40"/>
      <c r="I5" s="40"/>
      <c r="J5" s="79"/>
    </row>
    <row r="6" spans="1:76">
      <c r="A6" s="80" t="s">
        <v>7</v>
      </c>
      <c r="B6" s="40"/>
      <c r="C6" s="42" t="s">
        <v>79</v>
      </c>
      <c r="D6" s="40"/>
      <c r="E6" s="40" t="s">
        <v>10</v>
      </c>
      <c r="F6" s="40"/>
      <c r="G6" s="117" t="s">
        <v>79</v>
      </c>
      <c r="H6" s="42" t="s">
        <v>8</v>
      </c>
      <c r="I6" s="117" t="s">
        <v>80</v>
      </c>
      <c r="J6" s="118"/>
    </row>
    <row r="7" spans="1:76">
      <c r="A7" s="78"/>
      <c r="B7" s="40"/>
      <c r="C7" s="40"/>
      <c r="D7" s="40"/>
      <c r="E7" s="40"/>
      <c r="F7" s="40"/>
      <c r="G7" s="117"/>
      <c r="H7" s="40"/>
      <c r="I7" s="117"/>
      <c r="J7" s="118"/>
    </row>
    <row r="8" spans="1:76">
      <c r="A8" s="80" t="s">
        <v>12</v>
      </c>
      <c r="B8" s="40"/>
      <c r="C8" s="42" t="s">
        <v>79</v>
      </c>
      <c r="D8" s="40"/>
      <c r="E8" s="40" t="s">
        <v>82</v>
      </c>
      <c r="F8" s="40"/>
      <c r="G8" s="117"/>
      <c r="H8" s="42" t="s">
        <v>13</v>
      </c>
      <c r="I8" s="117" t="s">
        <v>80</v>
      </c>
      <c r="J8" s="118"/>
    </row>
    <row r="9" spans="1:76">
      <c r="A9" s="78"/>
      <c r="B9" s="107"/>
      <c r="C9" s="107"/>
      <c r="D9" s="107"/>
      <c r="E9" s="107"/>
      <c r="F9" s="107"/>
      <c r="G9" s="119"/>
      <c r="H9" s="107"/>
      <c r="I9" s="120"/>
      <c r="J9" s="121"/>
    </row>
    <row r="10" spans="1:76">
      <c r="A10" s="14" t="s">
        <v>83</v>
      </c>
      <c r="B10" s="37" t="s">
        <v>84</v>
      </c>
      <c r="C10" s="122" t="s">
        <v>85</v>
      </c>
      <c r="D10" s="69"/>
      <c r="E10" s="37" t="s">
        <v>86</v>
      </c>
      <c r="F10" s="123" t="s">
        <v>87</v>
      </c>
      <c r="G10" s="124" t="s">
        <v>88</v>
      </c>
      <c r="H10" s="15" t="s">
        <v>89</v>
      </c>
      <c r="J10" s="16"/>
      <c r="BK10" s="17" t="s">
        <v>90</v>
      </c>
      <c r="BL10" s="18" t="s">
        <v>91</v>
      </c>
      <c r="BW10" s="18" t="s">
        <v>92</v>
      </c>
    </row>
    <row r="11" spans="1:76">
      <c r="A11" s="19" t="s">
        <v>79</v>
      </c>
      <c r="B11" s="125" t="s">
        <v>79</v>
      </c>
      <c r="C11" s="70" t="s">
        <v>93</v>
      </c>
      <c r="D11" s="71"/>
      <c r="E11" s="125" t="s">
        <v>79</v>
      </c>
      <c r="F11" s="125" t="s">
        <v>79</v>
      </c>
      <c r="G11" s="126" t="s">
        <v>94</v>
      </c>
      <c r="H11" s="20" t="s">
        <v>95</v>
      </c>
      <c r="J11" s="16"/>
      <c r="Z11" s="17" t="s">
        <v>96</v>
      </c>
      <c r="AA11" s="17" t="s">
        <v>97</v>
      </c>
      <c r="AB11" s="17" t="s">
        <v>98</v>
      </c>
      <c r="AC11" s="17" t="s">
        <v>99</v>
      </c>
      <c r="AD11" s="17" t="s">
        <v>100</v>
      </c>
      <c r="AE11" s="17" t="s">
        <v>101</v>
      </c>
      <c r="AF11" s="17" t="s">
        <v>102</v>
      </c>
      <c r="AG11" s="17" t="s">
        <v>103</v>
      </c>
      <c r="AH11" s="17" t="s">
        <v>104</v>
      </c>
      <c r="BH11" s="17" t="s">
        <v>105</v>
      </c>
      <c r="BI11" s="17" t="s">
        <v>106</v>
      </c>
      <c r="BJ11" s="17" t="s">
        <v>107</v>
      </c>
    </row>
    <row r="12" spans="1:76">
      <c r="A12" s="21" t="s">
        <v>4</v>
      </c>
      <c r="B12" s="127" t="s">
        <v>4</v>
      </c>
      <c r="C12" s="128" t="s">
        <v>108</v>
      </c>
      <c r="D12" s="129"/>
      <c r="E12" s="130" t="s">
        <v>79</v>
      </c>
      <c r="F12" s="130" t="s">
        <v>79</v>
      </c>
      <c r="G12" s="131" t="s">
        <v>79</v>
      </c>
      <c r="H12" s="132">
        <f>H13+H30+H37+H41+H45+H62+H64+H66+H69+H84+H88+H92+H100+H103+H105</f>
        <v>0</v>
      </c>
      <c r="J12" s="16"/>
    </row>
    <row r="13" spans="1:76">
      <c r="A13" s="133" t="s">
        <v>4</v>
      </c>
      <c r="B13" s="22" t="s">
        <v>109</v>
      </c>
      <c r="C13" s="72" t="s">
        <v>110</v>
      </c>
      <c r="D13" s="73"/>
      <c r="E13" s="23" t="s">
        <v>79</v>
      </c>
      <c r="F13" s="23" t="s">
        <v>79</v>
      </c>
      <c r="G13" s="24" t="s">
        <v>79</v>
      </c>
      <c r="H13" s="13">
        <f>SUM(H14:H27)</f>
        <v>0</v>
      </c>
      <c r="J13" s="16"/>
      <c r="AI13" s="17" t="s">
        <v>4</v>
      </c>
      <c r="AS13" s="13">
        <f>SUM(AJ14:AJ27)</f>
        <v>0</v>
      </c>
      <c r="AT13" s="13">
        <f>SUM(AK14:AK27)</f>
        <v>0</v>
      </c>
      <c r="AU13" s="13">
        <f>SUM(AL14:AL27)</f>
        <v>0</v>
      </c>
    </row>
    <row r="14" spans="1:76">
      <c r="A14" s="134" t="s">
        <v>111</v>
      </c>
      <c r="B14" s="1" t="s">
        <v>112</v>
      </c>
      <c r="C14" s="42" t="s">
        <v>113</v>
      </c>
      <c r="D14" s="40"/>
      <c r="E14" s="1" t="s">
        <v>114</v>
      </c>
      <c r="F14" s="25">
        <v>53.61</v>
      </c>
      <c r="G14" s="135"/>
      <c r="H14" s="25">
        <f>ROUND(F14*G14,2)</f>
        <v>0</v>
      </c>
      <c r="J14" s="16"/>
      <c r="Z14" s="25">
        <f>ROUND(IF(AQ14="5",BJ14,0),2)</f>
        <v>0</v>
      </c>
      <c r="AB14" s="25">
        <f>ROUND(IF(AQ14="1",BH14,0),2)</f>
        <v>0</v>
      </c>
      <c r="AC14" s="25">
        <f>ROUND(IF(AQ14="1",BI14,0),2)</f>
        <v>0</v>
      </c>
      <c r="AD14" s="25">
        <f>ROUND(IF(AQ14="7",BH14,0),2)</f>
        <v>0</v>
      </c>
      <c r="AE14" s="25">
        <f>ROUND(IF(AQ14="7",BI14,0),2)</f>
        <v>0</v>
      </c>
      <c r="AF14" s="25">
        <f>ROUND(IF(AQ14="2",BH14,0),2)</f>
        <v>0</v>
      </c>
      <c r="AG14" s="25">
        <f>ROUND(IF(AQ14="2",BI14,0),2)</f>
        <v>0</v>
      </c>
      <c r="AH14" s="25">
        <f>ROUND(IF(AQ14="0",BJ14,0),2)</f>
        <v>0</v>
      </c>
      <c r="AI14" s="17" t="s">
        <v>4</v>
      </c>
      <c r="AJ14" s="25">
        <f>IF(AN14=0,H14,0)</f>
        <v>0</v>
      </c>
      <c r="AK14" s="25">
        <f>IF(AN14=12,H14,0)</f>
        <v>0</v>
      </c>
      <c r="AL14" s="25">
        <f>IF(AN14=21,H14,0)</f>
        <v>0</v>
      </c>
      <c r="AN14" s="25">
        <v>12</v>
      </c>
      <c r="AO14" s="25">
        <f>G14*0.315286863</f>
        <v>0</v>
      </c>
      <c r="AP14" s="25">
        <f>G14*(1-0.315286863)</f>
        <v>0</v>
      </c>
      <c r="AQ14" s="26" t="s">
        <v>111</v>
      </c>
      <c r="AV14" s="25">
        <f>ROUND(AW14+AX14,2)</f>
        <v>0</v>
      </c>
      <c r="AW14" s="25">
        <f>ROUND(F14*AO14,2)</f>
        <v>0</v>
      </c>
      <c r="AX14" s="25">
        <f>ROUND(F14*AP14,2)</f>
        <v>0</v>
      </c>
      <c r="AY14" s="26" t="s">
        <v>115</v>
      </c>
      <c r="AZ14" s="26" t="s">
        <v>116</v>
      </c>
      <c r="BA14" s="17" t="s">
        <v>117</v>
      </c>
      <c r="BC14" s="25">
        <f>AW14+AX14</f>
        <v>0</v>
      </c>
      <c r="BD14" s="25">
        <f>G14/(100-BE14)*100</f>
        <v>0</v>
      </c>
      <c r="BE14" s="25">
        <v>0</v>
      </c>
      <c r="BF14" s="25">
        <f>14</f>
        <v>14</v>
      </c>
      <c r="BH14" s="25">
        <f>F14*AO14</f>
        <v>0</v>
      </c>
      <c r="BI14" s="25">
        <f>F14*AP14</f>
        <v>0</v>
      </c>
      <c r="BJ14" s="25">
        <f>F14*G14</f>
        <v>0</v>
      </c>
      <c r="BK14" s="26" t="s">
        <v>118</v>
      </c>
      <c r="BL14" s="25">
        <v>61</v>
      </c>
      <c r="BW14" s="25">
        <v>12</v>
      </c>
      <c r="BX14" s="2" t="s">
        <v>113</v>
      </c>
    </row>
    <row r="15" spans="1:76">
      <c r="A15" s="136"/>
      <c r="C15" s="27" t="s">
        <v>119</v>
      </c>
      <c r="D15" s="28" t="s">
        <v>4</v>
      </c>
      <c r="F15" s="29">
        <v>53.61</v>
      </c>
      <c r="J15" s="16"/>
    </row>
    <row r="16" spans="1:76">
      <c r="A16" s="134" t="s">
        <v>120</v>
      </c>
      <c r="B16" s="1" t="s">
        <v>121</v>
      </c>
      <c r="C16" s="42" t="s">
        <v>122</v>
      </c>
      <c r="D16" s="40"/>
      <c r="E16" s="1" t="s">
        <v>114</v>
      </c>
      <c r="F16" s="25">
        <v>53.61</v>
      </c>
      <c r="G16" s="135"/>
      <c r="H16" s="25">
        <f>ROUND(F16*G16,2)</f>
        <v>0</v>
      </c>
      <c r="J16" s="16"/>
      <c r="Z16" s="25">
        <f>ROUND(IF(AQ16="5",BJ16,0),2)</f>
        <v>0</v>
      </c>
      <c r="AB16" s="25">
        <f>ROUND(IF(AQ16="1",BH16,0),2)</f>
        <v>0</v>
      </c>
      <c r="AC16" s="25">
        <f>ROUND(IF(AQ16="1",BI16,0),2)</f>
        <v>0</v>
      </c>
      <c r="AD16" s="25">
        <f>ROUND(IF(AQ16="7",BH16,0),2)</f>
        <v>0</v>
      </c>
      <c r="AE16" s="25">
        <f>ROUND(IF(AQ16="7",BI16,0),2)</f>
        <v>0</v>
      </c>
      <c r="AF16" s="25">
        <f>ROUND(IF(AQ16="2",BH16,0),2)</f>
        <v>0</v>
      </c>
      <c r="AG16" s="25">
        <f>ROUND(IF(AQ16="2",BI16,0),2)</f>
        <v>0</v>
      </c>
      <c r="AH16" s="25">
        <f>ROUND(IF(AQ16="0",BJ16,0),2)</f>
        <v>0</v>
      </c>
      <c r="AI16" s="17" t="s">
        <v>4</v>
      </c>
      <c r="AJ16" s="25">
        <f>IF(AN16=0,H16,0)</f>
        <v>0</v>
      </c>
      <c r="AK16" s="25">
        <f>IF(AN16=12,H16,0)</f>
        <v>0</v>
      </c>
      <c r="AL16" s="25">
        <f>IF(AN16=21,H16,0)</f>
        <v>0</v>
      </c>
      <c r="AN16" s="25">
        <v>12</v>
      </c>
      <c r="AO16" s="25">
        <f>G16*0.151899993</f>
        <v>0</v>
      </c>
      <c r="AP16" s="25">
        <f>G16*(1-0.151899993)</f>
        <v>0</v>
      </c>
      <c r="AQ16" s="26" t="s">
        <v>111</v>
      </c>
      <c r="AV16" s="25">
        <f>ROUND(AW16+AX16,2)</f>
        <v>0</v>
      </c>
      <c r="AW16" s="25">
        <f>ROUND(F16*AO16,2)</f>
        <v>0</v>
      </c>
      <c r="AX16" s="25">
        <f>ROUND(F16*AP16,2)</f>
        <v>0</v>
      </c>
      <c r="AY16" s="26" t="s">
        <v>115</v>
      </c>
      <c r="AZ16" s="26" t="s">
        <v>116</v>
      </c>
      <c r="BA16" s="17" t="s">
        <v>117</v>
      </c>
      <c r="BC16" s="25">
        <f>AW16+AX16</f>
        <v>0</v>
      </c>
      <c r="BD16" s="25">
        <f>G16/(100-BE16)*100</f>
        <v>0</v>
      </c>
      <c r="BE16" s="25">
        <v>0</v>
      </c>
      <c r="BF16" s="25">
        <f>16</f>
        <v>16</v>
      </c>
      <c r="BH16" s="25">
        <f>F16*AO16</f>
        <v>0</v>
      </c>
      <c r="BI16" s="25">
        <f>F16*AP16</f>
        <v>0</v>
      </c>
      <c r="BJ16" s="25">
        <f>F16*G16</f>
        <v>0</v>
      </c>
      <c r="BK16" s="26" t="s">
        <v>118</v>
      </c>
      <c r="BL16" s="25">
        <v>61</v>
      </c>
      <c r="BW16" s="25">
        <v>12</v>
      </c>
      <c r="BX16" s="2" t="s">
        <v>122</v>
      </c>
    </row>
    <row r="17" spans="1:76">
      <c r="A17" s="134" t="s">
        <v>123</v>
      </c>
      <c r="B17" s="1" t="s">
        <v>124</v>
      </c>
      <c r="C17" s="42" t="s">
        <v>125</v>
      </c>
      <c r="D17" s="40"/>
      <c r="E17" s="1" t="s">
        <v>114</v>
      </c>
      <c r="F17" s="25">
        <v>124.55</v>
      </c>
      <c r="G17" s="135"/>
      <c r="H17" s="25">
        <f>ROUND(F17*G17,2)</f>
        <v>0</v>
      </c>
      <c r="J17" s="16"/>
      <c r="Z17" s="25">
        <f>ROUND(IF(AQ17="5",BJ17,0),2)</f>
        <v>0</v>
      </c>
      <c r="AB17" s="25">
        <f>ROUND(IF(AQ17="1",BH17,0),2)</f>
        <v>0</v>
      </c>
      <c r="AC17" s="25">
        <f>ROUND(IF(AQ17="1",BI17,0),2)</f>
        <v>0</v>
      </c>
      <c r="AD17" s="25">
        <f>ROUND(IF(AQ17="7",BH17,0),2)</f>
        <v>0</v>
      </c>
      <c r="AE17" s="25">
        <f>ROUND(IF(AQ17="7",BI17,0),2)</f>
        <v>0</v>
      </c>
      <c r="AF17" s="25">
        <f>ROUND(IF(AQ17="2",BH17,0),2)</f>
        <v>0</v>
      </c>
      <c r="AG17" s="25">
        <f>ROUND(IF(AQ17="2",BI17,0),2)</f>
        <v>0</v>
      </c>
      <c r="AH17" s="25">
        <f>ROUND(IF(AQ17="0",BJ17,0),2)</f>
        <v>0</v>
      </c>
      <c r="AI17" s="17" t="s">
        <v>4</v>
      </c>
      <c r="AJ17" s="25">
        <f>IF(AN17=0,H17,0)</f>
        <v>0</v>
      </c>
      <c r="AK17" s="25">
        <f>IF(AN17=12,H17,0)</f>
        <v>0</v>
      </c>
      <c r="AL17" s="25">
        <f>IF(AN17=21,H17,0)</f>
        <v>0</v>
      </c>
      <c r="AN17" s="25">
        <v>12</v>
      </c>
      <c r="AO17" s="25">
        <f>G17*0.369315523</f>
        <v>0</v>
      </c>
      <c r="AP17" s="25">
        <f>G17*(1-0.369315523)</f>
        <v>0</v>
      </c>
      <c r="AQ17" s="26" t="s">
        <v>111</v>
      </c>
      <c r="AV17" s="25">
        <f>ROUND(AW17+AX17,2)</f>
        <v>0</v>
      </c>
      <c r="AW17" s="25">
        <f>ROUND(F17*AO17,2)</f>
        <v>0</v>
      </c>
      <c r="AX17" s="25">
        <f>ROUND(F17*AP17,2)</f>
        <v>0</v>
      </c>
      <c r="AY17" s="26" t="s">
        <v>115</v>
      </c>
      <c r="AZ17" s="26" t="s">
        <v>116</v>
      </c>
      <c r="BA17" s="17" t="s">
        <v>117</v>
      </c>
      <c r="BC17" s="25">
        <f>AW17+AX17</f>
        <v>0</v>
      </c>
      <c r="BD17" s="25">
        <f>G17/(100-BE17)*100</f>
        <v>0</v>
      </c>
      <c r="BE17" s="25">
        <v>0</v>
      </c>
      <c r="BF17" s="25">
        <f>17</f>
        <v>17</v>
      </c>
      <c r="BH17" s="25">
        <f>F17*AO17</f>
        <v>0</v>
      </c>
      <c r="BI17" s="25">
        <f>F17*AP17</f>
        <v>0</v>
      </c>
      <c r="BJ17" s="25">
        <f>F17*G17</f>
        <v>0</v>
      </c>
      <c r="BK17" s="26" t="s">
        <v>118</v>
      </c>
      <c r="BL17" s="25">
        <v>61</v>
      </c>
      <c r="BW17" s="25">
        <v>12</v>
      </c>
      <c r="BX17" s="2" t="s">
        <v>125</v>
      </c>
    </row>
    <row r="18" spans="1:76">
      <c r="A18" s="136"/>
      <c r="C18" s="27" t="s">
        <v>126</v>
      </c>
      <c r="D18" s="28" t="s">
        <v>127</v>
      </c>
      <c r="F18" s="29">
        <v>36.704000000000001</v>
      </c>
      <c r="J18" s="16"/>
    </row>
    <row r="19" spans="1:76">
      <c r="A19" s="136"/>
      <c r="C19" s="27" t="s">
        <v>128</v>
      </c>
      <c r="D19" s="28" t="s">
        <v>4</v>
      </c>
      <c r="F19" s="29">
        <v>31.096</v>
      </c>
      <c r="J19" s="16"/>
    </row>
    <row r="20" spans="1:76">
      <c r="A20" s="136"/>
      <c r="C20" s="27" t="s">
        <v>129</v>
      </c>
      <c r="D20" s="28" t="s">
        <v>130</v>
      </c>
      <c r="F20" s="29">
        <v>15.45</v>
      </c>
      <c r="J20" s="16"/>
    </row>
    <row r="21" spans="1:76">
      <c r="A21" s="136"/>
      <c r="C21" s="27" t="s">
        <v>131</v>
      </c>
      <c r="D21" s="28" t="s">
        <v>132</v>
      </c>
      <c r="F21" s="29">
        <v>24.064</v>
      </c>
      <c r="J21" s="16"/>
    </row>
    <row r="22" spans="1:76">
      <c r="A22" s="136"/>
      <c r="C22" s="27" t="s">
        <v>133</v>
      </c>
      <c r="D22" s="28" t="s">
        <v>134</v>
      </c>
      <c r="F22" s="29">
        <v>13.724</v>
      </c>
      <c r="J22" s="16"/>
    </row>
    <row r="23" spans="1:76">
      <c r="A23" s="136"/>
      <c r="C23" s="27" t="s">
        <v>135</v>
      </c>
      <c r="D23" s="28" t="s">
        <v>136</v>
      </c>
      <c r="F23" s="29">
        <v>2.1280000000000001</v>
      </c>
      <c r="J23" s="16"/>
    </row>
    <row r="24" spans="1:76">
      <c r="A24" s="136"/>
      <c r="C24" s="27" t="s">
        <v>137</v>
      </c>
      <c r="D24" s="28" t="s">
        <v>4</v>
      </c>
      <c r="F24" s="29">
        <v>1.3839999999999999</v>
      </c>
      <c r="J24" s="16"/>
    </row>
    <row r="25" spans="1:76">
      <c r="A25" s="134" t="s">
        <v>138</v>
      </c>
      <c r="B25" s="1" t="s">
        <v>139</v>
      </c>
      <c r="C25" s="42" t="s">
        <v>140</v>
      </c>
      <c r="D25" s="40"/>
      <c r="E25" s="1" t="s">
        <v>114</v>
      </c>
      <c r="F25" s="25">
        <v>124.55</v>
      </c>
      <c r="G25" s="135"/>
      <c r="H25" s="25">
        <f>ROUND(F25*G25,2)</f>
        <v>0</v>
      </c>
      <c r="J25" s="16"/>
      <c r="Z25" s="25">
        <f>ROUND(IF(AQ25="5",BJ25,0),2)</f>
        <v>0</v>
      </c>
      <c r="AB25" s="25">
        <f>ROUND(IF(AQ25="1",BH25,0),2)</f>
        <v>0</v>
      </c>
      <c r="AC25" s="25">
        <f>ROUND(IF(AQ25="1",BI25,0),2)</f>
        <v>0</v>
      </c>
      <c r="AD25" s="25">
        <f>ROUND(IF(AQ25="7",BH25,0),2)</f>
        <v>0</v>
      </c>
      <c r="AE25" s="25">
        <f>ROUND(IF(AQ25="7",BI25,0),2)</f>
        <v>0</v>
      </c>
      <c r="AF25" s="25">
        <f>ROUND(IF(AQ25="2",BH25,0),2)</f>
        <v>0</v>
      </c>
      <c r="AG25" s="25">
        <f>ROUND(IF(AQ25="2",BI25,0),2)</f>
        <v>0</v>
      </c>
      <c r="AH25" s="25">
        <f>ROUND(IF(AQ25="0",BJ25,0),2)</f>
        <v>0</v>
      </c>
      <c r="AI25" s="17" t="s">
        <v>4</v>
      </c>
      <c r="AJ25" s="25">
        <f>IF(AN25=0,H25,0)</f>
        <v>0</v>
      </c>
      <c r="AK25" s="25">
        <f>IF(AN25=12,H25,0)</f>
        <v>0</v>
      </c>
      <c r="AL25" s="25">
        <f>IF(AN25=21,H25,0)</f>
        <v>0</v>
      </c>
      <c r="AN25" s="25">
        <v>12</v>
      </c>
      <c r="AO25" s="25">
        <f>G25*0.384230028</f>
        <v>0</v>
      </c>
      <c r="AP25" s="25">
        <f>G25*(1-0.384230028)</f>
        <v>0</v>
      </c>
      <c r="AQ25" s="26" t="s">
        <v>111</v>
      </c>
      <c r="AV25" s="25">
        <f>ROUND(AW25+AX25,2)</f>
        <v>0</v>
      </c>
      <c r="AW25" s="25">
        <f>ROUND(F25*AO25,2)</f>
        <v>0</v>
      </c>
      <c r="AX25" s="25">
        <f>ROUND(F25*AP25,2)</f>
        <v>0</v>
      </c>
      <c r="AY25" s="26" t="s">
        <v>115</v>
      </c>
      <c r="AZ25" s="26" t="s">
        <v>116</v>
      </c>
      <c r="BA25" s="17" t="s">
        <v>117</v>
      </c>
      <c r="BC25" s="25">
        <f>AW25+AX25</f>
        <v>0</v>
      </c>
      <c r="BD25" s="25">
        <f>G25/(100-BE25)*100</f>
        <v>0</v>
      </c>
      <c r="BE25" s="25">
        <v>0</v>
      </c>
      <c r="BF25" s="25">
        <f>25</f>
        <v>25</v>
      </c>
      <c r="BH25" s="25">
        <f>F25*AO25</f>
        <v>0</v>
      </c>
      <c r="BI25" s="25">
        <f>F25*AP25</f>
        <v>0</v>
      </c>
      <c r="BJ25" s="25">
        <f>F25*G25</f>
        <v>0</v>
      </c>
      <c r="BK25" s="26" t="s">
        <v>118</v>
      </c>
      <c r="BL25" s="25">
        <v>61</v>
      </c>
      <c r="BW25" s="25">
        <v>12</v>
      </c>
      <c r="BX25" s="2" t="s">
        <v>140</v>
      </c>
    </row>
    <row r="26" spans="1:76" ht="13.5" customHeight="1">
      <c r="A26" s="136"/>
      <c r="B26" s="30" t="s">
        <v>141</v>
      </c>
      <c r="C26" s="74" t="s">
        <v>142</v>
      </c>
      <c r="D26" s="75"/>
      <c r="E26" s="75"/>
      <c r="F26" s="75"/>
      <c r="G26" s="137"/>
      <c r="H26" s="75"/>
      <c r="I26" s="75"/>
      <c r="J26" s="138"/>
    </row>
    <row r="27" spans="1:76">
      <c r="A27" s="134" t="s">
        <v>143</v>
      </c>
      <c r="B27" s="1" t="s">
        <v>144</v>
      </c>
      <c r="C27" s="42" t="s">
        <v>145</v>
      </c>
      <c r="D27" s="40"/>
      <c r="E27" s="1" t="s">
        <v>114</v>
      </c>
      <c r="F27" s="25">
        <v>10.912000000000001</v>
      </c>
      <c r="G27" s="135"/>
      <c r="H27" s="25">
        <f>ROUND(F27*G27,2)</f>
        <v>0</v>
      </c>
      <c r="J27" s="16"/>
      <c r="Z27" s="25">
        <f>ROUND(IF(AQ27="5",BJ27,0),2)</f>
        <v>0</v>
      </c>
      <c r="AB27" s="25">
        <f>ROUND(IF(AQ27="1",BH27,0),2)</f>
        <v>0</v>
      </c>
      <c r="AC27" s="25">
        <f>ROUND(IF(AQ27="1",BI27,0),2)</f>
        <v>0</v>
      </c>
      <c r="AD27" s="25">
        <f>ROUND(IF(AQ27="7",BH27,0),2)</f>
        <v>0</v>
      </c>
      <c r="AE27" s="25">
        <f>ROUND(IF(AQ27="7",BI27,0),2)</f>
        <v>0</v>
      </c>
      <c r="AF27" s="25">
        <f>ROUND(IF(AQ27="2",BH27,0),2)</f>
        <v>0</v>
      </c>
      <c r="AG27" s="25">
        <f>ROUND(IF(AQ27="2",BI27,0),2)</f>
        <v>0</v>
      </c>
      <c r="AH27" s="25">
        <f>ROUND(IF(AQ27="0",BJ27,0),2)</f>
        <v>0</v>
      </c>
      <c r="AI27" s="17" t="s">
        <v>4</v>
      </c>
      <c r="AJ27" s="25">
        <f>IF(AN27=0,H27,0)</f>
        <v>0</v>
      </c>
      <c r="AK27" s="25">
        <f>IF(AN27=12,H27,0)</f>
        <v>0</v>
      </c>
      <c r="AL27" s="25">
        <f>IF(AN27=21,H27,0)</f>
        <v>0</v>
      </c>
      <c r="AN27" s="25">
        <v>12</v>
      </c>
      <c r="AO27" s="25">
        <f>G27*0.267955</f>
        <v>0</v>
      </c>
      <c r="AP27" s="25">
        <f>G27*(1-0.267955)</f>
        <v>0</v>
      </c>
      <c r="AQ27" s="26" t="s">
        <v>111</v>
      </c>
      <c r="AV27" s="25">
        <f>ROUND(AW27+AX27,2)</f>
        <v>0</v>
      </c>
      <c r="AW27" s="25">
        <f>ROUND(F27*AO27,2)</f>
        <v>0</v>
      </c>
      <c r="AX27" s="25">
        <f>ROUND(F27*AP27,2)</f>
        <v>0</v>
      </c>
      <c r="AY27" s="26" t="s">
        <v>115</v>
      </c>
      <c r="AZ27" s="26" t="s">
        <v>116</v>
      </c>
      <c r="BA27" s="17" t="s">
        <v>117</v>
      </c>
      <c r="BC27" s="25">
        <f>AW27+AX27</f>
        <v>0</v>
      </c>
      <c r="BD27" s="25">
        <f>G27/(100-BE27)*100</f>
        <v>0</v>
      </c>
      <c r="BE27" s="25">
        <v>0</v>
      </c>
      <c r="BF27" s="25">
        <f>27</f>
        <v>27</v>
      </c>
      <c r="BH27" s="25">
        <f>F27*AO27</f>
        <v>0</v>
      </c>
      <c r="BI27" s="25">
        <f>F27*AP27</f>
        <v>0</v>
      </c>
      <c r="BJ27" s="25">
        <f>F27*G27</f>
        <v>0</v>
      </c>
      <c r="BK27" s="26" t="s">
        <v>118</v>
      </c>
      <c r="BL27" s="25">
        <v>61</v>
      </c>
      <c r="BW27" s="25">
        <v>12</v>
      </c>
      <c r="BX27" s="2" t="s">
        <v>145</v>
      </c>
    </row>
    <row r="28" spans="1:76">
      <c r="A28" s="136"/>
      <c r="C28" s="27" t="s">
        <v>146</v>
      </c>
      <c r="D28" s="28" t="s">
        <v>4</v>
      </c>
      <c r="F28" s="29">
        <v>6.7839999999999998</v>
      </c>
      <c r="J28" s="16"/>
    </row>
    <row r="29" spans="1:76">
      <c r="A29" s="136"/>
      <c r="C29" s="27" t="s">
        <v>147</v>
      </c>
      <c r="D29" s="28" t="s">
        <v>4</v>
      </c>
      <c r="F29" s="29">
        <v>4.1280000000000001</v>
      </c>
      <c r="J29" s="16"/>
    </row>
    <row r="30" spans="1:76">
      <c r="A30" s="133" t="s">
        <v>4</v>
      </c>
      <c r="B30" s="22" t="s">
        <v>148</v>
      </c>
      <c r="C30" s="72" t="s">
        <v>149</v>
      </c>
      <c r="D30" s="73"/>
      <c r="E30" s="23" t="s">
        <v>79</v>
      </c>
      <c r="F30" s="23" t="s">
        <v>79</v>
      </c>
      <c r="G30" s="24" t="s">
        <v>79</v>
      </c>
      <c r="H30" s="13">
        <f>SUM(H31:H36)</f>
        <v>0</v>
      </c>
      <c r="J30" s="16"/>
      <c r="AI30" s="17" t="s">
        <v>4</v>
      </c>
      <c r="AS30" s="13">
        <f>SUM(AJ31:AJ36)</f>
        <v>0</v>
      </c>
      <c r="AT30" s="13">
        <f>SUM(AK31:AK36)</f>
        <v>0</v>
      </c>
      <c r="AU30" s="13">
        <f>SUM(AL31:AL36)</f>
        <v>0</v>
      </c>
    </row>
    <row r="31" spans="1:76">
      <c r="A31" s="134" t="s">
        <v>150</v>
      </c>
      <c r="B31" s="1" t="s">
        <v>151</v>
      </c>
      <c r="C31" s="42" t="s">
        <v>152</v>
      </c>
      <c r="D31" s="40"/>
      <c r="E31" s="1" t="s">
        <v>114</v>
      </c>
      <c r="F31" s="25">
        <v>1.0880000000000001</v>
      </c>
      <c r="G31" s="135"/>
      <c r="H31" s="25">
        <f>ROUND(F31*G31,2)</f>
        <v>0</v>
      </c>
      <c r="J31" s="16"/>
      <c r="Z31" s="25">
        <f>ROUND(IF(AQ31="5",BJ31,0),2)</f>
        <v>0</v>
      </c>
      <c r="AB31" s="25">
        <f>ROUND(IF(AQ31="1",BH31,0),2)</f>
        <v>0</v>
      </c>
      <c r="AC31" s="25">
        <f>ROUND(IF(AQ31="1",BI31,0),2)</f>
        <v>0</v>
      </c>
      <c r="AD31" s="25">
        <f>ROUND(IF(AQ31="7",BH31,0),2)</f>
        <v>0</v>
      </c>
      <c r="AE31" s="25">
        <f>ROUND(IF(AQ31="7",BI31,0),2)</f>
        <v>0</v>
      </c>
      <c r="AF31" s="25">
        <f>ROUND(IF(AQ31="2",BH31,0),2)</f>
        <v>0</v>
      </c>
      <c r="AG31" s="25">
        <f>ROUND(IF(AQ31="2",BI31,0),2)</f>
        <v>0</v>
      </c>
      <c r="AH31" s="25">
        <f>ROUND(IF(AQ31="0",BJ31,0),2)</f>
        <v>0</v>
      </c>
      <c r="AI31" s="17" t="s">
        <v>4</v>
      </c>
      <c r="AJ31" s="25">
        <f>IF(AN31=0,H31,0)</f>
        <v>0</v>
      </c>
      <c r="AK31" s="25">
        <f>IF(AN31=12,H31,0)</f>
        <v>0</v>
      </c>
      <c r="AL31" s="25">
        <f>IF(AN31=21,H31,0)</f>
        <v>0</v>
      </c>
      <c r="AN31" s="25">
        <v>12</v>
      </c>
      <c r="AO31" s="25">
        <f>G31*0.351223549</f>
        <v>0</v>
      </c>
      <c r="AP31" s="25">
        <f>G31*(1-0.351223549)</f>
        <v>0</v>
      </c>
      <c r="AQ31" s="26" t="s">
        <v>111</v>
      </c>
      <c r="AV31" s="25">
        <f>ROUND(AW31+AX31,2)</f>
        <v>0</v>
      </c>
      <c r="AW31" s="25">
        <f>ROUND(F31*AO31,2)</f>
        <v>0</v>
      </c>
      <c r="AX31" s="25">
        <f>ROUND(F31*AP31,2)</f>
        <v>0</v>
      </c>
      <c r="AY31" s="26" t="s">
        <v>153</v>
      </c>
      <c r="AZ31" s="26" t="s">
        <v>116</v>
      </c>
      <c r="BA31" s="17" t="s">
        <v>117</v>
      </c>
      <c r="BC31" s="25">
        <f>AW31+AX31</f>
        <v>0</v>
      </c>
      <c r="BD31" s="25">
        <f>G31/(100-BE31)*100</f>
        <v>0</v>
      </c>
      <c r="BE31" s="25">
        <v>0</v>
      </c>
      <c r="BF31" s="25">
        <f>31</f>
        <v>31</v>
      </c>
      <c r="BH31" s="25">
        <f>F31*AO31</f>
        <v>0</v>
      </c>
      <c r="BI31" s="25">
        <f>F31*AP31</f>
        <v>0</v>
      </c>
      <c r="BJ31" s="25">
        <f>F31*G31</f>
        <v>0</v>
      </c>
      <c r="BK31" s="26" t="s">
        <v>118</v>
      </c>
      <c r="BL31" s="25">
        <v>63</v>
      </c>
      <c r="BW31" s="25">
        <v>12</v>
      </c>
      <c r="BX31" s="2" t="s">
        <v>152</v>
      </c>
    </row>
    <row r="32" spans="1:76">
      <c r="A32" s="136"/>
      <c r="C32" s="27" t="s">
        <v>154</v>
      </c>
      <c r="D32" s="28" t="s">
        <v>155</v>
      </c>
      <c r="F32" s="29">
        <v>1.0880000000000001</v>
      </c>
      <c r="J32" s="16"/>
    </row>
    <row r="33" spans="1:76">
      <c r="A33" s="134" t="s">
        <v>156</v>
      </c>
      <c r="B33" s="1" t="s">
        <v>157</v>
      </c>
      <c r="C33" s="42" t="s">
        <v>158</v>
      </c>
      <c r="D33" s="40"/>
      <c r="E33" s="1" t="s">
        <v>114</v>
      </c>
      <c r="F33" s="25">
        <v>28.81</v>
      </c>
      <c r="G33" s="135"/>
      <c r="H33" s="25">
        <f>ROUND(F33*G33,2)</f>
        <v>0</v>
      </c>
      <c r="J33" s="16"/>
      <c r="Z33" s="25">
        <f>ROUND(IF(AQ33="5",BJ33,0),2)</f>
        <v>0</v>
      </c>
      <c r="AB33" s="25">
        <f>ROUND(IF(AQ33="1",BH33,0),2)</f>
        <v>0</v>
      </c>
      <c r="AC33" s="25">
        <f>ROUND(IF(AQ33="1",BI33,0),2)</f>
        <v>0</v>
      </c>
      <c r="AD33" s="25">
        <f>ROUND(IF(AQ33="7",BH33,0),2)</f>
        <v>0</v>
      </c>
      <c r="AE33" s="25">
        <f>ROUND(IF(AQ33="7",BI33,0),2)</f>
        <v>0</v>
      </c>
      <c r="AF33" s="25">
        <f>ROUND(IF(AQ33="2",BH33,0),2)</f>
        <v>0</v>
      </c>
      <c r="AG33" s="25">
        <f>ROUND(IF(AQ33="2",BI33,0),2)</f>
        <v>0</v>
      </c>
      <c r="AH33" s="25">
        <f>ROUND(IF(AQ33="0",BJ33,0),2)</f>
        <v>0</v>
      </c>
      <c r="AI33" s="17" t="s">
        <v>4</v>
      </c>
      <c r="AJ33" s="25">
        <f>IF(AN33=0,H33,0)</f>
        <v>0</v>
      </c>
      <c r="AK33" s="25">
        <f>IF(AN33=12,H33,0)</f>
        <v>0</v>
      </c>
      <c r="AL33" s="25">
        <f>IF(AN33=21,H33,0)</f>
        <v>0</v>
      </c>
      <c r="AN33" s="25">
        <v>12</v>
      </c>
      <c r="AO33" s="25">
        <f>G33*0.748258768</f>
        <v>0</v>
      </c>
      <c r="AP33" s="25">
        <f>G33*(1-0.748258768)</f>
        <v>0</v>
      </c>
      <c r="AQ33" s="26" t="s">
        <v>111</v>
      </c>
      <c r="AV33" s="25">
        <f>ROUND(AW33+AX33,2)</f>
        <v>0</v>
      </c>
      <c r="AW33" s="25">
        <f>ROUND(F33*AO33,2)</f>
        <v>0</v>
      </c>
      <c r="AX33" s="25">
        <f>ROUND(F33*AP33,2)</f>
        <v>0</v>
      </c>
      <c r="AY33" s="26" t="s">
        <v>153</v>
      </c>
      <c r="AZ33" s="26" t="s">
        <v>116</v>
      </c>
      <c r="BA33" s="17" t="s">
        <v>117</v>
      </c>
      <c r="BC33" s="25">
        <f>AW33+AX33</f>
        <v>0</v>
      </c>
      <c r="BD33" s="25">
        <f>G33/(100-BE33)*100</f>
        <v>0</v>
      </c>
      <c r="BE33" s="25">
        <v>0</v>
      </c>
      <c r="BF33" s="25">
        <f>33</f>
        <v>33</v>
      </c>
      <c r="BH33" s="25">
        <f>F33*AO33</f>
        <v>0</v>
      </c>
      <c r="BI33" s="25">
        <f>F33*AP33</f>
        <v>0</v>
      </c>
      <c r="BJ33" s="25">
        <f>F33*G33</f>
        <v>0</v>
      </c>
      <c r="BK33" s="26" t="s">
        <v>118</v>
      </c>
      <c r="BL33" s="25">
        <v>63</v>
      </c>
      <c r="BW33" s="25">
        <v>12</v>
      </c>
      <c r="BX33" s="2" t="s">
        <v>158</v>
      </c>
    </row>
    <row r="34" spans="1:76" ht="13.5" customHeight="1">
      <c r="A34" s="136"/>
      <c r="B34" s="30" t="s">
        <v>141</v>
      </c>
      <c r="C34" s="74" t="s">
        <v>159</v>
      </c>
      <c r="D34" s="75"/>
      <c r="E34" s="75"/>
      <c r="F34" s="75"/>
      <c r="G34" s="137"/>
      <c r="H34" s="75"/>
      <c r="I34" s="75"/>
      <c r="J34" s="138"/>
    </row>
    <row r="35" spans="1:76">
      <c r="A35" s="136"/>
      <c r="C35" s="27" t="s">
        <v>160</v>
      </c>
      <c r="D35" s="28" t="s">
        <v>4</v>
      </c>
      <c r="F35" s="29">
        <v>28.81</v>
      </c>
      <c r="J35" s="16"/>
    </row>
    <row r="36" spans="1:76">
      <c r="A36" s="134" t="s">
        <v>161</v>
      </c>
      <c r="B36" s="1" t="s">
        <v>162</v>
      </c>
      <c r="C36" s="42" t="s">
        <v>163</v>
      </c>
      <c r="D36" s="40"/>
      <c r="E36" s="1" t="s">
        <v>114</v>
      </c>
      <c r="F36" s="25">
        <v>28.81</v>
      </c>
      <c r="G36" s="135"/>
      <c r="H36" s="25">
        <f>ROUND(F36*G36,2)</f>
        <v>0</v>
      </c>
      <c r="J36" s="16"/>
      <c r="Z36" s="25">
        <f>ROUND(IF(AQ36="5",BJ36,0),2)</f>
        <v>0</v>
      </c>
      <c r="AB36" s="25">
        <f>ROUND(IF(AQ36="1",BH36,0),2)</f>
        <v>0</v>
      </c>
      <c r="AC36" s="25">
        <f>ROUND(IF(AQ36="1",BI36,0),2)</f>
        <v>0</v>
      </c>
      <c r="AD36" s="25">
        <f>ROUND(IF(AQ36="7",BH36,0),2)</f>
        <v>0</v>
      </c>
      <c r="AE36" s="25">
        <f>ROUND(IF(AQ36="7",BI36,0),2)</f>
        <v>0</v>
      </c>
      <c r="AF36" s="25">
        <f>ROUND(IF(AQ36="2",BH36,0),2)</f>
        <v>0</v>
      </c>
      <c r="AG36" s="25">
        <f>ROUND(IF(AQ36="2",BI36,0),2)</f>
        <v>0</v>
      </c>
      <c r="AH36" s="25">
        <f>ROUND(IF(AQ36="0",BJ36,0),2)</f>
        <v>0</v>
      </c>
      <c r="AI36" s="17" t="s">
        <v>4</v>
      </c>
      <c r="AJ36" s="25">
        <f>IF(AN36=0,H36,0)</f>
        <v>0</v>
      </c>
      <c r="AK36" s="25">
        <f>IF(AN36=12,H36,0)</f>
        <v>0</v>
      </c>
      <c r="AL36" s="25">
        <f>IF(AN36=21,H36,0)</f>
        <v>0</v>
      </c>
      <c r="AN36" s="25">
        <v>12</v>
      </c>
      <c r="AO36" s="25">
        <f>G36*0.486723759</f>
        <v>0</v>
      </c>
      <c r="AP36" s="25">
        <f>G36*(1-0.486723759)</f>
        <v>0</v>
      </c>
      <c r="AQ36" s="26" t="s">
        <v>111</v>
      </c>
      <c r="AV36" s="25">
        <f>ROUND(AW36+AX36,2)</f>
        <v>0</v>
      </c>
      <c r="AW36" s="25">
        <f>ROUND(F36*AO36,2)</f>
        <v>0</v>
      </c>
      <c r="AX36" s="25">
        <f>ROUND(F36*AP36,2)</f>
        <v>0</v>
      </c>
      <c r="AY36" s="26" t="s">
        <v>153</v>
      </c>
      <c r="AZ36" s="26" t="s">
        <v>116</v>
      </c>
      <c r="BA36" s="17" t="s">
        <v>117</v>
      </c>
      <c r="BC36" s="25">
        <f>AW36+AX36</f>
        <v>0</v>
      </c>
      <c r="BD36" s="25">
        <f>G36/(100-BE36)*100</f>
        <v>0</v>
      </c>
      <c r="BE36" s="25">
        <v>0</v>
      </c>
      <c r="BF36" s="25">
        <f>36</f>
        <v>36</v>
      </c>
      <c r="BH36" s="25">
        <f>F36*AO36</f>
        <v>0</v>
      </c>
      <c r="BI36" s="25">
        <f>F36*AP36</f>
        <v>0</v>
      </c>
      <c r="BJ36" s="25">
        <f>F36*G36</f>
        <v>0</v>
      </c>
      <c r="BK36" s="26" t="s">
        <v>118</v>
      </c>
      <c r="BL36" s="25">
        <v>63</v>
      </c>
      <c r="BW36" s="25">
        <v>12</v>
      </c>
      <c r="BX36" s="2" t="s">
        <v>163</v>
      </c>
    </row>
    <row r="37" spans="1:76">
      <c r="A37" s="133" t="s">
        <v>4</v>
      </c>
      <c r="B37" s="22" t="s">
        <v>164</v>
      </c>
      <c r="C37" s="72" t="s">
        <v>165</v>
      </c>
      <c r="D37" s="73"/>
      <c r="E37" s="23" t="s">
        <v>79</v>
      </c>
      <c r="F37" s="23" t="s">
        <v>79</v>
      </c>
      <c r="G37" s="24" t="s">
        <v>79</v>
      </c>
      <c r="H37" s="13">
        <f>SUM(H38:H38)</f>
        <v>0</v>
      </c>
      <c r="J37" s="16"/>
      <c r="AI37" s="17" t="s">
        <v>4</v>
      </c>
      <c r="AS37" s="13">
        <f>SUM(AJ38:AJ38)</f>
        <v>0</v>
      </c>
      <c r="AT37" s="13">
        <f>SUM(AK38:AK38)</f>
        <v>0</v>
      </c>
      <c r="AU37" s="13">
        <f>SUM(AL38:AL38)</f>
        <v>0</v>
      </c>
    </row>
    <row r="38" spans="1:76">
      <c r="A38" s="134" t="s">
        <v>166</v>
      </c>
      <c r="B38" s="1" t="s">
        <v>167</v>
      </c>
      <c r="C38" s="42" t="s">
        <v>168</v>
      </c>
      <c r="D38" s="40"/>
      <c r="E38" s="1" t="s">
        <v>169</v>
      </c>
      <c r="F38" s="25">
        <v>5.5</v>
      </c>
      <c r="G38" s="135"/>
      <c r="H38" s="25">
        <f>ROUND(F38*G38,2)</f>
        <v>0</v>
      </c>
      <c r="J38" s="16"/>
      <c r="Z38" s="25">
        <f>ROUND(IF(AQ38="5",BJ38,0),2)</f>
        <v>0</v>
      </c>
      <c r="AB38" s="25">
        <f>ROUND(IF(AQ38="1",BH38,0),2)</f>
        <v>0</v>
      </c>
      <c r="AC38" s="25">
        <f>ROUND(IF(AQ38="1",BI38,0),2)</f>
        <v>0</v>
      </c>
      <c r="AD38" s="25">
        <f>ROUND(IF(AQ38="7",BH38,0),2)</f>
        <v>0</v>
      </c>
      <c r="AE38" s="25">
        <f>ROUND(IF(AQ38="7",BI38,0),2)</f>
        <v>0</v>
      </c>
      <c r="AF38" s="25">
        <f>ROUND(IF(AQ38="2",BH38,0),2)</f>
        <v>0</v>
      </c>
      <c r="AG38" s="25">
        <f>ROUND(IF(AQ38="2",BI38,0),2)</f>
        <v>0</v>
      </c>
      <c r="AH38" s="25">
        <f>ROUND(IF(AQ38="0",BJ38,0),2)</f>
        <v>0</v>
      </c>
      <c r="AI38" s="17" t="s">
        <v>4</v>
      </c>
      <c r="AJ38" s="25">
        <f>IF(AN38=0,H38,0)</f>
        <v>0</v>
      </c>
      <c r="AK38" s="25">
        <f>IF(AN38=12,H38,0)</f>
        <v>0</v>
      </c>
      <c r="AL38" s="25">
        <f>IF(AN38=21,H38,0)</f>
        <v>0</v>
      </c>
      <c r="AN38" s="25">
        <v>12</v>
      </c>
      <c r="AO38" s="25">
        <f>G38*0.503265819</f>
        <v>0</v>
      </c>
      <c r="AP38" s="25">
        <f>G38*(1-0.503265819)</f>
        <v>0</v>
      </c>
      <c r="AQ38" s="26" t="s">
        <v>111</v>
      </c>
      <c r="AV38" s="25">
        <f>ROUND(AW38+AX38,2)</f>
        <v>0</v>
      </c>
      <c r="AW38" s="25">
        <f>ROUND(F38*AO38,2)</f>
        <v>0</v>
      </c>
      <c r="AX38" s="25">
        <f>ROUND(F38*AP38,2)</f>
        <v>0</v>
      </c>
      <c r="AY38" s="26" t="s">
        <v>170</v>
      </c>
      <c r="AZ38" s="26" t="s">
        <v>116</v>
      </c>
      <c r="BA38" s="17" t="s">
        <v>117</v>
      </c>
      <c r="BC38" s="25">
        <f>AW38+AX38</f>
        <v>0</v>
      </c>
      <c r="BD38" s="25">
        <f>G38/(100-BE38)*100</f>
        <v>0</v>
      </c>
      <c r="BE38" s="25">
        <v>0</v>
      </c>
      <c r="BF38" s="25">
        <f>38</f>
        <v>38</v>
      </c>
      <c r="BH38" s="25">
        <f>F38*AO38</f>
        <v>0</v>
      </c>
      <c r="BI38" s="25">
        <f>F38*AP38</f>
        <v>0</v>
      </c>
      <c r="BJ38" s="25">
        <f>F38*G38</f>
        <v>0</v>
      </c>
      <c r="BK38" s="26" t="s">
        <v>118</v>
      </c>
      <c r="BL38" s="25">
        <v>64</v>
      </c>
      <c r="BW38" s="25">
        <v>12</v>
      </c>
      <c r="BX38" s="2" t="s">
        <v>168</v>
      </c>
    </row>
    <row r="39" spans="1:76" ht="13.5" customHeight="1">
      <c r="A39" s="136"/>
      <c r="B39" s="30" t="s">
        <v>141</v>
      </c>
      <c r="C39" s="74" t="s">
        <v>171</v>
      </c>
      <c r="D39" s="75"/>
      <c r="E39" s="75"/>
      <c r="F39" s="75"/>
      <c r="G39" s="137"/>
      <c r="H39" s="75"/>
      <c r="I39" s="75"/>
      <c r="J39" s="138"/>
    </row>
    <row r="40" spans="1:76">
      <c r="A40" s="136"/>
      <c r="C40" s="27" t="s">
        <v>172</v>
      </c>
      <c r="D40" s="28" t="s">
        <v>4</v>
      </c>
      <c r="F40" s="29">
        <v>5.5</v>
      </c>
      <c r="J40" s="16"/>
    </row>
    <row r="41" spans="1:76">
      <c r="A41" s="133" t="s">
        <v>4</v>
      </c>
      <c r="B41" s="22" t="s">
        <v>173</v>
      </c>
      <c r="C41" s="72" t="s">
        <v>174</v>
      </c>
      <c r="D41" s="73"/>
      <c r="E41" s="23" t="s">
        <v>79</v>
      </c>
      <c r="F41" s="23" t="s">
        <v>79</v>
      </c>
      <c r="G41" s="24" t="s">
        <v>79</v>
      </c>
      <c r="H41" s="13">
        <f>SUM(H42:H43)</f>
        <v>0</v>
      </c>
      <c r="J41" s="16"/>
      <c r="AI41" s="17" t="s">
        <v>4</v>
      </c>
      <c r="AS41" s="13">
        <f>SUM(AJ42:AJ43)</f>
        <v>0</v>
      </c>
      <c r="AT41" s="13">
        <f>SUM(AK42:AK43)</f>
        <v>0</v>
      </c>
      <c r="AU41" s="13">
        <f>SUM(AL42:AL43)</f>
        <v>0</v>
      </c>
    </row>
    <row r="42" spans="1:76">
      <c r="A42" s="134" t="s">
        <v>175</v>
      </c>
      <c r="B42" s="1" t="s">
        <v>176</v>
      </c>
      <c r="C42" s="42" t="s">
        <v>177</v>
      </c>
      <c r="D42" s="40"/>
      <c r="E42" s="1" t="s">
        <v>114</v>
      </c>
      <c r="F42" s="25">
        <v>55</v>
      </c>
      <c r="G42" s="135"/>
      <c r="H42" s="25">
        <f>ROUND(F42*G42,2)</f>
        <v>0</v>
      </c>
      <c r="J42" s="16"/>
      <c r="Z42" s="25">
        <f>ROUND(IF(AQ42="5",BJ42,0),2)</f>
        <v>0</v>
      </c>
      <c r="AB42" s="25">
        <f>ROUND(IF(AQ42="1",BH42,0),2)</f>
        <v>0</v>
      </c>
      <c r="AC42" s="25">
        <f>ROUND(IF(AQ42="1",BI42,0),2)</f>
        <v>0</v>
      </c>
      <c r="AD42" s="25">
        <f>ROUND(IF(AQ42="7",BH42,0),2)</f>
        <v>0</v>
      </c>
      <c r="AE42" s="25">
        <f>ROUND(IF(AQ42="7",BI42,0),2)</f>
        <v>0</v>
      </c>
      <c r="AF42" s="25">
        <f>ROUND(IF(AQ42="2",BH42,0),2)</f>
        <v>0</v>
      </c>
      <c r="AG42" s="25">
        <f>ROUND(IF(AQ42="2",BI42,0),2)</f>
        <v>0</v>
      </c>
      <c r="AH42" s="25">
        <f>ROUND(IF(AQ42="0",BJ42,0),2)</f>
        <v>0</v>
      </c>
      <c r="AI42" s="17" t="s">
        <v>4</v>
      </c>
      <c r="AJ42" s="25">
        <f>IF(AN42=0,H42,0)</f>
        <v>0</v>
      </c>
      <c r="AK42" s="25">
        <f>IF(AN42=12,H42,0)</f>
        <v>0</v>
      </c>
      <c r="AL42" s="25">
        <f>IF(AN42=21,H42,0)</f>
        <v>0</v>
      </c>
      <c r="AN42" s="25">
        <v>12</v>
      </c>
      <c r="AO42" s="25">
        <f>G42*0.012649573</f>
        <v>0</v>
      </c>
      <c r="AP42" s="25">
        <f>G42*(1-0.012649573)</f>
        <v>0</v>
      </c>
      <c r="AQ42" s="26" t="s">
        <v>111</v>
      </c>
      <c r="AV42" s="25">
        <f>ROUND(AW42+AX42,2)</f>
        <v>0</v>
      </c>
      <c r="AW42" s="25">
        <f>ROUND(F42*AO42,2)</f>
        <v>0</v>
      </c>
      <c r="AX42" s="25">
        <f>ROUND(F42*AP42,2)</f>
        <v>0</v>
      </c>
      <c r="AY42" s="26" t="s">
        <v>178</v>
      </c>
      <c r="AZ42" s="26" t="s">
        <v>179</v>
      </c>
      <c r="BA42" s="17" t="s">
        <v>117</v>
      </c>
      <c r="BC42" s="25">
        <f>AW42+AX42</f>
        <v>0</v>
      </c>
      <c r="BD42" s="25">
        <f>G42/(100-BE42)*100</f>
        <v>0</v>
      </c>
      <c r="BE42" s="25">
        <v>0</v>
      </c>
      <c r="BF42" s="25">
        <f>42</f>
        <v>42</v>
      </c>
      <c r="BH42" s="25">
        <f>F42*AO42</f>
        <v>0</v>
      </c>
      <c r="BI42" s="25">
        <f>F42*AP42</f>
        <v>0</v>
      </c>
      <c r="BJ42" s="25">
        <f>F42*G42</f>
        <v>0</v>
      </c>
      <c r="BK42" s="26" t="s">
        <v>118</v>
      </c>
      <c r="BL42" s="25">
        <v>95</v>
      </c>
      <c r="BW42" s="25">
        <v>12</v>
      </c>
      <c r="BX42" s="2" t="s">
        <v>177</v>
      </c>
    </row>
    <row r="43" spans="1:76">
      <c r="A43" s="134" t="s">
        <v>180</v>
      </c>
      <c r="B43" s="1" t="s">
        <v>181</v>
      </c>
      <c r="C43" s="42" t="s">
        <v>182</v>
      </c>
      <c r="D43" s="40"/>
      <c r="E43" s="1" t="s">
        <v>183</v>
      </c>
      <c r="F43" s="25">
        <v>5</v>
      </c>
      <c r="G43" s="135"/>
      <c r="H43" s="25">
        <f>ROUND(F43*G43,2)</f>
        <v>0</v>
      </c>
      <c r="J43" s="16"/>
      <c r="Z43" s="25">
        <f>ROUND(IF(AQ43="5",BJ43,0),2)</f>
        <v>0</v>
      </c>
      <c r="AB43" s="25">
        <f>ROUND(IF(AQ43="1",BH43,0),2)</f>
        <v>0</v>
      </c>
      <c r="AC43" s="25">
        <f>ROUND(IF(AQ43="1",BI43,0),2)</f>
        <v>0</v>
      </c>
      <c r="AD43" s="25">
        <f>ROUND(IF(AQ43="7",BH43,0),2)</f>
        <v>0</v>
      </c>
      <c r="AE43" s="25">
        <f>ROUND(IF(AQ43="7",BI43,0),2)</f>
        <v>0</v>
      </c>
      <c r="AF43" s="25">
        <f>ROUND(IF(AQ43="2",BH43,0),2)</f>
        <v>0</v>
      </c>
      <c r="AG43" s="25">
        <f>ROUND(IF(AQ43="2",BI43,0),2)</f>
        <v>0</v>
      </c>
      <c r="AH43" s="25">
        <f>ROUND(IF(AQ43="0",BJ43,0),2)</f>
        <v>0</v>
      </c>
      <c r="AI43" s="17" t="s">
        <v>4</v>
      </c>
      <c r="AJ43" s="25">
        <f>IF(AN43=0,H43,0)</f>
        <v>0</v>
      </c>
      <c r="AK43" s="25">
        <f>IF(AN43=12,H43,0)</f>
        <v>0</v>
      </c>
      <c r="AL43" s="25">
        <f>IF(AN43=21,H43,0)</f>
        <v>0</v>
      </c>
      <c r="AN43" s="25">
        <v>12</v>
      </c>
      <c r="AO43" s="25">
        <f>G43*0</f>
        <v>0</v>
      </c>
      <c r="AP43" s="25">
        <f>G43*(1-0)</f>
        <v>0</v>
      </c>
      <c r="AQ43" s="26" t="s">
        <v>111</v>
      </c>
      <c r="AV43" s="25">
        <f>ROUND(AW43+AX43,2)</f>
        <v>0</v>
      </c>
      <c r="AW43" s="25">
        <f>ROUND(F43*AO43,2)</f>
        <v>0</v>
      </c>
      <c r="AX43" s="25">
        <f>ROUND(F43*AP43,2)</f>
        <v>0</v>
      </c>
      <c r="AY43" s="26" t="s">
        <v>178</v>
      </c>
      <c r="AZ43" s="26" t="s">
        <v>179</v>
      </c>
      <c r="BA43" s="17" t="s">
        <v>117</v>
      </c>
      <c r="BC43" s="25">
        <f>AW43+AX43</f>
        <v>0</v>
      </c>
      <c r="BD43" s="25">
        <f>G43/(100-BE43)*100</f>
        <v>0</v>
      </c>
      <c r="BE43" s="25">
        <v>0</v>
      </c>
      <c r="BF43" s="25">
        <f>43</f>
        <v>43</v>
      </c>
      <c r="BH43" s="25">
        <f>F43*AO43</f>
        <v>0</v>
      </c>
      <c r="BI43" s="25">
        <f>F43*AP43</f>
        <v>0</v>
      </c>
      <c r="BJ43" s="25">
        <f>F43*G43</f>
        <v>0</v>
      </c>
      <c r="BK43" s="26" t="s">
        <v>118</v>
      </c>
      <c r="BL43" s="25">
        <v>95</v>
      </c>
      <c r="BW43" s="25">
        <v>12</v>
      </c>
      <c r="BX43" s="2" t="s">
        <v>182</v>
      </c>
    </row>
    <row r="44" spans="1:76">
      <c r="A44" s="136"/>
      <c r="C44" s="27" t="s">
        <v>143</v>
      </c>
      <c r="D44" s="28" t="s">
        <v>184</v>
      </c>
      <c r="F44" s="29">
        <v>5</v>
      </c>
      <c r="J44" s="16"/>
    </row>
    <row r="45" spans="1:76">
      <c r="A45" s="133" t="s">
        <v>4</v>
      </c>
      <c r="B45" s="22" t="s">
        <v>185</v>
      </c>
      <c r="C45" s="72" t="s">
        <v>186</v>
      </c>
      <c r="D45" s="73"/>
      <c r="E45" s="23" t="s">
        <v>79</v>
      </c>
      <c r="F45" s="23" t="s">
        <v>79</v>
      </c>
      <c r="G45" s="24" t="s">
        <v>79</v>
      </c>
      <c r="H45" s="13">
        <f>SUM(H46:H59)</f>
        <v>0</v>
      </c>
      <c r="J45" s="16"/>
      <c r="AI45" s="17" t="s">
        <v>4</v>
      </c>
      <c r="AS45" s="13">
        <f>SUM(AJ46:AJ59)</f>
        <v>0</v>
      </c>
      <c r="AT45" s="13">
        <f>SUM(AK46:AK59)</f>
        <v>0</v>
      </c>
      <c r="AU45" s="13">
        <f>SUM(AL46:AL59)</f>
        <v>0</v>
      </c>
    </row>
    <row r="46" spans="1:76">
      <c r="A46" s="134" t="s">
        <v>187</v>
      </c>
      <c r="B46" s="1" t="s">
        <v>188</v>
      </c>
      <c r="C46" s="42" t="s">
        <v>189</v>
      </c>
      <c r="D46" s="40"/>
      <c r="E46" s="1" t="s">
        <v>114</v>
      </c>
      <c r="F46" s="25">
        <v>28.81</v>
      </c>
      <c r="G46" s="135"/>
      <c r="H46" s="25">
        <f>ROUND(F46*G46,2)</f>
        <v>0</v>
      </c>
      <c r="J46" s="16"/>
      <c r="Z46" s="25">
        <f>ROUND(IF(AQ46="5",BJ46,0),2)</f>
        <v>0</v>
      </c>
      <c r="AB46" s="25">
        <f>ROUND(IF(AQ46="1",BH46,0),2)</f>
        <v>0</v>
      </c>
      <c r="AC46" s="25">
        <f>ROUND(IF(AQ46="1",BI46,0),2)</f>
        <v>0</v>
      </c>
      <c r="AD46" s="25">
        <f>ROUND(IF(AQ46="7",BH46,0),2)</f>
        <v>0</v>
      </c>
      <c r="AE46" s="25">
        <f>ROUND(IF(AQ46="7",BI46,0),2)</f>
        <v>0</v>
      </c>
      <c r="AF46" s="25">
        <f>ROUND(IF(AQ46="2",BH46,0),2)</f>
        <v>0</v>
      </c>
      <c r="AG46" s="25">
        <f>ROUND(IF(AQ46="2",BI46,0),2)</f>
        <v>0</v>
      </c>
      <c r="AH46" s="25">
        <f>ROUND(IF(AQ46="0",BJ46,0),2)</f>
        <v>0</v>
      </c>
      <c r="AI46" s="17" t="s">
        <v>4</v>
      </c>
      <c r="AJ46" s="25">
        <f>IF(AN46=0,H46,0)</f>
        <v>0</v>
      </c>
      <c r="AK46" s="25">
        <f>IF(AN46=12,H46,0)</f>
        <v>0</v>
      </c>
      <c r="AL46" s="25">
        <f>IF(AN46=21,H46,0)</f>
        <v>0</v>
      </c>
      <c r="AN46" s="25">
        <v>12</v>
      </c>
      <c r="AO46" s="25">
        <f>G46*0</f>
        <v>0</v>
      </c>
      <c r="AP46" s="25">
        <f>G46*(1-0)</f>
        <v>0</v>
      </c>
      <c r="AQ46" s="26" t="s">
        <v>111</v>
      </c>
      <c r="AV46" s="25">
        <f>ROUND(AW46+AX46,2)</f>
        <v>0</v>
      </c>
      <c r="AW46" s="25">
        <f>ROUND(F46*AO46,2)</f>
        <v>0</v>
      </c>
      <c r="AX46" s="25">
        <f>ROUND(F46*AP46,2)</f>
        <v>0</v>
      </c>
      <c r="AY46" s="26" t="s">
        <v>190</v>
      </c>
      <c r="AZ46" s="26" t="s">
        <v>179</v>
      </c>
      <c r="BA46" s="17" t="s">
        <v>117</v>
      </c>
      <c r="BC46" s="25">
        <f>AW46+AX46</f>
        <v>0</v>
      </c>
      <c r="BD46" s="25">
        <f>G46/(100-BE46)*100</f>
        <v>0</v>
      </c>
      <c r="BE46" s="25">
        <v>0</v>
      </c>
      <c r="BF46" s="25">
        <f>46</f>
        <v>46</v>
      </c>
      <c r="BH46" s="25">
        <f>F46*AO46</f>
        <v>0</v>
      </c>
      <c r="BI46" s="25">
        <f>F46*AP46</f>
        <v>0</v>
      </c>
      <c r="BJ46" s="25">
        <f>F46*G46</f>
        <v>0</v>
      </c>
      <c r="BK46" s="26" t="s">
        <v>118</v>
      </c>
      <c r="BL46" s="25">
        <v>96</v>
      </c>
      <c r="BW46" s="25">
        <v>12</v>
      </c>
      <c r="BX46" s="2" t="s">
        <v>189</v>
      </c>
    </row>
    <row r="47" spans="1:76">
      <c r="A47" s="136"/>
      <c r="C47" s="27" t="s">
        <v>160</v>
      </c>
      <c r="D47" s="28" t="s">
        <v>191</v>
      </c>
      <c r="F47" s="29">
        <v>28.81</v>
      </c>
      <c r="J47" s="16"/>
    </row>
    <row r="48" spans="1:76">
      <c r="A48" s="134" t="s">
        <v>192</v>
      </c>
      <c r="B48" s="1" t="s">
        <v>193</v>
      </c>
      <c r="C48" s="42" t="s">
        <v>194</v>
      </c>
      <c r="D48" s="40"/>
      <c r="E48" s="1" t="s">
        <v>195</v>
      </c>
      <c r="F48" s="25">
        <v>0.48699999999999999</v>
      </c>
      <c r="G48" s="135"/>
      <c r="H48" s="25">
        <f>ROUND(F48*G48,2)</f>
        <v>0</v>
      </c>
      <c r="J48" s="16"/>
      <c r="Z48" s="25">
        <f>ROUND(IF(AQ48="5",BJ48,0),2)</f>
        <v>0</v>
      </c>
      <c r="AB48" s="25">
        <f>ROUND(IF(AQ48="1",BH48,0),2)</f>
        <v>0</v>
      </c>
      <c r="AC48" s="25">
        <f>ROUND(IF(AQ48="1",BI48,0),2)</f>
        <v>0</v>
      </c>
      <c r="AD48" s="25">
        <f>ROUND(IF(AQ48="7",BH48,0),2)</f>
        <v>0</v>
      </c>
      <c r="AE48" s="25">
        <f>ROUND(IF(AQ48="7",BI48,0),2)</f>
        <v>0</v>
      </c>
      <c r="AF48" s="25">
        <f>ROUND(IF(AQ48="2",BH48,0),2)</f>
        <v>0</v>
      </c>
      <c r="AG48" s="25">
        <f>ROUND(IF(AQ48="2",BI48,0),2)</f>
        <v>0</v>
      </c>
      <c r="AH48" s="25">
        <f>ROUND(IF(AQ48="0",BJ48,0),2)</f>
        <v>0</v>
      </c>
      <c r="AI48" s="17" t="s">
        <v>4</v>
      </c>
      <c r="AJ48" s="25">
        <f>IF(AN48=0,H48,0)</f>
        <v>0</v>
      </c>
      <c r="AK48" s="25">
        <f>IF(AN48=12,H48,0)</f>
        <v>0</v>
      </c>
      <c r="AL48" s="25">
        <f>IF(AN48=21,H48,0)</f>
        <v>0</v>
      </c>
      <c r="AN48" s="25">
        <v>12</v>
      </c>
      <c r="AO48" s="25">
        <f>G48*0</f>
        <v>0</v>
      </c>
      <c r="AP48" s="25">
        <f>G48*(1-0)</f>
        <v>0</v>
      </c>
      <c r="AQ48" s="26" t="s">
        <v>143</v>
      </c>
      <c r="AV48" s="25">
        <f>ROUND(AW48+AX48,2)</f>
        <v>0</v>
      </c>
      <c r="AW48" s="25">
        <f>ROUND(F48*AO48,2)</f>
        <v>0</v>
      </c>
      <c r="AX48" s="25">
        <f>ROUND(F48*AP48,2)</f>
        <v>0</v>
      </c>
      <c r="AY48" s="26" t="s">
        <v>190</v>
      </c>
      <c r="AZ48" s="26" t="s">
        <v>179</v>
      </c>
      <c r="BA48" s="17" t="s">
        <v>117</v>
      </c>
      <c r="BC48" s="25">
        <f>AW48+AX48</f>
        <v>0</v>
      </c>
      <c r="BD48" s="25">
        <f>G48/(100-BE48)*100</f>
        <v>0</v>
      </c>
      <c r="BE48" s="25">
        <v>0</v>
      </c>
      <c r="BF48" s="25">
        <f>48</f>
        <v>48</v>
      </c>
      <c r="BH48" s="25">
        <f>F48*AO48</f>
        <v>0</v>
      </c>
      <c r="BI48" s="25">
        <f>F48*AP48</f>
        <v>0</v>
      </c>
      <c r="BJ48" s="25">
        <f>F48*G48</f>
        <v>0</v>
      </c>
      <c r="BK48" s="26" t="s">
        <v>118</v>
      </c>
      <c r="BL48" s="25">
        <v>96</v>
      </c>
      <c r="BW48" s="25">
        <v>12</v>
      </c>
      <c r="BX48" s="2" t="s">
        <v>194</v>
      </c>
    </row>
    <row r="49" spans="1:76">
      <c r="A49" s="134" t="s">
        <v>196</v>
      </c>
      <c r="B49" s="1" t="s">
        <v>197</v>
      </c>
      <c r="C49" s="42" t="s">
        <v>198</v>
      </c>
      <c r="D49" s="40"/>
      <c r="E49" s="1" t="s">
        <v>195</v>
      </c>
      <c r="F49" s="25">
        <v>0</v>
      </c>
      <c r="G49" s="135"/>
      <c r="H49" s="25">
        <f>ROUND(F49*G49,2)</f>
        <v>0</v>
      </c>
      <c r="J49" s="16"/>
      <c r="Z49" s="25">
        <f>ROUND(IF(AQ49="5",BJ49,0),2)</f>
        <v>0</v>
      </c>
      <c r="AB49" s="25">
        <f>ROUND(IF(AQ49="1",BH49,0),2)</f>
        <v>0</v>
      </c>
      <c r="AC49" s="25">
        <f>ROUND(IF(AQ49="1",BI49,0),2)</f>
        <v>0</v>
      </c>
      <c r="AD49" s="25">
        <f>ROUND(IF(AQ49="7",BH49,0),2)</f>
        <v>0</v>
      </c>
      <c r="AE49" s="25">
        <f>ROUND(IF(AQ49="7",BI49,0),2)</f>
        <v>0</v>
      </c>
      <c r="AF49" s="25">
        <f>ROUND(IF(AQ49="2",BH49,0),2)</f>
        <v>0</v>
      </c>
      <c r="AG49" s="25">
        <f>ROUND(IF(AQ49="2",BI49,0),2)</f>
        <v>0</v>
      </c>
      <c r="AH49" s="25">
        <f>ROUND(IF(AQ49="0",BJ49,0),2)</f>
        <v>0</v>
      </c>
      <c r="AI49" s="17" t="s">
        <v>4</v>
      </c>
      <c r="AJ49" s="25">
        <f>IF(AN49=0,H49,0)</f>
        <v>0</v>
      </c>
      <c r="AK49" s="25">
        <f>IF(AN49=12,H49,0)</f>
        <v>0</v>
      </c>
      <c r="AL49" s="25">
        <f>IF(AN49=21,H49,0)</f>
        <v>0</v>
      </c>
      <c r="AN49" s="25">
        <v>12</v>
      </c>
      <c r="AO49" s="25">
        <f>G49*0</f>
        <v>0</v>
      </c>
      <c r="AP49" s="25">
        <f>G49*(1-0)</f>
        <v>0</v>
      </c>
      <c r="AQ49" s="26" t="s">
        <v>143</v>
      </c>
      <c r="AV49" s="25">
        <f>ROUND(AW49+AX49,2)</f>
        <v>0</v>
      </c>
      <c r="AW49" s="25">
        <f>ROUND(F49*AO49,2)</f>
        <v>0</v>
      </c>
      <c r="AX49" s="25">
        <f>ROUND(F49*AP49,2)</f>
        <v>0</v>
      </c>
      <c r="AY49" s="26" t="s">
        <v>190</v>
      </c>
      <c r="AZ49" s="26" t="s">
        <v>179</v>
      </c>
      <c r="BA49" s="17" t="s">
        <v>117</v>
      </c>
      <c r="BC49" s="25">
        <f>AW49+AX49</f>
        <v>0</v>
      </c>
      <c r="BD49" s="25">
        <f>G49/(100-BE49)*100</f>
        <v>0</v>
      </c>
      <c r="BE49" s="25">
        <v>0</v>
      </c>
      <c r="BF49" s="25">
        <f>49</f>
        <v>49</v>
      </c>
      <c r="BH49" s="25">
        <f>F49*AO49</f>
        <v>0</v>
      </c>
      <c r="BI49" s="25">
        <f>F49*AP49</f>
        <v>0</v>
      </c>
      <c r="BJ49" s="25">
        <f>F49*G49</f>
        <v>0</v>
      </c>
      <c r="BK49" s="26" t="s">
        <v>118</v>
      </c>
      <c r="BL49" s="25">
        <v>96</v>
      </c>
      <c r="BW49" s="25">
        <v>12</v>
      </c>
      <c r="BX49" s="2" t="s">
        <v>198</v>
      </c>
    </row>
    <row r="50" spans="1:76">
      <c r="A50" s="136"/>
      <c r="C50" s="27" t="s">
        <v>199</v>
      </c>
      <c r="D50" s="28" t="s">
        <v>4</v>
      </c>
      <c r="F50" s="29">
        <v>0.97399999999999998</v>
      </c>
      <c r="J50" s="16"/>
    </row>
    <row r="51" spans="1:76">
      <c r="A51" s="134" t="s">
        <v>200</v>
      </c>
      <c r="B51" s="1" t="s">
        <v>201</v>
      </c>
      <c r="C51" s="42" t="s">
        <v>202</v>
      </c>
      <c r="D51" s="40"/>
      <c r="E51" s="1" t="s">
        <v>195</v>
      </c>
      <c r="F51" s="25">
        <v>0.48699999999999999</v>
      </c>
      <c r="G51" s="135"/>
      <c r="H51" s="25">
        <f>ROUND(F51*G51,2)</f>
        <v>0</v>
      </c>
      <c r="J51" s="16"/>
      <c r="Z51" s="25">
        <f>ROUND(IF(AQ51="5",BJ51,0),2)</f>
        <v>0</v>
      </c>
      <c r="AB51" s="25">
        <f>ROUND(IF(AQ51="1",BH51,0),2)</f>
        <v>0</v>
      </c>
      <c r="AC51" s="25">
        <f>ROUND(IF(AQ51="1",BI51,0),2)</f>
        <v>0</v>
      </c>
      <c r="AD51" s="25">
        <f>ROUND(IF(AQ51="7",BH51,0),2)</f>
        <v>0</v>
      </c>
      <c r="AE51" s="25">
        <f>ROUND(IF(AQ51="7",BI51,0),2)</f>
        <v>0</v>
      </c>
      <c r="AF51" s="25">
        <f>ROUND(IF(AQ51="2",BH51,0),2)</f>
        <v>0</v>
      </c>
      <c r="AG51" s="25">
        <f>ROUND(IF(AQ51="2",BI51,0),2)</f>
        <v>0</v>
      </c>
      <c r="AH51" s="25">
        <f>ROUND(IF(AQ51="0",BJ51,0),2)</f>
        <v>0</v>
      </c>
      <c r="AI51" s="17" t="s">
        <v>4</v>
      </c>
      <c r="AJ51" s="25">
        <f>IF(AN51=0,H51,0)</f>
        <v>0</v>
      </c>
      <c r="AK51" s="25">
        <f>IF(AN51=12,H51,0)</f>
        <v>0</v>
      </c>
      <c r="AL51" s="25">
        <f>IF(AN51=21,H51,0)</f>
        <v>0</v>
      </c>
      <c r="AN51" s="25">
        <v>12</v>
      </c>
      <c r="AO51" s="25">
        <f>G51*0</f>
        <v>0</v>
      </c>
      <c r="AP51" s="25">
        <f>G51*(1-0)</f>
        <v>0</v>
      </c>
      <c r="AQ51" s="26" t="s">
        <v>143</v>
      </c>
      <c r="AV51" s="25">
        <f>ROUND(AW51+AX51,2)</f>
        <v>0</v>
      </c>
      <c r="AW51" s="25">
        <f>ROUND(F51*AO51,2)</f>
        <v>0</v>
      </c>
      <c r="AX51" s="25">
        <f>ROUND(F51*AP51,2)</f>
        <v>0</v>
      </c>
      <c r="AY51" s="26" t="s">
        <v>190</v>
      </c>
      <c r="AZ51" s="26" t="s">
        <v>179</v>
      </c>
      <c r="BA51" s="17" t="s">
        <v>117</v>
      </c>
      <c r="BC51" s="25">
        <f>AW51+AX51</f>
        <v>0</v>
      </c>
      <c r="BD51" s="25">
        <f>G51/(100-BE51)*100</f>
        <v>0</v>
      </c>
      <c r="BE51" s="25">
        <v>0</v>
      </c>
      <c r="BF51" s="25">
        <f>51</f>
        <v>51</v>
      </c>
      <c r="BH51" s="25">
        <f>F51*AO51</f>
        <v>0</v>
      </c>
      <c r="BI51" s="25">
        <f>F51*AP51</f>
        <v>0</v>
      </c>
      <c r="BJ51" s="25">
        <f>F51*G51</f>
        <v>0</v>
      </c>
      <c r="BK51" s="26" t="s">
        <v>118</v>
      </c>
      <c r="BL51" s="25">
        <v>96</v>
      </c>
      <c r="BW51" s="25">
        <v>12</v>
      </c>
      <c r="BX51" s="2" t="s">
        <v>202</v>
      </c>
    </row>
    <row r="52" spans="1:76">
      <c r="A52" s="134" t="s">
        <v>203</v>
      </c>
      <c r="B52" s="1" t="s">
        <v>204</v>
      </c>
      <c r="C52" s="42" t="s">
        <v>205</v>
      </c>
      <c r="D52" s="40"/>
      <c r="E52" s="1" t="s">
        <v>195</v>
      </c>
      <c r="F52" s="25">
        <v>2.4350000000000001</v>
      </c>
      <c r="G52" s="135"/>
      <c r="H52" s="25">
        <f>ROUND(F52*G52,2)</f>
        <v>0</v>
      </c>
      <c r="J52" s="16"/>
      <c r="Z52" s="25">
        <f>ROUND(IF(AQ52="5",BJ52,0),2)</f>
        <v>0</v>
      </c>
      <c r="AB52" s="25">
        <f>ROUND(IF(AQ52="1",BH52,0),2)</f>
        <v>0</v>
      </c>
      <c r="AC52" s="25">
        <f>ROUND(IF(AQ52="1",BI52,0),2)</f>
        <v>0</v>
      </c>
      <c r="AD52" s="25">
        <f>ROUND(IF(AQ52="7",BH52,0),2)</f>
        <v>0</v>
      </c>
      <c r="AE52" s="25">
        <f>ROUND(IF(AQ52="7",BI52,0),2)</f>
        <v>0</v>
      </c>
      <c r="AF52" s="25">
        <f>ROUND(IF(AQ52="2",BH52,0),2)</f>
        <v>0</v>
      </c>
      <c r="AG52" s="25">
        <f>ROUND(IF(AQ52="2",BI52,0),2)</f>
        <v>0</v>
      </c>
      <c r="AH52" s="25">
        <f>ROUND(IF(AQ52="0",BJ52,0),2)</f>
        <v>0</v>
      </c>
      <c r="AI52" s="17" t="s">
        <v>4</v>
      </c>
      <c r="AJ52" s="25">
        <f>IF(AN52=0,H52,0)</f>
        <v>0</v>
      </c>
      <c r="AK52" s="25">
        <f>IF(AN52=12,H52,0)</f>
        <v>0</v>
      </c>
      <c r="AL52" s="25">
        <f>IF(AN52=21,H52,0)</f>
        <v>0</v>
      </c>
      <c r="AN52" s="25">
        <v>12</v>
      </c>
      <c r="AO52" s="25">
        <f>G52*0</f>
        <v>0</v>
      </c>
      <c r="AP52" s="25">
        <f>G52*(1-0)</f>
        <v>0</v>
      </c>
      <c r="AQ52" s="26" t="s">
        <v>143</v>
      </c>
      <c r="AV52" s="25">
        <f>ROUND(AW52+AX52,2)</f>
        <v>0</v>
      </c>
      <c r="AW52" s="25">
        <f>ROUND(F52*AO52,2)</f>
        <v>0</v>
      </c>
      <c r="AX52" s="25">
        <f>ROUND(F52*AP52,2)</f>
        <v>0</v>
      </c>
      <c r="AY52" s="26" t="s">
        <v>190</v>
      </c>
      <c r="AZ52" s="26" t="s">
        <v>179</v>
      </c>
      <c r="BA52" s="17" t="s">
        <v>117</v>
      </c>
      <c r="BC52" s="25">
        <f>AW52+AX52</f>
        <v>0</v>
      </c>
      <c r="BD52" s="25">
        <f>G52/(100-BE52)*100</f>
        <v>0</v>
      </c>
      <c r="BE52" s="25">
        <v>0</v>
      </c>
      <c r="BF52" s="25">
        <f>52</f>
        <v>52</v>
      </c>
      <c r="BH52" s="25">
        <f>F52*AO52</f>
        <v>0</v>
      </c>
      <c r="BI52" s="25">
        <f>F52*AP52</f>
        <v>0</v>
      </c>
      <c r="BJ52" s="25">
        <f>F52*G52</f>
        <v>0</v>
      </c>
      <c r="BK52" s="26" t="s">
        <v>118</v>
      </c>
      <c r="BL52" s="25">
        <v>96</v>
      </c>
      <c r="BW52" s="25">
        <v>12</v>
      </c>
      <c r="BX52" s="2" t="s">
        <v>205</v>
      </c>
    </row>
    <row r="53" spans="1:76">
      <c r="A53" s="136"/>
      <c r="C53" s="27" t="s">
        <v>206</v>
      </c>
      <c r="D53" s="28" t="s">
        <v>4</v>
      </c>
      <c r="F53" s="29">
        <v>2.4350000000000001</v>
      </c>
      <c r="J53" s="16"/>
    </row>
    <row r="54" spans="1:76">
      <c r="A54" s="134" t="s">
        <v>207</v>
      </c>
      <c r="B54" s="1" t="s">
        <v>208</v>
      </c>
      <c r="C54" s="42" t="s">
        <v>209</v>
      </c>
      <c r="D54" s="40"/>
      <c r="E54" s="1" t="s">
        <v>195</v>
      </c>
      <c r="F54" s="25">
        <v>0.48699999999999999</v>
      </c>
      <c r="G54" s="135"/>
      <c r="H54" s="25">
        <f>ROUND(F54*G54,2)</f>
        <v>0</v>
      </c>
      <c r="J54" s="16"/>
      <c r="Z54" s="25">
        <f>ROUND(IF(AQ54="5",BJ54,0),2)</f>
        <v>0</v>
      </c>
      <c r="AB54" s="25">
        <f>ROUND(IF(AQ54="1",BH54,0),2)</f>
        <v>0</v>
      </c>
      <c r="AC54" s="25">
        <f>ROUND(IF(AQ54="1",BI54,0),2)</f>
        <v>0</v>
      </c>
      <c r="AD54" s="25">
        <f>ROUND(IF(AQ54="7",BH54,0),2)</f>
        <v>0</v>
      </c>
      <c r="AE54" s="25">
        <f>ROUND(IF(AQ54="7",BI54,0),2)</f>
        <v>0</v>
      </c>
      <c r="AF54" s="25">
        <f>ROUND(IF(AQ54="2",BH54,0),2)</f>
        <v>0</v>
      </c>
      <c r="AG54" s="25">
        <f>ROUND(IF(AQ54="2",BI54,0),2)</f>
        <v>0</v>
      </c>
      <c r="AH54" s="25">
        <f>ROUND(IF(AQ54="0",BJ54,0),2)</f>
        <v>0</v>
      </c>
      <c r="AI54" s="17" t="s">
        <v>4</v>
      </c>
      <c r="AJ54" s="25">
        <f>IF(AN54=0,H54,0)</f>
        <v>0</v>
      </c>
      <c r="AK54" s="25">
        <f>IF(AN54=12,H54,0)</f>
        <v>0</v>
      </c>
      <c r="AL54" s="25">
        <f>IF(AN54=21,H54,0)</f>
        <v>0</v>
      </c>
      <c r="AN54" s="25">
        <v>12</v>
      </c>
      <c r="AO54" s="25">
        <f>G54*0</f>
        <v>0</v>
      </c>
      <c r="AP54" s="25">
        <f>G54*(1-0)</f>
        <v>0</v>
      </c>
      <c r="AQ54" s="26" t="s">
        <v>143</v>
      </c>
      <c r="AV54" s="25">
        <f>ROUND(AW54+AX54,2)</f>
        <v>0</v>
      </c>
      <c r="AW54" s="25">
        <f>ROUND(F54*AO54,2)</f>
        <v>0</v>
      </c>
      <c r="AX54" s="25">
        <f>ROUND(F54*AP54,2)</f>
        <v>0</v>
      </c>
      <c r="AY54" s="26" t="s">
        <v>190</v>
      </c>
      <c r="AZ54" s="26" t="s">
        <v>179</v>
      </c>
      <c r="BA54" s="17" t="s">
        <v>117</v>
      </c>
      <c r="BC54" s="25">
        <f>AW54+AX54</f>
        <v>0</v>
      </c>
      <c r="BD54" s="25">
        <f>G54/(100-BE54)*100</f>
        <v>0</v>
      </c>
      <c r="BE54" s="25">
        <v>0</v>
      </c>
      <c r="BF54" s="25">
        <f>54</f>
        <v>54</v>
      </c>
      <c r="BH54" s="25">
        <f>F54*AO54</f>
        <v>0</v>
      </c>
      <c r="BI54" s="25">
        <f>F54*AP54</f>
        <v>0</v>
      </c>
      <c r="BJ54" s="25">
        <f>F54*G54</f>
        <v>0</v>
      </c>
      <c r="BK54" s="26" t="s">
        <v>118</v>
      </c>
      <c r="BL54" s="25">
        <v>96</v>
      </c>
      <c r="BW54" s="25">
        <v>12</v>
      </c>
      <c r="BX54" s="2" t="s">
        <v>209</v>
      </c>
    </row>
    <row r="55" spans="1:76">
      <c r="A55" s="134" t="s">
        <v>210</v>
      </c>
      <c r="B55" s="1" t="s">
        <v>211</v>
      </c>
      <c r="C55" s="42" t="s">
        <v>212</v>
      </c>
      <c r="D55" s="40"/>
      <c r="E55" s="1" t="s">
        <v>195</v>
      </c>
      <c r="F55" s="25">
        <v>1.948</v>
      </c>
      <c r="G55" s="135"/>
      <c r="H55" s="25">
        <f>ROUND(F55*G55,2)</f>
        <v>0</v>
      </c>
      <c r="J55" s="16"/>
      <c r="Z55" s="25">
        <f>ROUND(IF(AQ55="5",BJ55,0),2)</f>
        <v>0</v>
      </c>
      <c r="AB55" s="25">
        <f>ROUND(IF(AQ55="1",BH55,0),2)</f>
        <v>0</v>
      </c>
      <c r="AC55" s="25">
        <f>ROUND(IF(AQ55="1",BI55,0),2)</f>
        <v>0</v>
      </c>
      <c r="AD55" s="25">
        <f>ROUND(IF(AQ55="7",BH55,0),2)</f>
        <v>0</v>
      </c>
      <c r="AE55" s="25">
        <f>ROUND(IF(AQ55="7",BI55,0),2)</f>
        <v>0</v>
      </c>
      <c r="AF55" s="25">
        <f>ROUND(IF(AQ55="2",BH55,0),2)</f>
        <v>0</v>
      </c>
      <c r="AG55" s="25">
        <f>ROUND(IF(AQ55="2",BI55,0),2)</f>
        <v>0</v>
      </c>
      <c r="AH55" s="25">
        <f>ROUND(IF(AQ55="0",BJ55,0),2)</f>
        <v>0</v>
      </c>
      <c r="AI55" s="17" t="s">
        <v>4</v>
      </c>
      <c r="AJ55" s="25">
        <f>IF(AN55=0,H55,0)</f>
        <v>0</v>
      </c>
      <c r="AK55" s="25">
        <f>IF(AN55=12,H55,0)</f>
        <v>0</v>
      </c>
      <c r="AL55" s="25">
        <f>IF(AN55=21,H55,0)</f>
        <v>0</v>
      </c>
      <c r="AN55" s="25">
        <v>12</v>
      </c>
      <c r="AO55" s="25">
        <f>G55*0</f>
        <v>0</v>
      </c>
      <c r="AP55" s="25">
        <f>G55*(1-0)</f>
        <v>0</v>
      </c>
      <c r="AQ55" s="26" t="s">
        <v>143</v>
      </c>
      <c r="AV55" s="25">
        <f>ROUND(AW55+AX55,2)</f>
        <v>0</v>
      </c>
      <c r="AW55" s="25">
        <f>ROUND(F55*AO55,2)</f>
        <v>0</v>
      </c>
      <c r="AX55" s="25">
        <f>ROUND(F55*AP55,2)</f>
        <v>0</v>
      </c>
      <c r="AY55" s="26" t="s">
        <v>190</v>
      </c>
      <c r="AZ55" s="26" t="s">
        <v>179</v>
      </c>
      <c r="BA55" s="17" t="s">
        <v>117</v>
      </c>
      <c r="BC55" s="25">
        <f>AW55+AX55</f>
        <v>0</v>
      </c>
      <c r="BD55" s="25">
        <f>G55/(100-BE55)*100</f>
        <v>0</v>
      </c>
      <c r="BE55" s="25">
        <v>0</v>
      </c>
      <c r="BF55" s="25">
        <f>55</f>
        <v>55</v>
      </c>
      <c r="BH55" s="25">
        <f>F55*AO55</f>
        <v>0</v>
      </c>
      <c r="BI55" s="25">
        <f>F55*AP55</f>
        <v>0</v>
      </c>
      <c r="BJ55" s="25">
        <f>F55*G55</f>
        <v>0</v>
      </c>
      <c r="BK55" s="26" t="s">
        <v>118</v>
      </c>
      <c r="BL55" s="25">
        <v>96</v>
      </c>
      <c r="BW55" s="25">
        <v>12</v>
      </c>
      <c r="BX55" s="2" t="s">
        <v>212</v>
      </c>
    </row>
    <row r="56" spans="1:76">
      <c r="A56" s="136"/>
      <c r="C56" s="27" t="s">
        <v>213</v>
      </c>
      <c r="D56" s="28" t="s">
        <v>4</v>
      </c>
      <c r="F56" s="29">
        <v>1.948</v>
      </c>
      <c r="J56" s="16"/>
    </row>
    <row r="57" spans="1:76">
      <c r="A57" s="134" t="s">
        <v>214</v>
      </c>
      <c r="B57" s="1" t="s">
        <v>215</v>
      </c>
      <c r="C57" s="42" t="s">
        <v>216</v>
      </c>
      <c r="D57" s="40"/>
      <c r="E57" s="1" t="s">
        <v>195</v>
      </c>
      <c r="F57" s="25">
        <v>0.36299999999999999</v>
      </c>
      <c r="G57" s="135"/>
      <c r="H57" s="25">
        <f>ROUND(F57*G57,2)</f>
        <v>0</v>
      </c>
      <c r="J57" s="16"/>
      <c r="Z57" s="25">
        <f>ROUND(IF(AQ57="5",BJ57,0),2)</f>
        <v>0</v>
      </c>
      <c r="AB57" s="25">
        <f>ROUND(IF(AQ57="1",BH57,0),2)</f>
        <v>0</v>
      </c>
      <c r="AC57" s="25">
        <f>ROUND(IF(AQ57="1",BI57,0),2)</f>
        <v>0</v>
      </c>
      <c r="AD57" s="25">
        <f>ROUND(IF(AQ57="7",BH57,0),2)</f>
        <v>0</v>
      </c>
      <c r="AE57" s="25">
        <f>ROUND(IF(AQ57="7",BI57,0),2)</f>
        <v>0</v>
      </c>
      <c r="AF57" s="25">
        <f>ROUND(IF(AQ57="2",BH57,0),2)</f>
        <v>0</v>
      </c>
      <c r="AG57" s="25">
        <f>ROUND(IF(AQ57="2",BI57,0),2)</f>
        <v>0</v>
      </c>
      <c r="AH57" s="25">
        <f>ROUND(IF(AQ57="0",BJ57,0),2)</f>
        <v>0</v>
      </c>
      <c r="AI57" s="17" t="s">
        <v>4</v>
      </c>
      <c r="AJ57" s="25">
        <f>IF(AN57=0,H57,0)</f>
        <v>0</v>
      </c>
      <c r="AK57" s="25">
        <f>IF(AN57=12,H57,0)</f>
        <v>0</v>
      </c>
      <c r="AL57" s="25">
        <f>IF(AN57=21,H57,0)</f>
        <v>0</v>
      </c>
      <c r="AN57" s="25">
        <v>12</v>
      </c>
      <c r="AO57" s="25">
        <f>G57*0</f>
        <v>0</v>
      </c>
      <c r="AP57" s="25">
        <f>G57*(1-0)</f>
        <v>0</v>
      </c>
      <c r="AQ57" s="26" t="s">
        <v>143</v>
      </c>
      <c r="AV57" s="25">
        <f>ROUND(AW57+AX57,2)</f>
        <v>0</v>
      </c>
      <c r="AW57" s="25">
        <f>ROUND(F57*AO57,2)</f>
        <v>0</v>
      </c>
      <c r="AX57" s="25">
        <f>ROUND(F57*AP57,2)</f>
        <v>0</v>
      </c>
      <c r="AY57" s="26" t="s">
        <v>190</v>
      </c>
      <c r="AZ57" s="26" t="s">
        <v>179</v>
      </c>
      <c r="BA57" s="17" t="s">
        <v>117</v>
      </c>
      <c r="BC57" s="25">
        <f>AW57+AX57</f>
        <v>0</v>
      </c>
      <c r="BD57" s="25">
        <f>G57/(100-BE57)*100</f>
        <v>0</v>
      </c>
      <c r="BE57" s="25">
        <v>0</v>
      </c>
      <c r="BF57" s="25">
        <f>57</f>
        <v>57</v>
      </c>
      <c r="BH57" s="25">
        <f>F57*AO57</f>
        <v>0</v>
      </c>
      <c r="BI57" s="25">
        <f>F57*AP57</f>
        <v>0</v>
      </c>
      <c r="BJ57" s="25">
        <f>F57*G57</f>
        <v>0</v>
      </c>
      <c r="BK57" s="26" t="s">
        <v>118</v>
      </c>
      <c r="BL57" s="25">
        <v>96</v>
      </c>
      <c r="BW57" s="25">
        <v>12</v>
      </c>
      <c r="BX57" s="2" t="s">
        <v>216</v>
      </c>
    </row>
    <row r="58" spans="1:76">
      <c r="A58" s="136"/>
      <c r="C58" s="27" t="s">
        <v>217</v>
      </c>
      <c r="D58" s="28" t="s">
        <v>4</v>
      </c>
      <c r="F58" s="29">
        <v>0.36299999999999999</v>
      </c>
      <c r="J58" s="16"/>
    </row>
    <row r="59" spans="1:76">
      <c r="A59" s="134" t="s">
        <v>218</v>
      </c>
      <c r="B59" s="1" t="s">
        <v>219</v>
      </c>
      <c r="C59" s="42" t="s">
        <v>220</v>
      </c>
      <c r="D59" s="40"/>
      <c r="E59" s="1" t="s">
        <v>195</v>
      </c>
      <c r="F59" s="25">
        <v>0.124</v>
      </c>
      <c r="G59" s="135"/>
      <c r="H59" s="25">
        <f>ROUND(F59*G59,2)</f>
        <v>0</v>
      </c>
      <c r="J59" s="16"/>
      <c r="Z59" s="25">
        <f>ROUND(IF(AQ59="5",BJ59,0),2)</f>
        <v>0</v>
      </c>
      <c r="AB59" s="25">
        <f>ROUND(IF(AQ59="1",BH59,0),2)</f>
        <v>0</v>
      </c>
      <c r="AC59" s="25">
        <f>ROUND(IF(AQ59="1",BI59,0),2)</f>
        <v>0</v>
      </c>
      <c r="AD59" s="25">
        <f>ROUND(IF(AQ59="7",BH59,0),2)</f>
        <v>0</v>
      </c>
      <c r="AE59" s="25">
        <f>ROUND(IF(AQ59="7",BI59,0),2)</f>
        <v>0</v>
      </c>
      <c r="AF59" s="25">
        <f>ROUND(IF(AQ59="2",BH59,0),2)</f>
        <v>0</v>
      </c>
      <c r="AG59" s="25">
        <f>ROUND(IF(AQ59="2",BI59,0),2)</f>
        <v>0</v>
      </c>
      <c r="AH59" s="25">
        <f>ROUND(IF(AQ59="0",BJ59,0),2)</f>
        <v>0</v>
      </c>
      <c r="AI59" s="17" t="s">
        <v>4</v>
      </c>
      <c r="AJ59" s="25">
        <f>IF(AN59=0,H59,0)</f>
        <v>0</v>
      </c>
      <c r="AK59" s="25">
        <f>IF(AN59=12,H59,0)</f>
        <v>0</v>
      </c>
      <c r="AL59" s="25">
        <f>IF(AN59=21,H59,0)</f>
        <v>0</v>
      </c>
      <c r="AN59" s="25">
        <v>12</v>
      </c>
      <c r="AO59" s="25">
        <f>G59*0</f>
        <v>0</v>
      </c>
      <c r="AP59" s="25">
        <f>G59*(1-0)</f>
        <v>0</v>
      </c>
      <c r="AQ59" s="26" t="s">
        <v>143</v>
      </c>
      <c r="AV59" s="25">
        <f>ROUND(AW59+AX59,2)</f>
        <v>0</v>
      </c>
      <c r="AW59" s="25">
        <f>ROUND(F59*AO59,2)</f>
        <v>0</v>
      </c>
      <c r="AX59" s="25">
        <f>ROUND(F59*AP59,2)</f>
        <v>0</v>
      </c>
      <c r="AY59" s="26" t="s">
        <v>190</v>
      </c>
      <c r="AZ59" s="26" t="s">
        <v>179</v>
      </c>
      <c r="BA59" s="17" t="s">
        <v>117</v>
      </c>
      <c r="BC59" s="25">
        <f>AW59+AX59</f>
        <v>0</v>
      </c>
      <c r="BD59" s="25">
        <f>G59/(100-BE59)*100</f>
        <v>0</v>
      </c>
      <c r="BE59" s="25">
        <v>0</v>
      </c>
      <c r="BF59" s="25">
        <f>59</f>
        <v>59</v>
      </c>
      <c r="BH59" s="25">
        <f>F59*AO59</f>
        <v>0</v>
      </c>
      <c r="BI59" s="25">
        <f>F59*AP59</f>
        <v>0</v>
      </c>
      <c r="BJ59" s="25">
        <f>F59*G59</f>
        <v>0</v>
      </c>
      <c r="BK59" s="26" t="s">
        <v>118</v>
      </c>
      <c r="BL59" s="25">
        <v>96</v>
      </c>
      <c r="BW59" s="25">
        <v>12</v>
      </c>
      <c r="BX59" s="2" t="s">
        <v>220</v>
      </c>
    </row>
    <row r="60" spans="1:76">
      <c r="A60" s="136"/>
      <c r="C60" s="27" t="s">
        <v>221</v>
      </c>
      <c r="D60" s="28" t="s">
        <v>222</v>
      </c>
      <c r="F60" s="29">
        <v>0.10100000000000001</v>
      </c>
      <c r="J60" s="16"/>
    </row>
    <row r="61" spans="1:76">
      <c r="A61" s="136"/>
      <c r="C61" s="27" t="s">
        <v>223</v>
      </c>
      <c r="D61" s="28" t="s">
        <v>224</v>
      </c>
      <c r="F61" s="29">
        <v>2.3E-2</v>
      </c>
      <c r="J61" s="16"/>
    </row>
    <row r="62" spans="1:76">
      <c r="A62" s="133" t="s">
        <v>4</v>
      </c>
      <c r="B62" s="22" t="s">
        <v>225</v>
      </c>
      <c r="C62" s="72" t="s">
        <v>226</v>
      </c>
      <c r="D62" s="73"/>
      <c r="E62" s="23" t="s">
        <v>79</v>
      </c>
      <c r="F62" s="23" t="s">
        <v>79</v>
      </c>
      <c r="G62" s="24" t="s">
        <v>79</v>
      </c>
      <c r="H62" s="13">
        <f>SUM(H63:H63)</f>
        <v>0</v>
      </c>
      <c r="J62" s="16"/>
      <c r="AI62" s="17" t="s">
        <v>4</v>
      </c>
      <c r="AS62" s="13">
        <f>SUM(AJ63:AJ63)</f>
        <v>0</v>
      </c>
      <c r="AT62" s="13">
        <f>SUM(AK63:AK63)</f>
        <v>0</v>
      </c>
      <c r="AU62" s="13">
        <f>SUM(AL63:AL63)</f>
        <v>0</v>
      </c>
    </row>
    <row r="63" spans="1:76">
      <c r="A63" s="134" t="s">
        <v>227</v>
      </c>
      <c r="B63" s="1" t="s">
        <v>228</v>
      </c>
      <c r="C63" s="42" t="s">
        <v>229</v>
      </c>
      <c r="D63" s="40"/>
      <c r="E63" s="1" t="s">
        <v>195</v>
      </c>
      <c r="F63" s="25">
        <v>1.8129999999999999</v>
      </c>
      <c r="G63" s="135"/>
      <c r="H63" s="25">
        <f>ROUND(F63*G63,2)</f>
        <v>0</v>
      </c>
      <c r="J63" s="16"/>
      <c r="Z63" s="25">
        <f>ROUND(IF(AQ63="5",BJ63,0),2)</f>
        <v>0</v>
      </c>
      <c r="AB63" s="25">
        <f>ROUND(IF(AQ63="1",BH63,0),2)</f>
        <v>0</v>
      </c>
      <c r="AC63" s="25">
        <f>ROUND(IF(AQ63="1",BI63,0),2)</f>
        <v>0</v>
      </c>
      <c r="AD63" s="25">
        <f>ROUND(IF(AQ63="7",BH63,0),2)</f>
        <v>0</v>
      </c>
      <c r="AE63" s="25">
        <f>ROUND(IF(AQ63="7",BI63,0),2)</f>
        <v>0</v>
      </c>
      <c r="AF63" s="25">
        <f>ROUND(IF(AQ63="2",BH63,0),2)</f>
        <v>0</v>
      </c>
      <c r="AG63" s="25">
        <f>ROUND(IF(AQ63="2",BI63,0),2)</f>
        <v>0</v>
      </c>
      <c r="AH63" s="25">
        <f>ROUND(IF(AQ63="0",BJ63,0),2)</f>
        <v>0</v>
      </c>
      <c r="AI63" s="17" t="s">
        <v>4</v>
      </c>
      <c r="AJ63" s="25">
        <f>IF(AN63=0,H63,0)</f>
        <v>0</v>
      </c>
      <c r="AK63" s="25">
        <f>IF(AN63=12,H63,0)</f>
        <v>0</v>
      </c>
      <c r="AL63" s="25">
        <f>IF(AN63=21,H63,0)</f>
        <v>0</v>
      </c>
      <c r="AN63" s="25">
        <v>12</v>
      </c>
      <c r="AO63" s="25">
        <f>G63*0</f>
        <v>0</v>
      </c>
      <c r="AP63" s="25">
        <f>G63*(1-0)</f>
        <v>0</v>
      </c>
      <c r="AQ63" s="26" t="s">
        <v>143</v>
      </c>
      <c r="AV63" s="25">
        <f>ROUND(AW63+AX63,2)</f>
        <v>0</v>
      </c>
      <c r="AW63" s="25">
        <f>ROUND(F63*AO63,2)</f>
        <v>0</v>
      </c>
      <c r="AX63" s="25">
        <f>ROUND(F63*AP63,2)</f>
        <v>0</v>
      </c>
      <c r="AY63" s="26" t="s">
        <v>230</v>
      </c>
      <c r="AZ63" s="26" t="s">
        <v>179</v>
      </c>
      <c r="BA63" s="17" t="s">
        <v>117</v>
      </c>
      <c r="BC63" s="25">
        <f>AW63+AX63</f>
        <v>0</v>
      </c>
      <c r="BD63" s="25">
        <f>G63/(100-BE63)*100</f>
        <v>0</v>
      </c>
      <c r="BE63" s="25">
        <v>0</v>
      </c>
      <c r="BF63" s="25">
        <f>63</f>
        <v>63</v>
      </c>
      <c r="BH63" s="25">
        <f>F63*AO63</f>
        <v>0</v>
      </c>
      <c r="BI63" s="25">
        <f>F63*AP63</f>
        <v>0</v>
      </c>
      <c r="BJ63" s="25">
        <f>F63*G63</f>
        <v>0</v>
      </c>
      <c r="BK63" s="26" t="s">
        <v>118</v>
      </c>
      <c r="BL63" s="25">
        <v>99</v>
      </c>
      <c r="BW63" s="25">
        <v>12</v>
      </c>
      <c r="BX63" s="2" t="s">
        <v>229</v>
      </c>
    </row>
    <row r="64" spans="1:76">
      <c r="A64" s="133" t="s">
        <v>4</v>
      </c>
      <c r="B64" s="22" t="s">
        <v>231</v>
      </c>
      <c r="C64" s="72" t="s">
        <v>232</v>
      </c>
      <c r="D64" s="73"/>
      <c r="E64" s="23" t="s">
        <v>79</v>
      </c>
      <c r="F64" s="23" t="s">
        <v>79</v>
      </c>
      <c r="G64" s="24" t="s">
        <v>79</v>
      </c>
      <c r="H64" s="13">
        <f>SUM(H65:H65)</f>
        <v>0</v>
      </c>
      <c r="J64" s="16"/>
      <c r="AI64" s="17" t="s">
        <v>4</v>
      </c>
      <c r="AS64" s="13">
        <f>SUM(AJ65:AJ65)</f>
        <v>0</v>
      </c>
      <c r="AT64" s="13">
        <f>SUM(AK65:AK65)</f>
        <v>0</v>
      </c>
      <c r="AU64" s="13">
        <f>SUM(AL65:AL65)</f>
        <v>0</v>
      </c>
    </row>
    <row r="65" spans="1:76">
      <c r="A65" s="134" t="s">
        <v>233</v>
      </c>
      <c r="B65" s="1" t="s">
        <v>234</v>
      </c>
      <c r="C65" s="42" t="s">
        <v>235</v>
      </c>
      <c r="D65" s="40"/>
      <c r="E65" s="1" t="s">
        <v>236</v>
      </c>
      <c r="F65" s="25">
        <v>1</v>
      </c>
      <c r="G65" s="135"/>
      <c r="H65" s="25">
        <f>ROUND(F65*G65,2)</f>
        <v>0</v>
      </c>
      <c r="J65" s="16"/>
      <c r="Z65" s="25">
        <f>ROUND(IF(AQ65="5",BJ65,0),2)</f>
        <v>0</v>
      </c>
      <c r="AB65" s="25">
        <f>ROUND(IF(AQ65="1",BH65,0),2)</f>
        <v>0</v>
      </c>
      <c r="AC65" s="25">
        <f>ROUND(IF(AQ65="1",BI65,0),2)</f>
        <v>0</v>
      </c>
      <c r="AD65" s="25">
        <f>ROUND(IF(AQ65="7",BH65,0),2)</f>
        <v>0</v>
      </c>
      <c r="AE65" s="25">
        <f>ROUND(IF(AQ65="7",BI65,0),2)</f>
        <v>0</v>
      </c>
      <c r="AF65" s="25">
        <f>ROUND(IF(AQ65="2",BH65,0),2)</f>
        <v>0</v>
      </c>
      <c r="AG65" s="25">
        <f>ROUND(IF(AQ65="2",BI65,0),2)</f>
        <v>0</v>
      </c>
      <c r="AH65" s="25">
        <f>ROUND(IF(AQ65="0",BJ65,0),2)</f>
        <v>0</v>
      </c>
      <c r="AI65" s="17" t="s">
        <v>4</v>
      </c>
      <c r="AJ65" s="25">
        <f>IF(AN65=0,H65,0)</f>
        <v>0</v>
      </c>
      <c r="AK65" s="25">
        <f>IF(AN65=12,H65,0)</f>
        <v>0</v>
      </c>
      <c r="AL65" s="25">
        <f>IF(AN65=21,H65,0)</f>
        <v>0</v>
      </c>
      <c r="AN65" s="25">
        <v>12</v>
      </c>
      <c r="AO65" s="25">
        <f>G65*0.253597143</f>
        <v>0</v>
      </c>
      <c r="AP65" s="25">
        <f>G65*(1-0.253597143)</f>
        <v>0</v>
      </c>
      <c r="AQ65" s="26" t="s">
        <v>156</v>
      </c>
      <c r="AV65" s="25">
        <f>ROUND(AW65+AX65,2)</f>
        <v>0</v>
      </c>
      <c r="AW65" s="25">
        <f>ROUND(F65*AO65,2)</f>
        <v>0</v>
      </c>
      <c r="AX65" s="25">
        <f>ROUND(F65*AP65,2)</f>
        <v>0</v>
      </c>
      <c r="AY65" s="26" t="s">
        <v>237</v>
      </c>
      <c r="AZ65" s="26" t="s">
        <v>238</v>
      </c>
      <c r="BA65" s="17" t="s">
        <v>117</v>
      </c>
      <c r="BC65" s="25">
        <f>AW65+AX65</f>
        <v>0</v>
      </c>
      <c r="BD65" s="25">
        <f>G65/(100-BE65)*100</f>
        <v>0</v>
      </c>
      <c r="BE65" s="25">
        <v>0</v>
      </c>
      <c r="BF65" s="25">
        <f>65</f>
        <v>65</v>
      </c>
      <c r="BH65" s="25">
        <f>F65*AO65</f>
        <v>0</v>
      </c>
      <c r="BI65" s="25">
        <f>F65*AP65</f>
        <v>0</v>
      </c>
      <c r="BJ65" s="25">
        <f>F65*G65</f>
        <v>0</v>
      </c>
      <c r="BK65" s="26" t="s">
        <v>118</v>
      </c>
      <c r="BL65" s="25">
        <v>722</v>
      </c>
      <c r="BW65" s="25">
        <v>12</v>
      </c>
      <c r="BX65" s="2" t="s">
        <v>235</v>
      </c>
    </row>
    <row r="66" spans="1:76">
      <c r="A66" s="133" t="s">
        <v>4</v>
      </c>
      <c r="B66" s="22" t="s">
        <v>239</v>
      </c>
      <c r="C66" s="72" t="s">
        <v>240</v>
      </c>
      <c r="D66" s="73"/>
      <c r="E66" s="23" t="s">
        <v>79</v>
      </c>
      <c r="F66" s="23" t="s">
        <v>79</v>
      </c>
      <c r="G66" s="24" t="s">
        <v>79</v>
      </c>
      <c r="H66" s="13">
        <f>SUM(H67:H68)</f>
        <v>0</v>
      </c>
      <c r="J66" s="16"/>
      <c r="AI66" s="17" t="s">
        <v>4</v>
      </c>
      <c r="AS66" s="13">
        <f>SUM(AJ67:AJ68)</f>
        <v>0</v>
      </c>
      <c r="AT66" s="13">
        <f>SUM(AK67:AK68)</f>
        <v>0</v>
      </c>
      <c r="AU66" s="13">
        <f>SUM(AL67:AL68)</f>
        <v>0</v>
      </c>
    </row>
    <row r="67" spans="1:76">
      <c r="A67" s="134" t="s">
        <v>241</v>
      </c>
      <c r="B67" s="1" t="s">
        <v>242</v>
      </c>
      <c r="C67" s="42" t="s">
        <v>243</v>
      </c>
      <c r="D67" s="40"/>
      <c r="E67" s="1" t="s">
        <v>183</v>
      </c>
      <c r="F67" s="25">
        <v>1</v>
      </c>
      <c r="G67" s="135"/>
      <c r="H67" s="25">
        <f>ROUND(F67*G67,2)</f>
        <v>0</v>
      </c>
      <c r="J67" s="16"/>
      <c r="Z67" s="25">
        <f>ROUND(IF(AQ67="5",BJ67,0),2)</f>
        <v>0</v>
      </c>
      <c r="AB67" s="25">
        <f>ROUND(IF(AQ67="1",BH67,0),2)</f>
        <v>0</v>
      </c>
      <c r="AC67" s="25">
        <f>ROUND(IF(AQ67="1",BI67,0),2)</f>
        <v>0</v>
      </c>
      <c r="AD67" s="25">
        <f>ROUND(IF(AQ67="7",BH67,0),2)</f>
        <v>0</v>
      </c>
      <c r="AE67" s="25">
        <f>ROUND(IF(AQ67="7",BI67,0),2)</f>
        <v>0</v>
      </c>
      <c r="AF67" s="25">
        <f>ROUND(IF(AQ67="2",BH67,0),2)</f>
        <v>0</v>
      </c>
      <c r="AG67" s="25">
        <f>ROUND(IF(AQ67="2",BI67,0),2)</f>
        <v>0</v>
      </c>
      <c r="AH67" s="25">
        <f>ROUND(IF(AQ67="0",BJ67,0),2)</f>
        <v>0</v>
      </c>
      <c r="AI67" s="17" t="s">
        <v>4</v>
      </c>
      <c r="AJ67" s="25">
        <f>IF(AN67=0,H67,0)</f>
        <v>0</v>
      </c>
      <c r="AK67" s="25">
        <f>IF(AN67=12,H67,0)</f>
        <v>0</v>
      </c>
      <c r="AL67" s="25">
        <f>IF(AN67=21,H67,0)</f>
        <v>0</v>
      </c>
      <c r="AN67" s="25">
        <v>12</v>
      </c>
      <c r="AO67" s="25">
        <f>G67*0.3452</f>
        <v>0</v>
      </c>
      <c r="AP67" s="25">
        <f>G67*(1-0.3452)</f>
        <v>0</v>
      </c>
      <c r="AQ67" s="26" t="s">
        <v>156</v>
      </c>
      <c r="AV67" s="25">
        <f>ROUND(AW67+AX67,2)</f>
        <v>0</v>
      </c>
      <c r="AW67" s="25">
        <f>ROUND(F67*AO67,2)</f>
        <v>0</v>
      </c>
      <c r="AX67" s="25">
        <f>ROUND(F67*AP67,2)</f>
        <v>0</v>
      </c>
      <c r="AY67" s="26" t="s">
        <v>244</v>
      </c>
      <c r="AZ67" s="26" t="s">
        <v>245</v>
      </c>
      <c r="BA67" s="17" t="s">
        <v>117</v>
      </c>
      <c r="BC67" s="25">
        <f>AW67+AX67</f>
        <v>0</v>
      </c>
      <c r="BD67" s="25">
        <f>G67/(100-BE67)*100</f>
        <v>0</v>
      </c>
      <c r="BE67" s="25">
        <v>0</v>
      </c>
      <c r="BF67" s="25">
        <f>67</f>
        <v>67</v>
      </c>
      <c r="BH67" s="25">
        <f>F67*AO67</f>
        <v>0</v>
      </c>
      <c r="BI67" s="25">
        <f>F67*AP67</f>
        <v>0</v>
      </c>
      <c r="BJ67" s="25">
        <f>F67*G67</f>
        <v>0</v>
      </c>
      <c r="BK67" s="26" t="s">
        <v>118</v>
      </c>
      <c r="BL67" s="25">
        <v>735</v>
      </c>
      <c r="BW67" s="25">
        <v>12</v>
      </c>
      <c r="BX67" s="2" t="s">
        <v>243</v>
      </c>
    </row>
    <row r="68" spans="1:76">
      <c r="A68" s="134" t="s">
        <v>246</v>
      </c>
      <c r="B68" s="1" t="s">
        <v>247</v>
      </c>
      <c r="C68" s="42" t="s">
        <v>248</v>
      </c>
      <c r="D68" s="40"/>
      <c r="E68" s="1" t="s">
        <v>183</v>
      </c>
      <c r="F68" s="25">
        <v>1</v>
      </c>
      <c r="G68" s="135"/>
      <c r="H68" s="25">
        <f>ROUND(F68*G68,2)</f>
        <v>0</v>
      </c>
      <c r="J68" s="16"/>
      <c r="Z68" s="25">
        <f>ROUND(IF(AQ68="5",BJ68,0),2)</f>
        <v>0</v>
      </c>
      <c r="AB68" s="25">
        <f>ROUND(IF(AQ68="1",BH68,0),2)</f>
        <v>0</v>
      </c>
      <c r="AC68" s="25">
        <f>ROUND(IF(AQ68="1",BI68,0),2)</f>
        <v>0</v>
      </c>
      <c r="AD68" s="25">
        <f>ROUND(IF(AQ68="7",BH68,0),2)</f>
        <v>0</v>
      </c>
      <c r="AE68" s="25">
        <f>ROUND(IF(AQ68="7",BI68,0),2)</f>
        <v>0</v>
      </c>
      <c r="AF68" s="25">
        <f>ROUND(IF(AQ68="2",BH68,0),2)</f>
        <v>0</v>
      </c>
      <c r="AG68" s="25">
        <f>ROUND(IF(AQ68="2",BI68,0),2)</f>
        <v>0</v>
      </c>
      <c r="AH68" s="25">
        <f>ROUND(IF(AQ68="0",BJ68,0),2)</f>
        <v>0</v>
      </c>
      <c r="AI68" s="17" t="s">
        <v>4</v>
      </c>
      <c r="AJ68" s="25">
        <f>IF(AN68=0,H68,0)</f>
        <v>0</v>
      </c>
      <c r="AK68" s="25">
        <f>IF(AN68=12,H68,0)</f>
        <v>0</v>
      </c>
      <c r="AL68" s="25">
        <f>IF(AN68=21,H68,0)</f>
        <v>0</v>
      </c>
      <c r="AN68" s="25">
        <v>12</v>
      </c>
      <c r="AO68" s="25">
        <f>G68*0.3452</f>
        <v>0</v>
      </c>
      <c r="AP68" s="25">
        <f>G68*(1-0.3452)</f>
        <v>0</v>
      </c>
      <c r="AQ68" s="26" t="s">
        <v>156</v>
      </c>
      <c r="AV68" s="25">
        <f>ROUND(AW68+AX68,2)</f>
        <v>0</v>
      </c>
      <c r="AW68" s="25">
        <f>ROUND(F68*AO68,2)</f>
        <v>0</v>
      </c>
      <c r="AX68" s="25">
        <f>ROUND(F68*AP68,2)</f>
        <v>0</v>
      </c>
      <c r="AY68" s="26" t="s">
        <v>244</v>
      </c>
      <c r="AZ68" s="26" t="s">
        <v>245</v>
      </c>
      <c r="BA68" s="17" t="s">
        <v>117</v>
      </c>
      <c r="BC68" s="25">
        <f>AW68+AX68</f>
        <v>0</v>
      </c>
      <c r="BD68" s="25">
        <f>G68/(100-BE68)*100</f>
        <v>0</v>
      </c>
      <c r="BE68" s="25">
        <v>0</v>
      </c>
      <c r="BF68" s="25">
        <f>68</f>
        <v>68</v>
      </c>
      <c r="BH68" s="25">
        <f>F68*AO68</f>
        <v>0</v>
      </c>
      <c r="BI68" s="25">
        <f>F68*AP68</f>
        <v>0</v>
      </c>
      <c r="BJ68" s="25">
        <f>F68*G68</f>
        <v>0</v>
      </c>
      <c r="BK68" s="26" t="s">
        <v>118</v>
      </c>
      <c r="BL68" s="25">
        <v>735</v>
      </c>
      <c r="BW68" s="25">
        <v>12</v>
      </c>
      <c r="BX68" s="2" t="s">
        <v>248</v>
      </c>
    </row>
    <row r="69" spans="1:76">
      <c r="A69" s="133" t="s">
        <v>4</v>
      </c>
      <c r="B69" s="22" t="s">
        <v>249</v>
      </c>
      <c r="C69" s="72" t="s">
        <v>250</v>
      </c>
      <c r="D69" s="73"/>
      <c r="E69" s="23" t="s">
        <v>79</v>
      </c>
      <c r="F69" s="23" t="s">
        <v>79</v>
      </c>
      <c r="G69" s="24" t="s">
        <v>79</v>
      </c>
      <c r="H69" s="13">
        <f>SUM(H70:H83)</f>
        <v>0</v>
      </c>
      <c r="J69" s="16"/>
      <c r="AI69" s="17" t="s">
        <v>4</v>
      </c>
      <c r="AS69" s="13">
        <f>SUM(AJ70:AJ83)</f>
        <v>0</v>
      </c>
      <c r="AT69" s="13">
        <f>SUM(AK70:AK83)</f>
        <v>0</v>
      </c>
      <c r="AU69" s="13">
        <f>SUM(AL70:AL83)</f>
        <v>0</v>
      </c>
    </row>
    <row r="70" spans="1:76">
      <c r="A70" s="134" t="s">
        <v>251</v>
      </c>
      <c r="B70" s="1" t="s">
        <v>252</v>
      </c>
      <c r="C70" s="42" t="s">
        <v>253</v>
      </c>
      <c r="D70" s="40"/>
      <c r="E70" s="1" t="s">
        <v>169</v>
      </c>
      <c r="F70" s="25">
        <v>28.6</v>
      </c>
      <c r="G70" s="135"/>
      <c r="H70" s="25">
        <f>ROUND(F70*G70,2)</f>
        <v>0</v>
      </c>
      <c r="J70" s="16"/>
      <c r="Z70" s="25">
        <f>ROUND(IF(AQ70="5",BJ70,0),2)</f>
        <v>0</v>
      </c>
      <c r="AB70" s="25">
        <f>ROUND(IF(AQ70="1",BH70,0),2)</f>
        <v>0</v>
      </c>
      <c r="AC70" s="25">
        <f>ROUND(IF(AQ70="1",BI70,0),2)</f>
        <v>0</v>
      </c>
      <c r="AD70" s="25">
        <f>ROUND(IF(AQ70="7",BH70,0),2)</f>
        <v>0</v>
      </c>
      <c r="AE70" s="25">
        <f>ROUND(IF(AQ70="7",BI70,0),2)</f>
        <v>0</v>
      </c>
      <c r="AF70" s="25">
        <f>ROUND(IF(AQ70="2",BH70,0),2)</f>
        <v>0</v>
      </c>
      <c r="AG70" s="25">
        <f>ROUND(IF(AQ70="2",BI70,0),2)</f>
        <v>0</v>
      </c>
      <c r="AH70" s="25">
        <f>ROUND(IF(AQ70="0",BJ70,0),2)</f>
        <v>0</v>
      </c>
      <c r="AI70" s="17" t="s">
        <v>4</v>
      </c>
      <c r="AJ70" s="25">
        <f>IF(AN70=0,H70,0)</f>
        <v>0</v>
      </c>
      <c r="AK70" s="25">
        <f>IF(AN70=12,H70,0)</f>
        <v>0</v>
      </c>
      <c r="AL70" s="25">
        <f>IF(AN70=21,H70,0)</f>
        <v>0</v>
      </c>
      <c r="AN70" s="25">
        <v>12</v>
      </c>
      <c r="AO70" s="25">
        <f>G70*0</f>
        <v>0</v>
      </c>
      <c r="AP70" s="25">
        <f>G70*(1-0)</f>
        <v>0</v>
      </c>
      <c r="AQ70" s="26" t="s">
        <v>156</v>
      </c>
      <c r="AV70" s="25">
        <f>ROUND(AW70+AX70,2)</f>
        <v>0</v>
      </c>
      <c r="AW70" s="25">
        <f>ROUND(F70*AO70,2)</f>
        <v>0</v>
      </c>
      <c r="AX70" s="25">
        <f>ROUND(F70*AP70,2)</f>
        <v>0</v>
      </c>
      <c r="AY70" s="26" t="s">
        <v>254</v>
      </c>
      <c r="AZ70" s="26" t="s">
        <v>255</v>
      </c>
      <c r="BA70" s="17" t="s">
        <v>117</v>
      </c>
      <c r="BC70" s="25">
        <f>AW70+AX70</f>
        <v>0</v>
      </c>
      <c r="BD70" s="25">
        <f>G70/(100-BE70)*100</f>
        <v>0</v>
      </c>
      <c r="BE70" s="25">
        <v>0</v>
      </c>
      <c r="BF70" s="25">
        <f>70</f>
        <v>70</v>
      </c>
      <c r="BH70" s="25">
        <f>F70*AO70</f>
        <v>0</v>
      </c>
      <c r="BI70" s="25">
        <f>F70*AP70</f>
        <v>0</v>
      </c>
      <c r="BJ70" s="25">
        <f>F70*G70</f>
        <v>0</v>
      </c>
      <c r="BK70" s="26" t="s">
        <v>118</v>
      </c>
      <c r="BL70" s="25">
        <v>776</v>
      </c>
      <c r="BW70" s="25">
        <v>12</v>
      </c>
      <c r="BX70" s="2" t="s">
        <v>253</v>
      </c>
    </row>
    <row r="71" spans="1:76">
      <c r="A71" s="136"/>
      <c r="C71" s="27" t="s">
        <v>256</v>
      </c>
      <c r="D71" s="28" t="s">
        <v>257</v>
      </c>
      <c r="F71" s="29">
        <v>13.08</v>
      </c>
      <c r="J71" s="16"/>
    </row>
    <row r="72" spans="1:76">
      <c r="A72" s="136"/>
      <c r="C72" s="27" t="s">
        <v>258</v>
      </c>
      <c r="D72" s="28" t="s">
        <v>127</v>
      </c>
      <c r="F72" s="29">
        <v>15.52</v>
      </c>
      <c r="J72" s="16"/>
    </row>
    <row r="73" spans="1:76">
      <c r="A73" s="134" t="s">
        <v>259</v>
      </c>
      <c r="B73" s="1" t="s">
        <v>260</v>
      </c>
      <c r="C73" s="42" t="s">
        <v>261</v>
      </c>
      <c r="D73" s="40"/>
      <c r="E73" s="1" t="s">
        <v>114</v>
      </c>
      <c r="F73" s="25">
        <v>28.81</v>
      </c>
      <c r="G73" s="135"/>
      <c r="H73" s="25">
        <f>ROUND(F73*G73,2)</f>
        <v>0</v>
      </c>
      <c r="J73" s="16"/>
      <c r="Z73" s="25">
        <f>ROUND(IF(AQ73="5",BJ73,0),2)</f>
        <v>0</v>
      </c>
      <c r="AB73" s="25">
        <f>ROUND(IF(AQ73="1",BH73,0),2)</f>
        <v>0</v>
      </c>
      <c r="AC73" s="25">
        <f>ROUND(IF(AQ73="1",BI73,0),2)</f>
        <v>0</v>
      </c>
      <c r="AD73" s="25">
        <f>ROUND(IF(AQ73="7",BH73,0),2)</f>
        <v>0</v>
      </c>
      <c r="AE73" s="25">
        <f>ROUND(IF(AQ73="7",BI73,0),2)</f>
        <v>0</v>
      </c>
      <c r="AF73" s="25">
        <f>ROUND(IF(AQ73="2",BH73,0),2)</f>
        <v>0</v>
      </c>
      <c r="AG73" s="25">
        <f>ROUND(IF(AQ73="2",BI73,0),2)</f>
        <v>0</v>
      </c>
      <c r="AH73" s="25">
        <f>ROUND(IF(AQ73="0",BJ73,0),2)</f>
        <v>0</v>
      </c>
      <c r="AI73" s="17" t="s">
        <v>4</v>
      </c>
      <c r="AJ73" s="25">
        <f>IF(AN73=0,H73,0)</f>
        <v>0</v>
      </c>
      <c r="AK73" s="25">
        <f>IF(AN73=12,H73,0)</f>
        <v>0</v>
      </c>
      <c r="AL73" s="25">
        <f>IF(AN73=21,H73,0)</f>
        <v>0</v>
      </c>
      <c r="AN73" s="25">
        <v>12</v>
      </c>
      <c r="AO73" s="25">
        <f>G73*0</f>
        <v>0</v>
      </c>
      <c r="AP73" s="25">
        <f>G73*(1-0)</f>
        <v>0</v>
      </c>
      <c r="AQ73" s="26" t="s">
        <v>156</v>
      </c>
      <c r="AV73" s="25">
        <f>ROUND(AW73+AX73,2)</f>
        <v>0</v>
      </c>
      <c r="AW73" s="25">
        <f>ROUND(F73*AO73,2)</f>
        <v>0</v>
      </c>
      <c r="AX73" s="25">
        <f>ROUND(F73*AP73,2)</f>
        <v>0</v>
      </c>
      <c r="AY73" s="26" t="s">
        <v>254</v>
      </c>
      <c r="AZ73" s="26" t="s">
        <v>255</v>
      </c>
      <c r="BA73" s="17" t="s">
        <v>117</v>
      </c>
      <c r="BC73" s="25">
        <f>AW73+AX73</f>
        <v>0</v>
      </c>
      <c r="BD73" s="25">
        <f>G73/(100-BE73)*100</f>
        <v>0</v>
      </c>
      <c r="BE73" s="25">
        <v>0</v>
      </c>
      <c r="BF73" s="25">
        <f>73</f>
        <v>73</v>
      </c>
      <c r="BH73" s="25">
        <f>F73*AO73</f>
        <v>0</v>
      </c>
      <c r="BI73" s="25">
        <f>F73*AP73</f>
        <v>0</v>
      </c>
      <c r="BJ73" s="25">
        <f>F73*G73</f>
        <v>0</v>
      </c>
      <c r="BK73" s="26" t="s">
        <v>118</v>
      </c>
      <c r="BL73" s="25">
        <v>776</v>
      </c>
      <c r="BW73" s="25">
        <v>12</v>
      </c>
      <c r="BX73" s="2" t="s">
        <v>261</v>
      </c>
    </row>
    <row r="74" spans="1:76">
      <c r="A74" s="136"/>
      <c r="C74" s="27" t="s">
        <v>262</v>
      </c>
      <c r="D74" s="28" t="s">
        <v>4</v>
      </c>
      <c r="F74" s="29">
        <v>28.81</v>
      </c>
      <c r="J74" s="16"/>
    </row>
    <row r="75" spans="1:76">
      <c r="A75" s="134" t="s">
        <v>263</v>
      </c>
      <c r="B75" s="1" t="s">
        <v>264</v>
      </c>
      <c r="C75" s="42" t="s">
        <v>265</v>
      </c>
      <c r="D75" s="40"/>
      <c r="E75" s="1" t="s">
        <v>169</v>
      </c>
      <c r="F75" s="25">
        <v>28.6</v>
      </c>
      <c r="G75" s="135"/>
      <c r="H75" s="25">
        <f>ROUND(F75*G75,2)</f>
        <v>0</v>
      </c>
      <c r="J75" s="16"/>
      <c r="Z75" s="25">
        <f>ROUND(IF(AQ75="5",BJ75,0),2)</f>
        <v>0</v>
      </c>
      <c r="AB75" s="25">
        <f>ROUND(IF(AQ75="1",BH75,0),2)</f>
        <v>0</v>
      </c>
      <c r="AC75" s="25">
        <f>ROUND(IF(AQ75="1",BI75,0),2)</f>
        <v>0</v>
      </c>
      <c r="AD75" s="25">
        <f>ROUND(IF(AQ75="7",BH75,0),2)</f>
        <v>0</v>
      </c>
      <c r="AE75" s="25">
        <f>ROUND(IF(AQ75="7",BI75,0),2)</f>
        <v>0</v>
      </c>
      <c r="AF75" s="25">
        <f>ROUND(IF(AQ75="2",BH75,0),2)</f>
        <v>0</v>
      </c>
      <c r="AG75" s="25">
        <f>ROUND(IF(AQ75="2",BI75,0),2)</f>
        <v>0</v>
      </c>
      <c r="AH75" s="25">
        <f>ROUND(IF(AQ75="0",BJ75,0),2)</f>
        <v>0</v>
      </c>
      <c r="AI75" s="17" t="s">
        <v>4</v>
      </c>
      <c r="AJ75" s="25">
        <f>IF(AN75=0,H75,0)</f>
        <v>0</v>
      </c>
      <c r="AK75" s="25">
        <f>IF(AN75=12,H75,0)</f>
        <v>0</v>
      </c>
      <c r="AL75" s="25">
        <f>IF(AN75=21,H75,0)</f>
        <v>0</v>
      </c>
      <c r="AN75" s="25">
        <v>12</v>
      </c>
      <c r="AO75" s="25">
        <f>G75*0.284296814</f>
        <v>0</v>
      </c>
      <c r="AP75" s="25">
        <f>G75*(1-0.284296814)</f>
        <v>0</v>
      </c>
      <c r="AQ75" s="26" t="s">
        <v>156</v>
      </c>
      <c r="AV75" s="25">
        <f>ROUND(AW75+AX75,2)</f>
        <v>0</v>
      </c>
      <c r="AW75" s="25">
        <f>ROUND(F75*AO75,2)</f>
        <v>0</v>
      </c>
      <c r="AX75" s="25">
        <f>ROUND(F75*AP75,2)</f>
        <v>0</v>
      </c>
      <c r="AY75" s="26" t="s">
        <v>254</v>
      </c>
      <c r="AZ75" s="26" t="s">
        <v>255</v>
      </c>
      <c r="BA75" s="17" t="s">
        <v>117</v>
      </c>
      <c r="BC75" s="25">
        <f>AW75+AX75</f>
        <v>0</v>
      </c>
      <c r="BD75" s="25">
        <f>G75/(100-BE75)*100</f>
        <v>0</v>
      </c>
      <c r="BE75" s="25">
        <v>0</v>
      </c>
      <c r="BF75" s="25">
        <f>75</f>
        <v>75</v>
      </c>
      <c r="BH75" s="25">
        <f>F75*AO75</f>
        <v>0</v>
      </c>
      <c r="BI75" s="25">
        <f>F75*AP75</f>
        <v>0</v>
      </c>
      <c r="BJ75" s="25">
        <f>F75*G75</f>
        <v>0</v>
      </c>
      <c r="BK75" s="26" t="s">
        <v>118</v>
      </c>
      <c r="BL75" s="25">
        <v>776</v>
      </c>
      <c r="BW75" s="25">
        <v>12</v>
      </c>
      <c r="BX75" s="2" t="s">
        <v>265</v>
      </c>
    </row>
    <row r="76" spans="1:76" ht="13.5" customHeight="1">
      <c r="A76" s="136"/>
      <c r="B76" s="30" t="s">
        <v>141</v>
      </c>
      <c r="C76" s="74" t="s">
        <v>266</v>
      </c>
      <c r="D76" s="75"/>
      <c r="E76" s="75"/>
      <c r="F76" s="75"/>
      <c r="G76" s="137"/>
      <c r="H76" s="75"/>
      <c r="I76" s="75"/>
      <c r="J76" s="138"/>
    </row>
    <row r="77" spans="1:76">
      <c r="A77" s="134" t="s">
        <v>267</v>
      </c>
      <c r="B77" s="1" t="s">
        <v>268</v>
      </c>
      <c r="C77" s="42" t="s">
        <v>269</v>
      </c>
      <c r="D77" s="40"/>
      <c r="E77" s="1" t="s">
        <v>114</v>
      </c>
      <c r="F77" s="25">
        <v>28.81</v>
      </c>
      <c r="G77" s="135"/>
      <c r="H77" s="25">
        <f>ROUND(F77*G77,2)</f>
        <v>0</v>
      </c>
      <c r="J77" s="16"/>
      <c r="Z77" s="25">
        <f>ROUND(IF(AQ77="5",BJ77,0),2)</f>
        <v>0</v>
      </c>
      <c r="AB77" s="25">
        <f>ROUND(IF(AQ77="1",BH77,0),2)</f>
        <v>0</v>
      </c>
      <c r="AC77" s="25">
        <f>ROUND(IF(AQ77="1",BI77,0),2)</f>
        <v>0</v>
      </c>
      <c r="AD77" s="25">
        <f>ROUND(IF(AQ77="7",BH77,0),2)</f>
        <v>0</v>
      </c>
      <c r="AE77" s="25">
        <f>ROUND(IF(AQ77="7",BI77,0),2)</f>
        <v>0</v>
      </c>
      <c r="AF77" s="25">
        <f>ROUND(IF(AQ77="2",BH77,0),2)</f>
        <v>0</v>
      </c>
      <c r="AG77" s="25">
        <f>ROUND(IF(AQ77="2",BI77,0),2)</f>
        <v>0</v>
      </c>
      <c r="AH77" s="25">
        <f>ROUND(IF(AQ77="0",BJ77,0),2)</f>
        <v>0</v>
      </c>
      <c r="AI77" s="17" t="s">
        <v>4</v>
      </c>
      <c r="AJ77" s="25">
        <f>IF(AN77=0,H77,0)</f>
        <v>0</v>
      </c>
      <c r="AK77" s="25">
        <f>IF(AN77=12,H77,0)</f>
        <v>0</v>
      </c>
      <c r="AL77" s="25">
        <f>IF(AN77=21,H77,0)</f>
        <v>0</v>
      </c>
      <c r="AN77" s="25">
        <v>12</v>
      </c>
      <c r="AO77" s="25">
        <f>G77*0.159144639</f>
        <v>0</v>
      </c>
      <c r="AP77" s="25">
        <f>G77*(1-0.159144639)</f>
        <v>0</v>
      </c>
      <c r="AQ77" s="26" t="s">
        <v>156</v>
      </c>
      <c r="AV77" s="25">
        <f>ROUND(AW77+AX77,2)</f>
        <v>0</v>
      </c>
      <c r="AW77" s="25">
        <f>ROUND(F77*AO77,2)</f>
        <v>0</v>
      </c>
      <c r="AX77" s="25">
        <f>ROUND(F77*AP77,2)</f>
        <v>0</v>
      </c>
      <c r="AY77" s="26" t="s">
        <v>254</v>
      </c>
      <c r="AZ77" s="26" t="s">
        <v>255</v>
      </c>
      <c r="BA77" s="17" t="s">
        <v>117</v>
      </c>
      <c r="BC77" s="25">
        <f>AW77+AX77</f>
        <v>0</v>
      </c>
      <c r="BD77" s="25">
        <f>G77/(100-BE77)*100</f>
        <v>0</v>
      </c>
      <c r="BE77" s="25">
        <v>0</v>
      </c>
      <c r="BF77" s="25">
        <f>77</f>
        <v>77</v>
      </c>
      <c r="BH77" s="25">
        <f>F77*AO77</f>
        <v>0</v>
      </c>
      <c r="BI77" s="25">
        <f>F77*AP77</f>
        <v>0</v>
      </c>
      <c r="BJ77" s="25">
        <f>F77*G77</f>
        <v>0</v>
      </c>
      <c r="BK77" s="26" t="s">
        <v>118</v>
      </c>
      <c r="BL77" s="25">
        <v>776</v>
      </c>
      <c r="BW77" s="25">
        <v>12</v>
      </c>
      <c r="BX77" s="2" t="s">
        <v>269</v>
      </c>
    </row>
    <row r="78" spans="1:76">
      <c r="A78" s="134" t="s">
        <v>270</v>
      </c>
      <c r="B78" s="1" t="s">
        <v>271</v>
      </c>
      <c r="C78" s="42" t="s">
        <v>272</v>
      </c>
      <c r="D78" s="40"/>
      <c r="E78" s="1" t="s">
        <v>114</v>
      </c>
      <c r="F78" s="25">
        <v>31.46</v>
      </c>
      <c r="G78" s="135"/>
      <c r="H78" s="25">
        <f>ROUND(F78*G78,2)</f>
        <v>0</v>
      </c>
      <c r="J78" s="16"/>
      <c r="Z78" s="25">
        <f>ROUND(IF(AQ78="5",BJ78,0),2)</f>
        <v>0</v>
      </c>
      <c r="AB78" s="25">
        <f>ROUND(IF(AQ78="1",BH78,0),2)</f>
        <v>0</v>
      </c>
      <c r="AC78" s="25">
        <f>ROUND(IF(AQ78="1",BI78,0),2)</f>
        <v>0</v>
      </c>
      <c r="AD78" s="25">
        <f>ROUND(IF(AQ78="7",BH78,0),2)</f>
        <v>0</v>
      </c>
      <c r="AE78" s="25">
        <f>ROUND(IF(AQ78="7",BI78,0),2)</f>
        <v>0</v>
      </c>
      <c r="AF78" s="25">
        <f>ROUND(IF(AQ78="2",BH78,0),2)</f>
        <v>0</v>
      </c>
      <c r="AG78" s="25">
        <f>ROUND(IF(AQ78="2",BI78,0),2)</f>
        <v>0</v>
      </c>
      <c r="AH78" s="25">
        <f>ROUND(IF(AQ78="0",BJ78,0),2)</f>
        <v>0</v>
      </c>
      <c r="AI78" s="17" t="s">
        <v>4</v>
      </c>
      <c r="AJ78" s="25">
        <f>IF(AN78=0,H78,0)</f>
        <v>0</v>
      </c>
      <c r="AK78" s="25">
        <f>IF(AN78=12,H78,0)</f>
        <v>0</v>
      </c>
      <c r="AL78" s="25">
        <f>IF(AN78=21,H78,0)</f>
        <v>0</v>
      </c>
      <c r="AN78" s="25">
        <v>12</v>
      </c>
      <c r="AO78" s="25">
        <f>G78*1</f>
        <v>0</v>
      </c>
      <c r="AP78" s="25">
        <f>G78*(1-1)</f>
        <v>0</v>
      </c>
      <c r="AQ78" s="26" t="s">
        <v>156</v>
      </c>
      <c r="AV78" s="25">
        <f>ROUND(AW78+AX78,2)</f>
        <v>0</v>
      </c>
      <c r="AW78" s="25">
        <f>ROUND(F78*AO78,2)</f>
        <v>0</v>
      </c>
      <c r="AX78" s="25">
        <f>ROUND(F78*AP78,2)</f>
        <v>0</v>
      </c>
      <c r="AY78" s="26" t="s">
        <v>254</v>
      </c>
      <c r="AZ78" s="26" t="s">
        <v>255</v>
      </c>
      <c r="BA78" s="17" t="s">
        <v>117</v>
      </c>
      <c r="BC78" s="25">
        <f>AW78+AX78</f>
        <v>0</v>
      </c>
      <c r="BD78" s="25">
        <f>G78/(100-BE78)*100</f>
        <v>0</v>
      </c>
      <c r="BE78" s="25">
        <v>0</v>
      </c>
      <c r="BF78" s="25">
        <f>78</f>
        <v>78</v>
      </c>
      <c r="BH78" s="25">
        <f>F78*AO78</f>
        <v>0</v>
      </c>
      <c r="BI78" s="25">
        <f>F78*AP78</f>
        <v>0</v>
      </c>
      <c r="BJ78" s="25">
        <f>F78*G78</f>
        <v>0</v>
      </c>
      <c r="BK78" s="26" t="s">
        <v>273</v>
      </c>
      <c r="BL78" s="25">
        <v>776</v>
      </c>
      <c r="BW78" s="25">
        <v>12</v>
      </c>
      <c r="BX78" s="2" t="s">
        <v>272</v>
      </c>
    </row>
    <row r="79" spans="1:76">
      <c r="A79" s="136"/>
      <c r="C79" s="27" t="s">
        <v>274</v>
      </c>
      <c r="D79" s="28" t="s">
        <v>4</v>
      </c>
      <c r="F79" s="29">
        <v>31.46</v>
      </c>
      <c r="J79" s="16"/>
    </row>
    <row r="80" spans="1:76">
      <c r="A80" s="134" t="s">
        <v>275</v>
      </c>
      <c r="B80" s="1" t="s">
        <v>276</v>
      </c>
      <c r="C80" s="42" t="s">
        <v>277</v>
      </c>
      <c r="D80" s="40"/>
      <c r="E80" s="1" t="s">
        <v>169</v>
      </c>
      <c r="F80" s="25">
        <v>1.6</v>
      </c>
      <c r="G80" s="135"/>
      <c r="H80" s="25">
        <f>ROUND(F80*G80,2)</f>
        <v>0</v>
      </c>
      <c r="J80" s="16"/>
      <c r="Z80" s="25">
        <f>ROUND(IF(AQ80="5",BJ80,0),2)</f>
        <v>0</v>
      </c>
      <c r="AB80" s="25">
        <f>ROUND(IF(AQ80="1",BH80,0),2)</f>
        <v>0</v>
      </c>
      <c r="AC80" s="25">
        <f>ROUND(IF(AQ80="1",BI80,0),2)</f>
        <v>0</v>
      </c>
      <c r="AD80" s="25">
        <f>ROUND(IF(AQ80="7",BH80,0),2)</f>
        <v>0</v>
      </c>
      <c r="AE80" s="25">
        <f>ROUND(IF(AQ80="7",BI80,0),2)</f>
        <v>0</v>
      </c>
      <c r="AF80" s="25">
        <f>ROUND(IF(AQ80="2",BH80,0),2)</f>
        <v>0</v>
      </c>
      <c r="AG80" s="25">
        <f>ROUND(IF(AQ80="2",BI80,0),2)</f>
        <v>0</v>
      </c>
      <c r="AH80" s="25">
        <f>ROUND(IF(AQ80="0",BJ80,0),2)</f>
        <v>0</v>
      </c>
      <c r="AI80" s="17" t="s">
        <v>4</v>
      </c>
      <c r="AJ80" s="25">
        <f>IF(AN80=0,H80,0)</f>
        <v>0</v>
      </c>
      <c r="AK80" s="25">
        <f>IF(AN80=12,H80,0)</f>
        <v>0</v>
      </c>
      <c r="AL80" s="25">
        <f>IF(AN80=21,H80,0)</f>
        <v>0</v>
      </c>
      <c r="AN80" s="25">
        <v>12</v>
      </c>
      <c r="AO80" s="25">
        <f>G80*0.616034894</f>
        <v>0</v>
      </c>
      <c r="AP80" s="25">
        <f>G80*(1-0.616034894)</f>
        <v>0</v>
      </c>
      <c r="AQ80" s="26" t="s">
        <v>156</v>
      </c>
      <c r="AV80" s="25">
        <f>ROUND(AW80+AX80,2)</f>
        <v>0</v>
      </c>
      <c r="AW80" s="25">
        <f>ROUND(F80*AO80,2)</f>
        <v>0</v>
      </c>
      <c r="AX80" s="25">
        <f>ROUND(F80*AP80,2)</f>
        <v>0</v>
      </c>
      <c r="AY80" s="26" t="s">
        <v>254</v>
      </c>
      <c r="AZ80" s="26" t="s">
        <v>255</v>
      </c>
      <c r="BA80" s="17" t="s">
        <v>117</v>
      </c>
      <c r="BC80" s="25">
        <f>AW80+AX80</f>
        <v>0</v>
      </c>
      <c r="BD80" s="25">
        <f>G80/(100-BE80)*100</f>
        <v>0</v>
      </c>
      <c r="BE80" s="25">
        <v>0</v>
      </c>
      <c r="BF80" s="25">
        <f>80</f>
        <v>80</v>
      </c>
      <c r="BH80" s="25">
        <f>F80*AO80</f>
        <v>0</v>
      </c>
      <c r="BI80" s="25">
        <f>F80*AP80</f>
        <v>0</v>
      </c>
      <c r="BJ80" s="25">
        <f>F80*G80</f>
        <v>0</v>
      </c>
      <c r="BK80" s="26" t="s">
        <v>118</v>
      </c>
      <c r="BL80" s="25">
        <v>776</v>
      </c>
      <c r="BW80" s="25">
        <v>12</v>
      </c>
      <c r="BX80" s="2" t="s">
        <v>277</v>
      </c>
    </row>
    <row r="81" spans="1:76" ht="13.5" customHeight="1">
      <c r="A81" s="136"/>
      <c r="B81" s="30" t="s">
        <v>141</v>
      </c>
      <c r="C81" s="74" t="s">
        <v>278</v>
      </c>
      <c r="D81" s="75"/>
      <c r="E81" s="75"/>
      <c r="F81" s="75"/>
      <c r="G81" s="137"/>
      <c r="H81" s="75"/>
      <c r="I81" s="75"/>
      <c r="J81" s="138"/>
    </row>
    <row r="82" spans="1:76">
      <c r="A82" s="136"/>
      <c r="C82" s="27" t="s">
        <v>279</v>
      </c>
      <c r="D82" s="28" t="s">
        <v>4</v>
      </c>
      <c r="F82" s="29">
        <v>1.6</v>
      </c>
      <c r="J82" s="16"/>
    </row>
    <row r="83" spans="1:76">
      <c r="A83" s="134" t="s">
        <v>280</v>
      </c>
      <c r="B83" s="1" t="s">
        <v>281</v>
      </c>
      <c r="C83" s="42" t="s">
        <v>282</v>
      </c>
      <c r="D83" s="40"/>
      <c r="E83" s="1" t="s">
        <v>195</v>
      </c>
      <c r="F83" s="25">
        <v>0.19600000000000001</v>
      </c>
      <c r="G83" s="135"/>
      <c r="H83" s="25">
        <f>ROUND(F83*G83,2)</f>
        <v>0</v>
      </c>
      <c r="J83" s="16"/>
      <c r="Z83" s="25">
        <f>ROUND(IF(AQ83="5",BJ83,0),2)</f>
        <v>0</v>
      </c>
      <c r="AB83" s="25">
        <f>ROUND(IF(AQ83="1",BH83,0),2)</f>
        <v>0</v>
      </c>
      <c r="AC83" s="25">
        <f>ROUND(IF(AQ83="1",BI83,0),2)</f>
        <v>0</v>
      </c>
      <c r="AD83" s="25">
        <f>ROUND(IF(AQ83="7",BH83,0),2)</f>
        <v>0</v>
      </c>
      <c r="AE83" s="25">
        <f>ROUND(IF(AQ83="7",BI83,0),2)</f>
        <v>0</v>
      </c>
      <c r="AF83" s="25">
        <f>ROUND(IF(AQ83="2",BH83,0),2)</f>
        <v>0</v>
      </c>
      <c r="AG83" s="25">
        <f>ROUND(IF(AQ83="2",BI83,0),2)</f>
        <v>0</v>
      </c>
      <c r="AH83" s="25">
        <f>ROUND(IF(AQ83="0",BJ83,0),2)</f>
        <v>0</v>
      </c>
      <c r="AI83" s="17" t="s">
        <v>4</v>
      </c>
      <c r="AJ83" s="25">
        <f>IF(AN83=0,H83,0)</f>
        <v>0</v>
      </c>
      <c r="AK83" s="25">
        <f>IF(AN83=12,H83,0)</f>
        <v>0</v>
      </c>
      <c r="AL83" s="25">
        <f>IF(AN83=21,H83,0)</f>
        <v>0</v>
      </c>
      <c r="AN83" s="25">
        <v>12</v>
      </c>
      <c r="AO83" s="25">
        <f>G83*0</f>
        <v>0</v>
      </c>
      <c r="AP83" s="25">
        <f>G83*(1-0)</f>
        <v>0</v>
      </c>
      <c r="AQ83" s="26" t="s">
        <v>143</v>
      </c>
      <c r="AV83" s="25">
        <f>ROUND(AW83+AX83,2)</f>
        <v>0</v>
      </c>
      <c r="AW83" s="25">
        <f>ROUND(F83*AO83,2)</f>
        <v>0</v>
      </c>
      <c r="AX83" s="25">
        <f>ROUND(F83*AP83,2)</f>
        <v>0</v>
      </c>
      <c r="AY83" s="26" t="s">
        <v>254</v>
      </c>
      <c r="AZ83" s="26" t="s">
        <v>255</v>
      </c>
      <c r="BA83" s="17" t="s">
        <v>117</v>
      </c>
      <c r="BC83" s="25">
        <f>AW83+AX83</f>
        <v>0</v>
      </c>
      <c r="BD83" s="25">
        <f>G83/(100-BE83)*100</f>
        <v>0</v>
      </c>
      <c r="BE83" s="25">
        <v>0</v>
      </c>
      <c r="BF83" s="25">
        <f>83</f>
        <v>83</v>
      </c>
      <c r="BH83" s="25">
        <f>F83*AO83</f>
        <v>0</v>
      </c>
      <c r="BI83" s="25">
        <f>F83*AP83</f>
        <v>0</v>
      </c>
      <c r="BJ83" s="25">
        <f>F83*G83</f>
        <v>0</v>
      </c>
      <c r="BK83" s="26" t="s">
        <v>118</v>
      </c>
      <c r="BL83" s="25">
        <v>776</v>
      </c>
      <c r="BW83" s="25">
        <v>12</v>
      </c>
      <c r="BX83" s="2" t="s">
        <v>282</v>
      </c>
    </row>
    <row r="84" spans="1:76">
      <c r="A84" s="133" t="s">
        <v>4</v>
      </c>
      <c r="B84" s="22" t="s">
        <v>283</v>
      </c>
      <c r="C84" s="72" t="s">
        <v>284</v>
      </c>
      <c r="D84" s="73"/>
      <c r="E84" s="23" t="s">
        <v>79</v>
      </c>
      <c r="F84" s="23" t="s">
        <v>79</v>
      </c>
      <c r="G84" s="24" t="s">
        <v>79</v>
      </c>
      <c r="H84" s="13">
        <f>SUM(H85:H87)</f>
        <v>0</v>
      </c>
      <c r="J84" s="16"/>
      <c r="AI84" s="17" t="s">
        <v>4</v>
      </c>
      <c r="AS84" s="13">
        <f>SUM(AJ85:AJ87)</f>
        <v>0</v>
      </c>
      <c r="AT84" s="13">
        <f>SUM(AK85:AK87)</f>
        <v>0</v>
      </c>
      <c r="AU84" s="13">
        <f>SUM(AL85:AL87)</f>
        <v>0</v>
      </c>
    </row>
    <row r="85" spans="1:76">
      <c r="A85" s="134" t="s">
        <v>285</v>
      </c>
      <c r="B85" s="1" t="s">
        <v>286</v>
      </c>
      <c r="C85" s="42" t="s">
        <v>287</v>
      </c>
      <c r="D85" s="40"/>
      <c r="E85" s="1" t="s">
        <v>114</v>
      </c>
      <c r="F85" s="25">
        <v>28.6</v>
      </c>
      <c r="G85" s="135"/>
      <c r="H85" s="25">
        <f>ROUND(F85*G85,2)</f>
        <v>0</v>
      </c>
      <c r="J85" s="16"/>
      <c r="Z85" s="25">
        <f>ROUND(IF(AQ85="5",BJ85,0),2)</f>
        <v>0</v>
      </c>
      <c r="AB85" s="25">
        <f>ROUND(IF(AQ85="1",BH85,0),2)</f>
        <v>0</v>
      </c>
      <c r="AC85" s="25">
        <f>ROUND(IF(AQ85="1",BI85,0),2)</f>
        <v>0</v>
      </c>
      <c r="AD85" s="25">
        <f>ROUND(IF(AQ85="7",BH85,0),2)</f>
        <v>0</v>
      </c>
      <c r="AE85" s="25">
        <f>ROUND(IF(AQ85="7",BI85,0),2)</f>
        <v>0</v>
      </c>
      <c r="AF85" s="25">
        <f>ROUND(IF(AQ85="2",BH85,0),2)</f>
        <v>0</v>
      </c>
      <c r="AG85" s="25">
        <f>ROUND(IF(AQ85="2",BI85,0),2)</f>
        <v>0</v>
      </c>
      <c r="AH85" s="25">
        <f>ROUND(IF(AQ85="0",BJ85,0),2)</f>
        <v>0</v>
      </c>
      <c r="AI85" s="17" t="s">
        <v>4</v>
      </c>
      <c r="AJ85" s="25">
        <f>IF(AN85=0,H85,0)</f>
        <v>0</v>
      </c>
      <c r="AK85" s="25">
        <f>IF(AN85=12,H85,0)</f>
        <v>0</v>
      </c>
      <c r="AL85" s="25">
        <f>IF(AN85=21,H85,0)</f>
        <v>0</v>
      </c>
      <c r="AN85" s="25">
        <v>12</v>
      </c>
      <c r="AO85" s="25">
        <f>G85*0.14701623</f>
        <v>0</v>
      </c>
      <c r="AP85" s="25">
        <f>G85*(1-0.14701623)</f>
        <v>0</v>
      </c>
      <c r="AQ85" s="26" t="s">
        <v>156</v>
      </c>
      <c r="AV85" s="25">
        <f>ROUND(AW85+AX85,2)</f>
        <v>0</v>
      </c>
      <c r="AW85" s="25">
        <f>ROUND(F85*AO85,2)</f>
        <v>0</v>
      </c>
      <c r="AX85" s="25">
        <f>ROUND(F85*AP85,2)</f>
        <v>0</v>
      </c>
      <c r="AY85" s="26" t="s">
        <v>288</v>
      </c>
      <c r="AZ85" s="26" t="s">
        <v>255</v>
      </c>
      <c r="BA85" s="17" t="s">
        <v>117</v>
      </c>
      <c r="BC85" s="25">
        <f>AW85+AX85</f>
        <v>0</v>
      </c>
      <c r="BD85" s="25">
        <f>G85/(100-BE85)*100</f>
        <v>0</v>
      </c>
      <c r="BE85" s="25">
        <v>0</v>
      </c>
      <c r="BF85" s="25">
        <f>85</f>
        <v>85</v>
      </c>
      <c r="BH85" s="25">
        <f>F85*AO85</f>
        <v>0</v>
      </c>
      <c r="BI85" s="25">
        <f>F85*AP85</f>
        <v>0</v>
      </c>
      <c r="BJ85" s="25">
        <f>F85*G85</f>
        <v>0</v>
      </c>
      <c r="BK85" s="26" t="s">
        <v>118</v>
      </c>
      <c r="BL85" s="25">
        <v>777</v>
      </c>
      <c r="BW85" s="25">
        <v>12</v>
      </c>
      <c r="BX85" s="2" t="s">
        <v>287</v>
      </c>
    </row>
    <row r="86" spans="1:76">
      <c r="A86" s="134" t="s">
        <v>289</v>
      </c>
      <c r="B86" s="1" t="s">
        <v>290</v>
      </c>
      <c r="C86" s="42" t="s">
        <v>291</v>
      </c>
      <c r="D86" s="40"/>
      <c r="E86" s="1" t="s">
        <v>114</v>
      </c>
      <c r="F86" s="25">
        <v>28.6</v>
      </c>
      <c r="G86" s="135"/>
      <c r="H86" s="25">
        <f>ROUND(F86*G86,2)</f>
        <v>0</v>
      </c>
      <c r="J86" s="16"/>
      <c r="Z86" s="25">
        <f>ROUND(IF(AQ86="5",BJ86,0),2)</f>
        <v>0</v>
      </c>
      <c r="AB86" s="25">
        <f>ROUND(IF(AQ86="1",BH86,0),2)</f>
        <v>0</v>
      </c>
      <c r="AC86" s="25">
        <f>ROUND(IF(AQ86="1",BI86,0),2)</f>
        <v>0</v>
      </c>
      <c r="AD86" s="25">
        <f>ROUND(IF(AQ86="7",BH86,0),2)</f>
        <v>0</v>
      </c>
      <c r="AE86" s="25">
        <f>ROUND(IF(AQ86="7",BI86,0),2)</f>
        <v>0</v>
      </c>
      <c r="AF86" s="25">
        <f>ROUND(IF(AQ86="2",BH86,0),2)</f>
        <v>0</v>
      </c>
      <c r="AG86" s="25">
        <f>ROUND(IF(AQ86="2",BI86,0),2)</f>
        <v>0</v>
      </c>
      <c r="AH86" s="25">
        <f>ROUND(IF(AQ86="0",BJ86,0),2)</f>
        <v>0</v>
      </c>
      <c r="AI86" s="17" t="s">
        <v>4</v>
      </c>
      <c r="AJ86" s="25">
        <f>IF(AN86=0,H86,0)</f>
        <v>0</v>
      </c>
      <c r="AK86" s="25">
        <f>IF(AN86=12,H86,0)</f>
        <v>0</v>
      </c>
      <c r="AL86" s="25">
        <f>IF(AN86=21,H86,0)</f>
        <v>0</v>
      </c>
      <c r="AN86" s="25">
        <v>12</v>
      </c>
      <c r="AO86" s="25">
        <f>G86*0.198619964</f>
        <v>0</v>
      </c>
      <c r="AP86" s="25">
        <f>G86*(1-0.198619964)</f>
        <v>0</v>
      </c>
      <c r="AQ86" s="26" t="s">
        <v>156</v>
      </c>
      <c r="AV86" s="25">
        <f>ROUND(AW86+AX86,2)</f>
        <v>0</v>
      </c>
      <c r="AW86" s="25">
        <f>ROUND(F86*AO86,2)</f>
        <v>0</v>
      </c>
      <c r="AX86" s="25">
        <f>ROUND(F86*AP86,2)</f>
        <v>0</v>
      </c>
      <c r="AY86" s="26" t="s">
        <v>288</v>
      </c>
      <c r="AZ86" s="26" t="s">
        <v>255</v>
      </c>
      <c r="BA86" s="17" t="s">
        <v>117</v>
      </c>
      <c r="BC86" s="25">
        <f>AW86+AX86</f>
        <v>0</v>
      </c>
      <c r="BD86" s="25">
        <f>G86/(100-BE86)*100</f>
        <v>0</v>
      </c>
      <c r="BE86" s="25">
        <v>0</v>
      </c>
      <c r="BF86" s="25">
        <f>86</f>
        <v>86</v>
      </c>
      <c r="BH86" s="25">
        <f>F86*AO86</f>
        <v>0</v>
      </c>
      <c r="BI86" s="25">
        <f>F86*AP86</f>
        <v>0</v>
      </c>
      <c r="BJ86" s="25">
        <f>F86*G86</f>
        <v>0</v>
      </c>
      <c r="BK86" s="26" t="s">
        <v>118</v>
      </c>
      <c r="BL86" s="25">
        <v>777</v>
      </c>
      <c r="BW86" s="25">
        <v>12</v>
      </c>
      <c r="BX86" s="2" t="s">
        <v>291</v>
      </c>
    </row>
    <row r="87" spans="1:76">
      <c r="A87" s="134" t="s">
        <v>292</v>
      </c>
      <c r="B87" s="1" t="s">
        <v>293</v>
      </c>
      <c r="C87" s="42" t="s">
        <v>294</v>
      </c>
      <c r="D87" s="40"/>
      <c r="E87" s="1" t="s">
        <v>195</v>
      </c>
      <c r="F87" s="25">
        <v>8.6999999999999994E-2</v>
      </c>
      <c r="G87" s="135"/>
      <c r="H87" s="25">
        <f>ROUND(F87*G87,2)</f>
        <v>0</v>
      </c>
      <c r="J87" s="16"/>
      <c r="Z87" s="25">
        <f>ROUND(IF(AQ87="5",BJ87,0),2)</f>
        <v>0</v>
      </c>
      <c r="AB87" s="25">
        <f>ROUND(IF(AQ87="1",BH87,0),2)</f>
        <v>0</v>
      </c>
      <c r="AC87" s="25">
        <f>ROUND(IF(AQ87="1",BI87,0),2)</f>
        <v>0</v>
      </c>
      <c r="AD87" s="25">
        <f>ROUND(IF(AQ87="7",BH87,0),2)</f>
        <v>0</v>
      </c>
      <c r="AE87" s="25">
        <f>ROUND(IF(AQ87="7",BI87,0),2)</f>
        <v>0</v>
      </c>
      <c r="AF87" s="25">
        <f>ROUND(IF(AQ87="2",BH87,0),2)</f>
        <v>0</v>
      </c>
      <c r="AG87" s="25">
        <f>ROUND(IF(AQ87="2",BI87,0),2)</f>
        <v>0</v>
      </c>
      <c r="AH87" s="25">
        <f>ROUND(IF(AQ87="0",BJ87,0),2)</f>
        <v>0</v>
      </c>
      <c r="AI87" s="17" t="s">
        <v>4</v>
      </c>
      <c r="AJ87" s="25">
        <f>IF(AN87=0,H87,0)</f>
        <v>0</v>
      </c>
      <c r="AK87" s="25">
        <f>IF(AN87=12,H87,0)</f>
        <v>0</v>
      </c>
      <c r="AL87" s="25">
        <f>IF(AN87=21,H87,0)</f>
        <v>0</v>
      </c>
      <c r="AN87" s="25">
        <v>12</v>
      </c>
      <c r="AO87" s="25">
        <f>G87*0</f>
        <v>0</v>
      </c>
      <c r="AP87" s="25">
        <f>G87*(1-0)</f>
        <v>0</v>
      </c>
      <c r="AQ87" s="26" t="s">
        <v>143</v>
      </c>
      <c r="AV87" s="25">
        <f>ROUND(AW87+AX87,2)</f>
        <v>0</v>
      </c>
      <c r="AW87" s="25">
        <f>ROUND(F87*AO87,2)</f>
        <v>0</v>
      </c>
      <c r="AX87" s="25">
        <f>ROUND(F87*AP87,2)</f>
        <v>0</v>
      </c>
      <c r="AY87" s="26" t="s">
        <v>288</v>
      </c>
      <c r="AZ87" s="26" t="s">
        <v>255</v>
      </c>
      <c r="BA87" s="17" t="s">
        <v>117</v>
      </c>
      <c r="BC87" s="25">
        <f>AW87+AX87</f>
        <v>0</v>
      </c>
      <c r="BD87" s="25">
        <f>G87/(100-BE87)*100</f>
        <v>0</v>
      </c>
      <c r="BE87" s="25">
        <v>0</v>
      </c>
      <c r="BF87" s="25">
        <f>87</f>
        <v>87</v>
      </c>
      <c r="BH87" s="25">
        <f>F87*AO87</f>
        <v>0</v>
      </c>
      <c r="BI87" s="25">
        <f>F87*AP87</f>
        <v>0</v>
      </c>
      <c r="BJ87" s="25">
        <f>F87*G87</f>
        <v>0</v>
      </c>
      <c r="BK87" s="26" t="s">
        <v>118</v>
      </c>
      <c r="BL87" s="25">
        <v>777</v>
      </c>
      <c r="BW87" s="25">
        <v>12</v>
      </c>
      <c r="BX87" s="2" t="s">
        <v>294</v>
      </c>
    </row>
    <row r="88" spans="1:76">
      <c r="A88" s="133" t="s">
        <v>4</v>
      </c>
      <c r="B88" s="22" t="s">
        <v>295</v>
      </c>
      <c r="C88" s="72" t="s">
        <v>296</v>
      </c>
      <c r="D88" s="73"/>
      <c r="E88" s="23" t="s">
        <v>79</v>
      </c>
      <c r="F88" s="23" t="s">
        <v>79</v>
      </c>
      <c r="G88" s="24" t="s">
        <v>79</v>
      </c>
      <c r="H88" s="13">
        <f>SUM(H89:H90)</f>
        <v>0</v>
      </c>
      <c r="J88" s="16"/>
      <c r="AI88" s="17" t="s">
        <v>4</v>
      </c>
      <c r="AS88" s="13">
        <f>SUM(AJ89:AJ90)</f>
        <v>0</v>
      </c>
      <c r="AT88" s="13">
        <f>SUM(AK89:AK90)</f>
        <v>0</v>
      </c>
      <c r="AU88" s="13">
        <f>SUM(AL89:AL90)</f>
        <v>0</v>
      </c>
    </row>
    <row r="89" spans="1:76">
      <c r="A89" s="134" t="s">
        <v>297</v>
      </c>
      <c r="B89" s="1" t="s">
        <v>298</v>
      </c>
      <c r="C89" s="42" t="s">
        <v>299</v>
      </c>
      <c r="D89" s="40"/>
      <c r="E89" s="1" t="s">
        <v>169</v>
      </c>
      <c r="F89" s="25">
        <v>5</v>
      </c>
      <c r="G89" s="135"/>
      <c r="H89" s="25">
        <f>ROUND(F89*G89,2)</f>
        <v>0</v>
      </c>
      <c r="J89" s="16"/>
      <c r="Z89" s="25">
        <f>ROUND(IF(AQ89="5",BJ89,0),2)</f>
        <v>0</v>
      </c>
      <c r="AB89" s="25">
        <f>ROUND(IF(AQ89="1",BH89,0),2)</f>
        <v>0</v>
      </c>
      <c r="AC89" s="25">
        <f>ROUND(IF(AQ89="1",BI89,0),2)</f>
        <v>0</v>
      </c>
      <c r="AD89" s="25">
        <f>ROUND(IF(AQ89="7",BH89,0),2)</f>
        <v>0</v>
      </c>
      <c r="AE89" s="25">
        <f>ROUND(IF(AQ89="7",BI89,0),2)</f>
        <v>0</v>
      </c>
      <c r="AF89" s="25">
        <f>ROUND(IF(AQ89="2",BH89,0),2)</f>
        <v>0</v>
      </c>
      <c r="AG89" s="25">
        <f>ROUND(IF(AQ89="2",BI89,0),2)</f>
        <v>0</v>
      </c>
      <c r="AH89" s="25">
        <f>ROUND(IF(AQ89="0",BJ89,0),2)</f>
        <v>0</v>
      </c>
      <c r="AI89" s="17" t="s">
        <v>4</v>
      </c>
      <c r="AJ89" s="25">
        <f>IF(AN89=0,H89,0)</f>
        <v>0</v>
      </c>
      <c r="AK89" s="25">
        <f>IF(AN89=12,H89,0)</f>
        <v>0</v>
      </c>
      <c r="AL89" s="25">
        <f>IF(AN89=21,H89,0)</f>
        <v>0</v>
      </c>
      <c r="AN89" s="25">
        <v>12</v>
      </c>
      <c r="AO89" s="25">
        <f>G89*0.178494624</f>
        <v>0</v>
      </c>
      <c r="AP89" s="25">
        <f>G89*(1-0.178494624)</f>
        <v>0</v>
      </c>
      <c r="AQ89" s="26" t="s">
        <v>156</v>
      </c>
      <c r="AV89" s="25">
        <f>ROUND(AW89+AX89,2)</f>
        <v>0</v>
      </c>
      <c r="AW89" s="25">
        <f>ROUND(F89*AO89,2)</f>
        <v>0</v>
      </c>
      <c r="AX89" s="25">
        <f>ROUND(F89*AP89,2)</f>
        <v>0</v>
      </c>
      <c r="AY89" s="26" t="s">
        <v>300</v>
      </c>
      <c r="AZ89" s="26" t="s">
        <v>301</v>
      </c>
      <c r="BA89" s="17" t="s">
        <v>117</v>
      </c>
      <c r="BC89" s="25">
        <f>AW89+AX89</f>
        <v>0</v>
      </c>
      <c r="BD89" s="25">
        <f>G89/(100-BE89)*100</f>
        <v>0</v>
      </c>
      <c r="BE89" s="25">
        <v>0</v>
      </c>
      <c r="BF89" s="25">
        <f>89</f>
        <v>89</v>
      </c>
      <c r="BH89" s="25">
        <f>F89*AO89</f>
        <v>0</v>
      </c>
      <c r="BI89" s="25">
        <f>F89*AP89</f>
        <v>0</v>
      </c>
      <c r="BJ89" s="25">
        <f>F89*G89</f>
        <v>0</v>
      </c>
      <c r="BK89" s="26" t="s">
        <v>118</v>
      </c>
      <c r="BL89" s="25">
        <v>783</v>
      </c>
      <c r="BW89" s="25">
        <v>12</v>
      </c>
      <c r="BX89" s="2" t="s">
        <v>299</v>
      </c>
    </row>
    <row r="90" spans="1:76">
      <c r="A90" s="134" t="s">
        <v>302</v>
      </c>
      <c r="B90" s="1" t="s">
        <v>303</v>
      </c>
      <c r="C90" s="42" t="s">
        <v>304</v>
      </c>
      <c r="D90" s="40"/>
      <c r="E90" s="1" t="s">
        <v>305</v>
      </c>
      <c r="F90" s="25">
        <v>7</v>
      </c>
      <c r="G90" s="135"/>
      <c r="H90" s="25">
        <f>ROUND(F90*G90,2)</f>
        <v>0</v>
      </c>
      <c r="J90" s="16"/>
      <c r="Z90" s="25">
        <f>ROUND(IF(AQ90="5",BJ90,0),2)</f>
        <v>0</v>
      </c>
      <c r="AB90" s="25">
        <f>ROUND(IF(AQ90="1",BH90,0),2)</f>
        <v>0</v>
      </c>
      <c r="AC90" s="25">
        <f>ROUND(IF(AQ90="1",BI90,0),2)</f>
        <v>0</v>
      </c>
      <c r="AD90" s="25">
        <f>ROUND(IF(AQ90="7",BH90,0),2)</f>
        <v>0</v>
      </c>
      <c r="AE90" s="25">
        <f>ROUND(IF(AQ90="7",BI90,0),2)</f>
        <v>0</v>
      </c>
      <c r="AF90" s="25">
        <f>ROUND(IF(AQ90="2",BH90,0),2)</f>
        <v>0</v>
      </c>
      <c r="AG90" s="25">
        <f>ROUND(IF(AQ90="2",BI90,0),2)</f>
        <v>0</v>
      </c>
      <c r="AH90" s="25">
        <f>ROUND(IF(AQ90="0",BJ90,0),2)</f>
        <v>0</v>
      </c>
      <c r="AI90" s="17" t="s">
        <v>4</v>
      </c>
      <c r="AJ90" s="25">
        <f>IF(AN90=0,H90,0)</f>
        <v>0</v>
      </c>
      <c r="AK90" s="25">
        <f>IF(AN90=12,H90,0)</f>
        <v>0</v>
      </c>
      <c r="AL90" s="25">
        <f>IF(AN90=21,H90,0)</f>
        <v>0</v>
      </c>
      <c r="AN90" s="25">
        <v>12</v>
      </c>
      <c r="AO90" s="25">
        <f>G90*0.194325</f>
        <v>0</v>
      </c>
      <c r="AP90" s="25">
        <f>G90*(1-0.194325)</f>
        <v>0</v>
      </c>
      <c r="AQ90" s="26" t="s">
        <v>156</v>
      </c>
      <c r="AV90" s="25">
        <f>ROUND(AW90+AX90,2)</f>
        <v>0</v>
      </c>
      <c r="AW90" s="25">
        <f>ROUND(F90*AO90,2)</f>
        <v>0</v>
      </c>
      <c r="AX90" s="25">
        <f>ROUND(F90*AP90,2)</f>
        <v>0</v>
      </c>
      <c r="AY90" s="26" t="s">
        <v>300</v>
      </c>
      <c r="AZ90" s="26" t="s">
        <v>301</v>
      </c>
      <c r="BA90" s="17" t="s">
        <v>117</v>
      </c>
      <c r="BC90" s="25">
        <f>AW90+AX90</f>
        <v>0</v>
      </c>
      <c r="BD90" s="25">
        <f>G90/(100-BE90)*100</f>
        <v>0</v>
      </c>
      <c r="BE90" s="25">
        <v>0</v>
      </c>
      <c r="BF90" s="25">
        <f>90</f>
        <v>90</v>
      </c>
      <c r="BH90" s="25">
        <f>F90*AO90</f>
        <v>0</v>
      </c>
      <c r="BI90" s="25">
        <f>F90*AP90</f>
        <v>0</v>
      </c>
      <c r="BJ90" s="25">
        <f>F90*G90</f>
        <v>0</v>
      </c>
      <c r="BK90" s="26" t="s">
        <v>118</v>
      </c>
      <c r="BL90" s="25">
        <v>783</v>
      </c>
      <c r="BW90" s="25">
        <v>12</v>
      </c>
      <c r="BX90" s="2" t="s">
        <v>304</v>
      </c>
    </row>
    <row r="91" spans="1:76" ht="13.5" customHeight="1">
      <c r="A91" s="136"/>
      <c r="B91" s="30" t="s">
        <v>141</v>
      </c>
      <c r="C91" s="74" t="s">
        <v>306</v>
      </c>
      <c r="D91" s="75"/>
      <c r="E91" s="75"/>
      <c r="F91" s="75"/>
      <c r="G91" s="137"/>
      <c r="H91" s="75"/>
      <c r="I91" s="75"/>
      <c r="J91" s="138"/>
    </row>
    <row r="92" spans="1:76">
      <c r="A92" s="133" t="s">
        <v>4</v>
      </c>
      <c r="B92" s="22" t="s">
        <v>307</v>
      </c>
      <c r="C92" s="72" t="s">
        <v>308</v>
      </c>
      <c r="D92" s="73"/>
      <c r="E92" s="23" t="s">
        <v>79</v>
      </c>
      <c r="F92" s="23" t="s">
        <v>79</v>
      </c>
      <c r="G92" s="24" t="s">
        <v>79</v>
      </c>
      <c r="H92" s="13">
        <f>SUM(H93:H99)</f>
        <v>0</v>
      </c>
      <c r="J92" s="16"/>
      <c r="AI92" s="17" t="s">
        <v>4</v>
      </c>
      <c r="AS92" s="13">
        <f>SUM(AJ93:AJ99)</f>
        <v>0</v>
      </c>
      <c r="AT92" s="13">
        <f>SUM(AK93:AK99)</f>
        <v>0</v>
      </c>
      <c r="AU92" s="13">
        <f>SUM(AL93:AL99)</f>
        <v>0</v>
      </c>
    </row>
    <row r="93" spans="1:76">
      <c r="A93" s="134" t="s">
        <v>309</v>
      </c>
      <c r="B93" s="1" t="s">
        <v>310</v>
      </c>
      <c r="C93" s="42" t="s">
        <v>311</v>
      </c>
      <c r="D93" s="40"/>
      <c r="E93" s="1" t="s">
        <v>114</v>
      </c>
      <c r="F93" s="25">
        <v>178.16</v>
      </c>
      <c r="G93" s="135"/>
      <c r="H93" s="25">
        <f>ROUND(F93*G93,2)</f>
        <v>0</v>
      </c>
      <c r="J93" s="16"/>
      <c r="Z93" s="25">
        <f>ROUND(IF(AQ93="5",BJ93,0),2)</f>
        <v>0</v>
      </c>
      <c r="AB93" s="25">
        <f>ROUND(IF(AQ93="1",BH93,0),2)</f>
        <v>0</v>
      </c>
      <c r="AC93" s="25">
        <f>ROUND(IF(AQ93="1",BI93,0),2)</f>
        <v>0</v>
      </c>
      <c r="AD93" s="25">
        <f>ROUND(IF(AQ93="7",BH93,0),2)</f>
        <v>0</v>
      </c>
      <c r="AE93" s="25">
        <f>ROUND(IF(AQ93="7",BI93,0),2)</f>
        <v>0</v>
      </c>
      <c r="AF93" s="25">
        <f>ROUND(IF(AQ93="2",BH93,0),2)</f>
        <v>0</v>
      </c>
      <c r="AG93" s="25">
        <f>ROUND(IF(AQ93="2",BI93,0),2)</f>
        <v>0</v>
      </c>
      <c r="AH93" s="25">
        <f>ROUND(IF(AQ93="0",BJ93,0),2)</f>
        <v>0</v>
      </c>
      <c r="AI93" s="17" t="s">
        <v>4</v>
      </c>
      <c r="AJ93" s="25">
        <f>IF(AN93=0,H93,0)</f>
        <v>0</v>
      </c>
      <c r="AK93" s="25">
        <f>IF(AN93=12,H93,0)</f>
        <v>0</v>
      </c>
      <c r="AL93" s="25">
        <f>IF(AN93=21,H93,0)</f>
        <v>0</v>
      </c>
      <c r="AN93" s="25">
        <v>12</v>
      </c>
      <c r="AO93" s="25">
        <f>G93*0.002099495</f>
        <v>0</v>
      </c>
      <c r="AP93" s="25">
        <f>G93*(1-0.002099495)</f>
        <v>0</v>
      </c>
      <c r="AQ93" s="26" t="s">
        <v>156</v>
      </c>
      <c r="AV93" s="25">
        <f>ROUND(AW93+AX93,2)</f>
        <v>0</v>
      </c>
      <c r="AW93" s="25">
        <f>ROUND(F93*AO93,2)</f>
        <v>0</v>
      </c>
      <c r="AX93" s="25">
        <f>ROUND(F93*AP93,2)</f>
        <v>0</v>
      </c>
      <c r="AY93" s="26" t="s">
        <v>312</v>
      </c>
      <c r="AZ93" s="26" t="s">
        <v>301</v>
      </c>
      <c r="BA93" s="17" t="s">
        <v>117</v>
      </c>
      <c r="BC93" s="25">
        <f>AW93+AX93</f>
        <v>0</v>
      </c>
      <c r="BD93" s="25">
        <f>G93/(100-BE93)*100</f>
        <v>0</v>
      </c>
      <c r="BE93" s="25">
        <v>0</v>
      </c>
      <c r="BF93" s="25">
        <f>93</f>
        <v>93</v>
      </c>
      <c r="BH93" s="25">
        <f>F93*AO93</f>
        <v>0</v>
      </c>
      <c r="BI93" s="25">
        <f>F93*AP93</f>
        <v>0</v>
      </c>
      <c r="BJ93" s="25">
        <f>F93*G93</f>
        <v>0</v>
      </c>
      <c r="BK93" s="26" t="s">
        <v>118</v>
      </c>
      <c r="BL93" s="25">
        <v>784</v>
      </c>
      <c r="BW93" s="25">
        <v>12</v>
      </c>
      <c r="BX93" s="2" t="s">
        <v>311</v>
      </c>
    </row>
    <row r="94" spans="1:76">
      <c r="A94" s="136"/>
      <c r="C94" s="27" t="s">
        <v>313</v>
      </c>
      <c r="D94" s="28" t="s">
        <v>314</v>
      </c>
      <c r="F94" s="29">
        <v>53.61</v>
      </c>
      <c r="J94" s="16"/>
    </row>
    <row r="95" spans="1:76">
      <c r="A95" s="136"/>
      <c r="C95" s="27" t="s">
        <v>315</v>
      </c>
      <c r="D95" s="28" t="s">
        <v>316</v>
      </c>
      <c r="F95" s="29">
        <v>124.55</v>
      </c>
      <c r="J95" s="16"/>
    </row>
    <row r="96" spans="1:76">
      <c r="A96" s="134" t="s">
        <v>317</v>
      </c>
      <c r="B96" s="1" t="s">
        <v>318</v>
      </c>
      <c r="C96" s="42" t="s">
        <v>319</v>
      </c>
      <c r="D96" s="40"/>
      <c r="E96" s="1" t="s">
        <v>114</v>
      </c>
      <c r="F96" s="25">
        <v>179</v>
      </c>
      <c r="G96" s="135"/>
      <c r="H96" s="25">
        <f>ROUND(F96*G96,2)</f>
        <v>0</v>
      </c>
      <c r="J96" s="16"/>
      <c r="Z96" s="25">
        <f>ROUND(IF(AQ96="5",BJ96,0),2)</f>
        <v>0</v>
      </c>
      <c r="AB96" s="25">
        <f>ROUND(IF(AQ96="1",BH96,0),2)</f>
        <v>0</v>
      </c>
      <c r="AC96" s="25">
        <f>ROUND(IF(AQ96="1",BI96,0),2)</f>
        <v>0</v>
      </c>
      <c r="AD96" s="25">
        <f>ROUND(IF(AQ96="7",BH96,0),2)</f>
        <v>0</v>
      </c>
      <c r="AE96" s="25">
        <f>ROUND(IF(AQ96="7",BI96,0),2)</f>
        <v>0</v>
      </c>
      <c r="AF96" s="25">
        <f>ROUND(IF(AQ96="2",BH96,0),2)</f>
        <v>0</v>
      </c>
      <c r="AG96" s="25">
        <f>ROUND(IF(AQ96="2",BI96,0),2)</f>
        <v>0</v>
      </c>
      <c r="AH96" s="25">
        <f>ROUND(IF(AQ96="0",BJ96,0),2)</f>
        <v>0</v>
      </c>
      <c r="AI96" s="17" t="s">
        <v>4</v>
      </c>
      <c r="AJ96" s="25">
        <f>IF(AN96=0,H96,0)</f>
        <v>0</v>
      </c>
      <c r="AK96" s="25">
        <f>IF(AN96=12,H96,0)</f>
        <v>0</v>
      </c>
      <c r="AL96" s="25">
        <f>IF(AN96=21,H96,0)</f>
        <v>0</v>
      </c>
      <c r="AN96" s="25">
        <v>12</v>
      </c>
      <c r="AO96" s="25">
        <f>G96*0.233971131</f>
        <v>0</v>
      </c>
      <c r="AP96" s="25">
        <f>G96*(1-0.233971131)</f>
        <v>0</v>
      </c>
      <c r="AQ96" s="26" t="s">
        <v>156</v>
      </c>
      <c r="AV96" s="25">
        <f>ROUND(AW96+AX96,2)</f>
        <v>0</v>
      </c>
      <c r="AW96" s="25">
        <f>ROUND(F96*AO96,2)</f>
        <v>0</v>
      </c>
      <c r="AX96" s="25">
        <f>ROUND(F96*AP96,2)</f>
        <v>0</v>
      </c>
      <c r="AY96" s="26" t="s">
        <v>312</v>
      </c>
      <c r="AZ96" s="26" t="s">
        <v>301</v>
      </c>
      <c r="BA96" s="17" t="s">
        <v>117</v>
      </c>
      <c r="BC96" s="25">
        <f>AW96+AX96</f>
        <v>0</v>
      </c>
      <c r="BD96" s="25">
        <f>G96/(100-BE96)*100</f>
        <v>0</v>
      </c>
      <c r="BE96" s="25">
        <v>0</v>
      </c>
      <c r="BF96" s="25">
        <f>96</f>
        <v>96</v>
      </c>
      <c r="BH96" s="25">
        <f>F96*AO96</f>
        <v>0</v>
      </c>
      <c r="BI96" s="25">
        <f>F96*AP96</f>
        <v>0</v>
      </c>
      <c r="BJ96" s="25">
        <f>F96*G96</f>
        <v>0</v>
      </c>
      <c r="BK96" s="26" t="s">
        <v>118</v>
      </c>
      <c r="BL96" s="25">
        <v>784</v>
      </c>
      <c r="BW96" s="25">
        <v>12</v>
      </c>
      <c r="BX96" s="2" t="s">
        <v>319</v>
      </c>
    </row>
    <row r="97" spans="1:76">
      <c r="A97" s="136"/>
      <c r="C97" s="27" t="s">
        <v>320</v>
      </c>
      <c r="D97" s="28" t="s">
        <v>314</v>
      </c>
      <c r="F97" s="29">
        <v>54</v>
      </c>
      <c r="J97" s="16"/>
    </row>
    <row r="98" spans="1:76">
      <c r="A98" s="136"/>
      <c r="C98" s="27" t="s">
        <v>321</v>
      </c>
      <c r="D98" s="28" t="s">
        <v>316</v>
      </c>
      <c r="F98" s="29">
        <v>125</v>
      </c>
      <c r="J98" s="16"/>
    </row>
    <row r="99" spans="1:76">
      <c r="A99" s="134" t="s">
        <v>322</v>
      </c>
      <c r="B99" s="1" t="s">
        <v>323</v>
      </c>
      <c r="C99" s="42" t="s">
        <v>324</v>
      </c>
      <c r="D99" s="40"/>
      <c r="E99" s="1" t="s">
        <v>114</v>
      </c>
      <c r="F99" s="25">
        <v>179</v>
      </c>
      <c r="G99" s="135"/>
      <c r="H99" s="25">
        <f>ROUND(F99*G99,2)</f>
        <v>0</v>
      </c>
      <c r="J99" s="16"/>
      <c r="Z99" s="25">
        <f>ROUND(IF(AQ99="5",BJ99,0),2)</f>
        <v>0</v>
      </c>
      <c r="AB99" s="25">
        <f>ROUND(IF(AQ99="1",BH99,0),2)</f>
        <v>0</v>
      </c>
      <c r="AC99" s="25">
        <f>ROUND(IF(AQ99="1",BI99,0),2)</f>
        <v>0</v>
      </c>
      <c r="AD99" s="25">
        <f>ROUND(IF(AQ99="7",BH99,0),2)</f>
        <v>0</v>
      </c>
      <c r="AE99" s="25">
        <f>ROUND(IF(AQ99="7",BI99,0),2)</f>
        <v>0</v>
      </c>
      <c r="AF99" s="25">
        <f>ROUND(IF(AQ99="2",BH99,0),2)</f>
        <v>0</v>
      </c>
      <c r="AG99" s="25">
        <f>ROUND(IF(AQ99="2",BI99,0),2)</f>
        <v>0</v>
      </c>
      <c r="AH99" s="25">
        <f>ROUND(IF(AQ99="0",BJ99,0),2)</f>
        <v>0</v>
      </c>
      <c r="AI99" s="17" t="s">
        <v>4</v>
      </c>
      <c r="AJ99" s="25">
        <f>IF(AN99=0,H99,0)</f>
        <v>0</v>
      </c>
      <c r="AK99" s="25">
        <f>IF(AN99=12,H99,0)</f>
        <v>0</v>
      </c>
      <c r="AL99" s="25">
        <f>IF(AN99=21,H99,0)</f>
        <v>0</v>
      </c>
      <c r="AN99" s="25">
        <v>12</v>
      </c>
      <c r="AO99" s="25">
        <f>G99*0.207286015</f>
        <v>0</v>
      </c>
      <c r="AP99" s="25">
        <f>G99*(1-0.207286015)</f>
        <v>0</v>
      </c>
      <c r="AQ99" s="26" t="s">
        <v>156</v>
      </c>
      <c r="AV99" s="25">
        <f>ROUND(AW99+AX99,2)</f>
        <v>0</v>
      </c>
      <c r="AW99" s="25">
        <f>ROUND(F99*AO99,2)</f>
        <v>0</v>
      </c>
      <c r="AX99" s="25">
        <f>ROUND(F99*AP99,2)</f>
        <v>0</v>
      </c>
      <c r="AY99" s="26" t="s">
        <v>312</v>
      </c>
      <c r="AZ99" s="26" t="s">
        <v>301</v>
      </c>
      <c r="BA99" s="17" t="s">
        <v>117</v>
      </c>
      <c r="BC99" s="25">
        <f>AW99+AX99</f>
        <v>0</v>
      </c>
      <c r="BD99" s="25">
        <f>G99/(100-BE99)*100</f>
        <v>0</v>
      </c>
      <c r="BE99" s="25">
        <v>0</v>
      </c>
      <c r="BF99" s="25">
        <f>99</f>
        <v>99</v>
      </c>
      <c r="BH99" s="25">
        <f>F99*AO99</f>
        <v>0</v>
      </c>
      <c r="BI99" s="25">
        <f>F99*AP99</f>
        <v>0</v>
      </c>
      <c r="BJ99" s="25">
        <f>F99*G99</f>
        <v>0</v>
      </c>
      <c r="BK99" s="26" t="s">
        <v>118</v>
      </c>
      <c r="BL99" s="25">
        <v>784</v>
      </c>
      <c r="BW99" s="25">
        <v>12</v>
      </c>
      <c r="BX99" s="2" t="s">
        <v>324</v>
      </c>
    </row>
    <row r="100" spans="1:76">
      <c r="A100" s="133" t="s">
        <v>4</v>
      </c>
      <c r="B100" s="22" t="s">
        <v>325</v>
      </c>
      <c r="C100" s="72" t="s">
        <v>326</v>
      </c>
      <c r="D100" s="73"/>
      <c r="E100" s="23" t="s">
        <v>79</v>
      </c>
      <c r="F100" s="23" t="s">
        <v>79</v>
      </c>
      <c r="G100" s="24" t="s">
        <v>79</v>
      </c>
      <c r="H100" s="13">
        <f>SUM(H101:H101)</f>
        <v>0</v>
      </c>
      <c r="J100" s="16"/>
      <c r="AI100" s="17" t="s">
        <v>4</v>
      </c>
      <c r="AS100" s="13">
        <f>SUM(AJ101:AJ101)</f>
        <v>0</v>
      </c>
      <c r="AT100" s="13">
        <f>SUM(AK101:AK101)</f>
        <v>0</v>
      </c>
      <c r="AU100" s="13">
        <f>SUM(AL101:AL101)</f>
        <v>0</v>
      </c>
    </row>
    <row r="101" spans="1:76">
      <c r="A101" s="134" t="s">
        <v>327</v>
      </c>
      <c r="B101" s="1" t="s">
        <v>328</v>
      </c>
      <c r="C101" s="42" t="s">
        <v>329</v>
      </c>
      <c r="D101" s="40"/>
      <c r="E101" s="1" t="s">
        <v>236</v>
      </c>
      <c r="F101" s="25">
        <v>1</v>
      </c>
      <c r="G101" s="135"/>
      <c r="H101" s="25">
        <f>ROUND(F101*G101,2)</f>
        <v>0</v>
      </c>
      <c r="J101" s="16"/>
      <c r="Z101" s="25">
        <f>ROUND(IF(AQ101="5",BJ101,0),2)</f>
        <v>0</v>
      </c>
      <c r="AB101" s="25">
        <f>ROUND(IF(AQ101="1",BH101,0),2)</f>
        <v>0</v>
      </c>
      <c r="AC101" s="25">
        <f>ROUND(IF(AQ101="1",BI101,0),2)</f>
        <v>0</v>
      </c>
      <c r="AD101" s="25">
        <f>ROUND(IF(AQ101="7",BH101,0),2)</f>
        <v>0</v>
      </c>
      <c r="AE101" s="25">
        <f>ROUND(IF(AQ101="7",BI101,0),2)</f>
        <v>0</v>
      </c>
      <c r="AF101" s="25">
        <f>ROUND(IF(AQ101="2",BH101,0),2)</f>
        <v>0</v>
      </c>
      <c r="AG101" s="25">
        <f>ROUND(IF(AQ101="2",BI101,0),2)</f>
        <v>0</v>
      </c>
      <c r="AH101" s="25">
        <f>ROUND(IF(AQ101="0",BJ101,0),2)</f>
        <v>0</v>
      </c>
      <c r="AI101" s="17" t="s">
        <v>4</v>
      </c>
      <c r="AJ101" s="25">
        <f>IF(AN101=0,H101,0)</f>
        <v>0</v>
      </c>
      <c r="AK101" s="25">
        <f>IF(AN101=12,H101,0)</f>
        <v>0</v>
      </c>
      <c r="AL101" s="25">
        <f>IF(AN101=21,H101,0)</f>
        <v>0</v>
      </c>
      <c r="AN101" s="25">
        <v>12</v>
      </c>
      <c r="AO101" s="25">
        <f>G101*0</f>
        <v>0</v>
      </c>
      <c r="AP101" s="25">
        <f>G101*(1-0)</f>
        <v>0</v>
      </c>
      <c r="AQ101" s="26" t="s">
        <v>120</v>
      </c>
      <c r="AV101" s="25">
        <f>ROUND(AW101+AX101,2)</f>
        <v>0</v>
      </c>
      <c r="AW101" s="25">
        <f>ROUND(F101*AO101,2)</f>
        <v>0</v>
      </c>
      <c r="AX101" s="25">
        <f>ROUND(F101*AP101,2)</f>
        <v>0</v>
      </c>
      <c r="AY101" s="26" t="s">
        <v>330</v>
      </c>
      <c r="AZ101" s="26" t="s">
        <v>179</v>
      </c>
      <c r="BA101" s="17" t="s">
        <v>117</v>
      </c>
      <c r="BC101" s="25">
        <f>AW101+AX101</f>
        <v>0</v>
      </c>
      <c r="BD101" s="25">
        <f>G101/(100-BE101)*100</f>
        <v>0</v>
      </c>
      <c r="BE101" s="25">
        <v>0</v>
      </c>
      <c r="BF101" s="25">
        <f>101</f>
        <v>101</v>
      </c>
      <c r="BH101" s="25">
        <f>F101*AO101</f>
        <v>0</v>
      </c>
      <c r="BI101" s="25">
        <f>F101*AP101</f>
        <v>0</v>
      </c>
      <c r="BJ101" s="25">
        <f>F101*G101</f>
        <v>0</v>
      </c>
      <c r="BK101" s="26" t="s">
        <v>118</v>
      </c>
      <c r="BL101" s="25"/>
      <c r="BW101" s="25">
        <v>12</v>
      </c>
      <c r="BX101" s="2" t="s">
        <v>329</v>
      </c>
    </row>
    <row r="102" spans="1:76">
      <c r="A102" s="133" t="s">
        <v>4</v>
      </c>
      <c r="B102" s="22" t="s">
        <v>331</v>
      </c>
      <c r="C102" s="72" t="s">
        <v>57</v>
      </c>
      <c r="D102" s="73"/>
      <c r="E102" s="23" t="s">
        <v>79</v>
      </c>
      <c r="F102" s="23" t="s">
        <v>79</v>
      </c>
      <c r="G102" s="24" t="s">
        <v>79</v>
      </c>
      <c r="H102" s="13">
        <f>H103+H105</f>
        <v>0</v>
      </c>
      <c r="J102" s="16"/>
      <c r="AI102" s="17" t="s">
        <v>4</v>
      </c>
    </row>
    <row r="103" spans="1:76">
      <c r="A103" s="133" t="s">
        <v>4</v>
      </c>
      <c r="B103" s="22" t="s">
        <v>332</v>
      </c>
      <c r="C103" s="72" t="s">
        <v>25</v>
      </c>
      <c r="D103" s="73"/>
      <c r="E103" s="23" t="s">
        <v>79</v>
      </c>
      <c r="F103" s="23" t="s">
        <v>79</v>
      </c>
      <c r="G103" s="24" t="s">
        <v>79</v>
      </c>
      <c r="H103" s="13">
        <f>SUM(H104:H104)</f>
        <v>0</v>
      </c>
      <c r="J103" s="16"/>
      <c r="AI103" s="17" t="s">
        <v>4</v>
      </c>
      <c r="AS103" s="13">
        <f>SUM(AJ104:AJ104)</f>
        <v>0</v>
      </c>
      <c r="AT103" s="13">
        <f>SUM(AK104:AK104)</f>
        <v>0</v>
      </c>
      <c r="AU103" s="13">
        <f>SUM(AL104:AL104)</f>
        <v>0</v>
      </c>
    </row>
    <row r="104" spans="1:76">
      <c r="A104" s="134" t="s">
        <v>333</v>
      </c>
      <c r="B104" s="1" t="s">
        <v>334</v>
      </c>
      <c r="C104" s="42" t="s">
        <v>25</v>
      </c>
      <c r="D104" s="40"/>
      <c r="E104" s="1" t="s">
        <v>335</v>
      </c>
      <c r="F104" s="25">
        <v>1</v>
      </c>
      <c r="G104" s="135"/>
      <c r="H104" s="25">
        <f>ROUND(F104*G104,2)</f>
        <v>0</v>
      </c>
      <c r="J104" s="16"/>
      <c r="Z104" s="25">
        <f>ROUND(IF(AQ104="5",BJ104,0),2)</f>
        <v>0</v>
      </c>
      <c r="AB104" s="25">
        <f>ROUND(IF(AQ104="1",BH104,0),2)</f>
        <v>0</v>
      </c>
      <c r="AC104" s="25">
        <f>ROUND(IF(AQ104="1",BI104,0),2)</f>
        <v>0</v>
      </c>
      <c r="AD104" s="25">
        <f>ROUND(IF(AQ104="7",BH104,0),2)</f>
        <v>0</v>
      </c>
      <c r="AE104" s="25">
        <f>ROUND(IF(AQ104="7",BI104,0),2)</f>
        <v>0</v>
      </c>
      <c r="AF104" s="25">
        <f>ROUND(IF(AQ104="2",BH104,0),2)</f>
        <v>0</v>
      </c>
      <c r="AG104" s="25">
        <f>ROUND(IF(AQ104="2",BI104,0),2)</f>
        <v>0</v>
      </c>
      <c r="AH104" s="25">
        <f>ROUND(IF(AQ104="0",BJ104,0),2)</f>
        <v>0</v>
      </c>
      <c r="AI104" s="17" t="s">
        <v>4</v>
      </c>
      <c r="AJ104" s="25">
        <f>IF(AN104=0,H104,0)</f>
        <v>0</v>
      </c>
      <c r="AK104" s="25">
        <f>IF(AN104=12,H104,0)</f>
        <v>0</v>
      </c>
      <c r="AL104" s="25">
        <f>IF(AN104=21,H104,0)</f>
        <v>0</v>
      </c>
      <c r="AN104" s="25">
        <v>12</v>
      </c>
      <c r="AO104" s="25">
        <f>G104*0</f>
        <v>0</v>
      </c>
      <c r="AP104" s="25">
        <f>G104*(1-0)</f>
        <v>0</v>
      </c>
      <c r="AQ104" s="26" t="s">
        <v>225</v>
      </c>
      <c r="AV104" s="25">
        <f>ROUND(AW104+AX104,2)</f>
        <v>0</v>
      </c>
      <c r="AW104" s="25">
        <f>ROUND(F104*AO104,2)</f>
        <v>0</v>
      </c>
      <c r="AX104" s="25">
        <f>ROUND(F104*AP104,2)</f>
        <v>0</v>
      </c>
      <c r="AY104" s="26" t="s">
        <v>336</v>
      </c>
      <c r="AZ104" s="26" t="s">
        <v>337</v>
      </c>
      <c r="BA104" s="17" t="s">
        <v>117</v>
      </c>
      <c r="BC104" s="25">
        <f>AW104+AX104</f>
        <v>0</v>
      </c>
      <c r="BD104" s="25">
        <f>G104/(100-BE104)*100</f>
        <v>0</v>
      </c>
      <c r="BE104" s="25">
        <v>0</v>
      </c>
      <c r="BF104" s="25">
        <f>104</f>
        <v>104</v>
      </c>
      <c r="BH104" s="25">
        <f>F104*AO104</f>
        <v>0</v>
      </c>
      <c r="BI104" s="25">
        <f>F104*AP104</f>
        <v>0</v>
      </c>
      <c r="BJ104" s="25">
        <f>F104*G104</f>
        <v>0</v>
      </c>
      <c r="BK104" s="26" t="s">
        <v>118</v>
      </c>
      <c r="BL104" s="25"/>
      <c r="BO104" s="25">
        <f>F104*G104</f>
        <v>0</v>
      </c>
      <c r="BW104" s="25">
        <v>12</v>
      </c>
      <c r="BX104" s="2" t="s">
        <v>25</v>
      </c>
    </row>
    <row r="105" spans="1:76">
      <c r="A105" s="133" t="s">
        <v>4</v>
      </c>
      <c r="B105" s="22" t="s">
        <v>338</v>
      </c>
      <c r="C105" s="72" t="s">
        <v>31</v>
      </c>
      <c r="D105" s="73"/>
      <c r="E105" s="23" t="s">
        <v>79</v>
      </c>
      <c r="F105" s="23" t="s">
        <v>79</v>
      </c>
      <c r="G105" s="24" t="s">
        <v>79</v>
      </c>
      <c r="H105" s="13">
        <f>SUM(H106:H106)</f>
        <v>0</v>
      </c>
      <c r="J105" s="16"/>
      <c r="AI105" s="17" t="s">
        <v>4</v>
      </c>
      <c r="AS105" s="13">
        <f>SUM(AJ106:AJ106)</f>
        <v>0</v>
      </c>
      <c r="AT105" s="13">
        <f>SUM(AK106:AK106)</f>
        <v>0</v>
      </c>
      <c r="AU105" s="13">
        <f>SUM(AL106:AL106)</f>
        <v>0</v>
      </c>
    </row>
    <row r="106" spans="1:76">
      <c r="A106" s="34" t="s">
        <v>339</v>
      </c>
      <c r="B106" s="35" t="s">
        <v>340</v>
      </c>
      <c r="C106" s="139" t="s">
        <v>341</v>
      </c>
      <c r="D106" s="64"/>
      <c r="E106" s="35" t="s">
        <v>335</v>
      </c>
      <c r="F106" s="140">
        <v>1</v>
      </c>
      <c r="G106" s="141"/>
      <c r="H106" s="140">
        <f>ROUND(F106*G106,2)</f>
        <v>0</v>
      </c>
      <c r="I106" s="142"/>
      <c r="J106" s="143"/>
      <c r="Z106" s="25">
        <f>ROUND(IF(AQ106="5",BJ106,0),2)</f>
        <v>0</v>
      </c>
      <c r="AB106" s="25">
        <f>ROUND(IF(AQ106="1",BH106,0),2)</f>
        <v>0</v>
      </c>
      <c r="AC106" s="25">
        <f>ROUND(IF(AQ106="1",BI106,0),2)</f>
        <v>0</v>
      </c>
      <c r="AD106" s="25">
        <f>ROUND(IF(AQ106="7",BH106,0),2)</f>
        <v>0</v>
      </c>
      <c r="AE106" s="25">
        <f>ROUND(IF(AQ106="7",BI106,0),2)</f>
        <v>0</v>
      </c>
      <c r="AF106" s="25">
        <f>ROUND(IF(AQ106="2",BH106,0),2)</f>
        <v>0</v>
      </c>
      <c r="AG106" s="25">
        <f>ROUND(IF(AQ106="2",BI106,0),2)</f>
        <v>0</v>
      </c>
      <c r="AH106" s="25">
        <f>ROUND(IF(AQ106="0",BJ106,0),2)</f>
        <v>0</v>
      </c>
      <c r="AI106" s="17" t="s">
        <v>4</v>
      </c>
      <c r="AJ106" s="25">
        <f>IF(AN106=0,H106,0)</f>
        <v>0</v>
      </c>
      <c r="AK106" s="25">
        <f>IF(AN106=12,H106,0)</f>
        <v>0</v>
      </c>
      <c r="AL106" s="25">
        <f>IF(AN106=21,H106,0)</f>
        <v>0</v>
      </c>
      <c r="AN106" s="25">
        <v>12</v>
      </c>
      <c r="AO106" s="25">
        <f>G106*0</f>
        <v>0</v>
      </c>
      <c r="AP106" s="25">
        <f>G106*(1-0)</f>
        <v>0</v>
      </c>
      <c r="AQ106" s="26" t="s">
        <v>225</v>
      </c>
      <c r="AV106" s="25">
        <f>ROUND(AW106+AX106,2)</f>
        <v>0</v>
      </c>
      <c r="AW106" s="25">
        <f>ROUND(F106*AO106,2)</f>
        <v>0</v>
      </c>
      <c r="AX106" s="25">
        <f>ROUND(F106*AP106,2)</f>
        <v>0</v>
      </c>
      <c r="AY106" s="26" t="s">
        <v>342</v>
      </c>
      <c r="AZ106" s="26" t="s">
        <v>337</v>
      </c>
      <c r="BA106" s="17" t="s">
        <v>117</v>
      </c>
      <c r="BC106" s="25">
        <f>AW106+AX106</f>
        <v>0</v>
      </c>
      <c r="BD106" s="25">
        <f>G106/(100-BE106)*100</f>
        <v>0</v>
      </c>
      <c r="BE106" s="25">
        <v>0</v>
      </c>
      <c r="BF106" s="25">
        <f>106</f>
        <v>106</v>
      </c>
      <c r="BH106" s="25">
        <f>F106*AO106</f>
        <v>0</v>
      </c>
      <c r="BI106" s="25">
        <f>F106*AP106</f>
        <v>0</v>
      </c>
      <c r="BJ106" s="25">
        <f>F106*G106</f>
        <v>0</v>
      </c>
      <c r="BK106" s="26" t="s">
        <v>118</v>
      </c>
      <c r="BL106" s="25"/>
      <c r="BR106" s="25">
        <f>F106*G106</f>
        <v>0</v>
      </c>
      <c r="BW106" s="25">
        <v>12</v>
      </c>
      <c r="BX106" s="2" t="s">
        <v>341</v>
      </c>
    </row>
    <row r="107" spans="1:76">
      <c r="H107" s="31">
        <f>ROUND(H13+H30+H37+H41+H45+H62+H64+H66+H69+H84+H88+H92+H100+H103+H105,2)</f>
        <v>0</v>
      </c>
    </row>
    <row r="108" spans="1:76">
      <c r="A108" s="32" t="s">
        <v>56</v>
      </c>
    </row>
    <row r="109" spans="1:76" ht="12.75" customHeight="1">
      <c r="A109" s="42" t="s">
        <v>4</v>
      </c>
      <c r="B109" s="40"/>
      <c r="C109" s="40"/>
      <c r="D109" s="40"/>
      <c r="E109" s="40"/>
      <c r="F109" s="40"/>
      <c r="G109" s="40"/>
      <c r="H109" s="40"/>
      <c r="I109" s="40"/>
      <c r="J109" s="40"/>
    </row>
  </sheetData>
  <sheetProtection password="CF7A" sheet="1"/>
  <mergeCells count="93">
    <mergeCell ref="C106:D106"/>
    <mergeCell ref="A109:J109"/>
    <mergeCell ref="C101:D101"/>
    <mergeCell ref="C102:D102"/>
    <mergeCell ref="C103:D103"/>
    <mergeCell ref="C104:D104"/>
    <mergeCell ref="C105:D105"/>
    <mergeCell ref="C92:D92"/>
    <mergeCell ref="C93:D93"/>
    <mergeCell ref="C96:D96"/>
    <mergeCell ref="C99:D99"/>
    <mergeCell ref="C100:D100"/>
    <mergeCell ref="C87:D87"/>
    <mergeCell ref="C88:D88"/>
    <mergeCell ref="C89:D89"/>
    <mergeCell ref="C90:D90"/>
    <mergeCell ref="C91:J91"/>
    <mergeCell ref="C81:J81"/>
    <mergeCell ref="C83:D83"/>
    <mergeCell ref="C84:D84"/>
    <mergeCell ref="C85:D85"/>
    <mergeCell ref="C86:D86"/>
    <mergeCell ref="C75:D75"/>
    <mergeCell ref="C76:J76"/>
    <mergeCell ref="C77:D77"/>
    <mergeCell ref="C78:D78"/>
    <mergeCell ref="C80:D80"/>
    <mergeCell ref="C67:D67"/>
    <mergeCell ref="C68:D68"/>
    <mergeCell ref="C69:D69"/>
    <mergeCell ref="C70:D70"/>
    <mergeCell ref="C73:D73"/>
    <mergeCell ref="C62:D62"/>
    <mergeCell ref="C63:D63"/>
    <mergeCell ref="C64:D64"/>
    <mergeCell ref="C65:D65"/>
    <mergeCell ref="C66:D66"/>
    <mergeCell ref="C52:D52"/>
    <mergeCell ref="C54:D54"/>
    <mergeCell ref="C55:D55"/>
    <mergeCell ref="C57:D57"/>
    <mergeCell ref="C59:D59"/>
    <mergeCell ref="C45:D45"/>
    <mergeCell ref="C46:D46"/>
    <mergeCell ref="C48:D48"/>
    <mergeCell ref="C49:D49"/>
    <mergeCell ref="C51:D51"/>
    <mergeCell ref="C38:D38"/>
    <mergeCell ref="C39:J39"/>
    <mergeCell ref="C41:D41"/>
    <mergeCell ref="C42:D42"/>
    <mergeCell ref="C43:D43"/>
    <mergeCell ref="C31:D31"/>
    <mergeCell ref="C33:D33"/>
    <mergeCell ref="C34:J34"/>
    <mergeCell ref="C36:D36"/>
    <mergeCell ref="C37:D37"/>
    <mergeCell ref="C17:D17"/>
    <mergeCell ref="C25:D25"/>
    <mergeCell ref="C26:J26"/>
    <mergeCell ref="C27:D27"/>
    <mergeCell ref="C30:D30"/>
    <mergeCell ref="C11:D11"/>
    <mergeCell ref="C12:D12"/>
    <mergeCell ref="C13:D13"/>
    <mergeCell ref="C14:D14"/>
    <mergeCell ref="C16:D16"/>
    <mergeCell ref="I2:J3"/>
    <mergeCell ref="I4:J5"/>
    <mergeCell ref="I6:J7"/>
    <mergeCell ref="I8:J9"/>
    <mergeCell ref="C10:D10"/>
    <mergeCell ref="C8:D9"/>
    <mergeCell ref="G2:G3"/>
    <mergeCell ref="G4:G5"/>
    <mergeCell ref="G6:G7"/>
    <mergeCell ref="G8:G9"/>
    <mergeCell ref="A1:J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Wasserbauerová Eva Mgr.</cp:lastModifiedBy>
  <cp:revision/>
  <dcterms:created xsi:type="dcterms:W3CDTF">2021-06-10T20:06:38Z</dcterms:created>
  <dcterms:modified xsi:type="dcterms:W3CDTF">2026-01-19T08:29:54Z</dcterms:modified>
  <cp:category/>
  <cp:contentStatus/>
</cp:coreProperties>
</file>