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VOJVES\Desktop\"/>
    </mc:Choice>
  </mc:AlternateContent>
  <xr:revisionPtr revIDLastSave="0" documentId="13_ncr:1_{B18C4D3F-8293-409A-9D5D-5E899D96751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tavební rozpočet - součet" sheetId="1" r:id="rId1"/>
    <sheet name="Krycí list rozpočtu" sheetId="2" r:id="rId2"/>
    <sheet name="VORN" sheetId="3" state="hidden" r:id="rId3"/>
    <sheet name="Stavební rozpočet" sheetId="4" r:id="rId4"/>
  </sheets>
  <definedNames>
    <definedName name="vorn_sum">VORN!$I$45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O129" i="4" l="1"/>
  <c r="BJ129" i="4"/>
  <c r="BF129" i="4"/>
  <c r="BD129" i="4"/>
  <c r="AP129" i="4"/>
  <c r="AO129" i="4"/>
  <c r="BH129" i="4" s="1"/>
  <c r="AL129" i="4"/>
  <c r="AU128" i="4" s="1"/>
  <c r="AJ129" i="4"/>
  <c r="AS128" i="4" s="1"/>
  <c r="AH129" i="4"/>
  <c r="AG129" i="4"/>
  <c r="AF129" i="4"/>
  <c r="AE129" i="4"/>
  <c r="AD129" i="4"/>
  <c r="AC129" i="4"/>
  <c r="AB129" i="4"/>
  <c r="Z129" i="4"/>
  <c r="J129" i="4"/>
  <c r="AK129" i="4" s="1"/>
  <c r="AT128" i="4" s="1"/>
  <c r="J128" i="4"/>
  <c r="BJ127" i="4"/>
  <c r="BF127" i="4"/>
  <c r="BD127" i="4"/>
  <c r="AP127" i="4"/>
  <c r="BI127" i="4" s="1"/>
  <c r="AO127" i="4"/>
  <c r="BH127" i="4" s="1"/>
  <c r="AL127" i="4"/>
  <c r="AJ127" i="4"/>
  <c r="AH127" i="4"/>
  <c r="AG127" i="4"/>
  <c r="AF127" i="4"/>
  <c r="AE127" i="4"/>
  <c r="AD127" i="4"/>
  <c r="AC127" i="4"/>
  <c r="AB127" i="4"/>
  <c r="Z127" i="4"/>
  <c r="J127" i="4"/>
  <c r="AK127" i="4" s="1"/>
  <c r="BJ126" i="4"/>
  <c r="Z126" i="4" s="1"/>
  <c r="BF126" i="4"/>
  <c r="BD126" i="4"/>
  <c r="AP126" i="4"/>
  <c r="AO126" i="4"/>
  <c r="BH126" i="4" s="1"/>
  <c r="AL126" i="4"/>
  <c r="AJ126" i="4"/>
  <c r="AH126" i="4"/>
  <c r="AG126" i="4"/>
  <c r="AF126" i="4"/>
  <c r="AE126" i="4"/>
  <c r="AD126" i="4"/>
  <c r="AC126" i="4"/>
  <c r="AB126" i="4"/>
  <c r="J126" i="4"/>
  <c r="AK126" i="4" s="1"/>
  <c r="BJ125" i="4"/>
  <c r="BF125" i="4"/>
  <c r="BD125" i="4"/>
  <c r="AP125" i="4"/>
  <c r="AO125" i="4"/>
  <c r="BH125" i="4" s="1"/>
  <c r="AL125" i="4"/>
  <c r="AJ125" i="4"/>
  <c r="AH125" i="4"/>
  <c r="AG125" i="4"/>
  <c r="AF125" i="4"/>
  <c r="AE125" i="4"/>
  <c r="AD125" i="4"/>
  <c r="AC125" i="4"/>
  <c r="AB125" i="4"/>
  <c r="Z125" i="4"/>
  <c r="J125" i="4"/>
  <c r="AK125" i="4" s="1"/>
  <c r="BJ124" i="4"/>
  <c r="Z124" i="4" s="1"/>
  <c r="BF124" i="4"/>
  <c r="BD124" i="4"/>
  <c r="AP124" i="4"/>
  <c r="BI124" i="4" s="1"/>
  <c r="AO124" i="4"/>
  <c r="BH124" i="4" s="1"/>
  <c r="AL124" i="4"/>
  <c r="AJ124" i="4"/>
  <c r="AH124" i="4"/>
  <c r="AG124" i="4"/>
  <c r="AF124" i="4"/>
  <c r="AE124" i="4"/>
  <c r="AD124" i="4"/>
  <c r="AC124" i="4"/>
  <c r="AB124" i="4"/>
  <c r="J124" i="4"/>
  <c r="AK124" i="4" s="1"/>
  <c r="BJ123" i="4"/>
  <c r="BF123" i="4"/>
  <c r="BD123" i="4"/>
  <c r="AP123" i="4"/>
  <c r="BI123" i="4" s="1"/>
  <c r="AO123" i="4"/>
  <c r="H123" i="4" s="1"/>
  <c r="AL123" i="4"/>
  <c r="AJ123" i="4"/>
  <c r="AH123" i="4"/>
  <c r="AG123" i="4"/>
  <c r="AF123" i="4"/>
  <c r="AE123" i="4"/>
  <c r="AD123" i="4"/>
  <c r="AC123" i="4"/>
  <c r="AB123" i="4"/>
  <c r="Z123" i="4"/>
  <c r="J123" i="4"/>
  <c r="AK123" i="4" s="1"/>
  <c r="BJ122" i="4"/>
  <c r="BF122" i="4"/>
  <c r="BD122" i="4"/>
  <c r="AP122" i="4"/>
  <c r="I122" i="4" s="1"/>
  <c r="AO122" i="4"/>
  <c r="BH122" i="4" s="1"/>
  <c r="AL122" i="4"/>
  <c r="AJ122" i="4"/>
  <c r="AH122" i="4"/>
  <c r="AG122" i="4"/>
  <c r="AF122" i="4"/>
  <c r="AE122" i="4"/>
  <c r="AD122" i="4"/>
  <c r="AC122" i="4"/>
  <c r="AB122" i="4"/>
  <c r="Z122" i="4"/>
  <c r="J122" i="4"/>
  <c r="BJ121" i="4"/>
  <c r="Z121" i="4" s="1"/>
  <c r="BF121" i="4"/>
  <c r="BD121" i="4"/>
  <c r="AP121" i="4"/>
  <c r="AO121" i="4"/>
  <c r="BH121" i="4" s="1"/>
  <c r="AL121" i="4"/>
  <c r="AK121" i="4"/>
  <c r="AJ121" i="4"/>
  <c r="AH121" i="4"/>
  <c r="AG121" i="4"/>
  <c r="AF121" i="4"/>
  <c r="AE121" i="4"/>
  <c r="AD121" i="4"/>
  <c r="AC121" i="4"/>
  <c r="AB121" i="4"/>
  <c r="J121" i="4"/>
  <c r="BJ119" i="4"/>
  <c r="BF119" i="4"/>
  <c r="BD119" i="4"/>
  <c r="AP119" i="4"/>
  <c r="I119" i="4" s="1"/>
  <c r="AO119" i="4"/>
  <c r="BH119" i="4" s="1"/>
  <c r="AB119" i="4" s="1"/>
  <c r="AL119" i="4"/>
  <c r="AJ119" i="4"/>
  <c r="AH119" i="4"/>
  <c r="AG119" i="4"/>
  <c r="AF119" i="4"/>
  <c r="AE119" i="4"/>
  <c r="AD119" i="4"/>
  <c r="Z119" i="4"/>
  <c r="J119" i="4"/>
  <c r="AK119" i="4" s="1"/>
  <c r="BJ118" i="4"/>
  <c r="BF118" i="4"/>
  <c r="BD118" i="4"/>
  <c r="AP118" i="4"/>
  <c r="AO118" i="4"/>
  <c r="BH118" i="4" s="1"/>
  <c r="AB118" i="4" s="1"/>
  <c r="AL118" i="4"/>
  <c r="AJ118" i="4"/>
  <c r="AH118" i="4"/>
  <c r="AG118" i="4"/>
  <c r="AF118" i="4"/>
  <c r="AE118" i="4"/>
  <c r="AD118" i="4"/>
  <c r="Z118" i="4"/>
  <c r="J118" i="4"/>
  <c r="AK118" i="4" s="1"/>
  <c r="BJ117" i="4"/>
  <c r="BF117" i="4"/>
  <c r="BD117" i="4"/>
  <c r="AP117" i="4"/>
  <c r="BI117" i="4" s="1"/>
  <c r="AG117" i="4" s="1"/>
  <c r="AO117" i="4"/>
  <c r="BH117" i="4" s="1"/>
  <c r="AF117" i="4" s="1"/>
  <c r="AL117" i="4"/>
  <c r="AJ117" i="4"/>
  <c r="AH117" i="4"/>
  <c r="AE117" i="4"/>
  <c r="AD117" i="4"/>
  <c r="AC117" i="4"/>
  <c r="AB117" i="4"/>
  <c r="Z117" i="4"/>
  <c r="J117" i="4"/>
  <c r="J116" i="4" s="1"/>
  <c r="BJ115" i="4"/>
  <c r="BF115" i="4"/>
  <c r="BD115" i="4"/>
  <c r="AP115" i="4"/>
  <c r="AO115" i="4"/>
  <c r="BH115" i="4" s="1"/>
  <c r="AB115" i="4" s="1"/>
  <c r="AL115" i="4"/>
  <c r="AJ115" i="4"/>
  <c r="AH115" i="4"/>
  <c r="AG115" i="4"/>
  <c r="AF115" i="4"/>
  <c r="AE115" i="4"/>
  <c r="AD115" i="4"/>
  <c r="Z115" i="4"/>
  <c r="J115" i="4"/>
  <c r="AK115" i="4" s="1"/>
  <c r="BJ114" i="4"/>
  <c r="BF114" i="4"/>
  <c r="BD114" i="4"/>
  <c r="AP114" i="4"/>
  <c r="AO114" i="4"/>
  <c r="BH114" i="4" s="1"/>
  <c r="AB114" i="4" s="1"/>
  <c r="AL114" i="4"/>
  <c r="AJ114" i="4"/>
  <c r="AH114" i="4"/>
  <c r="AG114" i="4"/>
  <c r="AF114" i="4"/>
  <c r="AE114" i="4"/>
  <c r="AD114" i="4"/>
  <c r="Z114" i="4"/>
  <c r="J114" i="4"/>
  <c r="AK114" i="4" s="1"/>
  <c r="BJ113" i="4"/>
  <c r="BF113" i="4"/>
  <c r="BD113" i="4"/>
  <c r="AP113" i="4"/>
  <c r="BI113" i="4" s="1"/>
  <c r="AC113" i="4" s="1"/>
  <c r="AO113" i="4"/>
  <c r="H113" i="4" s="1"/>
  <c r="AL113" i="4"/>
  <c r="AJ113" i="4"/>
  <c r="AH113" i="4"/>
  <c r="AG113" i="4"/>
  <c r="AF113" i="4"/>
  <c r="AE113" i="4"/>
  <c r="AD113" i="4"/>
  <c r="Z113" i="4"/>
  <c r="J113" i="4"/>
  <c r="AK113" i="4" s="1"/>
  <c r="BJ112" i="4"/>
  <c r="BF112" i="4"/>
  <c r="BD112" i="4"/>
  <c r="AP112" i="4"/>
  <c r="I112" i="4" s="1"/>
  <c r="AO112" i="4"/>
  <c r="BH112" i="4" s="1"/>
  <c r="AB112" i="4" s="1"/>
  <c r="AL112" i="4"/>
  <c r="AJ112" i="4"/>
  <c r="AH112" i="4"/>
  <c r="AG112" i="4"/>
  <c r="AF112" i="4"/>
  <c r="AE112" i="4"/>
  <c r="AD112" i="4"/>
  <c r="Z112" i="4"/>
  <c r="J112" i="4"/>
  <c r="AK112" i="4" s="1"/>
  <c r="BJ111" i="4"/>
  <c r="BF111" i="4"/>
  <c r="BD111" i="4"/>
  <c r="AP111" i="4"/>
  <c r="AO111" i="4"/>
  <c r="BH111" i="4" s="1"/>
  <c r="AB111" i="4" s="1"/>
  <c r="AL111" i="4"/>
  <c r="AJ111" i="4"/>
  <c r="AH111" i="4"/>
  <c r="AG111" i="4"/>
  <c r="AF111" i="4"/>
  <c r="AE111" i="4"/>
  <c r="AD111" i="4"/>
  <c r="Z111" i="4"/>
  <c r="J111" i="4"/>
  <c r="AK111" i="4" s="1"/>
  <c r="BJ110" i="4"/>
  <c r="BF110" i="4"/>
  <c r="BD110" i="4"/>
  <c r="AP110" i="4"/>
  <c r="BI110" i="4" s="1"/>
  <c r="AC110" i="4" s="1"/>
  <c r="AO110" i="4"/>
  <c r="BH110" i="4" s="1"/>
  <c r="AB110" i="4" s="1"/>
  <c r="AL110" i="4"/>
  <c r="AU109" i="4" s="1"/>
  <c r="AJ110" i="4"/>
  <c r="AH110" i="4"/>
  <c r="AG110" i="4"/>
  <c r="AF110" i="4"/>
  <c r="AE110" i="4"/>
  <c r="AD110" i="4"/>
  <c r="Z110" i="4"/>
  <c r="J110" i="4"/>
  <c r="AK110" i="4" s="1"/>
  <c r="BJ108" i="4"/>
  <c r="BF108" i="4"/>
  <c r="BD108" i="4"/>
  <c r="AP108" i="4"/>
  <c r="AO108" i="4"/>
  <c r="BH108" i="4" s="1"/>
  <c r="AD108" i="4" s="1"/>
  <c r="AL108" i="4"/>
  <c r="AJ108" i="4"/>
  <c r="AH108" i="4"/>
  <c r="AG108" i="4"/>
  <c r="AF108" i="4"/>
  <c r="AC108" i="4"/>
  <c r="AB108" i="4"/>
  <c r="Z108" i="4"/>
  <c r="J108" i="4"/>
  <c r="AK108" i="4" s="1"/>
  <c r="BJ107" i="4"/>
  <c r="BF107" i="4"/>
  <c r="BD107" i="4"/>
  <c r="AP107" i="4"/>
  <c r="BI107" i="4" s="1"/>
  <c r="AE107" i="4" s="1"/>
  <c r="AO107" i="4"/>
  <c r="BH107" i="4" s="1"/>
  <c r="AD107" i="4" s="1"/>
  <c r="AL107" i="4"/>
  <c r="AU106" i="4" s="1"/>
  <c r="AJ107" i="4"/>
  <c r="AH107" i="4"/>
  <c r="AG107" i="4"/>
  <c r="AF107" i="4"/>
  <c r="AC107" i="4"/>
  <c r="AB107" i="4"/>
  <c r="Z107" i="4"/>
  <c r="J107" i="4"/>
  <c r="AK107" i="4" s="1"/>
  <c r="BJ105" i="4"/>
  <c r="BF105" i="4"/>
  <c r="BD105" i="4"/>
  <c r="AP105" i="4"/>
  <c r="AO105" i="4"/>
  <c r="BH105" i="4" s="1"/>
  <c r="AD105" i="4" s="1"/>
  <c r="AL105" i="4"/>
  <c r="AJ105" i="4"/>
  <c r="AH105" i="4"/>
  <c r="AG105" i="4"/>
  <c r="AF105" i="4"/>
  <c r="AC105" i="4"/>
  <c r="AB105" i="4"/>
  <c r="Z105" i="4"/>
  <c r="J105" i="4"/>
  <c r="AK105" i="4" s="1"/>
  <c r="BJ104" i="4"/>
  <c r="BF104" i="4"/>
  <c r="BD104" i="4"/>
  <c r="AP104" i="4"/>
  <c r="BI104" i="4" s="1"/>
  <c r="AE104" i="4" s="1"/>
  <c r="AO104" i="4"/>
  <c r="BH104" i="4" s="1"/>
  <c r="AD104" i="4" s="1"/>
  <c r="AL104" i="4"/>
  <c r="AU103" i="4" s="1"/>
  <c r="AJ104" i="4"/>
  <c r="AH104" i="4"/>
  <c r="AG104" i="4"/>
  <c r="AF104" i="4"/>
  <c r="AC104" i="4"/>
  <c r="AB104" i="4"/>
  <c r="Z104" i="4"/>
  <c r="J104" i="4"/>
  <c r="BJ102" i="4"/>
  <c r="Z102" i="4" s="1"/>
  <c r="BF102" i="4"/>
  <c r="BD102" i="4"/>
  <c r="AP102" i="4"/>
  <c r="AO102" i="4"/>
  <c r="AL102" i="4"/>
  <c r="AJ102" i="4"/>
  <c r="AH102" i="4"/>
  <c r="AG102" i="4"/>
  <c r="AF102" i="4"/>
  <c r="AE102" i="4"/>
  <c r="AD102" i="4"/>
  <c r="AC102" i="4"/>
  <c r="AB102" i="4"/>
  <c r="J102" i="4"/>
  <c r="AK102" i="4" s="1"/>
  <c r="BJ101" i="4"/>
  <c r="BF101" i="4"/>
  <c r="BD101" i="4"/>
  <c r="AP101" i="4"/>
  <c r="BI101" i="4" s="1"/>
  <c r="AE101" i="4" s="1"/>
  <c r="AO101" i="4"/>
  <c r="AL101" i="4"/>
  <c r="AJ101" i="4"/>
  <c r="AH101" i="4"/>
  <c r="AG101" i="4"/>
  <c r="AF101" i="4"/>
  <c r="AC101" i="4"/>
  <c r="AB101" i="4"/>
  <c r="Z101" i="4"/>
  <c r="J101" i="4"/>
  <c r="AK101" i="4" s="1"/>
  <c r="BJ100" i="4"/>
  <c r="BF100" i="4"/>
  <c r="BD100" i="4"/>
  <c r="AP100" i="4"/>
  <c r="BI100" i="4" s="1"/>
  <c r="AE100" i="4" s="1"/>
  <c r="AO100" i="4"/>
  <c r="H100" i="4" s="1"/>
  <c r="AL100" i="4"/>
  <c r="AJ100" i="4"/>
  <c r="AH100" i="4"/>
  <c r="AG100" i="4"/>
  <c r="AF100" i="4"/>
  <c r="AC100" i="4"/>
  <c r="AB100" i="4"/>
  <c r="Z100" i="4"/>
  <c r="J100" i="4"/>
  <c r="AK100" i="4" s="1"/>
  <c r="BJ99" i="4"/>
  <c r="BF99" i="4"/>
  <c r="BD99" i="4"/>
  <c r="AP99" i="4"/>
  <c r="I99" i="4" s="1"/>
  <c r="AO99" i="4"/>
  <c r="BH99" i="4" s="1"/>
  <c r="AD99" i="4" s="1"/>
  <c r="AL99" i="4"/>
  <c r="AJ99" i="4"/>
  <c r="AH99" i="4"/>
  <c r="AG99" i="4"/>
  <c r="AF99" i="4"/>
  <c r="AC99" i="4"/>
  <c r="AB99" i="4"/>
  <c r="Z99" i="4"/>
  <c r="J99" i="4"/>
  <c r="AK99" i="4" s="1"/>
  <c r="BJ98" i="4"/>
  <c r="BF98" i="4"/>
  <c r="BD98" i="4"/>
  <c r="AP98" i="4"/>
  <c r="AO98" i="4"/>
  <c r="BH98" i="4" s="1"/>
  <c r="AD98" i="4" s="1"/>
  <c r="AL98" i="4"/>
  <c r="AJ98" i="4"/>
  <c r="AH98" i="4"/>
  <c r="AG98" i="4"/>
  <c r="AF98" i="4"/>
  <c r="AC98" i="4"/>
  <c r="AB98" i="4"/>
  <c r="Z98" i="4"/>
  <c r="J98" i="4"/>
  <c r="AK98" i="4" s="1"/>
  <c r="BJ97" i="4"/>
  <c r="BF97" i="4"/>
  <c r="BD97" i="4"/>
  <c r="AP97" i="4"/>
  <c r="BI97" i="4" s="1"/>
  <c r="AE97" i="4" s="1"/>
  <c r="AO97" i="4"/>
  <c r="BH97" i="4" s="1"/>
  <c r="AD97" i="4" s="1"/>
  <c r="AL97" i="4"/>
  <c r="AJ97" i="4"/>
  <c r="AH97" i="4"/>
  <c r="AG97" i="4"/>
  <c r="AF97" i="4"/>
  <c r="AC97" i="4"/>
  <c r="AB97" i="4"/>
  <c r="Z97" i="4"/>
  <c r="J97" i="4"/>
  <c r="AK97" i="4" s="1"/>
  <c r="BJ96" i="4"/>
  <c r="BF96" i="4"/>
  <c r="BD96" i="4"/>
  <c r="AP96" i="4"/>
  <c r="AO96" i="4"/>
  <c r="H96" i="4" s="1"/>
  <c r="AL96" i="4"/>
  <c r="AJ96" i="4"/>
  <c r="AH96" i="4"/>
  <c r="AG96" i="4"/>
  <c r="AF96" i="4"/>
  <c r="AC96" i="4"/>
  <c r="AB96" i="4"/>
  <c r="Z96" i="4"/>
  <c r="J96" i="4"/>
  <c r="AK96" i="4" s="1"/>
  <c r="BJ95" i="4"/>
  <c r="BF95" i="4"/>
  <c r="BD95" i="4"/>
  <c r="AP95" i="4"/>
  <c r="BI95" i="4" s="1"/>
  <c r="AE95" i="4" s="1"/>
  <c r="AO95" i="4"/>
  <c r="BH95" i="4" s="1"/>
  <c r="AD95" i="4" s="1"/>
  <c r="AL95" i="4"/>
  <c r="AJ95" i="4"/>
  <c r="AH95" i="4"/>
  <c r="AG95" i="4"/>
  <c r="AF95" i="4"/>
  <c r="AC95" i="4"/>
  <c r="AB95" i="4"/>
  <c r="Z95" i="4"/>
  <c r="J95" i="4"/>
  <c r="AK95" i="4" s="1"/>
  <c r="BJ93" i="4"/>
  <c r="Z93" i="4" s="1"/>
  <c r="BF93" i="4"/>
  <c r="BD93" i="4"/>
  <c r="AP93" i="4"/>
  <c r="BI93" i="4" s="1"/>
  <c r="AO93" i="4"/>
  <c r="BH93" i="4" s="1"/>
  <c r="AL93" i="4"/>
  <c r="AJ93" i="4"/>
  <c r="AH93" i="4"/>
  <c r="AG93" i="4"/>
  <c r="AF93" i="4"/>
  <c r="AE93" i="4"/>
  <c r="AD93" i="4"/>
  <c r="AC93" i="4"/>
  <c r="AB93" i="4"/>
  <c r="J93" i="4"/>
  <c r="AK93" i="4" s="1"/>
  <c r="BJ92" i="4"/>
  <c r="BF92" i="4"/>
  <c r="BD92" i="4"/>
  <c r="AP92" i="4"/>
  <c r="BI92" i="4" s="1"/>
  <c r="AE92" i="4" s="1"/>
  <c r="AO92" i="4"/>
  <c r="BH92" i="4" s="1"/>
  <c r="AD92" i="4" s="1"/>
  <c r="AL92" i="4"/>
  <c r="AJ92" i="4"/>
  <c r="AH92" i="4"/>
  <c r="AG92" i="4"/>
  <c r="AF92" i="4"/>
  <c r="AC92" i="4"/>
  <c r="AB92" i="4"/>
  <c r="Z92" i="4"/>
  <c r="J92" i="4"/>
  <c r="AK92" i="4" s="1"/>
  <c r="I92" i="4"/>
  <c r="BJ91" i="4"/>
  <c r="BF91" i="4"/>
  <c r="BD91" i="4"/>
  <c r="AP91" i="4"/>
  <c r="BI91" i="4" s="1"/>
  <c r="AE91" i="4" s="1"/>
  <c r="AO91" i="4"/>
  <c r="BH91" i="4" s="1"/>
  <c r="AD91" i="4" s="1"/>
  <c r="AL91" i="4"/>
  <c r="AJ91" i="4"/>
  <c r="AH91" i="4"/>
  <c r="AG91" i="4"/>
  <c r="AF91" i="4"/>
  <c r="AC91" i="4"/>
  <c r="AB91" i="4"/>
  <c r="Z91" i="4"/>
  <c r="J91" i="4"/>
  <c r="AK91" i="4" s="1"/>
  <c r="BJ90" i="4"/>
  <c r="BF90" i="4"/>
  <c r="BD90" i="4"/>
  <c r="AP90" i="4"/>
  <c r="BI90" i="4" s="1"/>
  <c r="AE90" i="4" s="1"/>
  <c r="AO90" i="4"/>
  <c r="AL90" i="4"/>
  <c r="AJ90" i="4"/>
  <c r="AH90" i="4"/>
  <c r="AG90" i="4"/>
  <c r="AF90" i="4"/>
  <c r="AC90" i="4"/>
  <c r="AB90" i="4"/>
  <c r="Z90" i="4"/>
  <c r="J90" i="4"/>
  <c r="BJ88" i="4"/>
  <c r="BF88" i="4"/>
  <c r="BD88" i="4"/>
  <c r="AP88" i="4"/>
  <c r="BI88" i="4" s="1"/>
  <c r="AO88" i="4"/>
  <c r="BH88" i="4" s="1"/>
  <c r="AL88" i="4"/>
  <c r="AJ88" i="4"/>
  <c r="AH88" i="4"/>
  <c r="AG88" i="4"/>
  <c r="AF88" i="4"/>
  <c r="AE88" i="4"/>
  <c r="AD88" i="4"/>
  <c r="AC88" i="4"/>
  <c r="AB88" i="4"/>
  <c r="Z88" i="4"/>
  <c r="J88" i="4"/>
  <c r="AK88" i="4" s="1"/>
  <c r="BJ87" i="4"/>
  <c r="BF87" i="4"/>
  <c r="BD87" i="4"/>
  <c r="AP87" i="4"/>
  <c r="BI87" i="4" s="1"/>
  <c r="AE87" i="4" s="1"/>
  <c r="AO87" i="4"/>
  <c r="BH87" i="4" s="1"/>
  <c r="AD87" i="4" s="1"/>
  <c r="AL87" i="4"/>
  <c r="AJ87" i="4"/>
  <c r="AH87" i="4"/>
  <c r="AG87" i="4"/>
  <c r="AF87" i="4"/>
  <c r="AC87" i="4"/>
  <c r="AB87" i="4"/>
  <c r="Z87" i="4"/>
  <c r="J87" i="4"/>
  <c r="AK87" i="4" s="1"/>
  <c r="BJ86" i="4"/>
  <c r="BF86" i="4"/>
  <c r="BD86" i="4"/>
  <c r="AP86" i="4"/>
  <c r="BI86" i="4" s="1"/>
  <c r="AE86" i="4" s="1"/>
  <c r="AO86" i="4"/>
  <c r="BH86" i="4" s="1"/>
  <c r="AD86" i="4" s="1"/>
  <c r="AL86" i="4"/>
  <c r="AJ86" i="4"/>
  <c r="AH86" i="4"/>
  <c r="AG86" i="4"/>
  <c r="AF86" i="4"/>
  <c r="AC86" i="4"/>
  <c r="AB86" i="4"/>
  <c r="Z86" i="4"/>
  <c r="J86" i="4"/>
  <c r="AK86" i="4" s="1"/>
  <c r="BJ85" i="4"/>
  <c r="BF85" i="4"/>
  <c r="BD85" i="4"/>
  <c r="AP85" i="4"/>
  <c r="AO85" i="4"/>
  <c r="BH85" i="4" s="1"/>
  <c r="AD85" i="4" s="1"/>
  <c r="AL85" i="4"/>
  <c r="AJ85" i="4"/>
  <c r="AH85" i="4"/>
  <c r="AG85" i="4"/>
  <c r="AF85" i="4"/>
  <c r="AC85" i="4"/>
  <c r="AB85" i="4"/>
  <c r="Z85" i="4"/>
  <c r="J85" i="4"/>
  <c r="AK85" i="4" s="1"/>
  <c r="BJ84" i="4"/>
  <c r="BF84" i="4"/>
  <c r="BD84" i="4"/>
  <c r="AP84" i="4"/>
  <c r="I84" i="4" s="1"/>
  <c r="AO84" i="4"/>
  <c r="BH84" i="4" s="1"/>
  <c r="AD84" i="4" s="1"/>
  <c r="AL84" i="4"/>
  <c r="AJ84" i="4"/>
  <c r="AH84" i="4"/>
  <c r="AG84" i="4"/>
  <c r="AF84" i="4"/>
  <c r="AC84" i="4"/>
  <c r="AB84" i="4"/>
  <c r="Z84" i="4"/>
  <c r="J84" i="4"/>
  <c r="AK84" i="4" s="1"/>
  <c r="BJ83" i="4"/>
  <c r="BF83" i="4"/>
  <c r="BD83" i="4"/>
  <c r="AP83" i="4"/>
  <c r="BI83" i="4" s="1"/>
  <c r="AE83" i="4" s="1"/>
  <c r="AO83" i="4"/>
  <c r="BH83" i="4" s="1"/>
  <c r="AD83" i="4" s="1"/>
  <c r="AL83" i="4"/>
  <c r="AJ83" i="4"/>
  <c r="AH83" i="4"/>
  <c r="AG83" i="4"/>
  <c r="AF83" i="4"/>
  <c r="AC83" i="4"/>
  <c r="AB83" i="4"/>
  <c r="Z83" i="4"/>
  <c r="J83" i="4"/>
  <c r="AK83" i="4" s="1"/>
  <c r="BJ82" i="4"/>
  <c r="BF82" i="4"/>
  <c r="BD82" i="4"/>
  <c r="AP82" i="4"/>
  <c r="BI82" i="4" s="1"/>
  <c r="AE82" i="4" s="1"/>
  <c r="AO82" i="4"/>
  <c r="AL82" i="4"/>
  <c r="AJ82" i="4"/>
  <c r="AH82" i="4"/>
  <c r="AG82" i="4"/>
  <c r="AF82" i="4"/>
  <c r="AC82" i="4"/>
  <c r="AB82" i="4"/>
  <c r="Z82" i="4"/>
  <c r="J82" i="4"/>
  <c r="AK82" i="4" s="1"/>
  <c r="BJ81" i="4"/>
  <c r="BF81" i="4"/>
  <c r="BD81" i="4"/>
  <c r="AP81" i="4"/>
  <c r="I81" i="4" s="1"/>
  <c r="AO81" i="4"/>
  <c r="H81" i="4" s="1"/>
  <c r="AL81" i="4"/>
  <c r="AJ81" i="4"/>
  <c r="AH81" i="4"/>
  <c r="AG81" i="4"/>
  <c r="AF81" i="4"/>
  <c r="AC81" i="4"/>
  <c r="AB81" i="4"/>
  <c r="Z81" i="4"/>
  <c r="J81" i="4"/>
  <c r="BJ79" i="4"/>
  <c r="Z79" i="4" s="1"/>
  <c r="BF79" i="4"/>
  <c r="BD79" i="4"/>
  <c r="AP79" i="4"/>
  <c r="BI79" i="4" s="1"/>
  <c r="AO79" i="4"/>
  <c r="H79" i="4" s="1"/>
  <c r="AL79" i="4"/>
  <c r="AJ79" i="4"/>
  <c r="AH79" i="4"/>
  <c r="AG79" i="4"/>
  <c r="AF79" i="4"/>
  <c r="AE79" i="4"/>
  <c r="AD79" i="4"/>
  <c r="AC79" i="4"/>
  <c r="AB79" i="4"/>
  <c r="J79" i="4"/>
  <c r="AK79" i="4" s="1"/>
  <c r="BJ78" i="4"/>
  <c r="BF78" i="4"/>
  <c r="BD78" i="4"/>
  <c r="AP78" i="4"/>
  <c r="BI78" i="4" s="1"/>
  <c r="AE78" i="4" s="1"/>
  <c r="AO78" i="4"/>
  <c r="H78" i="4" s="1"/>
  <c r="AL78" i="4"/>
  <c r="AJ78" i="4"/>
  <c r="AH78" i="4"/>
  <c r="AG78" i="4"/>
  <c r="AF78" i="4"/>
  <c r="AC78" i="4"/>
  <c r="AB78" i="4"/>
  <c r="Z78" i="4"/>
  <c r="J78" i="4"/>
  <c r="AK78" i="4" s="1"/>
  <c r="BJ77" i="4"/>
  <c r="BF77" i="4"/>
  <c r="BD77" i="4"/>
  <c r="AP77" i="4"/>
  <c r="I77" i="4" s="1"/>
  <c r="AO77" i="4"/>
  <c r="BH77" i="4" s="1"/>
  <c r="AD77" i="4" s="1"/>
  <c r="AL77" i="4"/>
  <c r="AJ77" i="4"/>
  <c r="AH77" i="4"/>
  <c r="AG77" i="4"/>
  <c r="AF77" i="4"/>
  <c r="AC77" i="4"/>
  <c r="AB77" i="4"/>
  <c r="Z77" i="4"/>
  <c r="J77" i="4"/>
  <c r="AK77" i="4" s="1"/>
  <c r="BJ76" i="4"/>
  <c r="BF76" i="4"/>
  <c r="BD76" i="4"/>
  <c r="AP76" i="4"/>
  <c r="BI76" i="4" s="1"/>
  <c r="AE76" i="4" s="1"/>
  <c r="AO76" i="4"/>
  <c r="BH76" i="4" s="1"/>
  <c r="AD76" i="4" s="1"/>
  <c r="AL76" i="4"/>
  <c r="AJ76" i="4"/>
  <c r="AH76" i="4"/>
  <c r="AG76" i="4"/>
  <c r="AF76" i="4"/>
  <c r="AC76" i="4"/>
  <c r="AB76" i="4"/>
  <c r="Z76" i="4"/>
  <c r="J76" i="4"/>
  <c r="AK76" i="4" s="1"/>
  <c r="BJ75" i="4"/>
  <c r="BF75" i="4"/>
  <c r="BD75" i="4"/>
  <c r="AP75" i="4"/>
  <c r="BI75" i="4" s="1"/>
  <c r="AE75" i="4" s="1"/>
  <c r="AO75" i="4"/>
  <c r="AL75" i="4"/>
  <c r="AJ75" i="4"/>
  <c r="AH75" i="4"/>
  <c r="AG75" i="4"/>
  <c r="AF75" i="4"/>
  <c r="AC75" i="4"/>
  <c r="AB75" i="4"/>
  <c r="Z75" i="4"/>
  <c r="J75" i="4"/>
  <c r="AK75" i="4" s="1"/>
  <c r="BJ74" i="4"/>
  <c r="BH74" i="4"/>
  <c r="AD74" i="4" s="1"/>
  <c r="BF74" i="4"/>
  <c r="BD74" i="4"/>
  <c r="AP74" i="4"/>
  <c r="BI74" i="4" s="1"/>
  <c r="AE74" i="4" s="1"/>
  <c r="AO74" i="4"/>
  <c r="H74" i="4" s="1"/>
  <c r="AL74" i="4"/>
  <c r="AJ74" i="4"/>
  <c r="AH74" i="4"/>
  <c r="AG74" i="4"/>
  <c r="AF74" i="4"/>
  <c r="AC74" i="4"/>
  <c r="AB74" i="4"/>
  <c r="Z74" i="4"/>
  <c r="J74" i="4"/>
  <c r="BJ72" i="4"/>
  <c r="Z72" i="4" s="1"/>
  <c r="BF72" i="4"/>
  <c r="BD72" i="4"/>
  <c r="AP72" i="4"/>
  <c r="BI72" i="4" s="1"/>
  <c r="AO72" i="4"/>
  <c r="AL72" i="4"/>
  <c r="AJ72" i="4"/>
  <c r="AH72" i="4"/>
  <c r="AG72" i="4"/>
  <c r="AF72" i="4"/>
  <c r="AE72" i="4"/>
  <c r="AD72" i="4"/>
  <c r="AC72" i="4"/>
  <c r="AB72" i="4"/>
  <c r="J72" i="4"/>
  <c r="AK72" i="4" s="1"/>
  <c r="BJ71" i="4"/>
  <c r="BF71" i="4"/>
  <c r="BD71" i="4"/>
  <c r="AP71" i="4"/>
  <c r="BI71" i="4" s="1"/>
  <c r="AE71" i="4" s="1"/>
  <c r="AO71" i="4"/>
  <c r="H71" i="4" s="1"/>
  <c r="AL71" i="4"/>
  <c r="AJ71" i="4"/>
  <c r="AH71" i="4"/>
  <c r="AG71" i="4"/>
  <c r="AF71" i="4"/>
  <c r="AC71" i="4"/>
  <c r="AB71" i="4"/>
  <c r="Z71" i="4"/>
  <c r="J71" i="4"/>
  <c r="AK71" i="4" s="1"/>
  <c r="BJ70" i="4"/>
  <c r="BF70" i="4"/>
  <c r="BD70" i="4"/>
  <c r="AP70" i="4"/>
  <c r="I70" i="4" s="1"/>
  <c r="AO70" i="4"/>
  <c r="BH70" i="4" s="1"/>
  <c r="AD70" i="4" s="1"/>
  <c r="AL70" i="4"/>
  <c r="AJ70" i="4"/>
  <c r="AH70" i="4"/>
  <c r="AG70" i="4"/>
  <c r="AF70" i="4"/>
  <c r="AC70" i="4"/>
  <c r="AB70" i="4"/>
  <c r="Z70" i="4"/>
  <c r="J70" i="4"/>
  <c r="AK70" i="4" s="1"/>
  <c r="BJ69" i="4"/>
  <c r="BF69" i="4"/>
  <c r="BD69" i="4"/>
  <c r="AP69" i="4"/>
  <c r="BI69" i="4" s="1"/>
  <c r="AE69" i="4" s="1"/>
  <c r="AO69" i="4"/>
  <c r="BH69" i="4" s="1"/>
  <c r="AD69" i="4" s="1"/>
  <c r="AL69" i="4"/>
  <c r="AJ69" i="4"/>
  <c r="AH69" i="4"/>
  <c r="AG69" i="4"/>
  <c r="AF69" i="4"/>
  <c r="AC69" i="4"/>
  <c r="AB69" i="4"/>
  <c r="Z69" i="4"/>
  <c r="J69" i="4"/>
  <c r="AK69" i="4" s="1"/>
  <c r="BJ68" i="4"/>
  <c r="BF68" i="4"/>
  <c r="BD68" i="4"/>
  <c r="AP68" i="4"/>
  <c r="AX68" i="4" s="1"/>
  <c r="AO68" i="4"/>
  <c r="AL68" i="4"/>
  <c r="AJ68" i="4"/>
  <c r="AH68" i="4"/>
  <c r="AG68" i="4"/>
  <c r="AF68" i="4"/>
  <c r="AC68" i="4"/>
  <c r="AB68" i="4"/>
  <c r="Z68" i="4"/>
  <c r="J68" i="4"/>
  <c r="AK68" i="4" s="1"/>
  <c r="BJ67" i="4"/>
  <c r="BF67" i="4"/>
  <c r="BD67" i="4"/>
  <c r="AP67" i="4"/>
  <c r="BI67" i="4" s="1"/>
  <c r="AE67" i="4" s="1"/>
  <c r="AO67" i="4"/>
  <c r="BH67" i="4" s="1"/>
  <c r="AD67" i="4" s="1"/>
  <c r="AL67" i="4"/>
  <c r="AJ67" i="4"/>
  <c r="AH67" i="4"/>
  <c r="AG67" i="4"/>
  <c r="AF67" i="4"/>
  <c r="AC67" i="4"/>
  <c r="AB67" i="4"/>
  <c r="Z67" i="4"/>
  <c r="J67" i="4"/>
  <c r="AK67" i="4" s="1"/>
  <c r="BJ66" i="4"/>
  <c r="BF66" i="4"/>
  <c r="BD66" i="4"/>
  <c r="AP66" i="4"/>
  <c r="BI66" i="4" s="1"/>
  <c r="AE66" i="4" s="1"/>
  <c r="AO66" i="4"/>
  <c r="AL66" i="4"/>
  <c r="AJ66" i="4"/>
  <c r="AH66" i="4"/>
  <c r="AG66" i="4"/>
  <c r="AF66" i="4"/>
  <c r="AC66" i="4"/>
  <c r="AB66" i="4"/>
  <c r="Z66" i="4"/>
  <c r="J66" i="4"/>
  <c r="AK66" i="4" s="1"/>
  <c r="BJ65" i="4"/>
  <c r="BF65" i="4"/>
  <c r="BD65" i="4"/>
  <c r="AP65" i="4"/>
  <c r="AO65" i="4"/>
  <c r="BH65" i="4" s="1"/>
  <c r="AD65" i="4" s="1"/>
  <c r="AL65" i="4"/>
  <c r="AJ65" i="4"/>
  <c r="AH65" i="4"/>
  <c r="AG65" i="4"/>
  <c r="AF65" i="4"/>
  <c r="AC65" i="4"/>
  <c r="AB65" i="4"/>
  <c r="Z65" i="4"/>
  <c r="J65" i="4"/>
  <c r="AK65" i="4" s="1"/>
  <c r="BJ64" i="4"/>
  <c r="BF64" i="4"/>
  <c r="BD64" i="4"/>
  <c r="AP64" i="4"/>
  <c r="BI64" i="4" s="1"/>
  <c r="AE64" i="4" s="1"/>
  <c r="AO64" i="4"/>
  <c r="BH64" i="4" s="1"/>
  <c r="AD64" i="4" s="1"/>
  <c r="AL64" i="4"/>
  <c r="AJ64" i="4"/>
  <c r="AH64" i="4"/>
  <c r="AG64" i="4"/>
  <c r="AF64" i="4"/>
  <c r="AC64" i="4"/>
  <c r="AB64" i="4"/>
  <c r="Z64" i="4"/>
  <c r="J64" i="4"/>
  <c r="AK64" i="4" s="1"/>
  <c r="BJ63" i="4"/>
  <c r="BF63" i="4"/>
  <c r="BD63" i="4"/>
  <c r="AP63" i="4"/>
  <c r="BI63" i="4" s="1"/>
  <c r="AE63" i="4" s="1"/>
  <c r="AO63" i="4"/>
  <c r="BH63" i="4" s="1"/>
  <c r="AD63" i="4" s="1"/>
  <c r="AL63" i="4"/>
  <c r="AJ63" i="4"/>
  <c r="AH63" i="4"/>
  <c r="AG63" i="4"/>
  <c r="AF63" i="4"/>
  <c r="AC63" i="4"/>
  <c r="AB63" i="4"/>
  <c r="Z63" i="4"/>
  <c r="J63" i="4"/>
  <c r="AK63" i="4" s="1"/>
  <c r="BJ62" i="4"/>
  <c r="BF62" i="4"/>
  <c r="BD62" i="4"/>
  <c r="AP62" i="4"/>
  <c r="BI62" i="4" s="1"/>
  <c r="AE62" i="4" s="1"/>
  <c r="AO62" i="4"/>
  <c r="AL62" i="4"/>
  <c r="AJ62" i="4"/>
  <c r="AH62" i="4"/>
  <c r="AG62" i="4"/>
  <c r="AF62" i="4"/>
  <c r="AC62" i="4"/>
  <c r="AB62" i="4"/>
  <c r="Z62" i="4"/>
  <c r="J62" i="4"/>
  <c r="AK62" i="4" s="1"/>
  <c r="BJ61" i="4"/>
  <c r="BF61" i="4"/>
  <c r="BD61" i="4"/>
  <c r="AP61" i="4"/>
  <c r="I61" i="4" s="1"/>
  <c r="AO61" i="4"/>
  <c r="BH61" i="4" s="1"/>
  <c r="AD61" i="4" s="1"/>
  <c r="AL61" i="4"/>
  <c r="AJ61" i="4"/>
  <c r="AH61" i="4"/>
  <c r="AG61" i="4"/>
  <c r="AF61" i="4"/>
  <c r="AC61" i="4"/>
  <c r="AB61" i="4"/>
  <c r="Z61" i="4"/>
  <c r="J61" i="4"/>
  <c r="AK61" i="4" s="1"/>
  <c r="BJ60" i="4"/>
  <c r="BF60" i="4"/>
  <c r="BD60" i="4"/>
  <c r="AP60" i="4"/>
  <c r="BI60" i="4" s="1"/>
  <c r="AE60" i="4" s="1"/>
  <c r="AO60" i="4"/>
  <c r="H60" i="4" s="1"/>
  <c r="AL60" i="4"/>
  <c r="AJ60" i="4"/>
  <c r="AH60" i="4"/>
  <c r="AG60" i="4"/>
  <c r="AF60" i="4"/>
  <c r="AC60" i="4"/>
  <c r="AB60" i="4"/>
  <c r="Z60" i="4"/>
  <c r="J60" i="4"/>
  <c r="AK60" i="4" s="1"/>
  <c r="BJ59" i="4"/>
  <c r="BF59" i="4"/>
  <c r="BD59" i="4"/>
  <c r="AP59" i="4"/>
  <c r="I59" i="4" s="1"/>
  <c r="AO59" i="4"/>
  <c r="BH59" i="4" s="1"/>
  <c r="AD59" i="4" s="1"/>
  <c r="AL59" i="4"/>
  <c r="AJ59" i="4"/>
  <c r="AH59" i="4"/>
  <c r="AG59" i="4"/>
  <c r="AF59" i="4"/>
  <c r="AC59" i="4"/>
  <c r="AB59" i="4"/>
  <c r="Z59" i="4"/>
  <c r="J59" i="4"/>
  <c r="AK59" i="4" s="1"/>
  <c r="BJ58" i="4"/>
  <c r="BF58" i="4"/>
  <c r="BD58" i="4"/>
  <c r="AP58" i="4"/>
  <c r="BI58" i="4" s="1"/>
  <c r="AE58" i="4" s="1"/>
  <c r="AO58" i="4"/>
  <c r="BH58" i="4" s="1"/>
  <c r="AD58" i="4" s="1"/>
  <c r="AL58" i="4"/>
  <c r="AJ58" i="4"/>
  <c r="AH58" i="4"/>
  <c r="AG58" i="4"/>
  <c r="AF58" i="4"/>
  <c r="AC58" i="4"/>
  <c r="AB58" i="4"/>
  <c r="Z58" i="4"/>
  <c r="J58" i="4"/>
  <c r="AK58" i="4" s="1"/>
  <c r="BJ56" i="4"/>
  <c r="Z56" i="4" s="1"/>
  <c r="BF56" i="4"/>
  <c r="BD56" i="4"/>
  <c r="AP56" i="4"/>
  <c r="I56" i="4" s="1"/>
  <c r="AO56" i="4"/>
  <c r="BH56" i="4" s="1"/>
  <c r="AL56" i="4"/>
  <c r="AJ56" i="4"/>
  <c r="AH56" i="4"/>
  <c r="AG56" i="4"/>
  <c r="AF56" i="4"/>
  <c r="AE56" i="4"/>
  <c r="AD56" i="4"/>
  <c r="AC56" i="4"/>
  <c r="AB56" i="4"/>
  <c r="J56" i="4"/>
  <c r="AK56" i="4" s="1"/>
  <c r="BJ55" i="4"/>
  <c r="BF55" i="4"/>
  <c r="BD55" i="4"/>
  <c r="AP55" i="4"/>
  <c r="AO55" i="4"/>
  <c r="BH55" i="4" s="1"/>
  <c r="AD55" i="4" s="1"/>
  <c r="AL55" i="4"/>
  <c r="AJ55" i="4"/>
  <c r="AH55" i="4"/>
  <c r="AG55" i="4"/>
  <c r="AF55" i="4"/>
  <c r="AC55" i="4"/>
  <c r="AB55" i="4"/>
  <c r="Z55" i="4"/>
  <c r="J55" i="4"/>
  <c r="AK55" i="4" s="1"/>
  <c r="BJ54" i="4"/>
  <c r="BF54" i="4"/>
  <c r="BD54" i="4"/>
  <c r="AP54" i="4"/>
  <c r="AO54" i="4"/>
  <c r="BH54" i="4" s="1"/>
  <c r="AD54" i="4" s="1"/>
  <c r="AL54" i="4"/>
  <c r="AJ54" i="4"/>
  <c r="AH54" i="4"/>
  <c r="AG54" i="4"/>
  <c r="AF54" i="4"/>
  <c r="AC54" i="4"/>
  <c r="AB54" i="4"/>
  <c r="Z54" i="4"/>
  <c r="J54" i="4"/>
  <c r="AK54" i="4" s="1"/>
  <c r="BJ53" i="4"/>
  <c r="BH53" i="4"/>
  <c r="AD53" i="4" s="1"/>
  <c r="BF53" i="4"/>
  <c r="BD53" i="4"/>
  <c r="AW53" i="4"/>
  <c r="AP53" i="4"/>
  <c r="I53" i="4" s="1"/>
  <c r="AO53" i="4"/>
  <c r="H53" i="4" s="1"/>
  <c r="AL53" i="4"/>
  <c r="AJ53" i="4"/>
  <c r="AH53" i="4"/>
  <c r="AG53" i="4"/>
  <c r="AF53" i="4"/>
  <c r="AC53" i="4"/>
  <c r="AB53" i="4"/>
  <c r="Z53" i="4"/>
  <c r="J53" i="4"/>
  <c r="AK53" i="4" s="1"/>
  <c r="BJ52" i="4"/>
  <c r="BF52" i="4"/>
  <c r="BD52" i="4"/>
  <c r="AP52" i="4"/>
  <c r="AO52" i="4"/>
  <c r="BH52" i="4" s="1"/>
  <c r="AD52" i="4" s="1"/>
  <c r="AL52" i="4"/>
  <c r="AJ52" i="4"/>
  <c r="AH52" i="4"/>
  <c r="AG52" i="4"/>
  <c r="AF52" i="4"/>
  <c r="AC52" i="4"/>
  <c r="AB52" i="4"/>
  <c r="Z52" i="4"/>
  <c r="J52" i="4"/>
  <c r="AK52" i="4" s="1"/>
  <c r="BJ51" i="4"/>
  <c r="BF51" i="4"/>
  <c r="BD51" i="4"/>
  <c r="AP51" i="4"/>
  <c r="AO51" i="4"/>
  <c r="BH51" i="4" s="1"/>
  <c r="AD51" i="4" s="1"/>
  <c r="AL51" i="4"/>
  <c r="AJ51" i="4"/>
  <c r="AH51" i="4"/>
  <c r="AG51" i="4"/>
  <c r="AF51" i="4"/>
  <c r="AC51" i="4"/>
  <c r="AB51" i="4"/>
  <c r="Z51" i="4"/>
  <c r="J51" i="4"/>
  <c r="AK51" i="4" s="1"/>
  <c r="BJ50" i="4"/>
  <c r="BF50" i="4"/>
  <c r="BD50" i="4"/>
  <c r="AP50" i="4"/>
  <c r="BI50" i="4" s="1"/>
  <c r="AE50" i="4" s="1"/>
  <c r="AO50" i="4"/>
  <c r="BH50" i="4" s="1"/>
  <c r="AD50" i="4" s="1"/>
  <c r="AL50" i="4"/>
  <c r="AJ50" i="4"/>
  <c r="AH50" i="4"/>
  <c r="AG50" i="4"/>
  <c r="AF50" i="4"/>
  <c r="AC50" i="4"/>
  <c r="AB50" i="4"/>
  <c r="Z50" i="4"/>
  <c r="J50" i="4"/>
  <c r="AK50" i="4" s="1"/>
  <c r="BJ49" i="4"/>
  <c r="BF49" i="4"/>
  <c r="BD49" i="4"/>
  <c r="AP49" i="4"/>
  <c r="BI49" i="4" s="1"/>
  <c r="AE49" i="4" s="1"/>
  <c r="AO49" i="4"/>
  <c r="H49" i="4" s="1"/>
  <c r="AL49" i="4"/>
  <c r="AJ49" i="4"/>
  <c r="AH49" i="4"/>
  <c r="AG49" i="4"/>
  <c r="AF49" i="4"/>
  <c r="AC49" i="4"/>
  <c r="AB49" i="4"/>
  <c r="Z49" i="4"/>
  <c r="J49" i="4"/>
  <c r="AK49" i="4" s="1"/>
  <c r="BJ48" i="4"/>
  <c r="BF48" i="4"/>
  <c r="BD48" i="4"/>
  <c r="AP48" i="4"/>
  <c r="I48" i="4" s="1"/>
  <c r="AO48" i="4"/>
  <c r="BH48" i="4" s="1"/>
  <c r="AD48" i="4" s="1"/>
  <c r="AL48" i="4"/>
  <c r="AJ48" i="4"/>
  <c r="AH48" i="4"/>
  <c r="AG48" i="4"/>
  <c r="AF48" i="4"/>
  <c r="AC48" i="4"/>
  <c r="AB48" i="4"/>
  <c r="Z48" i="4"/>
  <c r="J48" i="4"/>
  <c r="AK48" i="4" s="1"/>
  <c r="BJ47" i="4"/>
  <c r="BF47" i="4"/>
  <c r="BD47" i="4"/>
  <c r="AP47" i="4"/>
  <c r="BI47" i="4" s="1"/>
  <c r="AE47" i="4" s="1"/>
  <c r="AO47" i="4"/>
  <c r="BH47" i="4" s="1"/>
  <c r="AD47" i="4" s="1"/>
  <c r="AL47" i="4"/>
  <c r="AJ47" i="4"/>
  <c r="AH47" i="4"/>
  <c r="AG47" i="4"/>
  <c r="AF47" i="4"/>
  <c r="AC47" i="4"/>
  <c r="AB47" i="4"/>
  <c r="Z47" i="4"/>
  <c r="J47" i="4"/>
  <c r="AK47" i="4" s="1"/>
  <c r="BJ46" i="4"/>
  <c r="BF46" i="4"/>
  <c r="BD46" i="4"/>
  <c r="AP46" i="4"/>
  <c r="BI46" i="4" s="1"/>
  <c r="AE46" i="4" s="1"/>
  <c r="AO46" i="4"/>
  <c r="AL46" i="4"/>
  <c r="AJ46" i="4"/>
  <c r="AH46" i="4"/>
  <c r="AG46" i="4"/>
  <c r="AF46" i="4"/>
  <c r="AC46" i="4"/>
  <c r="AB46" i="4"/>
  <c r="Z46" i="4"/>
  <c r="J46" i="4"/>
  <c r="AK46" i="4" s="1"/>
  <c r="BJ45" i="4"/>
  <c r="BH45" i="4"/>
  <c r="AD45" i="4" s="1"/>
  <c r="BF45" i="4"/>
  <c r="BD45" i="4"/>
  <c r="AP45" i="4"/>
  <c r="BI45" i="4" s="1"/>
  <c r="AE45" i="4" s="1"/>
  <c r="AO45" i="4"/>
  <c r="H45" i="4" s="1"/>
  <c r="AL45" i="4"/>
  <c r="AJ45" i="4"/>
  <c r="AH45" i="4"/>
  <c r="AG45" i="4"/>
  <c r="AF45" i="4"/>
  <c r="AC45" i="4"/>
  <c r="AB45" i="4"/>
  <c r="Z45" i="4"/>
  <c r="J45" i="4"/>
  <c r="AK45" i="4" s="1"/>
  <c r="BJ44" i="4"/>
  <c r="BF44" i="4"/>
  <c r="BD44" i="4"/>
  <c r="AP44" i="4"/>
  <c r="BI44" i="4" s="1"/>
  <c r="AE44" i="4" s="1"/>
  <c r="AO44" i="4"/>
  <c r="AL44" i="4"/>
  <c r="AJ44" i="4"/>
  <c r="AH44" i="4"/>
  <c r="AG44" i="4"/>
  <c r="AF44" i="4"/>
  <c r="AC44" i="4"/>
  <c r="AB44" i="4"/>
  <c r="Z44" i="4"/>
  <c r="J44" i="4"/>
  <c r="AK44" i="4" s="1"/>
  <c r="BJ43" i="4"/>
  <c r="BF43" i="4"/>
  <c r="BD43" i="4"/>
  <c r="AP43" i="4"/>
  <c r="BI43" i="4" s="1"/>
  <c r="AE43" i="4" s="1"/>
  <c r="AO43" i="4"/>
  <c r="AL43" i="4"/>
  <c r="AJ43" i="4"/>
  <c r="AH43" i="4"/>
  <c r="AG43" i="4"/>
  <c r="AF43" i="4"/>
  <c r="AC43" i="4"/>
  <c r="AB43" i="4"/>
  <c r="Z43" i="4"/>
  <c r="J43" i="4"/>
  <c r="AK43" i="4" s="1"/>
  <c r="BJ41" i="4"/>
  <c r="BF41" i="4"/>
  <c r="BD41" i="4"/>
  <c r="AP41" i="4"/>
  <c r="BI41" i="4" s="1"/>
  <c r="AE41" i="4" s="1"/>
  <c r="AO41" i="4"/>
  <c r="BH41" i="4" s="1"/>
  <c r="AD41" i="4" s="1"/>
  <c r="AL41" i="4"/>
  <c r="AU40" i="4" s="1"/>
  <c r="AJ41" i="4"/>
  <c r="AS40" i="4" s="1"/>
  <c r="AH41" i="4"/>
  <c r="AG41" i="4"/>
  <c r="AF41" i="4"/>
  <c r="AC41" i="4"/>
  <c r="AB41" i="4"/>
  <c r="Z41" i="4"/>
  <c r="J41" i="4"/>
  <c r="AK41" i="4" s="1"/>
  <c r="AT40" i="4" s="1"/>
  <c r="BJ39" i="4"/>
  <c r="BF39" i="4"/>
  <c r="BD39" i="4"/>
  <c r="AP39" i="4"/>
  <c r="AO39" i="4"/>
  <c r="BH39" i="4" s="1"/>
  <c r="AD39" i="4" s="1"/>
  <c r="AL39" i="4"/>
  <c r="AU38" i="4" s="1"/>
  <c r="AJ39" i="4"/>
  <c r="AS38" i="4" s="1"/>
  <c r="AH39" i="4"/>
  <c r="AG39" i="4"/>
  <c r="AF39" i="4"/>
  <c r="AC39" i="4"/>
  <c r="AB39" i="4"/>
  <c r="Z39" i="4"/>
  <c r="J39" i="4"/>
  <c r="AK39" i="4" s="1"/>
  <c r="AT38" i="4" s="1"/>
  <c r="J38" i="4"/>
  <c r="G17" i="1" s="1"/>
  <c r="I17" i="1" s="1"/>
  <c r="BJ37" i="4"/>
  <c r="BF37" i="4"/>
  <c r="BD37" i="4"/>
  <c r="AP37" i="4"/>
  <c r="BI37" i="4" s="1"/>
  <c r="AE37" i="4" s="1"/>
  <c r="AO37" i="4"/>
  <c r="H37" i="4" s="1"/>
  <c r="AL37" i="4"/>
  <c r="AJ37" i="4"/>
  <c r="AH37" i="4"/>
  <c r="AG37" i="4"/>
  <c r="AF37" i="4"/>
  <c r="AC37" i="4"/>
  <c r="AB37" i="4"/>
  <c r="Z37" i="4"/>
  <c r="J37" i="4"/>
  <c r="AK37" i="4" s="1"/>
  <c r="BJ36" i="4"/>
  <c r="BF36" i="4"/>
  <c r="BD36" i="4"/>
  <c r="AP36" i="4"/>
  <c r="AO36" i="4"/>
  <c r="BH36" i="4" s="1"/>
  <c r="AD36" i="4" s="1"/>
  <c r="AL36" i="4"/>
  <c r="AJ36" i="4"/>
  <c r="AH36" i="4"/>
  <c r="AG36" i="4"/>
  <c r="AF36" i="4"/>
  <c r="AC36" i="4"/>
  <c r="AB36" i="4"/>
  <c r="Z36" i="4"/>
  <c r="J36" i="4"/>
  <c r="AK36" i="4" s="1"/>
  <c r="H36" i="4"/>
  <c r="BJ35" i="4"/>
  <c r="BF35" i="4"/>
  <c r="BD35" i="4"/>
  <c r="AP35" i="4"/>
  <c r="BI35" i="4" s="1"/>
  <c r="AE35" i="4" s="1"/>
  <c r="AO35" i="4"/>
  <c r="BH35" i="4" s="1"/>
  <c r="AD35" i="4" s="1"/>
  <c r="AL35" i="4"/>
  <c r="AJ35" i="4"/>
  <c r="AH35" i="4"/>
  <c r="AG35" i="4"/>
  <c r="AF35" i="4"/>
  <c r="AC35" i="4"/>
  <c r="AB35" i="4"/>
  <c r="Z35" i="4"/>
  <c r="J35" i="4"/>
  <c r="AK35" i="4" s="1"/>
  <c r="BJ33" i="4"/>
  <c r="Z33" i="4" s="1"/>
  <c r="BF33" i="4"/>
  <c r="BD33" i="4"/>
  <c r="AP33" i="4"/>
  <c r="AO33" i="4"/>
  <c r="BH33" i="4" s="1"/>
  <c r="AL33" i="4"/>
  <c r="AJ33" i="4"/>
  <c r="AH33" i="4"/>
  <c r="AG33" i="4"/>
  <c r="AF33" i="4"/>
  <c r="AE33" i="4"/>
  <c r="AD33" i="4"/>
  <c r="AC33" i="4"/>
  <c r="AB33" i="4"/>
  <c r="J33" i="4"/>
  <c r="AK33" i="4" s="1"/>
  <c r="BJ32" i="4"/>
  <c r="BF32" i="4"/>
  <c r="BD32" i="4"/>
  <c r="AP32" i="4"/>
  <c r="AO32" i="4"/>
  <c r="BH32" i="4" s="1"/>
  <c r="AD32" i="4" s="1"/>
  <c r="AL32" i="4"/>
  <c r="AJ32" i="4"/>
  <c r="AH32" i="4"/>
  <c r="AG32" i="4"/>
  <c r="AF32" i="4"/>
  <c r="AC32" i="4"/>
  <c r="AB32" i="4"/>
  <c r="Z32" i="4"/>
  <c r="J32" i="4"/>
  <c r="AK32" i="4" s="1"/>
  <c r="BJ31" i="4"/>
  <c r="BF31" i="4"/>
  <c r="BD31" i="4"/>
  <c r="AP31" i="4"/>
  <c r="BI31" i="4" s="1"/>
  <c r="AE31" i="4" s="1"/>
  <c r="AO31" i="4"/>
  <c r="H31" i="4" s="1"/>
  <c r="AL31" i="4"/>
  <c r="AJ31" i="4"/>
  <c r="AH31" i="4"/>
  <c r="AG31" i="4"/>
  <c r="AF31" i="4"/>
  <c r="AC31" i="4"/>
  <c r="AB31" i="4"/>
  <c r="Z31" i="4"/>
  <c r="J31" i="4"/>
  <c r="AK31" i="4" s="1"/>
  <c r="BJ30" i="4"/>
  <c r="BF30" i="4"/>
  <c r="BD30" i="4"/>
  <c r="AP30" i="4"/>
  <c r="I30" i="4" s="1"/>
  <c r="AO30" i="4"/>
  <c r="BH30" i="4" s="1"/>
  <c r="AD30" i="4" s="1"/>
  <c r="AL30" i="4"/>
  <c r="AJ30" i="4"/>
  <c r="AH30" i="4"/>
  <c r="AG30" i="4"/>
  <c r="AF30" i="4"/>
  <c r="AC30" i="4"/>
  <c r="AB30" i="4"/>
  <c r="Z30" i="4"/>
  <c r="J30" i="4"/>
  <c r="J29" i="4" s="1"/>
  <c r="G15" i="1" s="1"/>
  <c r="I15" i="1" s="1"/>
  <c r="BJ28" i="4"/>
  <c r="Z28" i="4" s="1"/>
  <c r="BF28" i="4"/>
  <c r="BD28" i="4"/>
  <c r="AP28" i="4"/>
  <c r="BI28" i="4" s="1"/>
  <c r="AO28" i="4"/>
  <c r="H28" i="4" s="1"/>
  <c r="AL28" i="4"/>
  <c r="AJ28" i="4"/>
  <c r="AH28" i="4"/>
  <c r="AG28" i="4"/>
  <c r="AF28" i="4"/>
  <c r="AE28" i="4"/>
  <c r="AD28" i="4"/>
  <c r="AC28" i="4"/>
  <c r="AB28" i="4"/>
  <c r="J28" i="4"/>
  <c r="AK28" i="4" s="1"/>
  <c r="BJ27" i="4"/>
  <c r="BF27" i="4"/>
  <c r="BD27" i="4"/>
  <c r="AP27" i="4"/>
  <c r="I27" i="4" s="1"/>
  <c r="AO27" i="4"/>
  <c r="BH27" i="4" s="1"/>
  <c r="AB27" i="4" s="1"/>
  <c r="AL27" i="4"/>
  <c r="AJ27" i="4"/>
  <c r="AH27" i="4"/>
  <c r="AG27" i="4"/>
  <c r="AF27" i="4"/>
  <c r="AE27" i="4"/>
  <c r="AD27" i="4"/>
  <c r="Z27" i="4"/>
  <c r="J27" i="4"/>
  <c r="BJ26" i="4"/>
  <c r="BF26" i="4"/>
  <c r="BD26" i="4"/>
  <c r="AP26" i="4"/>
  <c r="BI26" i="4" s="1"/>
  <c r="AC26" i="4" s="1"/>
  <c r="AO26" i="4"/>
  <c r="AL26" i="4"/>
  <c r="AU25" i="4" s="1"/>
  <c r="AJ26" i="4"/>
  <c r="AH26" i="4"/>
  <c r="AG26" i="4"/>
  <c r="AF26" i="4"/>
  <c r="AE26" i="4"/>
  <c r="AD26" i="4"/>
  <c r="Z26" i="4"/>
  <c r="J26" i="4"/>
  <c r="AK26" i="4" s="1"/>
  <c r="BJ24" i="4"/>
  <c r="BF24" i="4"/>
  <c r="BD24" i="4"/>
  <c r="AP24" i="4"/>
  <c r="I24" i="4" s="1"/>
  <c r="AO24" i="4"/>
  <c r="AL24" i="4"/>
  <c r="AJ24" i="4"/>
  <c r="AH24" i="4"/>
  <c r="AG24" i="4"/>
  <c r="AF24" i="4"/>
  <c r="AE24" i="4"/>
  <c r="AD24" i="4"/>
  <c r="Z24" i="4"/>
  <c r="J24" i="4"/>
  <c r="AK24" i="4" s="1"/>
  <c r="BJ23" i="4"/>
  <c r="BF23" i="4"/>
  <c r="BD23" i="4"/>
  <c r="AP23" i="4"/>
  <c r="I23" i="4" s="1"/>
  <c r="AO23" i="4"/>
  <c r="BH23" i="4" s="1"/>
  <c r="AB23" i="4" s="1"/>
  <c r="AL23" i="4"/>
  <c r="AJ23" i="4"/>
  <c r="AH23" i="4"/>
  <c r="AG23" i="4"/>
  <c r="AF23" i="4"/>
  <c r="AE23" i="4"/>
  <c r="AD23" i="4"/>
  <c r="Z23" i="4"/>
  <c r="J23" i="4"/>
  <c r="AK23" i="4" s="1"/>
  <c r="BJ22" i="4"/>
  <c r="BF22" i="4"/>
  <c r="BD22" i="4"/>
  <c r="AP22" i="4"/>
  <c r="BI22" i="4" s="1"/>
  <c r="AC22" i="4" s="1"/>
  <c r="AO22" i="4"/>
  <c r="BH22" i="4" s="1"/>
  <c r="AB22" i="4" s="1"/>
  <c r="AL22" i="4"/>
  <c r="AJ22" i="4"/>
  <c r="AH22" i="4"/>
  <c r="AG22" i="4"/>
  <c r="AF22" i="4"/>
  <c r="AE22" i="4"/>
  <c r="AD22" i="4"/>
  <c r="Z22" i="4"/>
  <c r="J22" i="4"/>
  <c r="AK22" i="4" s="1"/>
  <c r="BJ20" i="4"/>
  <c r="BF20" i="4"/>
  <c r="BD20" i="4"/>
  <c r="AP20" i="4"/>
  <c r="I20" i="4" s="1"/>
  <c r="AO20" i="4"/>
  <c r="BH20" i="4" s="1"/>
  <c r="AB20" i="4" s="1"/>
  <c r="AL20" i="4"/>
  <c r="AJ20" i="4"/>
  <c r="AH20" i="4"/>
  <c r="AG20" i="4"/>
  <c r="AF20" i="4"/>
  <c r="AE20" i="4"/>
  <c r="AD20" i="4"/>
  <c r="Z20" i="4"/>
  <c r="J20" i="4"/>
  <c r="BJ19" i="4"/>
  <c r="BF19" i="4"/>
  <c r="BD19" i="4"/>
  <c r="AP19" i="4"/>
  <c r="BI19" i="4" s="1"/>
  <c r="AC19" i="4" s="1"/>
  <c r="AO19" i="4"/>
  <c r="BH19" i="4" s="1"/>
  <c r="AB19" i="4" s="1"/>
  <c r="AL19" i="4"/>
  <c r="AJ19" i="4"/>
  <c r="AH19" i="4"/>
  <c r="AG19" i="4"/>
  <c r="AF19" i="4"/>
  <c r="AE19" i="4"/>
  <c r="AD19" i="4"/>
  <c r="Z19" i="4"/>
  <c r="J19" i="4"/>
  <c r="AK19" i="4" s="1"/>
  <c r="BJ18" i="4"/>
  <c r="BF18" i="4"/>
  <c r="BD18" i="4"/>
  <c r="AP18" i="4"/>
  <c r="BI18" i="4" s="1"/>
  <c r="AC18" i="4" s="1"/>
  <c r="AO18" i="4"/>
  <c r="H18" i="4" s="1"/>
  <c r="AL18" i="4"/>
  <c r="AJ18" i="4"/>
  <c r="AH18" i="4"/>
  <c r="AG18" i="4"/>
  <c r="AF18" i="4"/>
  <c r="AE18" i="4"/>
  <c r="AD18" i="4"/>
  <c r="Z18" i="4"/>
  <c r="J18" i="4"/>
  <c r="AK18" i="4" s="1"/>
  <c r="BJ17" i="4"/>
  <c r="BF17" i="4"/>
  <c r="BD17" i="4"/>
  <c r="AP17" i="4"/>
  <c r="I17" i="4" s="1"/>
  <c r="AO17" i="4"/>
  <c r="BH17" i="4" s="1"/>
  <c r="AB17" i="4" s="1"/>
  <c r="AL17" i="4"/>
  <c r="AJ17" i="4"/>
  <c r="AH17" i="4"/>
  <c r="AG17" i="4"/>
  <c r="AF17" i="4"/>
  <c r="AE17" i="4"/>
  <c r="AD17" i="4"/>
  <c r="Z17" i="4"/>
  <c r="J17" i="4"/>
  <c r="AK17" i="4" s="1"/>
  <c r="BJ16" i="4"/>
  <c r="BF16" i="4"/>
  <c r="BD16" i="4"/>
  <c r="AP16" i="4"/>
  <c r="AX16" i="4" s="1"/>
  <c r="AO16" i="4"/>
  <c r="BH16" i="4" s="1"/>
  <c r="AB16" i="4" s="1"/>
  <c r="AL16" i="4"/>
  <c r="AJ16" i="4"/>
  <c r="AH16" i="4"/>
  <c r="AG16" i="4"/>
  <c r="AF16" i="4"/>
  <c r="AE16" i="4"/>
  <c r="AD16" i="4"/>
  <c r="Z16" i="4"/>
  <c r="J16" i="4"/>
  <c r="AK16" i="4" s="1"/>
  <c r="BJ14" i="4"/>
  <c r="BF14" i="4"/>
  <c r="BD14" i="4"/>
  <c r="AW14" i="4"/>
  <c r="AP14" i="4"/>
  <c r="I14" i="4" s="1"/>
  <c r="AO14" i="4"/>
  <c r="BH14" i="4" s="1"/>
  <c r="AB14" i="4" s="1"/>
  <c r="AL14" i="4"/>
  <c r="AJ14" i="4"/>
  <c r="AH14" i="4"/>
  <c r="AG14" i="4"/>
  <c r="AF14" i="4"/>
  <c r="AE14" i="4"/>
  <c r="AD14" i="4"/>
  <c r="Z14" i="4"/>
  <c r="J14" i="4"/>
  <c r="BJ13" i="4"/>
  <c r="BF13" i="4"/>
  <c r="BD13" i="4"/>
  <c r="AP13" i="4"/>
  <c r="AO13" i="4"/>
  <c r="AL13" i="4"/>
  <c r="AJ13" i="4"/>
  <c r="AH13" i="4"/>
  <c r="AG13" i="4"/>
  <c r="AF13" i="4"/>
  <c r="AE13" i="4"/>
  <c r="AD13" i="4"/>
  <c r="Z13" i="4"/>
  <c r="J13" i="4"/>
  <c r="AK13" i="4" s="1"/>
  <c r="H13" i="4"/>
  <c r="AS12" i="4"/>
  <c r="AU1" i="4"/>
  <c r="AT1" i="4"/>
  <c r="AS1" i="4"/>
  <c r="F44" i="3"/>
  <c r="I44" i="3" s="1"/>
  <c r="F43" i="3"/>
  <c r="I43" i="3" s="1"/>
  <c r="F42" i="3"/>
  <c r="I42" i="3" s="1"/>
  <c r="F41" i="3"/>
  <c r="I41" i="3" s="1"/>
  <c r="F40" i="3"/>
  <c r="I40" i="3" s="1"/>
  <c r="F39" i="3"/>
  <c r="I39" i="3" s="1"/>
  <c r="F38" i="3"/>
  <c r="I38" i="3" s="1"/>
  <c r="F37" i="3"/>
  <c r="I37" i="3" s="1"/>
  <c r="F36" i="3"/>
  <c r="I36" i="3" s="1"/>
  <c r="F35" i="3"/>
  <c r="I35" i="3" s="1"/>
  <c r="I26" i="3"/>
  <c r="I19" i="2" s="1"/>
  <c r="I25" i="3"/>
  <c r="I18" i="2" s="1"/>
  <c r="I24" i="3"/>
  <c r="I23" i="3"/>
  <c r="I22" i="3"/>
  <c r="I21" i="3"/>
  <c r="I14" i="2" s="1"/>
  <c r="I17" i="3"/>
  <c r="I16" i="3"/>
  <c r="I15" i="3"/>
  <c r="I18" i="3" s="1"/>
  <c r="I10" i="3"/>
  <c r="F10" i="3"/>
  <c r="C10" i="3"/>
  <c r="F8" i="3"/>
  <c r="C8" i="3"/>
  <c r="F6" i="3"/>
  <c r="C6" i="3"/>
  <c r="F4" i="3"/>
  <c r="C4" i="3"/>
  <c r="F2" i="3"/>
  <c r="C2" i="3"/>
  <c r="I17" i="2"/>
  <c r="I16" i="2"/>
  <c r="F16" i="2"/>
  <c r="I15" i="2"/>
  <c r="F15" i="2"/>
  <c r="I10" i="2"/>
  <c r="F10" i="2"/>
  <c r="C10" i="2"/>
  <c r="F8" i="2"/>
  <c r="C8" i="2"/>
  <c r="F6" i="2"/>
  <c r="C6" i="2"/>
  <c r="F4" i="2"/>
  <c r="C4" i="2"/>
  <c r="F2" i="2"/>
  <c r="C2" i="2"/>
  <c r="G30" i="1"/>
  <c r="I30" i="1" s="1"/>
  <c r="G28" i="1"/>
  <c r="I28" i="1" s="1"/>
  <c r="G8" i="1"/>
  <c r="C8" i="1"/>
  <c r="G6" i="1"/>
  <c r="C6" i="1"/>
  <c r="G4" i="1"/>
  <c r="C4" i="1"/>
  <c r="G2" i="1"/>
  <c r="C2" i="1"/>
  <c r="AS21" i="4" l="1"/>
  <c r="I124" i="4"/>
  <c r="J12" i="4"/>
  <c r="G11" i="1" s="1"/>
  <c r="I11" i="1" s="1"/>
  <c r="AW20" i="4"/>
  <c r="AS25" i="4"/>
  <c r="I107" i="4"/>
  <c r="AW54" i="4"/>
  <c r="I79" i="4"/>
  <c r="I110" i="4"/>
  <c r="AW114" i="4"/>
  <c r="H20" i="4"/>
  <c r="BH81" i="4"/>
  <c r="AD81" i="4" s="1"/>
  <c r="AW23" i="4"/>
  <c r="BC23" i="4" s="1"/>
  <c r="H54" i="4"/>
  <c r="H114" i="4"/>
  <c r="H23" i="4"/>
  <c r="AW64" i="4"/>
  <c r="AV64" i="4" s="1"/>
  <c r="AW97" i="4"/>
  <c r="AW33" i="4"/>
  <c r="AW65" i="4"/>
  <c r="BC65" i="4" s="1"/>
  <c r="AX122" i="4"/>
  <c r="AU120" i="4"/>
  <c r="H65" i="4"/>
  <c r="AT94" i="4"/>
  <c r="AW100" i="4"/>
  <c r="AV100" i="4" s="1"/>
  <c r="AW74" i="4"/>
  <c r="H98" i="4"/>
  <c r="AX100" i="4"/>
  <c r="AU15" i="4"/>
  <c r="I35" i="4"/>
  <c r="AW45" i="4"/>
  <c r="I72" i="4"/>
  <c r="I100" i="4"/>
  <c r="AS94" i="4"/>
  <c r="BI126" i="4"/>
  <c r="I126" i="4"/>
  <c r="AK20" i="4"/>
  <c r="J15" i="4"/>
  <c r="G12" i="1" s="1"/>
  <c r="I12" i="1" s="1"/>
  <c r="BI65" i="4"/>
  <c r="AE65" i="4" s="1"/>
  <c r="I65" i="4"/>
  <c r="AX65" i="4"/>
  <c r="BH82" i="4"/>
  <c r="AD82" i="4" s="1"/>
  <c r="AW82" i="4"/>
  <c r="H82" i="4"/>
  <c r="BI54" i="4"/>
  <c r="AE54" i="4" s="1"/>
  <c r="I54" i="4"/>
  <c r="BI114" i="4"/>
  <c r="AC114" i="4" s="1"/>
  <c r="I114" i="4"/>
  <c r="AK90" i="4"/>
  <c r="AT89" i="4" s="1"/>
  <c r="J89" i="4"/>
  <c r="G23" i="1" s="1"/>
  <c r="I23" i="1" s="1"/>
  <c r="BI36" i="4"/>
  <c r="AE36" i="4" s="1"/>
  <c r="I36" i="4"/>
  <c r="AX36" i="4"/>
  <c r="BH75" i="4"/>
  <c r="AD75" i="4" s="1"/>
  <c r="H75" i="4"/>
  <c r="AW75" i="4"/>
  <c r="AX13" i="4"/>
  <c r="I13" i="4"/>
  <c r="I12" i="4" s="1"/>
  <c r="F11" i="1" s="1"/>
  <c r="BH46" i="4"/>
  <c r="AD46" i="4" s="1"/>
  <c r="H46" i="4"/>
  <c r="AW46" i="4"/>
  <c r="AX26" i="4"/>
  <c r="AW16" i="4"/>
  <c r="BC16" i="4" s="1"/>
  <c r="H76" i="4"/>
  <c r="AW30" i="4"/>
  <c r="AW41" i="4"/>
  <c r="H86" i="4"/>
  <c r="C18" i="2"/>
  <c r="AW17" i="4"/>
  <c r="J25" i="4"/>
  <c r="G14" i="1" s="1"/>
  <c r="I14" i="1" s="1"/>
  <c r="H50" i="4"/>
  <c r="H61" i="4"/>
  <c r="BI70" i="4"/>
  <c r="AE70" i="4" s="1"/>
  <c r="I78" i="4"/>
  <c r="I86" i="4"/>
  <c r="AU89" i="4"/>
  <c r="AW96" i="4"/>
  <c r="BC96" i="4" s="1"/>
  <c r="I104" i="4"/>
  <c r="H118" i="4"/>
  <c r="C19" i="2"/>
  <c r="AU21" i="4"/>
  <c r="AU34" i="4"/>
  <c r="I50" i="4"/>
  <c r="AX63" i="4"/>
  <c r="J103" i="4"/>
  <c r="G25" i="1" s="1"/>
  <c r="I25" i="1" s="1"/>
  <c r="H124" i="4"/>
  <c r="H129" i="4"/>
  <c r="H128" i="4" s="1"/>
  <c r="E30" i="1" s="1"/>
  <c r="AW129" i="4"/>
  <c r="AW81" i="4"/>
  <c r="AX92" i="4"/>
  <c r="H97" i="4"/>
  <c r="H93" i="4"/>
  <c r="AW58" i="4"/>
  <c r="AX67" i="4"/>
  <c r="I93" i="4"/>
  <c r="AW93" i="4"/>
  <c r="BC93" i="4" s="1"/>
  <c r="AW127" i="4"/>
  <c r="AV127" i="4" s="1"/>
  <c r="AS15" i="4"/>
  <c r="I46" i="4"/>
  <c r="I75" i="4"/>
  <c r="I82" i="4"/>
  <c r="AX93" i="4"/>
  <c r="AS103" i="4"/>
  <c r="AW117" i="4"/>
  <c r="C27" i="2"/>
  <c r="I26" i="4"/>
  <c r="AW27" i="4"/>
  <c r="I101" i="4"/>
  <c r="H117" i="4"/>
  <c r="I123" i="4"/>
  <c r="AX123" i="4"/>
  <c r="H16" i="4"/>
  <c r="I37" i="4"/>
  <c r="H47" i="4"/>
  <c r="BI59" i="4"/>
  <c r="AE59" i="4" s="1"/>
  <c r="BI77" i="4"/>
  <c r="AE77" i="4" s="1"/>
  <c r="AX78" i="4"/>
  <c r="AW86" i="4"/>
  <c r="BC86" i="4" s="1"/>
  <c r="AW104" i="4"/>
  <c r="AX119" i="4"/>
  <c r="I16" i="4"/>
  <c r="H27" i="4"/>
  <c r="I49" i="4"/>
  <c r="AW50" i="4"/>
  <c r="AW61" i="4"/>
  <c r="I68" i="4"/>
  <c r="AX95" i="4"/>
  <c r="H104" i="4"/>
  <c r="I22" i="2"/>
  <c r="C20" i="2"/>
  <c r="H17" i="4"/>
  <c r="H87" i="4"/>
  <c r="H105" i="4"/>
  <c r="H33" i="4"/>
  <c r="I44" i="4"/>
  <c r="H51" i="4"/>
  <c r="H107" i="4"/>
  <c r="H121" i="4"/>
  <c r="AX35" i="4"/>
  <c r="I45" i="4"/>
  <c r="AX45" i="4"/>
  <c r="AX64" i="4"/>
  <c r="I74" i="4"/>
  <c r="AX74" i="4"/>
  <c r="I64" i="4"/>
  <c r="I97" i="4"/>
  <c r="H110" i="4"/>
  <c r="H125" i="4"/>
  <c r="AK14" i="4"/>
  <c r="AT12" i="4" s="1"/>
  <c r="BH24" i="4"/>
  <c r="AB24" i="4" s="1"/>
  <c r="AW24" i="4"/>
  <c r="H24" i="4"/>
  <c r="AK27" i="4"/>
  <c r="BI32" i="4"/>
  <c r="AE32" i="4" s="1"/>
  <c r="AX32" i="4"/>
  <c r="I32" i="4"/>
  <c r="BH43" i="4"/>
  <c r="AD43" i="4" s="1"/>
  <c r="H43" i="4"/>
  <c r="BI61" i="4"/>
  <c r="AE61" i="4" s="1"/>
  <c r="AX61" i="4"/>
  <c r="BH66" i="4"/>
  <c r="AD66" i="4" s="1"/>
  <c r="AW66" i="4"/>
  <c r="BH72" i="4"/>
  <c r="H72" i="4"/>
  <c r="AW72" i="4"/>
  <c r="BI84" i="4"/>
  <c r="AE84" i="4" s="1"/>
  <c r="BI85" i="4"/>
  <c r="AE85" i="4" s="1"/>
  <c r="AX85" i="4"/>
  <c r="I85" i="4"/>
  <c r="BI96" i="4"/>
  <c r="AE96" i="4" s="1"/>
  <c r="AX96" i="4"/>
  <c r="BH102" i="4"/>
  <c r="H102" i="4"/>
  <c r="AT109" i="4"/>
  <c r="C29" i="2"/>
  <c r="F29" i="2" s="1"/>
  <c r="BH26" i="4"/>
  <c r="AB26" i="4" s="1"/>
  <c r="AW26" i="4"/>
  <c r="AV26" i="4" s="1"/>
  <c r="AU29" i="4"/>
  <c r="BI33" i="4"/>
  <c r="AX33" i="4"/>
  <c r="AV33" i="4" s="1"/>
  <c r="I33" i="4"/>
  <c r="BI39" i="4"/>
  <c r="AE39" i="4" s="1"/>
  <c r="AX39" i="4"/>
  <c r="I39" i="4"/>
  <c r="I38" i="4" s="1"/>
  <c r="F17" i="1" s="1"/>
  <c r="J57" i="4"/>
  <c r="G20" i="1" s="1"/>
  <c r="I20" i="1" s="1"/>
  <c r="BH79" i="4"/>
  <c r="AW79" i="4"/>
  <c r="AX84" i="4"/>
  <c r="BH90" i="4"/>
  <c r="AD90" i="4" s="1"/>
  <c r="AW90" i="4"/>
  <c r="H90" i="4"/>
  <c r="I96" i="4"/>
  <c r="BH101" i="4"/>
  <c r="AD101" i="4" s="1"/>
  <c r="AW101" i="4"/>
  <c r="AT106" i="4"/>
  <c r="AU12" i="4"/>
  <c r="BI20" i="4"/>
  <c r="AC20" i="4" s="1"/>
  <c r="AX20" i="4"/>
  <c r="BC20" i="4" s="1"/>
  <c r="BI23" i="4"/>
  <c r="AC23" i="4" s="1"/>
  <c r="AX23" i="4"/>
  <c r="H26" i="4"/>
  <c r="H39" i="4"/>
  <c r="H38" i="4" s="1"/>
  <c r="E17" i="1" s="1"/>
  <c r="I41" i="4"/>
  <c r="I40" i="4" s="1"/>
  <c r="F18" i="1" s="1"/>
  <c r="J42" i="4"/>
  <c r="G19" i="1" s="1"/>
  <c r="I19" i="1" s="1"/>
  <c r="I52" i="4"/>
  <c r="BI52" i="4"/>
  <c r="AE52" i="4" s="1"/>
  <c r="AX52" i="4"/>
  <c r="BH62" i="4"/>
  <c r="AD62" i="4" s="1"/>
  <c r="AW62" i="4"/>
  <c r="H62" i="4"/>
  <c r="H66" i="4"/>
  <c r="BH68" i="4"/>
  <c r="AD68" i="4" s="1"/>
  <c r="AW68" i="4"/>
  <c r="BC68" i="4" s="1"/>
  <c r="BI68" i="4"/>
  <c r="AE68" i="4" s="1"/>
  <c r="AS73" i="4"/>
  <c r="BI81" i="4"/>
  <c r="AE81" i="4" s="1"/>
  <c r="AX81" i="4"/>
  <c r="BC81" i="4" s="1"/>
  <c r="H83" i="4"/>
  <c r="H101" i="4"/>
  <c r="J106" i="4"/>
  <c r="G26" i="1" s="1"/>
  <c r="I26" i="1" s="1"/>
  <c r="AT25" i="4"/>
  <c r="AK30" i="4"/>
  <c r="AT29" i="4" s="1"/>
  <c r="BH13" i="4"/>
  <c r="AB13" i="4" s="1"/>
  <c r="AW13" i="4"/>
  <c r="AV13" i="4" s="1"/>
  <c r="AT21" i="4"/>
  <c r="AS34" i="4"/>
  <c r="BH37" i="4"/>
  <c r="AD37" i="4" s="1"/>
  <c r="AW37" i="4"/>
  <c r="AT42" i="4"/>
  <c r="AU42" i="4"/>
  <c r="BH44" i="4"/>
  <c r="AD44" i="4" s="1"/>
  <c r="AW44" i="4"/>
  <c r="BI53" i="4"/>
  <c r="AE53" i="4" s="1"/>
  <c r="AX53" i="4"/>
  <c r="BC53" i="4" s="1"/>
  <c r="H55" i="4"/>
  <c r="AU57" i="4"/>
  <c r="AS80" i="4"/>
  <c r="AK104" i="4"/>
  <c r="AT103" i="4" s="1"/>
  <c r="AK117" i="4"/>
  <c r="AT116" i="4" s="1"/>
  <c r="I45" i="3"/>
  <c r="I24" i="2" s="1"/>
  <c r="C21" i="2"/>
  <c r="AU80" i="4"/>
  <c r="AS89" i="4"/>
  <c r="AU94" i="4"/>
  <c r="AX112" i="4"/>
  <c r="I113" i="4"/>
  <c r="AW113" i="4"/>
  <c r="AU116" i="4"/>
  <c r="H115" i="4"/>
  <c r="AS116" i="4"/>
  <c r="H14" i="4"/>
  <c r="H12" i="4" s="1"/>
  <c r="E11" i="1" s="1"/>
  <c r="I19" i="4"/>
  <c r="AX19" i="4"/>
  <c r="I22" i="4"/>
  <c r="I21" i="4" s="1"/>
  <c r="F13" i="1" s="1"/>
  <c r="AX22" i="4"/>
  <c r="H30" i="4"/>
  <c r="AS29" i="4"/>
  <c r="AS42" i="4"/>
  <c r="AX43" i="4"/>
  <c r="AX49" i="4"/>
  <c r="H58" i="4"/>
  <c r="AS57" i="4"/>
  <c r="I60" i="4"/>
  <c r="AX60" i="4"/>
  <c r="H69" i="4"/>
  <c r="I71" i="4"/>
  <c r="AX71" i="4"/>
  <c r="AX99" i="4"/>
  <c r="AW107" i="4"/>
  <c r="H108" i="4"/>
  <c r="AS106" i="4"/>
  <c r="J109" i="4"/>
  <c r="G27" i="1" s="1"/>
  <c r="I27" i="1" s="1"/>
  <c r="AW110" i="4"/>
  <c r="H111" i="4"/>
  <c r="AS109" i="4"/>
  <c r="AX113" i="4"/>
  <c r="I117" i="4"/>
  <c r="AX126" i="4"/>
  <c r="H127" i="4"/>
  <c r="AX127" i="4"/>
  <c r="AW123" i="4"/>
  <c r="AW124" i="4"/>
  <c r="I127" i="4"/>
  <c r="H29" i="4"/>
  <c r="E15" i="1" s="1"/>
  <c r="AT15" i="4"/>
  <c r="AV16" i="4"/>
  <c r="AT34" i="4"/>
  <c r="BC13" i="4"/>
  <c r="BI13" i="4"/>
  <c r="AC13" i="4" s="1"/>
  <c r="AX14" i="4"/>
  <c r="BI16" i="4"/>
  <c r="AC16" i="4" s="1"/>
  <c r="AX17" i="4"/>
  <c r="I18" i="4"/>
  <c r="AW18" i="4"/>
  <c r="H19" i="4"/>
  <c r="J21" i="4"/>
  <c r="G13" i="1" s="1"/>
  <c r="I13" i="1" s="1"/>
  <c r="H22" i="4"/>
  <c r="AX24" i="4"/>
  <c r="BC26" i="4"/>
  <c r="AX27" i="4"/>
  <c r="I28" i="4"/>
  <c r="I25" i="4" s="1"/>
  <c r="F14" i="1" s="1"/>
  <c r="AW28" i="4"/>
  <c r="AX30" i="4"/>
  <c r="I31" i="4"/>
  <c r="AW31" i="4"/>
  <c r="H32" i="4"/>
  <c r="J34" i="4"/>
  <c r="G16" i="1" s="1"/>
  <c r="I16" i="1" s="1"/>
  <c r="H35" i="4"/>
  <c r="H34" i="4" s="1"/>
  <c r="E16" i="1" s="1"/>
  <c r="AX37" i="4"/>
  <c r="BC37" i="4" s="1"/>
  <c r="J40" i="4"/>
  <c r="G18" i="1" s="1"/>
  <c r="I18" i="1" s="1"/>
  <c r="H41" i="4"/>
  <c r="H40" i="4" s="1"/>
  <c r="E18" i="1" s="1"/>
  <c r="I43" i="4"/>
  <c r="AW43" i="4"/>
  <c r="H44" i="4"/>
  <c r="AX47" i="4"/>
  <c r="I47" i="4"/>
  <c r="AX48" i="4"/>
  <c r="AW49" i="4"/>
  <c r="BH49" i="4"/>
  <c r="AD49" i="4" s="1"/>
  <c r="AW52" i="4"/>
  <c r="H52" i="4"/>
  <c r="AX55" i="4"/>
  <c r="I55" i="4"/>
  <c r="AX56" i="4"/>
  <c r="AT57" i="4"/>
  <c r="AX59" i="4"/>
  <c r="AW60" i="4"/>
  <c r="BH60" i="4"/>
  <c r="AD60" i="4" s="1"/>
  <c r="AV61" i="4"/>
  <c r="F14" i="2"/>
  <c r="F22" i="2" s="1"/>
  <c r="I27" i="3"/>
  <c r="F29" i="3" s="1"/>
  <c r="BI14" i="4"/>
  <c r="AC14" i="4" s="1"/>
  <c r="BI17" i="4"/>
  <c r="AC17" i="4" s="1"/>
  <c r="AX18" i="4"/>
  <c r="BH18" i="4"/>
  <c r="AB18" i="4" s="1"/>
  <c r="AW19" i="4"/>
  <c r="AW22" i="4"/>
  <c r="BI24" i="4"/>
  <c r="AC24" i="4" s="1"/>
  <c r="BI27" i="4"/>
  <c r="AC27" i="4" s="1"/>
  <c r="AX28" i="4"/>
  <c r="BH28" i="4"/>
  <c r="BI30" i="4"/>
  <c r="AE30" i="4" s="1"/>
  <c r="AX31" i="4"/>
  <c r="BH31" i="4"/>
  <c r="AD31" i="4" s="1"/>
  <c r="AW32" i="4"/>
  <c r="AW35" i="4"/>
  <c r="BI48" i="4"/>
  <c r="AE48" i="4" s="1"/>
  <c r="BI55" i="4"/>
  <c r="AE55" i="4" s="1"/>
  <c r="BI56" i="4"/>
  <c r="AW36" i="4"/>
  <c r="AW39" i="4"/>
  <c r="AX41" i="4"/>
  <c r="AX44" i="4"/>
  <c r="AV45" i="4"/>
  <c r="BC45" i="4"/>
  <c r="AW48" i="4"/>
  <c r="H48" i="4"/>
  <c r="AX51" i="4"/>
  <c r="I51" i="4"/>
  <c r="AW56" i="4"/>
  <c r="H56" i="4"/>
  <c r="AW59" i="4"/>
  <c r="H59" i="4"/>
  <c r="BI51" i="4"/>
  <c r="AE51" i="4" s="1"/>
  <c r="AX58" i="4"/>
  <c r="I58" i="4"/>
  <c r="AX62" i="4"/>
  <c r="I62" i="4"/>
  <c r="AX46" i="4"/>
  <c r="AV46" i="4" s="1"/>
  <c r="AW47" i="4"/>
  <c r="AX50" i="4"/>
  <c r="AV50" i="4" s="1"/>
  <c r="AW51" i="4"/>
  <c r="AX54" i="4"/>
  <c r="AW55" i="4"/>
  <c r="H63" i="4"/>
  <c r="I66" i="4"/>
  <c r="H67" i="4"/>
  <c r="AU73" i="4"/>
  <c r="I63" i="4"/>
  <c r="AW63" i="4"/>
  <c r="H64" i="4"/>
  <c r="AX66" i="4"/>
  <c r="I67" i="4"/>
  <c r="AW67" i="4"/>
  <c r="H68" i="4"/>
  <c r="AV68" i="4"/>
  <c r="AX69" i="4"/>
  <c r="I69" i="4"/>
  <c r="AX70" i="4"/>
  <c r="AW71" i="4"/>
  <c r="BH71" i="4"/>
  <c r="AD71" i="4" s="1"/>
  <c r="AX76" i="4"/>
  <c r="I76" i="4"/>
  <c r="AX77" i="4"/>
  <c r="AW78" i="4"/>
  <c r="BH78" i="4"/>
  <c r="AD78" i="4" s="1"/>
  <c r="AX83" i="4"/>
  <c r="I83" i="4"/>
  <c r="AW70" i="4"/>
  <c r="H70" i="4"/>
  <c r="AK74" i="4"/>
  <c r="AT73" i="4" s="1"/>
  <c r="J73" i="4"/>
  <c r="G21" i="1" s="1"/>
  <c r="I21" i="1" s="1"/>
  <c r="AW77" i="4"/>
  <c r="H77" i="4"/>
  <c r="AK81" i="4"/>
  <c r="AT80" i="4" s="1"/>
  <c r="J80" i="4"/>
  <c r="G22" i="1" s="1"/>
  <c r="I22" i="1" s="1"/>
  <c r="AW84" i="4"/>
  <c r="H84" i="4"/>
  <c r="AW69" i="4"/>
  <c r="AX72" i="4"/>
  <c r="AV72" i="4" s="1"/>
  <c r="AX75" i="4"/>
  <c r="AW76" i="4"/>
  <c r="AX79" i="4"/>
  <c r="AX82" i="4"/>
  <c r="AW83" i="4"/>
  <c r="AX86" i="4"/>
  <c r="I87" i="4"/>
  <c r="AW87" i="4"/>
  <c r="H88" i="4"/>
  <c r="I90" i="4"/>
  <c r="H91" i="4"/>
  <c r="AX111" i="4"/>
  <c r="I111" i="4"/>
  <c r="BI111" i="4"/>
  <c r="AC111" i="4" s="1"/>
  <c r="AX115" i="4"/>
  <c r="I115" i="4"/>
  <c r="BI115" i="4"/>
  <c r="AC115" i="4" s="1"/>
  <c r="AX129" i="4"/>
  <c r="I129" i="4"/>
  <c r="I128" i="4" s="1"/>
  <c r="H85" i="4"/>
  <c r="AX87" i="4"/>
  <c r="I88" i="4"/>
  <c r="AW88" i="4"/>
  <c r="AX90" i="4"/>
  <c r="I91" i="4"/>
  <c r="AW91" i="4"/>
  <c r="H92" i="4"/>
  <c r="J94" i="4"/>
  <c r="G24" i="1" s="1"/>
  <c r="I24" i="1" s="1"/>
  <c r="I95" i="4"/>
  <c r="AW95" i="4"/>
  <c r="H95" i="4"/>
  <c r="AX108" i="4"/>
  <c r="I108" i="4"/>
  <c r="I106" i="4" s="1"/>
  <c r="F26" i="1" s="1"/>
  <c r="BI108" i="4"/>
  <c r="AE108" i="4" s="1"/>
  <c r="AS120" i="4"/>
  <c r="AX121" i="4"/>
  <c r="I121" i="4"/>
  <c r="BI121" i="4"/>
  <c r="AX125" i="4"/>
  <c r="I125" i="4"/>
  <c r="BI125" i="4"/>
  <c r="BI129" i="4"/>
  <c r="AW85" i="4"/>
  <c r="AX88" i="4"/>
  <c r="AX91" i="4"/>
  <c r="AW92" i="4"/>
  <c r="AX98" i="4"/>
  <c r="I98" i="4"/>
  <c r="BI98" i="4"/>
  <c r="AE98" i="4" s="1"/>
  <c r="AW99" i="4"/>
  <c r="H99" i="4"/>
  <c r="AX105" i="4"/>
  <c r="I105" i="4"/>
  <c r="I103" i="4" s="1"/>
  <c r="F25" i="1" s="1"/>
  <c r="BI105" i="4"/>
  <c r="AE105" i="4" s="1"/>
  <c r="AW119" i="4"/>
  <c r="H119" i="4"/>
  <c r="AW122" i="4"/>
  <c r="H122" i="4"/>
  <c r="AX102" i="4"/>
  <c r="I102" i="4"/>
  <c r="BI102" i="4"/>
  <c r="AW112" i="4"/>
  <c r="H112" i="4"/>
  <c r="AX118" i="4"/>
  <c r="I118" i="4"/>
  <c r="I116" i="4" s="1"/>
  <c r="F28" i="1" s="1"/>
  <c r="BI118" i="4"/>
  <c r="AC118" i="4" s="1"/>
  <c r="AK122" i="4"/>
  <c r="AT120" i="4" s="1"/>
  <c r="J120" i="4"/>
  <c r="G29" i="1" s="1"/>
  <c r="I29" i="1" s="1"/>
  <c r="AW126" i="4"/>
  <c r="H126" i="4"/>
  <c r="BH96" i="4"/>
  <c r="AD96" i="4" s="1"/>
  <c r="BI99" i="4"/>
  <c r="AE99" i="4" s="1"/>
  <c r="BH100" i="4"/>
  <c r="AD100" i="4" s="1"/>
  <c r="BI112" i="4"/>
  <c r="AC112" i="4" s="1"/>
  <c r="BH113" i="4"/>
  <c r="AB113" i="4" s="1"/>
  <c r="BI119" i="4"/>
  <c r="AC119" i="4" s="1"/>
  <c r="BI122" i="4"/>
  <c r="BH123" i="4"/>
  <c r="AX97" i="4"/>
  <c r="AV97" i="4" s="1"/>
  <c r="AW98" i="4"/>
  <c r="AX101" i="4"/>
  <c r="AW102" i="4"/>
  <c r="AX104" i="4"/>
  <c r="AW105" i="4"/>
  <c r="AX107" i="4"/>
  <c r="AW108" i="4"/>
  <c r="AX110" i="4"/>
  <c r="AW111" i="4"/>
  <c r="AX114" i="4"/>
  <c r="AW115" i="4"/>
  <c r="AX117" i="4"/>
  <c r="AV117" i="4" s="1"/>
  <c r="AW118" i="4"/>
  <c r="AW121" i="4"/>
  <c r="AX124" i="4"/>
  <c r="AW125" i="4"/>
  <c r="AV113" i="4" l="1"/>
  <c r="BC41" i="4"/>
  <c r="BC123" i="4"/>
  <c r="AV65" i="4"/>
  <c r="BC100" i="4"/>
  <c r="H73" i="4"/>
  <c r="E21" i="1" s="1"/>
  <c r="AV74" i="4"/>
  <c r="AV93" i="4"/>
  <c r="AV86" i="4"/>
  <c r="BC64" i="4"/>
  <c r="H103" i="4"/>
  <c r="E25" i="1" s="1"/>
  <c r="AV114" i="4"/>
  <c r="H106" i="4"/>
  <c r="E26" i="1" s="1"/>
  <c r="H25" i="4"/>
  <c r="E14" i="1" s="1"/>
  <c r="AV23" i="4"/>
  <c r="AV81" i="4"/>
  <c r="AV104" i="4"/>
  <c r="H116" i="4"/>
  <c r="E28" i="1" s="1"/>
  <c r="AV96" i="4"/>
  <c r="AV123" i="4"/>
  <c r="BC127" i="4"/>
  <c r="AV101" i="4"/>
  <c r="BC54" i="4"/>
  <c r="I34" i="4"/>
  <c r="F16" i="1" s="1"/>
  <c r="BC113" i="4"/>
  <c r="AV82" i="4"/>
  <c r="BC74" i="4"/>
  <c r="AV79" i="4"/>
  <c r="H15" i="4"/>
  <c r="E12" i="1" s="1"/>
  <c r="AV110" i="4"/>
  <c r="BC124" i="4"/>
  <c r="BC114" i="4"/>
  <c r="AV75" i="4"/>
  <c r="BC50" i="4"/>
  <c r="I15" i="4"/>
  <c r="F12" i="1" s="1"/>
  <c r="I109" i="4"/>
  <c r="F27" i="1" s="1"/>
  <c r="AV20" i="4"/>
  <c r="I73" i="4"/>
  <c r="F21" i="1" s="1"/>
  <c r="AV53" i="4"/>
  <c r="H89" i="4"/>
  <c r="E23" i="1" s="1"/>
  <c r="BC61" i="4"/>
  <c r="BC82" i="4"/>
  <c r="I29" i="4"/>
  <c r="F15" i="1" s="1"/>
  <c r="H21" i="4"/>
  <c r="E13" i="1" s="1"/>
  <c r="BC33" i="4"/>
  <c r="AV124" i="4"/>
  <c r="H109" i="4"/>
  <c r="E27" i="1" s="1"/>
  <c r="BC46" i="4"/>
  <c r="I80" i="4"/>
  <c r="F22" i="1" s="1"/>
  <c r="C16" i="2"/>
  <c r="H94" i="4"/>
  <c r="E24" i="1" s="1"/>
  <c r="C14" i="2"/>
  <c r="G31" i="1"/>
  <c r="AV107" i="4"/>
  <c r="H120" i="4"/>
  <c r="E29" i="1" s="1"/>
  <c r="I120" i="4"/>
  <c r="F29" i="1" s="1"/>
  <c r="I89" i="4"/>
  <c r="F23" i="1" s="1"/>
  <c r="I57" i="4"/>
  <c r="F20" i="1" s="1"/>
  <c r="H57" i="4"/>
  <c r="E20" i="1" s="1"/>
  <c r="BC44" i="4"/>
  <c r="AV125" i="4"/>
  <c r="BC125" i="4"/>
  <c r="BC69" i="4"/>
  <c r="AV69" i="4"/>
  <c r="BC55" i="4"/>
  <c r="AV55" i="4"/>
  <c r="BC19" i="4"/>
  <c r="AV19" i="4"/>
  <c r="AV115" i="4"/>
  <c r="BC115" i="4"/>
  <c r="BC88" i="4"/>
  <c r="AV88" i="4"/>
  <c r="BC110" i="4"/>
  <c r="BC76" i="4"/>
  <c r="AV76" i="4"/>
  <c r="H80" i="4"/>
  <c r="E22" i="1" s="1"/>
  <c r="AV77" i="4"/>
  <c r="BC77" i="4"/>
  <c r="BC58" i="4"/>
  <c r="AV58" i="4"/>
  <c r="AV56" i="4"/>
  <c r="BC56" i="4"/>
  <c r="AV36" i="4"/>
  <c r="BC36" i="4"/>
  <c r="J130" i="4"/>
  <c r="AV52" i="4"/>
  <c r="BC52" i="4"/>
  <c r="I42" i="4"/>
  <c r="F19" i="1" s="1"/>
  <c r="AV27" i="4"/>
  <c r="BC27" i="4"/>
  <c r="AV18" i="4"/>
  <c r="BC18" i="4"/>
  <c r="AV54" i="4"/>
  <c r="C28" i="2"/>
  <c r="AV44" i="4"/>
  <c r="AV43" i="4"/>
  <c r="BC43" i="4"/>
  <c r="AV31" i="4"/>
  <c r="BC31" i="4"/>
  <c r="AV102" i="4"/>
  <c r="BC102" i="4"/>
  <c r="BC104" i="4"/>
  <c r="AV95" i="4"/>
  <c r="BC95" i="4"/>
  <c r="AV121" i="4"/>
  <c r="BC121" i="4"/>
  <c r="AV126" i="4"/>
  <c r="BC126" i="4"/>
  <c r="AV122" i="4"/>
  <c r="BC122" i="4"/>
  <c r="AV85" i="4"/>
  <c r="BC85" i="4"/>
  <c r="BC101" i="4"/>
  <c r="I94" i="4"/>
  <c r="F24" i="1" s="1"/>
  <c r="BC91" i="4"/>
  <c r="AV91" i="4"/>
  <c r="F30" i="1"/>
  <c r="BC83" i="4"/>
  <c r="AV83" i="4"/>
  <c r="AV84" i="4"/>
  <c r="BC84" i="4"/>
  <c r="BC72" i="4"/>
  <c r="BC67" i="4"/>
  <c r="AV67" i="4"/>
  <c r="BC63" i="4"/>
  <c r="AV63" i="4"/>
  <c r="BC75" i="4"/>
  <c r="AV51" i="4"/>
  <c r="BC51" i="4"/>
  <c r="AV59" i="4"/>
  <c r="BC59" i="4"/>
  <c r="BC35" i="4"/>
  <c r="AV35" i="4"/>
  <c r="C17" i="2"/>
  <c r="AV60" i="4"/>
  <c r="BC60" i="4"/>
  <c r="AV30" i="4"/>
  <c r="BC30" i="4"/>
  <c r="AV14" i="4"/>
  <c r="BC14" i="4"/>
  <c r="AV37" i="4"/>
  <c r="AV112" i="4"/>
  <c r="BC112" i="4"/>
  <c r="AV90" i="4"/>
  <c r="BC90" i="4"/>
  <c r="AV70" i="4"/>
  <c r="BC70" i="4"/>
  <c r="AV71" i="4"/>
  <c r="BC71" i="4"/>
  <c r="AV66" i="4"/>
  <c r="BC66" i="4"/>
  <c r="BC47" i="4"/>
  <c r="AV47" i="4"/>
  <c r="AV39" i="4"/>
  <c r="BC39" i="4"/>
  <c r="AV108" i="4"/>
  <c r="BC108" i="4"/>
  <c r="AV119" i="4"/>
  <c r="BC119" i="4"/>
  <c r="BC97" i="4"/>
  <c r="AV118" i="4"/>
  <c r="BC118" i="4"/>
  <c r="AV111" i="4"/>
  <c r="BC111" i="4"/>
  <c r="AV105" i="4"/>
  <c r="BC105" i="4"/>
  <c r="AV98" i="4"/>
  <c r="BC98" i="4"/>
  <c r="BC117" i="4"/>
  <c r="AV99" i="4"/>
  <c r="BC99" i="4"/>
  <c r="AV92" i="4"/>
  <c r="BC92" i="4"/>
  <c r="AV129" i="4"/>
  <c r="BC129" i="4"/>
  <c r="BC107" i="4"/>
  <c r="AV87" i="4"/>
  <c r="BC87" i="4"/>
  <c r="BC79" i="4"/>
  <c r="AV78" i="4"/>
  <c r="BC78" i="4"/>
  <c r="AV62" i="4"/>
  <c r="BC62" i="4"/>
  <c r="AV48" i="4"/>
  <c r="BC48" i="4"/>
  <c r="BC32" i="4"/>
  <c r="AV32" i="4"/>
  <c r="BC22" i="4"/>
  <c r="AV22" i="4"/>
  <c r="AV49" i="4"/>
  <c r="BC49" i="4"/>
  <c r="H42" i="4"/>
  <c r="E19" i="1" s="1"/>
  <c r="AV28" i="4"/>
  <c r="BC28" i="4"/>
  <c r="AV24" i="4"/>
  <c r="BC24" i="4"/>
  <c r="AV17" i="4"/>
  <c r="BC17" i="4"/>
  <c r="C15" i="2"/>
  <c r="AV41" i="4"/>
  <c r="C22" i="2" l="1"/>
  <c r="F28" i="2"/>
  <c r="I28" i="2"/>
  <c r="I29" i="2" l="1"/>
</calcChain>
</file>

<file path=xl/sharedStrings.xml><?xml version="1.0" encoding="utf-8"?>
<sst xmlns="http://schemas.openxmlformats.org/spreadsheetml/2006/main" count="1582" uniqueCount="486">
  <si>
    <t>Slepý stavební rozpočet - rekapitulace</t>
  </si>
  <si>
    <t>Název stavby:</t>
  </si>
  <si>
    <t>Doba výstavby:</t>
  </si>
  <si>
    <t xml:space="preserve"> </t>
  </si>
  <si>
    <t>Objednatel:</t>
  </si>
  <si>
    <t>Druh stavby:</t>
  </si>
  <si>
    <t>Začátek výstavby:</t>
  </si>
  <si>
    <t>Projektant:</t>
  </si>
  <si>
    <t>Lokalita:</t>
  </si>
  <si>
    <t>Konec výstavby:</t>
  </si>
  <si>
    <t>Zhotovitel:</t>
  </si>
  <si>
    <t>Zpracoval:</t>
  </si>
  <si>
    <t>Zpracováno dne:</t>
  </si>
  <si>
    <t>18.01.2025</t>
  </si>
  <si>
    <t>Objekt</t>
  </si>
  <si>
    <t>Kód</t>
  </si>
  <si>
    <t>Zkrácený popis</t>
  </si>
  <si>
    <t>Náklady (Kč) - dodávka</t>
  </si>
  <si>
    <t>Náklady (Kč) - Montáž</t>
  </si>
  <si>
    <t>Náklady (Kč) - celkem</t>
  </si>
  <si>
    <t/>
  </si>
  <si>
    <t>34</t>
  </si>
  <si>
    <t>Stěny a příčky</t>
  </si>
  <si>
    <t>T</t>
  </si>
  <si>
    <t>60</t>
  </si>
  <si>
    <t>Omítky ze suchých směsí</t>
  </si>
  <si>
    <t>61</t>
  </si>
  <si>
    <t>Úprava povrchů vnitřní</t>
  </si>
  <si>
    <t>64</t>
  </si>
  <si>
    <t>Výplně otvorů</t>
  </si>
  <si>
    <t>711</t>
  </si>
  <si>
    <t>Izolace proti vodě</t>
  </si>
  <si>
    <t>72</t>
  </si>
  <si>
    <t>Zdravotně technické instalace - bourání</t>
  </si>
  <si>
    <t>721</t>
  </si>
  <si>
    <t>Vnitřní kanalizace</t>
  </si>
  <si>
    <t>722</t>
  </si>
  <si>
    <t>Vnitřní vodovod</t>
  </si>
  <si>
    <t>725</t>
  </si>
  <si>
    <t>Zařizovací předměty</t>
  </si>
  <si>
    <t>766</t>
  </si>
  <si>
    <t>Konstrukce truhlářské</t>
  </si>
  <si>
    <t>771</t>
  </si>
  <si>
    <t>Podlahy z dlaždic</t>
  </si>
  <si>
    <t>776</t>
  </si>
  <si>
    <t>Podlahy povlakové</t>
  </si>
  <si>
    <t>777</t>
  </si>
  <si>
    <t>Podlahy ze syntetických hmot</t>
  </si>
  <si>
    <t>781</t>
  </si>
  <si>
    <t>Obklady (keramické)</t>
  </si>
  <si>
    <t>783</t>
  </si>
  <si>
    <t>Nátěry</t>
  </si>
  <si>
    <t>784</t>
  </si>
  <si>
    <t>Malby</t>
  </si>
  <si>
    <t>96</t>
  </si>
  <si>
    <t>Bourání konstrukcí</t>
  </si>
  <si>
    <t>M65</t>
  </si>
  <si>
    <t>Elektroinstalace</t>
  </si>
  <si>
    <t>S</t>
  </si>
  <si>
    <t>Přesuny sutí</t>
  </si>
  <si>
    <t>Vedlejší a ostatní rozpočtové náklady</t>
  </si>
  <si>
    <t>03VRN</t>
  </si>
  <si>
    <t>Zařízení staveniště</t>
  </si>
  <si>
    <t>Celkem:</t>
  </si>
  <si>
    <t>Krycí list slepého rozpočtu</t>
  </si>
  <si>
    <t>IČO/DIČ:</t>
  </si>
  <si>
    <t>Položek:</t>
  </si>
  <si>
    <t>JKSO: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</si>
  <si>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</si>
  <si>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</si>
  <si>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</si>
  <si>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</si>
  <si>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</si>
  <si>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</si>
  <si>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</si>
  <si>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</si>
  <si>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</si>
  <si>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</si>
  <si>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</si>
  <si>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</si>
  <si>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</si>
  <si>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</si>
  <si>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</si>
  <si>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</si>
  <si>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</si>
  <si>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</si>
  <si>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</si>
  <si>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</si>
  <si>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</si>
  <si>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</si>
  <si>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</si>
  <si>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</si>
  <si>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</si>
  <si>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</si>
  <si>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</si>
  <si>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</si>
  <si>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</si>
  <si>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</si>
  <si>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</si>
  <si>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</si>
  <si>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</si>
  <si>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</si>
  <si>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</si>
  <si>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</si>
  <si>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</si>
  <si>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</si>
  <si>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</si>
  <si>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</si>
  <si>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</si>
  <si>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</si>
  <si>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</si>
  <si>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</si>
  <si>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</si>
  <si>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</si>
  <si>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</si>
  <si>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</si>
  <si>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</si>
  <si>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</si>
  <si>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</si>
  <si>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</si>
  <si>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Průzkumy, geodetické a projektové práce</t>
  </si>
  <si>
    <t>Příprava staveniště</t>
  </si>
  <si>
    <t>Inženýrské činnosti</t>
  </si>
  <si>
    <t>Finanční náklady</t>
  </si>
  <si>
    <t>Náklady na pracovníky</t>
  </si>
  <si>
    <t>Ostatní náklady</t>
  </si>
  <si>
    <t>Vlastní VORN</t>
  </si>
  <si>
    <t>Celkem VORN</t>
  </si>
  <si>
    <t>Slepý stavební rozpočet</t>
  </si>
  <si>
    <t>Rekonstrukce bytu č.23</t>
  </si>
  <si>
    <t>Město Žďár nad Sázavou</t>
  </si>
  <si>
    <t>byt</t>
  </si>
  <si>
    <t>ing. Václav Kulhánek</t>
  </si>
  <si>
    <t>Žďár nad Sázavou</t>
  </si>
  <si>
    <t> </t>
  </si>
  <si>
    <t>812</t>
  </si>
  <si>
    <t>Č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</si>
  <si>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</si>
  <si>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</si>
  <si>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</si>
  <si>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</si>
  <si>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</si>
  <si>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</si>
  <si>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</si>
  <si>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</si>
  <si>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</si>
  <si>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</si>
  <si>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</si>
  <si>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</si>
  <si>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</si>
  <si>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</si>
  <si>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</si>
  <si>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</si>
  <si>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</si>
  <si>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</si>
  <si>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</si>
  <si>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</si>
  <si>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</si>
  <si>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</si>
  <si>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</si>
  <si>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</si>
  <si>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</si>
  <si>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1</t>
  </si>
  <si>
    <t>342256253R00</t>
  </si>
  <si>
    <t>Příčka z tvárnic pórobetonových tl. 100 mm</t>
  </si>
  <si>
    <t>m2</t>
  </si>
  <si>
    <t>RTS I / 2024</t>
  </si>
  <si>
    <t>34_</t>
  </si>
  <si>
    <t>3_</t>
  </si>
  <si>
    <t>_</t>
  </si>
  <si>
    <t>2</t>
  </si>
  <si>
    <t>342256252R00</t>
  </si>
  <si>
    <t>Příčka z tvárnic pórobetonových  tl.  75 mm</t>
  </si>
  <si>
    <t>3</t>
  </si>
  <si>
    <t>601011141R00</t>
  </si>
  <si>
    <t>Omítka na stropech/podhledech štuková vápenná, vnitřní, ručně</t>
  </si>
  <si>
    <t>60_</t>
  </si>
  <si>
    <t>6_</t>
  </si>
  <si>
    <t>4</t>
  </si>
  <si>
    <t>601011199R00</t>
  </si>
  <si>
    <t>Penetrace na stropech/podhledech velmi savých minerálních podkladů (lehké betony,staré omítky)</t>
  </si>
  <si>
    <t>5</t>
  </si>
  <si>
    <t>602011112R00</t>
  </si>
  <si>
    <t>Omítka na stěnách jádrová vápenocementová, ručně</t>
  </si>
  <si>
    <t>6</t>
  </si>
  <si>
    <t>602011141R00</t>
  </si>
  <si>
    <t>Omítka na stěnách štuková vápenná vnitřní, ručně</t>
  </si>
  <si>
    <t>7</t>
  </si>
  <si>
    <t>602011199R00</t>
  </si>
  <si>
    <t>Penetrace na stěnách velmi savých minerálních podkladů (lehké betony a staré omítky)</t>
  </si>
  <si>
    <t>8</t>
  </si>
  <si>
    <t>611421221R00</t>
  </si>
  <si>
    <t>Oprava váp.omítek stropů do 10% plochy - hladkých</t>
  </si>
  <si>
    <t>61_</t>
  </si>
  <si>
    <t>9</t>
  </si>
  <si>
    <t>612421221R00</t>
  </si>
  <si>
    <t>Oprava vápen.omítek stěn do 10 % pl. - hladkých</t>
  </si>
  <si>
    <t>10</t>
  </si>
  <si>
    <t>610991001R00</t>
  </si>
  <si>
    <t>Začišťovací okenní lišta pro vnitř.omítku tl. 6 mm</t>
  </si>
  <si>
    <t>m</t>
  </si>
  <si>
    <t>11</t>
  </si>
  <si>
    <t>642942111RT3</t>
  </si>
  <si>
    <t>Osazení zárubní dveřních ocelových, pl. do 2,5 m2, včetně dodávky zárubně 700 x 1970 x 100 mm</t>
  </si>
  <si>
    <t>kus</t>
  </si>
  <si>
    <t>64_</t>
  </si>
  <si>
    <t>12</t>
  </si>
  <si>
    <t>642942111RT4</t>
  </si>
  <si>
    <t>Osazení zárubní dveřních ocelových, pl. do 2,5 m2, včetně dodávky zárubně 800 x 1970 x 100 mm</t>
  </si>
  <si>
    <t>13</t>
  </si>
  <si>
    <t>999281108R00</t>
  </si>
  <si>
    <t>Přesun hmot pro opravy a údržbu do výšky 12 m</t>
  </si>
  <si>
    <t>t</t>
  </si>
  <si>
    <t>14</t>
  </si>
  <si>
    <t>711212002R00</t>
  </si>
  <si>
    <t>Izolace proti vodě a vlhkosti, hydroizolační povlak - nátěr nebo stěrka</t>
  </si>
  <si>
    <t>711_</t>
  </si>
  <si>
    <t>71_</t>
  </si>
  <si>
    <t>15</t>
  </si>
  <si>
    <t>711212601R00</t>
  </si>
  <si>
    <t>Utěsnění detailů při stěrkových hydroizolacích, těsnicí pás do spoje podlaha - stěna</t>
  </si>
  <si>
    <t>16</t>
  </si>
  <si>
    <t>711212611R00</t>
  </si>
  <si>
    <t>Utěsnění detailů při stěrkových hydroizolacích, těsnicí pás do svislých koutů</t>
  </si>
  <si>
    <t>17</t>
  </si>
  <si>
    <t>998711202R00</t>
  </si>
  <si>
    <t>Přesun hmot pro izolace proti vodě, výšky do 12 m</t>
  </si>
  <si>
    <t>18</t>
  </si>
  <si>
    <t>72 dem 01</t>
  </si>
  <si>
    <t>Demontáž stávajícího připojení kanalizace k zařizovacím předmětům</t>
  </si>
  <si>
    <t>soubor</t>
  </si>
  <si>
    <t>RTS II / 2022</t>
  </si>
  <si>
    <t>72_</t>
  </si>
  <si>
    <t>19</t>
  </si>
  <si>
    <t>72 dem 02</t>
  </si>
  <si>
    <t>Demontáž zařizovacích předmětů</t>
  </si>
  <si>
    <t>20</t>
  </si>
  <si>
    <t>72 dem 03</t>
  </si>
  <si>
    <t>Demontáž stávajícího přípojného vodovodního potrubí k zařizovacím předmětům</t>
  </si>
  <si>
    <t>21</t>
  </si>
  <si>
    <t>Vnitřní kanalizace HT PP, hrdlové spoje s pryžovým těsněním, systémové tvarovky, kotevní a ostatní příslušenství</t>
  </si>
  <si>
    <t>soub</t>
  </si>
  <si>
    <t>721_</t>
  </si>
  <si>
    <t>22</t>
  </si>
  <si>
    <t>Vnitřní vodovod PPR, systémové tvarovky, tepelná izolace, kotevní příslušenství</t>
  </si>
  <si>
    <t>722_</t>
  </si>
  <si>
    <t>23</t>
  </si>
  <si>
    <t>725013161R00</t>
  </si>
  <si>
    <t>Klozet kombi, nádrž s úspornou armaturou, včetně sedátka</t>
  </si>
  <si>
    <t>725_</t>
  </si>
  <si>
    <t>24</t>
  </si>
  <si>
    <t>725017162R00</t>
  </si>
  <si>
    <t>Umyvadlo na šrouby, 550 x 450 mm, bílé</t>
  </si>
  <si>
    <t>25</t>
  </si>
  <si>
    <t>725825111R00</t>
  </si>
  <si>
    <t>Baterie umyvadlová nástěnná páková s keramickou kartuší, rozteč 150mm, chrom</t>
  </si>
  <si>
    <t>26</t>
  </si>
  <si>
    <t>725860213R00</t>
  </si>
  <si>
    <t>Sifon umyvadlový</t>
  </si>
  <si>
    <t>27</t>
  </si>
  <si>
    <t>725249103R00</t>
  </si>
  <si>
    <t>Montáž sprchových koutů</t>
  </si>
  <si>
    <t>28</t>
  </si>
  <si>
    <t>642938226</t>
  </si>
  <si>
    <t>Vanička sprchová keramická 1/4kruh  900 x 900 mm</t>
  </si>
  <si>
    <t>29</t>
  </si>
  <si>
    <t>55428010</t>
  </si>
  <si>
    <t>Kout sprchový 1/4 kruhu</t>
  </si>
  <si>
    <t>30</t>
  </si>
  <si>
    <t>725845111R00</t>
  </si>
  <si>
    <t>Baterie sprchová nástěnná s keramickou kartuší a vývodem pro sprchu, rozteč 150mm, chrom + sprchová hlavice + hadice 1500mm + držák sprch. hlavice</t>
  </si>
  <si>
    <t>31</t>
  </si>
  <si>
    <t>725319101R00</t>
  </si>
  <si>
    <t>Montáž dřezů jednoduchých</t>
  </si>
  <si>
    <t>32</t>
  </si>
  <si>
    <t>725823114R00</t>
  </si>
  <si>
    <t>Baterie dřezová stojánková páková s vyšším ramínkem</t>
  </si>
  <si>
    <t>33</t>
  </si>
  <si>
    <t>642812122</t>
  </si>
  <si>
    <t>Dřez nerez s přepadem 450x580x165 mm</t>
  </si>
  <si>
    <t>725860202R00</t>
  </si>
  <si>
    <t>Sifon dřezový</t>
  </si>
  <si>
    <t>35</t>
  </si>
  <si>
    <t>553476578</t>
  </si>
  <si>
    <t>Dvířka revizní do zdiva 500 x 500 mm, tl.12,5 mm - vlhké prostředí</t>
  </si>
  <si>
    <t>36</t>
  </si>
  <si>
    <t>998725202R00</t>
  </si>
  <si>
    <t>Přesun hmot pro zařizovací předměty, výšky do 12 m</t>
  </si>
  <si>
    <t>37</t>
  </si>
  <si>
    <t>766661112R00</t>
  </si>
  <si>
    <t>Montáž dveří do zárubně,otevíravých 1kř.do 0,8 m</t>
  </si>
  <si>
    <t>766_</t>
  </si>
  <si>
    <t>76_</t>
  </si>
  <si>
    <t>38</t>
  </si>
  <si>
    <t>61165001</t>
  </si>
  <si>
    <t>Dveře vnitřní hladké plné, nosná výplň DTD, povrchová úprava CPL  1-křídlé 600 x 1970 mm</t>
  </si>
  <si>
    <t>39</t>
  </si>
  <si>
    <t>61165002</t>
  </si>
  <si>
    <t>Dveře vnitřní hladké plné, nosná výplň DTD, povrchová úprava CPL 1-křídlé 700 x 1970 mm</t>
  </si>
  <si>
    <t>40</t>
  </si>
  <si>
    <t>61165012</t>
  </si>
  <si>
    <t>Dveře vnitřní hladké, nosná výplň DTD, 2/3 sklo bezpečnostní, povrchová úprava CPL 1-křídlé 800 x 1970 mm</t>
  </si>
  <si>
    <t>41</t>
  </si>
  <si>
    <t>766812114R00</t>
  </si>
  <si>
    <t>Montáž kuchyňských linek dřevěných linek š.do 2,1m</t>
  </si>
  <si>
    <t>42</t>
  </si>
  <si>
    <t>61581623.A</t>
  </si>
  <si>
    <t>Linka kuchyňská dl. 210 cm</t>
  </si>
  <si>
    <t>43</t>
  </si>
  <si>
    <t>766825811R00</t>
  </si>
  <si>
    <t>Demontáž vestavěných skříní 1křídlových</t>
  </si>
  <si>
    <t>44</t>
  </si>
  <si>
    <t>766662811R00</t>
  </si>
  <si>
    <t>Demontáž prahů dveří 1křídlových</t>
  </si>
  <si>
    <t>45</t>
  </si>
  <si>
    <t>766665921R00</t>
  </si>
  <si>
    <t>Zakování dveří 1křídlých kompletizovaných</t>
  </si>
  <si>
    <t>46</t>
  </si>
  <si>
    <t>549146430</t>
  </si>
  <si>
    <t>Kování bezpečnostní BK RX1-40 RC3, klika-knoflík Cr, s cylindrickou vložkou 200 s 5 klíči, vstupní dveře otevírané dovnitř</t>
  </si>
  <si>
    <t>47</t>
  </si>
  <si>
    <t>54914624</t>
  </si>
  <si>
    <t>Kování dveřní interiérové, klika, obyč. klíč, nedělený štítek, mat - elox - nikl</t>
  </si>
  <si>
    <t>48</t>
  </si>
  <si>
    <t>54914582</t>
  </si>
  <si>
    <t>Kování dveřní interiérové pro dveře WC a koupelen, kliky (klička) se štítem,  mat - elox - nikl</t>
  </si>
  <si>
    <t>49</t>
  </si>
  <si>
    <t>766695212R00</t>
  </si>
  <si>
    <t>Montáž prahů dveří jednokřídlových š. do 10 cm - vstupní dveře</t>
  </si>
  <si>
    <t>50</t>
  </si>
  <si>
    <t>61187156</t>
  </si>
  <si>
    <t>Prah dubový dl. 800 mm, š. 100 mm, tl. 20 mm</t>
  </si>
  <si>
    <t>51</t>
  </si>
  <si>
    <t>998766202R00</t>
  </si>
  <si>
    <t>Přesun hmot pro truhlářské konstr., výšky do 12 m</t>
  </si>
  <si>
    <t>52</t>
  </si>
  <si>
    <t>771101101R00</t>
  </si>
  <si>
    <t>Vysávání podlah prům.vysavačem pro pokládku dlažby</t>
  </si>
  <si>
    <t>771_</t>
  </si>
  <si>
    <t>77_</t>
  </si>
  <si>
    <t>53</t>
  </si>
  <si>
    <t>771101210R00</t>
  </si>
  <si>
    <t>Penetrace podkladu pod dlažby</t>
  </si>
  <si>
    <t>54</t>
  </si>
  <si>
    <t>771212112R00</t>
  </si>
  <si>
    <t>Kladení dlažby keramické do TM, vel. do 200x200 mm</t>
  </si>
  <si>
    <t>55</t>
  </si>
  <si>
    <t>597623124</t>
  </si>
  <si>
    <t>Dlaždice keramická 20x20 glazovaná, zátěžová třída min.31, úhel kluzu nášlapné vrstvy R11/B</t>
  </si>
  <si>
    <t>56</t>
  </si>
  <si>
    <t>771577114R00</t>
  </si>
  <si>
    <t>Lišta hliníková eloxovaná přechodová, různá výška,  dlažba/PVC</t>
  </si>
  <si>
    <t>57</t>
  </si>
  <si>
    <t>998771202R00</t>
  </si>
  <si>
    <t>Přesun hmot pro podlahy z dlaždic, výšky do 12 m</t>
  </si>
  <si>
    <t>58</t>
  </si>
  <si>
    <t>776401800R00</t>
  </si>
  <si>
    <t>Demontáž soklíků nebo lišt, pryžových nebo z PVC</t>
  </si>
  <si>
    <t>776_</t>
  </si>
  <si>
    <t>59</t>
  </si>
  <si>
    <t>776511810R00</t>
  </si>
  <si>
    <t>Odstranění PVC a koberců lepených bez podložky</t>
  </si>
  <si>
    <t>776101101R00</t>
  </si>
  <si>
    <t>Vysávání podlah prům.vysavačem pod povlak.podlahy</t>
  </si>
  <si>
    <t>776421100R00</t>
  </si>
  <si>
    <t>Lepení podlahových soklíků z PVC a vinylu + dodávka</t>
  </si>
  <si>
    <t>62</t>
  </si>
  <si>
    <t>776521100R00</t>
  </si>
  <si>
    <t>Lepení povlak.podlah z pásů PVC na lepidlo</t>
  </si>
  <si>
    <t>63</t>
  </si>
  <si>
    <t>28416053</t>
  </si>
  <si>
    <t>Podlahovina PVC, tl. 2,85 mm, tl. nášlapné vrstvy min.0,3mm, zátěžová třída min.31</t>
  </si>
  <si>
    <t>776981112R00</t>
  </si>
  <si>
    <t>Lišta hliníková eloxovaná přechod., stejná výška povl.podlah, PVC/PVC</t>
  </si>
  <si>
    <t>65</t>
  </si>
  <si>
    <t>998776202R00</t>
  </si>
  <si>
    <t>Přesun hmot pro podlahy povlakové, výšky do 12 m</t>
  </si>
  <si>
    <t>66</t>
  </si>
  <si>
    <t>777101101R00</t>
  </si>
  <si>
    <t>Příprava podkladu - vysávání podlah prům.vysavačem</t>
  </si>
  <si>
    <t>777_</t>
  </si>
  <si>
    <t>67</t>
  </si>
  <si>
    <t>777553010R00</t>
  </si>
  <si>
    <t>Penetrace savého podkladu disperzí pod samonivelační stěrku</t>
  </si>
  <si>
    <t>68</t>
  </si>
  <si>
    <t>777553210R00</t>
  </si>
  <si>
    <t>Vyrovnání podlah, samonivel. hmota tl. 2mm</t>
  </si>
  <si>
    <t>69</t>
  </si>
  <si>
    <t>998777202R00</t>
  </si>
  <si>
    <t>Přesun hmot pro podlahy syntetické, výšky do 12 m</t>
  </si>
  <si>
    <t>70</t>
  </si>
  <si>
    <t>781101210R00</t>
  </si>
  <si>
    <t>Penetrace podkladu pod obklady</t>
  </si>
  <si>
    <t>781_</t>
  </si>
  <si>
    <t>78_</t>
  </si>
  <si>
    <t>71</t>
  </si>
  <si>
    <t>781415015R00</t>
  </si>
  <si>
    <t>Montáž obkladů stěn, porovin.,tmel, 20x20,30x15 cm</t>
  </si>
  <si>
    <t>781419711R00</t>
  </si>
  <si>
    <t>Příplatek k obkladu stěn za plochu do 10 m2 jedntl</t>
  </si>
  <si>
    <t>73</t>
  </si>
  <si>
    <t>597813615</t>
  </si>
  <si>
    <t>Obkládačka 20x20 glazovaná</t>
  </si>
  <si>
    <t>74</t>
  </si>
  <si>
    <t>781111121R00</t>
  </si>
  <si>
    <t>Montáž lišt rohových, vanových a dilatačních</t>
  </si>
  <si>
    <t>75</t>
  </si>
  <si>
    <t>283424171</t>
  </si>
  <si>
    <t>Profil ukončovací obkladový čtverec PVC, H = 8 mm</t>
  </si>
  <si>
    <t>76</t>
  </si>
  <si>
    <t>283424182</t>
  </si>
  <si>
    <t>Profil obkladový kout vnitřní PVC, H = 8 mm</t>
  </si>
  <si>
    <t>77</t>
  </si>
  <si>
    <t>998781202R00</t>
  </si>
  <si>
    <t>Přesun hmot pro obklady keramické, výšky do 12 m</t>
  </si>
  <si>
    <t>78</t>
  </si>
  <si>
    <t>783222100R00</t>
  </si>
  <si>
    <t>Nátěr syntetický kovových konstrukcí dvojnásobný</t>
  </si>
  <si>
    <t>783_</t>
  </si>
  <si>
    <t>79</t>
  </si>
  <si>
    <t>783626020R00</t>
  </si>
  <si>
    <t>Nátěr syntetický truhlářských výrobků 2x lakování</t>
  </si>
  <si>
    <t>80</t>
  </si>
  <si>
    <t>784121101R00</t>
  </si>
  <si>
    <t>Penetrace podkladu 1 x</t>
  </si>
  <si>
    <t>784_</t>
  </si>
  <si>
    <t>81</t>
  </si>
  <si>
    <t>784125322R00</t>
  </si>
  <si>
    <t>Malba s protiplísňovou přísadou, 2x, bílá</t>
  </si>
  <si>
    <t>82</t>
  </si>
  <si>
    <t>968061125R00</t>
  </si>
  <si>
    <t>Vyvěšení dřevěných dveřních křídel pl. do 2 m2</t>
  </si>
  <si>
    <t>96_</t>
  </si>
  <si>
    <t>9_</t>
  </si>
  <si>
    <t>83</t>
  </si>
  <si>
    <t>968072455R00</t>
  </si>
  <si>
    <t>Vybourání kovových dveřních zárubní pl. do 2 m2 - umakartová příčka</t>
  </si>
  <si>
    <t>84</t>
  </si>
  <si>
    <t>962084121R00</t>
  </si>
  <si>
    <t>Bourání příček deskových,umakartových tl. 5 cm</t>
  </si>
  <si>
    <t>85</t>
  </si>
  <si>
    <t>96 dem 01</t>
  </si>
  <si>
    <t>Demontáž kuch. linky včetně dřezu a sporáku</t>
  </si>
  <si>
    <t>86</t>
  </si>
  <si>
    <t>962031113R00</t>
  </si>
  <si>
    <t>Bourání příček z cihel pálených plných tl. 65 mm</t>
  </si>
  <si>
    <t>87</t>
  </si>
  <si>
    <t>965048515R00</t>
  </si>
  <si>
    <t>Broušení betonových povrchů do tl. 5 mm</t>
  </si>
  <si>
    <t>88</t>
  </si>
  <si>
    <t>65ElektroVD</t>
  </si>
  <si>
    <t>Rozvody NN, veškerá nová elektroinstalace</t>
  </si>
  <si>
    <t>M65_</t>
  </si>
  <si>
    <t>89</t>
  </si>
  <si>
    <t>54112123</t>
  </si>
  <si>
    <t>Elektrický sporák s klasickými plotýnkami a troubou</t>
  </si>
  <si>
    <t>90</t>
  </si>
  <si>
    <t>5411212</t>
  </si>
  <si>
    <t>Kuchyňská digestoř podvěsná</t>
  </si>
  <si>
    <t>91</t>
  </si>
  <si>
    <t>979011111R00</t>
  </si>
  <si>
    <t>Svislá doprava suti a vybour. hmot za 2.NP a 1.PP</t>
  </si>
  <si>
    <t>S_</t>
  </si>
  <si>
    <t>92</t>
  </si>
  <si>
    <t>979011121R00</t>
  </si>
  <si>
    <t>Příplatek za každé další podlaží</t>
  </si>
  <si>
    <t>93</t>
  </si>
  <si>
    <t>979082111R00</t>
  </si>
  <si>
    <t>Vnitrostaveništní doprava suti do 10 m</t>
  </si>
  <si>
    <t>94</t>
  </si>
  <si>
    <t>979081111R00</t>
  </si>
  <si>
    <t>Odvoz suti a vybour. hmot na skládku do 1 km</t>
  </si>
  <si>
    <t>95</t>
  </si>
  <si>
    <t>979081121R00</t>
  </si>
  <si>
    <t>Příplatek k odvozu za každý další 1 km (20km)</t>
  </si>
  <si>
    <t>979990181R00</t>
  </si>
  <si>
    <t>Poplatek za uložení suti - PVC podlahová krytina, skupina odpadu 200307</t>
  </si>
  <si>
    <t>97</t>
  </si>
  <si>
    <t>979990107R00</t>
  </si>
  <si>
    <t>Poplatek za uložení suti - směs betonu, cihel, dřeva, skupina odpadu 170904</t>
  </si>
  <si>
    <t>98</t>
  </si>
  <si>
    <t>030001VRN</t>
  </si>
  <si>
    <t>Soubor</t>
  </si>
  <si>
    <t>99</t>
  </si>
  <si>
    <t>03VRN_</t>
  </si>
  <si>
    <t>Â 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</si>
</sst>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charset val="1"/>
    </font>
    <font>
      <sz val="18"/>
      <color rgb="FF0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i/>
      <sz val="8"/>
      <color rgb="FF00000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CCFFFF"/>
        <bgColor rgb="FFCCFFFF"/>
      </patternFill>
    </fill>
  </fills>
  <borders count="7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3" fillId="0" borderId="12" xfId="0" applyNumberFormat="1" applyFont="1" applyFill="1" applyBorder="1" applyAlignment="1" applyProtection="1">
      <alignment horizontal="left" vertical="center"/>
    </xf>
    <xf numFmtId="0" fontId="3" fillId="0" borderId="13" xfId="0" applyNumberFormat="1" applyFont="1" applyFill="1" applyBorder="1" applyAlignment="1" applyProtection="1">
      <alignment horizontal="left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2" fillId="0" borderId="16" xfId="0" applyNumberFormat="1" applyFont="1" applyFill="1" applyBorder="1" applyAlignment="1" applyProtection="1">
      <alignment horizontal="left" vertical="center"/>
    </xf>
    <xf numFmtId="0" fontId="2" fillId="0" borderId="17" xfId="0" applyNumberFormat="1" applyFont="1" applyFill="1" applyBorder="1" applyAlignment="1" applyProtection="1">
      <alignment horizontal="left" vertical="center"/>
    </xf>
    <xf numFmtId="4" fontId="2" fillId="0" borderId="17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2" fillId="0" borderId="18" xfId="0" applyNumberFormat="1" applyFont="1" applyFill="1" applyBorder="1" applyAlignment="1" applyProtection="1">
      <alignment horizontal="left" vertical="center"/>
    </xf>
    <xf numFmtId="0" fontId="5" fillId="2" borderId="21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7" fillId="0" borderId="25" xfId="0" applyNumberFormat="1" applyFont="1" applyFill="1" applyBorder="1" applyAlignment="1" applyProtection="1">
      <alignment horizontal="left" vertical="center"/>
    </xf>
    <xf numFmtId="0" fontId="8" fillId="0" borderId="26" xfId="0" applyNumberFormat="1" applyFont="1" applyFill="1" applyBorder="1" applyAlignment="1" applyProtection="1">
      <alignment horizontal="left" vertical="center"/>
    </xf>
    <xf numFmtId="4" fontId="8" fillId="0" borderId="26" xfId="0" applyNumberFormat="1" applyFont="1" applyFill="1" applyBorder="1" applyAlignment="1" applyProtection="1">
      <alignment horizontal="right" vertical="center"/>
    </xf>
    <xf numFmtId="0" fontId="8" fillId="0" borderId="26" xfId="0" applyNumberFormat="1" applyFont="1" applyFill="1" applyBorder="1" applyAlignment="1" applyProtection="1">
      <alignment horizontal="right" vertical="center"/>
    </xf>
    <xf numFmtId="0" fontId="7" fillId="0" borderId="29" xfId="0" applyNumberFormat="1" applyFont="1" applyFill="1" applyBorder="1" applyAlignment="1" applyProtection="1">
      <alignment horizontal="left" vertical="center"/>
    </xf>
    <xf numFmtId="4" fontId="8" fillId="0" borderId="33" xfId="0" applyNumberFormat="1" applyFont="1" applyFill="1" applyBorder="1" applyAlignment="1" applyProtection="1">
      <alignment horizontal="right" vertical="center"/>
    </xf>
    <xf numFmtId="0" fontId="8" fillId="0" borderId="33" xfId="0" applyNumberFormat="1" applyFont="1" applyFill="1" applyBorder="1" applyAlignment="1" applyProtection="1">
      <alignment horizontal="right" vertical="center"/>
    </xf>
    <xf numFmtId="4" fontId="8" fillId="0" borderId="24" xfId="0" applyNumberFormat="1" applyFont="1" applyFill="1" applyBorder="1" applyAlignment="1" applyProtection="1">
      <alignment horizontal="right" vertical="center"/>
    </xf>
    <xf numFmtId="4" fontId="8" fillId="0" borderId="36" xfId="0" applyNumberFormat="1" applyFont="1" applyFill="1" applyBorder="1" applyAlignment="1" applyProtection="1">
      <alignment horizontal="right" vertical="center"/>
    </xf>
    <xf numFmtId="4" fontId="7" fillId="2" borderId="23" xfId="0" applyNumberFormat="1" applyFont="1" applyFill="1" applyBorder="1" applyAlignment="1" applyProtection="1">
      <alignment horizontal="right" vertical="center"/>
    </xf>
    <xf numFmtId="4" fontId="7" fillId="2" borderId="28" xfId="0" applyNumberFormat="1" applyFont="1" applyFill="1" applyBorder="1" applyAlignment="1" applyProtection="1">
      <alignment horizontal="right" vertical="center"/>
    </xf>
    <xf numFmtId="0" fontId="9" fillId="0" borderId="17" xfId="0" applyNumberFormat="1" applyFont="1" applyFill="1" applyBorder="1" applyAlignment="1" applyProtection="1">
      <alignment horizontal="left" vertical="center"/>
    </xf>
    <xf numFmtId="0" fontId="3" fillId="0" borderId="53" xfId="0" applyNumberFormat="1" applyFont="1" applyFill="1" applyBorder="1" applyAlignment="1" applyProtection="1">
      <alignment horizontal="right" vertical="center"/>
    </xf>
    <xf numFmtId="4" fontId="2" fillId="0" borderId="26" xfId="0" applyNumberFormat="1" applyFont="1" applyFill="1" applyBorder="1" applyAlignment="1" applyProtection="1">
      <alignment horizontal="right" vertical="center"/>
    </xf>
    <xf numFmtId="0" fontId="2" fillId="0" borderId="26" xfId="0" applyNumberFormat="1" applyFont="1" applyFill="1" applyBorder="1" applyAlignment="1" applyProtection="1">
      <alignment horizontal="left" vertical="center"/>
    </xf>
    <xf numFmtId="4" fontId="2" fillId="0" borderId="57" xfId="0" applyNumberFormat="1" applyFont="1" applyFill="1" applyBorder="1" applyAlignment="1" applyProtection="1">
      <alignment horizontal="right" vertical="center"/>
    </xf>
    <xf numFmtId="0" fontId="2" fillId="0" borderId="57" xfId="0" applyNumberFormat="1" applyFont="1" applyFill="1" applyBorder="1" applyAlignment="1" applyProtection="1">
      <alignment horizontal="left" vertical="center"/>
    </xf>
    <xf numFmtId="0" fontId="3" fillId="0" borderId="61" xfId="0" applyNumberFormat="1" applyFont="1" applyFill="1" applyBorder="1" applyAlignment="1" applyProtection="1">
      <alignment horizontal="left" vertical="center"/>
    </xf>
    <xf numFmtId="0" fontId="3" fillId="0" borderId="61" xfId="0" applyNumberFormat="1" applyFont="1" applyFill="1" applyBorder="1" applyAlignment="1" applyProtection="1">
      <alignment horizontal="right" vertical="center"/>
    </xf>
    <xf numFmtId="4" fontId="3" fillId="0" borderId="61" xfId="0" applyNumberFormat="1" applyFont="1" applyFill="1" applyBorder="1" applyAlignment="1" applyProtection="1">
      <alignment horizontal="right" vertical="center"/>
    </xf>
    <xf numFmtId="4" fontId="3" fillId="2" borderId="0" xfId="0" applyNumberFormat="1" applyFont="1" applyFill="1" applyBorder="1" applyAlignment="1" applyProtection="1">
      <alignment horizontal="right" vertical="center"/>
    </xf>
    <xf numFmtId="0" fontId="3" fillId="0" borderId="63" xfId="0" applyNumberFormat="1" applyFont="1" applyFill="1" applyBorder="1" applyAlignment="1" applyProtection="1">
      <alignment horizontal="left" vertical="center"/>
    </xf>
    <xf numFmtId="0" fontId="3" fillId="0" borderId="64" xfId="0" applyNumberFormat="1" applyFont="1" applyFill="1" applyBorder="1" applyAlignment="1" applyProtection="1">
      <alignment horizontal="left" vertical="center"/>
    </xf>
    <xf numFmtId="0" fontId="3" fillId="0" borderId="64" xfId="0" applyNumberFormat="1" applyFont="1" applyFill="1" applyBorder="1" applyAlignment="1" applyProtection="1">
      <alignment horizontal="center" vertical="center"/>
    </xf>
    <xf numFmtId="0" fontId="3" fillId="3" borderId="67" xfId="0" applyNumberFormat="1" applyFont="1" applyFill="1" applyBorder="1" applyAlignment="1" applyProtection="1">
      <alignment horizontal="center" vertical="center"/>
      <protection locked="0"/>
    </xf>
    <xf numFmtId="0" fontId="3" fillId="0" borderId="68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2" fillId="0" borderId="69" xfId="0" applyNumberFormat="1" applyFont="1" applyFill="1" applyBorder="1" applyAlignment="1" applyProtection="1">
      <alignment horizontal="left" vertical="center"/>
    </xf>
    <xf numFmtId="0" fontId="2" fillId="0" borderId="70" xfId="0" applyNumberFormat="1" applyFont="1" applyFill="1" applyBorder="1" applyAlignment="1" applyProtection="1">
      <alignment horizontal="left" vertical="center"/>
    </xf>
    <xf numFmtId="0" fontId="3" fillId="3" borderId="73" xfId="0" applyNumberFormat="1" applyFont="1" applyFill="1" applyBorder="1" applyAlignment="1" applyProtection="1">
      <alignment horizontal="center" vertical="center"/>
      <protection locked="0"/>
    </xf>
    <xf numFmtId="0" fontId="3" fillId="0" borderId="74" xfId="0" applyNumberFormat="1" applyFont="1" applyFill="1" applyBorder="1" applyAlignment="1" applyProtection="1">
      <alignment horizontal="center" vertical="center"/>
    </xf>
    <xf numFmtId="0" fontId="3" fillId="0" borderId="36" xfId="0" applyNumberFormat="1" applyFont="1" applyFill="1" applyBorder="1" applyAlignment="1" applyProtection="1">
      <alignment horizontal="center" vertical="center"/>
    </xf>
    <xf numFmtId="0" fontId="3" fillId="0" borderId="75" xfId="0" applyNumberFormat="1" applyFont="1" applyFill="1" applyBorder="1" applyAlignment="1" applyProtection="1">
      <alignment horizontal="center" vertical="center"/>
    </xf>
    <xf numFmtId="0" fontId="3" fillId="0" borderId="76" xfId="0" applyNumberFormat="1" applyFont="1" applyFill="1" applyBorder="1" applyAlignment="1" applyProtection="1">
      <alignment horizontal="center" vertical="center"/>
    </xf>
    <xf numFmtId="0" fontId="2" fillId="2" borderId="16" xfId="0" applyNumberFormat="1" applyFont="1" applyFill="1" applyBorder="1" applyAlignment="1" applyProtection="1">
      <alignment horizontal="left" vertical="center"/>
    </xf>
    <xf numFmtId="0" fontId="3" fillId="2" borderId="17" xfId="0" applyNumberFormat="1" applyFont="1" applyFill="1" applyBorder="1" applyAlignment="1" applyProtection="1">
      <alignment horizontal="left" vertical="center"/>
    </xf>
    <xf numFmtId="0" fontId="2" fillId="2" borderId="17" xfId="0" applyNumberFormat="1" applyFont="1" applyFill="1" applyBorder="1" applyAlignment="1" applyProtection="1">
      <alignment horizontal="left" vertical="center"/>
    </xf>
    <xf numFmtId="0" fontId="2" fillId="4" borderId="17" xfId="0" applyNumberFormat="1" applyFont="1" applyFill="1" applyBorder="1" applyAlignment="1" applyProtection="1">
      <alignment horizontal="left" vertical="center"/>
      <protection locked="0"/>
    </xf>
    <xf numFmtId="4" fontId="3" fillId="2" borderId="17" xfId="0" applyNumberFormat="1" applyFont="1" applyFill="1" applyBorder="1" applyAlignment="1" applyProtection="1">
      <alignment horizontal="right" vertical="center"/>
    </xf>
    <xf numFmtId="0" fontId="3" fillId="2" borderId="77" xfId="0" applyNumberFormat="1" applyFont="1" applyFill="1" applyBorder="1" applyAlignment="1" applyProtection="1">
      <alignment horizontal="right" vertical="center"/>
    </xf>
    <xf numFmtId="4" fontId="2" fillId="3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6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Alignment="1" applyProtection="1">
      <alignment horizontal="left" vertical="center"/>
      <protection locked="0"/>
    </xf>
    <xf numFmtId="0" fontId="3" fillId="2" borderId="6" xfId="0" applyNumberFormat="1" applyFont="1" applyFill="1" applyBorder="1" applyAlignment="1" applyProtection="1">
      <alignment horizontal="right" vertical="center"/>
    </xf>
    <xf numFmtId="4" fontId="2" fillId="0" borderId="9" xfId="0" applyNumberFormat="1" applyFont="1" applyFill="1" applyBorder="1" applyAlignment="1" applyProtection="1">
      <alignment horizontal="right" vertical="center"/>
    </xf>
    <xf numFmtId="4" fontId="2" fillId="3" borderId="9" xfId="0" applyNumberFormat="1" applyFont="1" applyFill="1" applyBorder="1" applyAlignment="1" applyProtection="1">
      <alignment horizontal="right" vertical="center"/>
      <protection locked="0"/>
    </xf>
    <xf numFmtId="0" fontId="2" fillId="0" borderId="19" xfId="0" applyNumberFormat="1" applyFont="1" applyFill="1" applyBorder="1" applyAlignment="1" applyProtection="1">
      <alignment horizontal="right" vertical="center"/>
    </xf>
    <xf numFmtId="4" fontId="3" fillId="0" borderId="78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0" fontId="8" fillId="0" borderId="42" xfId="0" applyNumberFormat="1" applyFont="1" applyFill="1" applyBorder="1" applyAlignment="1" applyProtection="1">
      <alignment horizontal="left" vertical="center"/>
    </xf>
    <xf numFmtId="0" fontId="8" fillId="0" borderId="40" xfId="0" applyNumberFormat="1" applyFont="1" applyFill="1" applyBorder="1" applyAlignment="1" applyProtection="1">
      <alignment horizontal="left" vertical="center"/>
    </xf>
    <xf numFmtId="0" fontId="8" fillId="0" borderId="41" xfId="0" applyNumberFormat="1" applyFont="1" applyFill="1" applyBorder="1" applyAlignment="1" applyProtection="1">
      <alignment horizontal="left" vertical="center"/>
    </xf>
    <xf numFmtId="0" fontId="8" fillId="0" borderId="45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0" borderId="44" xfId="0" applyNumberFormat="1" applyFont="1" applyFill="1" applyBorder="1" applyAlignment="1" applyProtection="1">
      <alignment horizontal="left" vertical="center"/>
    </xf>
    <xf numFmtId="0" fontId="8" fillId="0" borderId="49" xfId="0" applyNumberFormat="1" applyFont="1" applyFill="1" applyBorder="1" applyAlignment="1" applyProtection="1">
      <alignment horizontal="left" vertical="center"/>
    </xf>
    <xf numFmtId="0" fontId="8" fillId="0" borderId="47" xfId="0" applyNumberFormat="1" applyFont="1" applyFill="1" applyBorder="1" applyAlignment="1" applyProtection="1">
      <alignment horizontal="left" vertical="center"/>
    </xf>
    <xf numFmtId="0" fontId="8" fillId="0" borderId="48" xfId="0" applyNumberFormat="1" applyFont="1" applyFill="1" applyBorder="1" applyAlignment="1" applyProtection="1">
      <alignment horizontal="left" vertical="center"/>
    </xf>
    <xf numFmtId="0" fontId="8" fillId="0" borderId="39" xfId="0" applyNumberFormat="1" applyFont="1" applyFill="1" applyBorder="1" applyAlignment="1" applyProtection="1">
      <alignment horizontal="left" vertical="center"/>
    </xf>
    <xf numFmtId="0" fontId="8" fillId="0" borderId="43" xfId="0" applyNumberFormat="1" applyFont="1" applyFill="1" applyBorder="1" applyAlignment="1" applyProtection="1">
      <alignment horizontal="left" vertical="center"/>
    </xf>
    <xf numFmtId="0" fontId="8" fillId="0" borderId="46" xfId="0" applyNumberFormat="1" applyFont="1" applyFill="1" applyBorder="1" applyAlignment="1" applyProtection="1">
      <alignment horizontal="left" vertical="center"/>
    </xf>
    <xf numFmtId="0" fontId="7" fillId="0" borderId="30" xfId="0" applyNumberFormat="1" applyFont="1" applyFill="1" applyBorder="1" applyAlignment="1" applyProtection="1">
      <alignment horizontal="left" vertical="center"/>
    </xf>
    <xf numFmtId="0" fontId="7" fillId="0" borderId="28" xfId="0" applyNumberFormat="1" applyFont="1" applyFill="1" applyBorder="1" applyAlignment="1" applyProtection="1">
      <alignment horizontal="left" vertical="center"/>
    </xf>
    <xf numFmtId="0" fontId="7" fillId="2" borderId="35" xfId="0" applyNumberFormat="1" applyFont="1" applyFill="1" applyBorder="1" applyAlignment="1" applyProtection="1">
      <alignment horizontal="left" vertical="center"/>
    </xf>
    <xf numFmtId="0" fontId="7" fillId="2" borderId="37" xfId="0" applyNumberFormat="1" applyFont="1" applyFill="1" applyBorder="1" applyAlignment="1" applyProtection="1">
      <alignment horizontal="left" vertical="center"/>
    </xf>
    <xf numFmtId="0" fontId="7" fillId="2" borderId="30" xfId="0" applyNumberFormat="1" applyFont="1" applyFill="1" applyBorder="1" applyAlignment="1" applyProtection="1">
      <alignment horizontal="left" vertical="center"/>
    </xf>
    <xf numFmtId="0" fontId="7" fillId="2" borderId="38" xfId="0" applyNumberFormat="1" applyFont="1" applyFill="1" applyBorder="1" applyAlignment="1" applyProtection="1">
      <alignment horizontal="left" vertical="center"/>
    </xf>
    <xf numFmtId="0" fontId="7" fillId="2" borderId="22" xfId="0" applyNumberFormat="1" applyFont="1" applyFill="1" applyBorder="1" applyAlignment="1" applyProtection="1">
      <alignment horizontal="left" vertical="center"/>
    </xf>
    <xf numFmtId="0" fontId="7" fillId="2" borderId="27" xfId="0" applyNumberFormat="1" applyFont="1" applyFill="1" applyBorder="1" applyAlignment="1" applyProtection="1">
      <alignment horizontal="left" vertical="center"/>
    </xf>
    <xf numFmtId="0" fontId="8" fillId="0" borderId="27" xfId="0" applyNumberFormat="1" applyFont="1" applyFill="1" applyBorder="1" applyAlignment="1" applyProtection="1">
      <alignment horizontal="left" vertical="center"/>
    </xf>
    <xf numFmtId="0" fontId="8" fillId="0" borderId="28" xfId="0" applyNumberFormat="1" applyFont="1" applyFill="1" applyBorder="1" applyAlignment="1" applyProtection="1">
      <alignment horizontal="left" vertical="center"/>
    </xf>
    <xf numFmtId="0" fontId="8" fillId="0" borderId="34" xfId="0" applyNumberFormat="1" applyFont="1" applyFill="1" applyBorder="1" applyAlignment="1" applyProtection="1">
      <alignment horizontal="left" vertical="center"/>
    </xf>
    <xf numFmtId="0" fontId="8" fillId="0" borderId="32" xfId="0" applyNumberFormat="1" applyFont="1" applyFill="1" applyBorder="1" applyAlignment="1" applyProtection="1">
      <alignment horizontal="left" vertical="center"/>
    </xf>
    <xf numFmtId="0" fontId="7" fillId="0" borderId="22" xfId="0" applyNumberFormat="1" applyFont="1" applyFill="1" applyBorder="1" applyAlignment="1" applyProtection="1">
      <alignment horizontal="left" vertical="center"/>
    </xf>
    <xf numFmtId="0" fontId="7" fillId="0" borderId="23" xfId="0" applyNumberFormat="1" applyFont="1" applyFill="1" applyBorder="1" applyAlignment="1" applyProtection="1">
      <alignment horizontal="left" vertical="center"/>
    </xf>
    <xf numFmtId="0" fontId="7" fillId="0" borderId="27" xfId="0" applyNumberFormat="1" applyFont="1" applyFill="1" applyBorder="1" applyAlignment="1" applyProtection="1">
      <alignment horizontal="left" vertical="center"/>
    </xf>
    <xf numFmtId="0" fontId="7" fillId="0" borderId="31" xfId="0" applyNumberFormat="1" applyFont="1" applyFill="1" applyBorder="1" applyAlignment="1" applyProtection="1">
      <alignment horizontal="left" vertical="center"/>
    </xf>
    <xf numFmtId="0" fontId="7" fillId="0" borderId="32" xfId="0" applyNumberFormat="1" applyFont="1" applyFill="1" applyBorder="1" applyAlignment="1" applyProtection="1">
      <alignment horizontal="left" vertical="center"/>
    </xf>
    <xf numFmtId="0" fontId="7" fillId="0" borderId="35" xfId="0" applyNumberFormat="1" applyFont="1" applyFill="1" applyBorder="1" applyAlignment="1" applyProtection="1">
      <alignment horizontal="left" vertical="center"/>
    </xf>
    <xf numFmtId="0" fontId="2" fillId="0" borderId="19" xfId="0" applyNumberFormat="1" applyFont="1" applyFill="1" applyBorder="1" applyAlignment="1" applyProtection="1">
      <alignment horizontal="left" vertical="center"/>
    </xf>
    <xf numFmtId="0" fontId="4" fillId="0" borderId="20" xfId="0" applyNumberFormat="1" applyFont="1" applyFill="1" applyBorder="1" applyAlignment="1" applyProtection="1">
      <alignment horizontal="center" vertical="center"/>
    </xf>
    <xf numFmtId="0" fontId="6" fillId="0" borderId="22" xfId="0" applyNumberFormat="1" applyFont="1" applyFill="1" applyBorder="1" applyAlignment="1" applyProtection="1">
      <alignment horizontal="left" vertical="center"/>
    </xf>
    <xf numFmtId="0" fontId="6" fillId="0" borderId="23" xfId="0" applyNumberFormat="1" applyFont="1" applyFill="1" applyBorder="1" applyAlignment="1" applyProtection="1">
      <alignment horizontal="left" vertical="center"/>
    </xf>
    <xf numFmtId="0" fontId="2" fillId="0" borderId="18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left" vertical="center"/>
    </xf>
    <xf numFmtId="1" fontId="2" fillId="0" borderId="6" xfId="0" applyNumberFormat="1" applyFont="1" applyFill="1" applyBorder="1" applyAlignment="1" applyProtection="1">
      <alignment horizontal="left" vertical="center"/>
    </xf>
    <xf numFmtId="0" fontId="2" fillId="0" borderId="30" xfId="0" applyNumberFormat="1" applyFont="1" applyFill="1" applyBorder="1" applyAlignment="1" applyProtection="1">
      <alignment horizontal="left" vertical="center"/>
    </xf>
    <xf numFmtId="0" fontId="2" fillId="0" borderId="38" xfId="0" applyNumberFormat="1" applyFont="1" applyFill="1" applyBorder="1" applyAlignment="1" applyProtection="1">
      <alignment horizontal="left" vertical="center"/>
    </xf>
    <xf numFmtId="0" fontId="2" fillId="0" borderId="28" xfId="0" applyNumberFormat="1" applyFont="1" applyFill="1" applyBorder="1" applyAlignment="1" applyProtection="1">
      <alignment horizontal="left" vertical="center"/>
    </xf>
    <xf numFmtId="0" fontId="2" fillId="0" borderId="54" xfId="0" applyNumberFormat="1" applyFont="1" applyFill="1" applyBorder="1" applyAlignment="1" applyProtection="1">
      <alignment horizontal="left" vertical="center"/>
    </xf>
    <xf numFmtId="0" fontId="2" fillId="0" borderId="55" xfId="0" applyNumberFormat="1" applyFont="1" applyFill="1" applyBorder="1" applyAlignment="1" applyProtection="1">
      <alignment horizontal="left" vertical="center"/>
    </xf>
    <xf numFmtId="0" fontId="2" fillId="0" borderId="56" xfId="0" applyNumberFormat="1" applyFont="1" applyFill="1" applyBorder="1" applyAlignment="1" applyProtection="1">
      <alignment horizontal="left" vertical="center"/>
    </xf>
    <xf numFmtId="0" fontId="3" fillId="0" borderId="58" xfId="0" applyNumberFormat="1" applyFont="1" applyFill="1" applyBorder="1" applyAlignment="1" applyProtection="1">
      <alignment horizontal="left" vertical="center"/>
    </xf>
    <xf numFmtId="0" fontId="3" fillId="0" borderId="59" xfId="0" applyNumberFormat="1" applyFont="1" applyFill="1" applyBorder="1" applyAlignment="1" applyProtection="1">
      <alignment horizontal="left" vertical="center"/>
    </xf>
    <xf numFmtId="0" fontId="3" fillId="0" borderId="60" xfId="0" applyNumberFormat="1" applyFont="1" applyFill="1" applyBorder="1" applyAlignment="1" applyProtection="1">
      <alignment horizontal="left" vertical="center"/>
    </xf>
    <xf numFmtId="0" fontId="7" fillId="0" borderId="58" xfId="0" applyNumberFormat="1" applyFont="1" applyFill="1" applyBorder="1" applyAlignment="1" applyProtection="1">
      <alignment horizontal="left" vertical="center"/>
    </xf>
    <xf numFmtId="0" fontId="7" fillId="0" borderId="59" xfId="0" applyNumberFormat="1" applyFont="1" applyFill="1" applyBorder="1" applyAlignment="1" applyProtection="1">
      <alignment horizontal="left" vertical="center"/>
    </xf>
    <xf numFmtId="0" fontId="7" fillId="0" borderId="60" xfId="0" applyNumberFormat="1" applyFont="1" applyFill="1" applyBorder="1" applyAlignment="1" applyProtection="1">
      <alignment horizontal="left" vertical="center"/>
    </xf>
    <xf numFmtId="4" fontId="7" fillId="0" borderId="62" xfId="0" applyNumberFormat="1" applyFont="1" applyFill="1" applyBorder="1" applyAlignment="1" applyProtection="1">
      <alignment horizontal="right" vertical="center"/>
    </xf>
    <xf numFmtId="0" fontId="7" fillId="0" borderId="59" xfId="0" applyNumberFormat="1" applyFont="1" applyFill="1" applyBorder="1" applyAlignment="1" applyProtection="1">
      <alignment horizontal="right" vertical="center"/>
    </xf>
    <xf numFmtId="0" fontId="7" fillId="0" borderId="60" xfId="0" applyNumberFormat="1" applyFont="1" applyFill="1" applyBorder="1" applyAlignment="1" applyProtection="1">
      <alignment horizontal="right" vertical="center"/>
    </xf>
    <xf numFmtId="0" fontId="7" fillId="0" borderId="8" xfId="0" applyNumberFormat="1" applyFont="1" applyFill="1" applyBorder="1" applyAlignment="1" applyProtection="1">
      <alignment horizontal="left" vertical="center"/>
    </xf>
    <xf numFmtId="0" fontId="3" fillId="0" borderId="50" xfId="0" applyNumberFormat="1" applyFont="1" applyFill="1" applyBorder="1" applyAlignment="1" applyProtection="1">
      <alignment horizontal="left" vertical="center"/>
    </xf>
    <xf numFmtId="0" fontId="3" fillId="0" borderId="51" xfId="0" applyNumberFormat="1" applyFont="1" applyFill="1" applyBorder="1" applyAlignment="1" applyProtection="1">
      <alignment horizontal="left" vertical="center"/>
    </xf>
    <xf numFmtId="0" fontId="3" fillId="0" borderId="52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3" fillId="0" borderId="78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/>
    </xf>
    <xf numFmtId="0" fontId="3" fillId="0" borderId="71" xfId="0" applyNumberFormat="1" applyFont="1" applyFill="1" applyBorder="1" applyAlignment="1" applyProtection="1">
      <alignment horizontal="left" vertical="center"/>
    </xf>
    <xf numFmtId="0" fontId="3" fillId="0" borderId="72" xfId="0" applyNumberFormat="1" applyFont="1" applyFill="1" applyBorder="1" applyAlignment="1" applyProtection="1">
      <alignment horizontal="left" vertical="center"/>
    </xf>
    <xf numFmtId="0" fontId="3" fillId="0" borderId="50" xfId="0" applyNumberFormat="1" applyFont="1" applyFill="1" applyBorder="1" applyAlignment="1" applyProtection="1">
      <alignment horizontal="center" vertical="center"/>
    </xf>
    <xf numFmtId="0" fontId="3" fillId="0" borderId="51" xfId="0" applyNumberFormat="1" applyFont="1" applyFill="1" applyBorder="1" applyAlignment="1" applyProtection="1">
      <alignment horizontal="center" vertical="center"/>
    </xf>
    <xf numFmtId="0" fontId="3" fillId="0" borderId="52" xfId="0" applyNumberFormat="1" applyFont="1" applyFill="1" applyBorder="1" applyAlignment="1" applyProtection="1">
      <alignment horizontal="center" vertical="center"/>
    </xf>
    <xf numFmtId="0" fontId="3" fillId="2" borderId="17" xfId="0" applyNumberFormat="1" applyFont="1" applyFill="1" applyBorder="1" applyAlignment="1" applyProtection="1">
      <alignment horizontal="left" vertical="center" wrapText="1"/>
    </xf>
    <xf numFmtId="0" fontId="3" fillId="2" borderId="17" xfId="0" applyNumberFormat="1" applyFont="1" applyFill="1" applyBorder="1" applyAlignment="1" applyProtection="1">
      <alignment horizontal="left" vertical="center"/>
    </xf>
    <xf numFmtId="0" fontId="2" fillId="3" borderId="0" xfId="0" applyNumberFormat="1" applyFont="1" applyFill="1" applyBorder="1" applyAlignment="1" applyProtection="1">
      <alignment horizontal="left" vertical="center"/>
      <protection locked="0"/>
    </xf>
    <xf numFmtId="0" fontId="2" fillId="3" borderId="6" xfId="0" applyNumberFormat="1" applyFont="1" applyFill="1" applyBorder="1" applyAlignment="1" applyProtection="1">
      <alignment horizontal="left" vertical="center"/>
      <protection locked="0"/>
    </xf>
    <xf numFmtId="0" fontId="2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" fillId="3" borderId="8" xfId="0" applyNumberFormat="1" applyFont="1" applyFill="1" applyBorder="1" applyAlignment="1" applyProtection="1">
      <alignment horizontal="left" vertical="center"/>
      <protection locked="0"/>
    </xf>
    <xf numFmtId="0" fontId="2" fillId="3" borderId="10" xfId="0" applyNumberFormat="1" applyFont="1" applyFill="1" applyBorder="1" applyAlignment="1" applyProtection="1">
      <alignment horizontal="left" vertical="center"/>
      <protection locked="0"/>
    </xf>
    <xf numFmtId="0" fontId="3" fillId="0" borderId="65" xfId="0" applyNumberFormat="1" applyFont="1" applyFill="1" applyBorder="1" applyAlignment="1" applyProtection="1">
      <alignment horizontal="left" vertical="center"/>
    </xf>
    <xf numFmtId="0" fontId="3" fillId="0" borderId="66" xfId="0" applyNumberFormat="1" applyFont="1" applyFill="1" applyBorder="1" applyAlignment="1" applyProtection="1">
      <alignment horizontal="left" vertical="center"/>
    </xf>
    <xf numFmtId="0" fontId="2" fillId="3" borderId="3" xfId="0" applyNumberFormat="1" applyFont="1" applyFill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workbookViewId="0">
      <pane ySplit="11" topLeftCell="A18" activePane="bottomLeft" state="frozen"/>
      <selection pane="bottomLeft" activeCell="E19" sqref="E19"/>
    </sheetView>
  </sheetViews>
  <sheetFormatPr defaultColWidth="12.140625" defaultRowHeight="15" customHeight="1" x14ac:dyDescent="0.25"/>
  <cols>
    <col min="1" max="2" width="8.5703125" customWidth="1"/>
    <col min="3" max="3" width="71.42578125" customWidth="1"/>
    <col min="4" max="4" width="12.140625" customWidth="1"/>
    <col min="5" max="7" width="27.85546875" customWidth="1"/>
    <col min="8" max="9" width="0" hidden="1" customWidth="1"/>
  </cols>
  <sheetData>
    <row r="1" spans="1:9" ht="54.75" customHeight="1" x14ac:dyDescent="0.25">
      <c r="A1" s="81" t="s">
        <v>0</v>
      </c>
      <c r="B1" s="81"/>
      <c r="C1" s="81"/>
      <c r="D1" s="81"/>
      <c r="E1" s="81"/>
      <c r="F1" s="81"/>
      <c r="G1" s="81"/>
    </row>
    <row r="2" spans="1:9" x14ac:dyDescent="0.25">
      <c r="A2" s="82" t="s">
        <v>1</v>
      </c>
      <c r="B2" s="80"/>
      <c r="C2" s="88" t="str">
        <f>'Stavební rozpočet'!C2</f>
        <v>Rekonstrukce bytu č.23</v>
      </c>
      <c r="D2" s="80" t="s">
        <v>2</v>
      </c>
      <c r="E2" s="80" t="s">
        <v>3</v>
      </c>
      <c r="F2" s="87" t="s">
        <v>4</v>
      </c>
      <c r="G2" s="74" t="str">
        <f>'Stavební rozpočet'!I2</f>
        <v>Město Žďár nad Sázavou</v>
      </c>
    </row>
    <row r="3" spans="1:9" ht="15" customHeight="1" x14ac:dyDescent="0.25">
      <c r="A3" s="83"/>
      <c r="B3" s="73"/>
      <c r="C3" s="89"/>
      <c r="D3" s="73"/>
      <c r="E3" s="73"/>
      <c r="F3" s="73"/>
      <c r="G3" s="75"/>
    </row>
    <row r="4" spans="1:9" x14ac:dyDescent="0.25">
      <c r="A4" s="84" t="s">
        <v>5</v>
      </c>
      <c r="B4" s="73"/>
      <c r="C4" s="78" t="str">
        <f>'Stavební rozpočet'!C4</f>
        <v>byt</v>
      </c>
      <c r="D4" s="73" t="s">
        <v>6</v>
      </c>
      <c r="E4" s="73" t="s">
        <v>3</v>
      </c>
      <c r="F4" s="78" t="s">
        <v>7</v>
      </c>
      <c r="G4" s="76" t="str">
        <f>'Stavební rozpočet'!I4</f>
        <v>ing. Václav Kulhánek</v>
      </c>
    </row>
    <row r="5" spans="1:9" ht="15" customHeight="1" x14ac:dyDescent="0.25">
      <c r="A5" s="83"/>
      <c r="B5" s="73"/>
      <c r="C5" s="73"/>
      <c r="D5" s="73"/>
      <c r="E5" s="73"/>
      <c r="F5" s="73"/>
      <c r="G5" s="75"/>
    </row>
    <row r="6" spans="1:9" x14ac:dyDescent="0.25">
      <c r="A6" s="84" t="s">
        <v>8</v>
      </c>
      <c r="B6" s="73"/>
      <c r="C6" s="78" t="str">
        <f>'Stavební rozpočet'!C6</f>
        <v>Žďár nad Sázavou</v>
      </c>
      <c r="D6" s="73" t="s">
        <v>9</v>
      </c>
      <c r="E6" s="73" t="s">
        <v>3</v>
      </c>
      <c r="F6" s="78" t="s">
        <v>10</v>
      </c>
      <c r="G6" s="76" t="str">
        <f>'Stavební rozpočet'!I6</f>
        <v> </v>
      </c>
    </row>
    <row r="7" spans="1:9" ht="15" customHeight="1" x14ac:dyDescent="0.25">
      <c r="A7" s="83"/>
      <c r="B7" s="73"/>
      <c r="C7" s="73"/>
      <c r="D7" s="73"/>
      <c r="E7" s="73"/>
      <c r="F7" s="73"/>
      <c r="G7" s="75"/>
    </row>
    <row r="8" spans="1:9" x14ac:dyDescent="0.25">
      <c r="A8" s="84" t="s">
        <v>11</v>
      </c>
      <c r="B8" s="73"/>
      <c r="C8" s="78">
        <f>'Stavební rozpočet'!I8</f>
        <v>0</v>
      </c>
      <c r="D8" s="73" t="s">
        <v>12</v>
      </c>
      <c r="E8" s="73" t="s">
        <v>13</v>
      </c>
      <c r="F8" s="73" t="s">
        <v>12</v>
      </c>
      <c r="G8" s="76" t="str">
        <f>'Stavební rozpočet'!G8</f>
        <v>18.01.2025</v>
      </c>
    </row>
    <row r="9" spans="1:9" x14ac:dyDescent="0.25">
      <c r="A9" s="85"/>
      <c r="B9" s="79"/>
      <c r="C9" s="79"/>
      <c r="D9" s="86"/>
      <c r="E9" s="79"/>
      <c r="F9" s="79"/>
      <c r="G9" s="77"/>
    </row>
    <row r="10" spans="1:9" x14ac:dyDescent="0.25">
      <c r="A10" s="6" t="s">
        <v>14</v>
      </c>
      <c r="B10" s="7" t="s">
        <v>15</v>
      </c>
      <c r="C10" s="8" t="s">
        <v>16</v>
      </c>
      <c r="E10" s="9" t="s">
        <v>17</v>
      </c>
      <c r="F10" s="10" t="s">
        <v>18</v>
      </c>
      <c r="G10" s="10" t="s">
        <v>19</v>
      </c>
    </row>
    <row r="11" spans="1:9" x14ac:dyDescent="0.25">
      <c r="A11" s="11" t="s">
        <v>20</v>
      </c>
      <c r="B11" s="12" t="s">
        <v>21</v>
      </c>
      <c r="C11" s="73" t="s">
        <v>22</v>
      </c>
      <c r="D11" s="73"/>
      <c r="E11" s="13">
        <f>'Stavební rozpočet'!H12</f>
        <v>0</v>
      </c>
      <c r="F11" s="13">
        <f>'Stavební rozpočet'!I12</f>
        <v>0</v>
      </c>
      <c r="G11" s="13">
        <f>'Stavební rozpočet'!J12</f>
        <v>0</v>
      </c>
      <c r="H11" s="14" t="s">
        <v>23</v>
      </c>
      <c r="I11" s="15">
        <f t="shared" ref="I11:I30" si="0">IF(H11="F",0,G11)</f>
        <v>0</v>
      </c>
    </row>
    <row r="12" spans="1:9" x14ac:dyDescent="0.25">
      <c r="A12" s="1" t="s">
        <v>20</v>
      </c>
      <c r="B12" s="2" t="s">
        <v>24</v>
      </c>
      <c r="C12" s="73" t="s">
        <v>25</v>
      </c>
      <c r="D12" s="73"/>
      <c r="E12" s="15">
        <f>'Stavební rozpočet'!H15</f>
        <v>0</v>
      </c>
      <c r="F12" s="15">
        <f>'Stavební rozpočet'!I15</f>
        <v>0</v>
      </c>
      <c r="G12" s="15">
        <f>'Stavební rozpočet'!J15</f>
        <v>0</v>
      </c>
      <c r="H12" s="14" t="s">
        <v>23</v>
      </c>
      <c r="I12" s="15">
        <f t="shared" si="0"/>
        <v>0</v>
      </c>
    </row>
    <row r="13" spans="1:9" x14ac:dyDescent="0.25">
      <c r="A13" s="1" t="s">
        <v>20</v>
      </c>
      <c r="B13" s="2" t="s">
        <v>26</v>
      </c>
      <c r="C13" s="73" t="s">
        <v>27</v>
      </c>
      <c r="D13" s="73"/>
      <c r="E13" s="15">
        <f>'Stavební rozpočet'!H21</f>
        <v>0</v>
      </c>
      <c r="F13" s="15">
        <f>'Stavební rozpočet'!I21</f>
        <v>0</v>
      </c>
      <c r="G13" s="15">
        <f>'Stavební rozpočet'!J21</f>
        <v>0</v>
      </c>
      <c r="H13" s="14" t="s">
        <v>23</v>
      </c>
      <c r="I13" s="15">
        <f t="shared" si="0"/>
        <v>0</v>
      </c>
    </row>
    <row r="14" spans="1:9" x14ac:dyDescent="0.25">
      <c r="A14" s="1" t="s">
        <v>20</v>
      </c>
      <c r="B14" s="2" t="s">
        <v>28</v>
      </c>
      <c r="C14" s="73" t="s">
        <v>29</v>
      </c>
      <c r="D14" s="73"/>
      <c r="E14" s="15">
        <f>'Stavební rozpočet'!H25</f>
        <v>0</v>
      </c>
      <c r="F14" s="15">
        <f>'Stavební rozpočet'!I25</f>
        <v>0</v>
      </c>
      <c r="G14" s="15">
        <f>'Stavební rozpočet'!J25</f>
        <v>0</v>
      </c>
      <c r="H14" s="14" t="s">
        <v>23</v>
      </c>
      <c r="I14" s="15">
        <f t="shared" si="0"/>
        <v>0</v>
      </c>
    </row>
    <row r="15" spans="1:9" x14ac:dyDescent="0.25">
      <c r="A15" s="1" t="s">
        <v>20</v>
      </c>
      <c r="B15" s="2" t="s">
        <v>30</v>
      </c>
      <c r="C15" s="73" t="s">
        <v>31</v>
      </c>
      <c r="D15" s="73"/>
      <c r="E15" s="15">
        <f>'Stavební rozpočet'!H29</f>
        <v>0</v>
      </c>
      <c r="F15" s="15">
        <f>'Stavební rozpočet'!I29</f>
        <v>0</v>
      </c>
      <c r="G15" s="15">
        <f>'Stavební rozpočet'!J29</f>
        <v>0</v>
      </c>
      <c r="H15" s="14" t="s">
        <v>23</v>
      </c>
      <c r="I15" s="15">
        <f t="shared" si="0"/>
        <v>0</v>
      </c>
    </row>
    <row r="16" spans="1:9" x14ac:dyDescent="0.25">
      <c r="A16" s="1" t="s">
        <v>20</v>
      </c>
      <c r="B16" s="2" t="s">
        <v>32</v>
      </c>
      <c r="C16" s="73" t="s">
        <v>33</v>
      </c>
      <c r="D16" s="73"/>
      <c r="E16" s="15">
        <f>'Stavební rozpočet'!H34</f>
        <v>0</v>
      </c>
      <c r="F16" s="15">
        <f>'Stavební rozpočet'!I34</f>
        <v>0</v>
      </c>
      <c r="G16" s="15">
        <f>'Stavební rozpočet'!J34</f>
        <v>0</v>
      </c>
      <c r="H16" s="14" t="s">
        <v>23</v>
      </c>
      <c r="I16" s="15">
        <f t="shared" si="0"/>
        <v>0</v>
      </c>
    </row>
    <row r="17" spans="1:9" x14ac:dyDescent="0.25">
      <c r="A17" s="1" t="s">
        <v>20</v>
      </c>
      <c r="B17" s="2" t="s">
        <v>34</v>
      </c>
      <c r="C17" s="73" t="s">
        <v>35</v>
      </c>
      <c r="D17" s="73"/>
      <c r="E17" s="15">
        <f>'Stavební rozpočet'!H38</f>
        <v>0</v>
      </c>
      <c r="F17" s="15">
        <f>'Stavební rozpočet'!I38</f>
        <v>0</v>
      </c>
      <c r="G17" s="15">
        <f>'Stavební rozpočet'!J38</f>
        <v>0</v>
      </c>
      <c r="H17" s="14" t="s">
        <v>23</v>
      </c>
      <c r="I17" s="15">
        <f t="shared" si="0"/>
        <v>0</v>
      </c>
    </row>
    <row r="18" spans="1:9" x14ac:dyDescent="0.25">
      <c r="A18" s="1" t="s">
        <v>20</v>
      </c>
      <c r="B18" s="2" t="s">
        <v>36</v>
      </c>
      <c r="C18" s="73" t="s">
        <v>37</v>
      </c>
      <c r="D18" s="73"/>
      <c r="E18" s="15">
        <f>'Stavební rozpočet'!H40</f>
        <v>0</v>
      </c>
      <c r="F18" s="15">
        <f>'Stavební rozpočet'!I40</f>
        <v>0</v>
      </c>
      <c r="G18" s="15">
        <f>'Stavební rozpočet'!J40</f>
        <v>0</v>
      </c>
      <c r="H18" s="14" t="s">
        <v>23</v>
      </c>
      <c r="I18" s="15">
        <f t="shared" si="0"/>
        <v>0</v>
      </c>
    </row>
    <row r="19" spans="1:9" x14ac:dyDescent="0.25">
      <c r="A19" s="1" t="s">
        <v>20</v>
      </c>
      <c r="B19" s="2" t="s">
        <v>38</v>
      </c>
      <c r="C19" s="73" t="s">
        <v>39</v>
      </c>
      <c r="D19" s="73"/>
      <c r="E19" s="15">
        <f>'Stavební rozpočet'!H42</f>
        <v>0</v>
      </c>
      <c r="F19" s="15">
        <f>'Stavební rozpočet'!I42</f>
        <v>0</v>
      </c>
      <c r="G19" s="15">
        <f>'Stavební rozpočet'!J42</f>
        <v>0</v>
      </c>
      <c r="H19" s="14" t="s">
        <v>23</v>
      </c>
      <c r="I19" s="15">
        <f t="shared" si="0"/>
        <v>0</v>
      </c>
    </row>
    <row r="20" spans="1:9" x14ac:dyDescent="0.25">
      <c r="A20" s="1" t="s">
        <v>20</v>
      </c>
      <c r="B20" s="2" t="s">
        <v>40</v>
      </c>
      <c r="C20" s="73" t="s">
        <v>41</v>
      </c>
      <c r="D20" s="73"/>
      <c r="E20" s="15">
        <f>'Stavební rozpočet'!H57</f>
        <v>0</v>
      </c>
      <c r="F20" s="15">
        <f>'Stavební rozpočet'!I57</f>
        <v>0</v>
      </c>
      <c r="G20" s="15">
        <f>'Stavební rozpočet'!J57</f>
        <v>0</v>
      </c>
      <c r="H20" s="14" t="s">
        <v>23</v>
      </c>
      <c r="I20" s="15">
        <f t="shared" si="0"/>
        <v>0</v>
      </c>
    </row>
    <row r="21" spans="1:9" x14ac:dyDescent="0.25">
      <c r="A21" s="1" t="s">
        <v>20</v>
      </c>
      <c r="B21" s="2" t="s">
        <v>42</v>
      </c>
      <c r="C21" s="73" t="s">
        <v>43</v>
      </c>
      <c r="D21" s="73"/>
      <c r="E21" s="15">
        <f>'Stavební rozpočet'!H73</f>
        <v>0</v>
      </c>
      <c r="F21" s="15">
        <f>'Stavební rozpočet'!I73</f>
        <v>0</v>
      </c>
      <c r="G21" s="15">
        <f>'Stavební rozpočet'!J73</f>
        <v>0</v>
      </c>
      <c r="H21" s="14" t="s">
        <v>23</v>
      </c>
      <c r="I21" s="15">
        <f t="shared" si="0"/>
        <v>0</v>
      </c>
    </row>
    <row r="22" spans="1:9" x14ac:dyDescent="0.25">
      <c r="A22" s="1" t="s">
        <v>20</v>
      </c>
      <c r="B22" s="2" t="s">
        <v>44</v>
      </c>
      <c r="C22" s="73" t="s">
        <v>45</v>
      </c>
      <c r="D22" s="73"/>
      <c r="E22" s="15">
        <f>'Stavební rozpočet'!H80</f>
        <v>0</v>
      </c>
      <c r="F22" s="15">
        <f>'Stavební rozpočet'!I80</f>
        <v>0</v>
      </c>
      <c r="G22" s="15">
        <f>'Stavební rozpočet'!J80</f>
        <v>0</v>
      </c>
      <c r="H22" s="14" t="s">
        <v>23</v>
      </c>
      <c r="I22" s="15">
        <f t="shared" si="0"/>
        <v>0</v>
      </c>
    </row>
    <row r="23" spans="1:9" x14ac:dyDescent="0.25">
      <c r="A23" s="1" t="s">
        <v>20</v>
      </c>
      <c r="B23" s="2" t="s">
        <v>46</v>
      </c>
      <c r="C23" s="73" t="s">
        <v>47</v>
      </c>
      <c r="D23" s="73"/>
      <c r="E23" s="15">
        <f>'Stavební rozpočet'!H89</f>
        <v>0</v>
      </c>
      <c r="F23" s="15">
        <f>'Stavební rozpočet'!I89</f>
        <v>0</v>
      </c>
      <c r="G23" s="15">
        <f>'Stavební rozpočet'!J89</f>
        <v>0</v>
      </c>
      <c r="H23" s="14" t="s">
        <v>23</v>
      </c>
      <c r="I23" s="15">
        <f t="shared" si="0"/>
        <v>0</v>
      </c>
    </row>
    <row r="24" spans="1:9" x14ac:dyDescent="0.25">
      <c r="A24" s="1" t="s">
        <v>20</v>
      </c>
      <c r="B24" s="2" t="s">
        <v>48</v>
      </c>
      <c r="C24" s="73" t="s">
        <v>49</v>
      </c>
      <c r="D24" s="73"/>
      <c r="E24" s="15">
        <f>'Stavební rozpočet'!H94</f>
        <v>0</v>
      </c>
      <c r="F24" s="15">
        <f>'Stavební rozpočet'!I94</f>
        <v>0</v>
      </c>
      <c r="G24" s="15">
        <f>'Stavební rozpočet'!J94</f>
        <v>0</v>
      </c>
      <c r="H24" s="14" t="s">
        <v>23</v>
      </c>
      <c r="I24" s="15">
        <f t="shared" si="0"/>
        <v>0</v>
      </c>
    </row>
    <row r="25" spans="1:9" x14ac:dyDescent="0.25">
      <c r="A25" s="1" t="s">
        <v>20</v>
      </c>
      <c r="B25" s="2" t="s">
        <v>50</v>
      </c>
      <c r="C25" s="73" t="s">
        <v>51</v>
      </c>
      <c r="D25" s="73"/>
      <c r="E25" s="15">
        <f>'Stavební rozpočet'!H103</f>
        <v>0</v>
      </c>
      <c r="F25" s="15">
        <f>'Stavební rozpočet'!I103</f>
        <v>0</v>
      </c>
      <c r="G25" s="15">
        <f>'Stavební rozpočet'!J103</f>
        <v>0</v>
      </c>
      <c r="H25" s="14" t="s">
        <v>23</v>
      </c>
      <c r="I25" s="15">
        <f t="shared" si="0"/>
        <v>0</v>
      </c>
    </row>
    <row r="26" spans="1:9" x14ac:dyDescent="0.25">
      <c r="A26" s="1" t="s">
        <v>20</v>
      </c>
      <c r="B26" s="2" t="s">
        <v>52</v>
      </c>
      <c r="C26" s="73" t="s">
        <v>53</v>
      </c>
      <c r="D26" s="73"/>
      <c r="E26" s="15">
        <f>'Stavební rozpočet'!H106</f>
        <v>0</v>
      </c>
      <c r="F26" s="15">
        <f>'Stavební rozpočet'!I106</f>
        <v>0</v>
      </c>
      <c r="G26" s="15">
        <f>'Stavební rozpočet'!J106</f>
        <v>0</v>
      </c>
      <c r="H26" s="14" t="s">
        <v>23</v>
      </c>
      <c r="I26" s="15">
        <f t="shared" si="0"/>
        <v>0</v>
      </c>
    </row>
    <row r="27" spans="1:9" x14ac:dyDescent="0.25">
      <c r="A27" s="1" t="s">
        <v>20</v>
      </c>
      <c r="B27" s="2" t="s">
        <v>54</v>
      </c>
      <c r="C27" s="73" t="s">
        <v>55</v>
      </c>
      <c r="D27" s="73"/>
      <c r="E27" s="15">
        <f>'Stavební rozpočet'!H109</f>
        <v>0</v>
      </c>
      <c r="F27" s="15">
        <f>'Stavební rozpočet'!I109</f>
        <v>0</v>
      </c>
      <c r="G27" s="15">
        <f>'Stavební rozpočet'!J109</f>
        <v>0</v>
      </c>
      <c r="H27" s="14" t="s">
        <v>23</v>
      </c>
      <c r="I27" s="15">
        <f t="shared" si="0"/>
        <v>0</v>
      </c>
    </row>
    <row r="28" spans="1:9" x14ac:dyDescent="0.25">
      <c r="A28" s="1" t="s">
        <v>20</v>
      </c>
      <c r="B28" s="2" t="s">
        <v>56</v>
      </c>
      <c r="C28" s="73" t="s">
        <v>57</v>
      </c>
      <c r="D28" s="73"/>
      <c r="E28" s="15">
        <f>'Stavební rozpočet'!H116</f>
        <v>0</v>
      </c>
      <c r="F28" s="15">
        <f>'Stavební rozpočet'!I116</f>
        <v>0</v>
      </c>
      <c r="G28" s="15">
        <f>'Stavební rozpočet'!J116</f>
        <v>0</v>
      </c>
      <c r="H28" s="14" t="s">
        <v>23</v>
      </c>
      <c r="I28" s="15">
        <f t="shared" si="0"/>
        <v>0</v>
      </c>
    </row>
    <row r="29" spans="1:9" x14ac:dyDescent="0.25">
      <c r="A29" s="1" t="s">
        <v>20</v>
      </c>
      <c r="B29" s="2" t="s">
        <v>58</v>
      </c>
      <c r="C29" s="73" t="s">
        <v>59</v>
      </c>
      <c r="D29" s="73"/>
      <c r="E29" s="15">
        <f>'Stavební rozpočet'!H120</f>
        <v>0</v>
      </c>
      <c r="F29" s="15">
        <f>'Stavební rozpočet'!I120</f>
        <v>0</v>
      </c>
      <c r="G29" s="15">
        <f>'Stavební rozpočet'!J120</f>
        <v>0</v>
      </c>
      <c r="H29" s="14" t="s">
        <v>23</v>
      </c>
      <c r="I29" s="15">
        <f t="shared" si="0"/>
        <v>0</v>
      </c>
    </row>
    <row r="30" spans="1:9" x14ac:dyDescent="0.25">
      <c r="A30" s="1" t="s">
        <v>20</v>
      </c>
      <c r="B30" s="2" t="s">
        <v>61</v>
      </c>
      <c r="C30" s="73" t="s">
        <v>62</v>
      </c>
      <c r="D30" s="73"/>
      <c r="E30" s="15">
        <f>'Stavební rozpočet'!H128</f>
        <v>0</v>
      </c>
      <c r="F30" s="15">
        <f>'Stavební rozpočet'!I128</f>
        <v>0</v>
      </c>
      <c r="G30" s="15">
        <f>'Stavební rozpočet'!J128</f>
        <v>0</v>
      </c>
      <c r="H30" s="14" t="s">
        <v>23</v>
      </c>
      <c r="I30" s="15">
        <f t="shared" si="0"/>
        <v>0</v>
      </c>
    </row>
    <row r="31" spans="1:9" x14ac:dyDescent="0.25">
      <c r="F31" s="3" t="s">
        <v>63</v>
      </c>
      <c r="G31" s="16">
        <f>SUM(I11:I30)</f>
        <v>0</v>
      </c>
    </row>
  </sheetData>
  <sheetProtection algorithmName="SHA-512" hashValue="Mfm3tD64TLGZ/oVr34c7pSfkQE2B4ZsZL/QGO8VszLesnrGTu/7w4M+BW1lAE8QX7xG/U47SS8kqd8OVQ7pdfw==" saltValue="jkuqHZzwtikmWihtD/M52g==" spinCount="100000" sheet="1"/>
  <mergeCells count="45">
    <mergeCell ref="A1:G1"/>
    <mergeCell ref="A2:B3"/>
    <mergeCell ref="A4:B5"/>
    <mergeCell ref="A6:B7"/>
    <mergeCell ref="A8:B9"/>
    <mergeCell ref="D2:D3"/>
    <mergeCell ref="D4:D5"/>
    <mergeCell ref="D6:D7"/>
    <mergeCell ref="D8:D9"/>
    <mergeCell ref="F2:F3"/>
    <mergeCell ref="F4:F5"/>
    <mergeCell ref="F6:F7"/>
    <mergeCell ref="F8:F9"/>
    <mergeCell ref="C2:C3"/>
    <mergeCell ref="C4:C5"/>
    <mergeCell ref="C6:C7"/>
    <mergeCell ref="G2:G3"/>
    <mergeCell ref="G4:G5"/>
    <mergeCell ref="G6:G7"/>
    <mergeCell ref="G8:G9"/>
    <mergeCell ref="C11:D11"/>
    <mergeCell ref="C8:C9"/>
    <mergeCell ref="E2:E3"/>
    <mergeCell ref="E4:E5"/>
    <mergeCell ref="E6:E7"/>
    <mergeCell ref="E8:E9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7:D27"/>
    <mergeCell ref="C28:D28"/>
    <mergeCell ref="C29:D29"/>
    <mergeCell ref="C30:D30"/>
    <mergeCell ref="C22:D22"/>
    <mergeCell ref="C23:D23"/>
    <mergeCell ref="C24:D24"/>
    <mergeCell ref="C25:D25"/>
    <mergeCell ref="C26:D26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topLeftCell="A4" workbookViewId="0">
      <selection activeCell="A37" sqref="A37:I37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126" t="s">
        <v>64</v>
      </c>
      <c r="B1" s="81"/>
      <c r="C1" s="81"/>
      <c r="D1" s="81"/>
      <c r="E1" s="81"/>
      <c r="F1" s="81"/>
      <c r="G1" s="81"/>
      <c r="H1" s="81"/>
      <c r="I1" s="81"/>
    </row>
    <row r="2" spans="1:9" x14ac:dyDescent="0.25">
      <c r="A2" s="82" t="s">
        <v>1</v>
      </c>
      <c r="B2" s="80"/>
      <c r="C2" s="88" t="str">
        <f>'Stavební rozpočet'!C2</f>
        <v>Rekonstrukce bytu č.23</v>
      </c>
      <c r="D2" s="125"/>
      <c r="E2" s="87" t="s">
        <v>4</v>
      </c>
      <c r="F2" s="87" t="str">
        <f>'Stavební rozpočet'!I2</f>
        <v>Město Žďár nad Sázavou</v>
      </c>
      <c r="G2" s="80"/>
      <c r="H2" s="87" t="s">
        <v>65</v>
      </c>
      <c r="I2" s="127" t="s">
        <v>20</v>
      </c>
    </row>
    <row r="3" spans="1:9" ht="15" customHeight="1" x14ac:dyDescent="0.25">
      <c r="A3" s="83"/>
      <c r="B3" s="73"/>
      <c r="C3" s="89"/>
      <c r="D3" s="89"/>
      <c r="E3" s="73"/>
      <c r="F3" s="73"/>
      <c r="G3" s="73"/>
      <c r="H3" s="73"/>
      <c r="I3" s="75"/>
    </row>
    <row r="4" spans="1:9" x14ac:dyDescent="0.25">
      <c r="A4" s="84" t="s">
        <v>5</v>
      </c>
      <c r="B4" s="73"/>
      <c r="C4" s="78" t="str">
        <f>'Stavební rozpočet'!C4</f>
        <v>byt</v>
      </c>
      <c r="D4" s="73"/>
      <c r="E4" s="78" t="s">
        <v>7</v>
      </c>
      <c r="F4" s="78" t="str">
        <f>'Stavební rozpočet'!I4</f>
        <v>ing. Václav Kulhánek</v>
      </c>
      <c r="G4" s="73"/>
      <c r="H4" s="78" t="s">
        <v>65</v>
      </c>
      <c r="I4" s="75" t="s">
        <v>20</v>
      </c>
    </row>
    <row r="5" spans="1:9" ht="15" customHeight="1" x14ac:dyDescent="0.25">
      <c r="A5" s="83"/>
      <c r="B5" s="73"/>
      <c r="C5" s="73"/>
      <c r="D5" s="73"/>
      <c r="E5" s="73"/>
      <c r="F5" s="73"/>
      <c r="G5" s="73"/>
      <c r="H5" s="73"/>
      <c r="I5" s="75"/>
    </row>
    <row r="6" spans="1:9" x14ac:dyDescent="0.25">
      <c r="A6" s="84" t="s">
        <v>8</v>
      </c>
      <c r="B6" s="73"/>
      <c r="C6" s="78" t="str">
        <f>'Stavební rozpočet'!C6</f>
        <v>Žďár nad Sázavou</v>
      </c>
      <c r="D6" s="73"/>
      <c r="E6" s="78" t="s">
        <v>10</v>
      </c>
      <c r="F6" s="78" t="str">
        <f>'Stavební rozpočet'!I6</f>
        <v> </v>
      </c>
      <c r="G6" s="73"/>
      <c r="H6" s="78" t="s">
        <v>65</v>
      </c>
      <c r="I6" s="75" t="s">
        <v>20</v>
      </c>
    </row>
    <row r="7" spans="1:9" ht="15" customHeight="1" x14ac:dyDescent="0.25">
      <c r="A7" s="83"/>
      <c r="B7" s="73"/>
      <c r="C7" s="73"/>
      <c r="D7" s="73"/>
      <c r="E7" s="73"/>
      <c r="F7" s="73"/>
      <c r="G7" s="73"/>
      <c r="H7" s="73"/>
      <c r="I7" s="75"/>
    </row>
    <row r="8" spans="1:9" x14ac:dyDescent="0.25">
      <c r="A8" s="84" t="s">
        <v>6</v>
      </c>
      <c r="B8" s="73"/>
      <c r="C8" s="78" t="str">
        <f>'Stavební rozpočet'!G4</f>
        <v xml:space="preserve"> </v>
      </c>
      <c r="D8" s="73"/>
      <c r="E8" s="78" t="s">
        <v>9</v>
      </c>
      <c r="F8" s="78" t="str">
        <f>'Stavební rozpočet'!G6</f>
        <v xml:space="preserve"> </v>
      </c>
      <c r="G8" s="73"/>
      <c r="H8" s="73" t="s">
        <v>66</v>
      </c>
      <c r="I8" s="128">
        <v>98</v>
      </c>
    </row>
    <row r="9" spans="1:9" x14ac:dyDescent="0.25">
      <c r="A9" s="83"/>
      <c r="B9" s="73"/>
      <c r="C9" s="73"/>
      <c r="D9" s="73"/>
      <c r="E9" s="73"/>
      <c r="F9" s="73"/>
      <c r="G9" s="73"/>
      <c r="H9" s="73"/>
      <c r="I9" s="75"/>
    </row>
    <row r="10" spans="1:9" x14ac:dyDescent="0.25">
      <c r="A10" s="84" t="s">
        <v>67</v>
      </c>
      <c r="B10" s="73"/>
      <c r="C10" s="78" t="str">
        <f>'Stavební rozpočet'!C8</f>
        <v>812</v>
      </c>
      <c r="D10" s="73"/>
      <c r="E10" s="78" t="s">
        <v>11</v>
      </c>
      <c r="F10" s="78">
        <f>'Stavební rozpočet'!I8</f>
        <v>0</v>
      </c>
      <c r="G10" s="73"/>
      <c r="H10" s="73" t="s">
        <v>68</v>
      </c>
      <c r="I10" s="76" t="str">
        <f>'Stavební rozpočet'!G8</f>
        <v>18.01.2025</v>
      </c>
    </row>
    <row r="11" spans="1:9" x14ac:dyDescent="0.25">
      <c r="A11" s="124"/>
      <c r="B11" s="86"/>
      <c r="C11" s="86"/>
      <c r="D11" s="86"/>
      <c r="E11" s="86"/>
      <c r="F11" s="86"/>
      <c r="G11" s="86"/>
      <c r="H11" s="86"/>
      <c r="I11" s="120"/>
    </row>
    <row r="12" spans="1:9" ht="23.25" x14ac:dyDescent="0.25">
      <c r="A12" s="121" t="s">
        <v>69</v>
      </c>
      <c r="B12" s="121"/>
      <c r="C12" s="121"/>
      <c r="D12" s="121"/>
      <c r="E12" s="121"/>
      <c r="F12" s="121"/>
      <c r="G12" s="121"/>
      <c r="H12" s="121"/>
      <c r="I12" s="121"/>
    </row>
    <row r="13" spans="1:9" ht="26.25" customHeight="1" x14ac:dyDescent="0.25">
      <c r="A13" s="18" t="s">
        <v>70</v>
      </c>
      <c r="B13" s="122" t="s">
        <v>71</v>
      </c>
      <c r="C13" s="123"/>
      <c r="D13" s="19" t="s">
        <v>72</v>
      </c>
      <c r="E13" s="122" t="s">
        <v>73</v>
      </c>
      <c r="F13" s="123"/>
      <c r="G13" s="19" t="s">
        <v>74</v>
      </c>
      <c r="H13" s="122" t="s">
        <v>75</v>
      </c>
      <c r="I13" s="123"/>
    </row>
    <row r="14" spans="1:9" ht="15.75" x14ac:dyDescent="0.25">
      <c r="A14" s="20" t="s">
        <v>76</v>
      </c>
      <c r="B14" s="21" t="s">
        <v>77</v>
      </c>
      <c r="C14" s="22">
        <f>SUM('Stavební rozpočet'!AB12:AB129)</f>
        <v>0</v>
      </c>
      <c r="D14" s="110" t="s">
        <v>78</v>
      </c>
      <c r="E14" s="111"/>
      <c r="F14" s="22">
        <f>VORN!I15</f>
        <v>0</v>
      </c>
      <c r="G14" s="110" t="s">
        <v>62</v>
      </c>
      <c r="H14" s="111"/>
      <c r="I14" s="23">
        <f>VORN!I21</f>
        <v>0</v>
      </c>
    </row>
    <row r="15" spans="1:9" ht="15.75" x14ac:dyDescent="0.25">
      <c r="A15" s="24" t="s">
        <v>20</v>
      </c>
      <c r="B15" s="21" t="s">
        <v>79</v>
      </c>
      <c r="C15" s="22">
        <f>SUM('Stavební rozpočet'!AC12:AC129)</f>
        <v>0</v>
      </c>
      <c r="D15" s="110" t="s">
        <v>80</v>
      </c>
      <c r="E15" s="111"/>
      <c r="F15" s="22">
        <f>VORN!I16</f>
        <v>0</v>
      </c>
      <c r="G15" s="110" t="s">
        <v>81</v>
      </c>
      <c r="H15" s="111"/>
      <c r="I15" s="23">
        <f>VORN!I22</f>
        <v>0</v>
      </c>
    </row>
    <row r="16" spans="1:9" ht="15.75" x14ac:dyDescent="0.25">
      <c r="A16" s="20" t="s">
        <v>82</v>
      </c>
      <c r="B16" s="21" t="s">
        <v>77</v>
      </c>
      <c r="C16" s="22">
        <f>SUM('Stavební rozpočet'!AD12:AD129)</f>
        <v>0</v>
      </c>
      <c r="D16" s="110" t="s">
        <v>83</v>
      </c>
      <c r="E16" s="111"/>
      <c r="F16" s="22">
        <f>VORN!I17</f>
        <v>0</v>
      </c>
      <c r="G16" s="110" t="s">
        <v>84</v>
      </c>
      <c r="H16" s="111"/>
      <c r="I16" s="23">
        <f>VORN!I23</f>
        <v>0</v>
      </c>
    </row>
    <row r="17" spans="1:9" ht="15.75" x14ac:dyDescent="0.25">
      <c r="A17" s="24" t="s">
        <v>20</v>
      </c>
      <c r="B17" s="21" t="s">
        <v>79</v>
      </c>
      <c r="C17" s="22">
        <f>SUM('Stavební rozpočet'!AE12:AE129)</f>
        <v>0</v>
      </c>
      <c r="D17" s="110" t="s">
        <v>20</v>
      </c>
      <c r="E17" s="111"/>
      <c r="F17" s="23" t="s">
        <v>20</v>
      </c>
      <c r="G17" s="110" t="s">
        <v>85</v>
      </c>
      <c r="H17" s="111"/>
      <c r="I17" s="23">
        <f>VORN!I24</f>
        <v>0</v>
      </c>
    </row>
    <row r="18" spans="1:9" ht="15.75" x14ac:dyDescent="0.25">
      <c r="A18" s="20" t="s">
        <v>86</v>
      </c>
      <c r="B18" s="21" t="s">
        <v>77</v>
      </c>
      <c r="C18" s="22">
        <f>SUM('Stavební rozpočet'!AF12:AF129)</f>
        <v>0</v>
      </c>
      <c r="D18" s="110" t="s">
        <v>20</v>
      </c>
      <c r="E18" s="111"/>
      <c r="F18" s="23" t="s">
        <v>20</v>
      </c>
      <c r="G18" s="110" t="s">
        <v>87</v>
      </c>
      <c r="H18" s="111"/>
      <c r="I18" s="23">
        <f>VORN!I25</f>
        <v>0</v>
      </c>
    </row>
    <row r="19" spans="1:9" ht="15.75" x14ac:dyDescent="0.25">
      <c r="A19" s="24" t="s">
        <v>20</v>
      </c>
      <c r="B19" s="21" t="s">
        <v>79</v>
      </c>
      <c r="C19" s="22">
        <f>SUM('Stavební rozpočet'!AG12:AG129)</f>
        <v>0</v>
      </c>
      <c r="D19" s="110" t="s">
        <v>20</v>
      </c>
      <c r="E19" s="111"/>
      <c r="F19" s="23" t="s">
        <v>20</v>
      </c>
      <c r="G19" s="110" t="s">
        <v>88</v>
      </c>
      <c r="H19" s="111"/>
      <c r="I19" s="23">
        <f>VORN!I26</f>
        <v>0</v>
      </c>
    </row>
    <row r="20" spans="1:9" ht="15.75" x14ac:dyDescent="0.25">
      <c r="A20" s="102" t="s">
        <v>89</v>
      </c>
      <c r="B20" s="103"/>
      <c r="C20" s="22">
        <f>SUM('Stavební rozpočet'!AH12:AH129)</f>
        <v>0</v>
      </c>
      <c r="D20" s="110" t="s">
        <v>20</v>
      </c>
      <c r="E20" s="111"/>
      <c r="F20" s="23" t="s">
        <v>20</v>
      </c>
      <c r="G20" s="110" t="s">
        <v>20</v>
      </c>
      <c r="H20" s="111"/>
      <c r="I20" s="23" t="s">
        <v>20</v>
      </c>
    </row>
    <row r="21" spans="1:9" ht="15.75" x14ac:dyDescent="0.25">
      <c r="A21" s="117" t="s">
        <v>90</v>
      </c>
      <c r="B21" s="118"/>
      <c r="C21" s="25">
        <f>SUM('Stavební rozpočet'!Z12:Z129)</f>
        <v>0</v>
      </c>
      <c r="D21" s="112" t="s">
        <v>20</v>
      </c>
      <c r="E21" s="113"/>
      <c r="F21" s="26" t="s">
        <v>20</v>
      </c>
      <c r="G21" s="112" t="s">
        <v>20</v>
      </c>
      <c r="H21" s="113"/>
      <c r="I21" s="26" t="s">
        <v>20</v>
      </c>
    </row>
    <row r="22" spans="1:9" ht="16.5" customHeight="1" x14ac:dyDescent="0.25">
      <c r="A22" s="119" t="s">
        <v>91</v>
      </c>
      <c r="B22" s="115"/>
      <c r="C22" s="27">
        <f>SUM(C14:C21)</f>
        <v>0</v>
      </c>
      <c r="D22" s="114" t="s">
        <v>92</v>
      </c>
      <c r="E22" s="115"/>
      <c r="F22" s="27">
        <f>SUM(F14:F21)</f>
        <v>0</v>
      </c>
      <c r="G22" s="114" t="s">
        <v>93</v>
      </c>
      <c r="H22" s="115"/>
      <c r="I22" s="27">
        <f>SUM(I14:I21)</f>
        <v>0</v>
      </c>
    </row>
    <row r="23" spans="1:9" ht="15.75" x14ac:dyDescent="0.25">
      <c r="D23" s="102" t="s">
        <v>94</v>
      </c>
      <c r="E23" s="103"/>
      <c r="F23" s="28">
        <v>0</v>
      </c>
      <c r="G23" s="116" t="s">
        <v>95</v>
      </c>
      <c r="H23" s="103"/>
      <c r="I23" s="22">
        <v>0</v>
      </c>
    </row>
    <row r="24" spans="1:9" ht="15.75" x14ac:dyDescent="0.25">
      <c r="G24" s="102" t="s">
        <v>96</v>
      </c>
      <c r="H24" s="103"/>
      <c r="I24" s="25">
        <f>vorn_sum</f>
        <v>0</v>
      </c>
    </row>
    <row r="25" spans="1:9" ht="15.75" x14ac:dyDescent="0.25">
      <c r="G25" s="102" t="s">
        <v>97</v>
      </c>
      <c r="H25" s="103"/>
      <c r="I25" s="27">
        <v>0</v>
      </c>
    </row>
    <row r="27" spans="1:9" ht="15.75" x14ac:dyDescent="0.25">
      <c r="A27" s="104" t="s">
        <v>98</v>
      </c>
      <c r="B27" s="105"/>
      <c r="C27" s="29">
        <f>SUM('Stavební rozpočet'!AJ12:AJ129)</f>
        <v>0</v>
      </c>
    </row>
    <row r="28" spans="1:9" ht="15.75" x14ac:dyDescent="0.25">
      <c r="A28" s="106" t="s">
        <v>99</v>
      </c>
      <c r="B28" s="107"/>
      <c r="C28" s="30">
        <f>SUM('Stavební rozpočet'!AK12:AK129)</f>
        <v>0</v>
      </c>
      <c r="D28" s="108" t="s">
        <v>100</v>
      </c>
      <c r="E28" s="105"/>
      <c r="F28" s="29">
        <f>ROUND(C28*(12/100),2)</f>
        <v>0</v>
      </c>
      <c r="G28" s="108" t="s">
        <v>101</v>
      </c>
      <c r="H28" s="105"/>
      <c r="I28" s="29">
        <f>SUM(C27:C29)</f>
        <v>0</v>
      </c>
    </row>
    <row r="29" spans="1:9" ht="15.75" x14ac:dyDescent="0.25">
      <c r="A29" s="106" t="s">
        <v>102</v>
      </c>
      <c r="B29" s="107"/>
      <c r="C29" s="30">
        <f>SUM('Stavební rozpočet'!AL12:AL129)</f>
        <v>0</v>
      </c>
      <c r="D29" s="109" t="s">
        <v>103</v>
      </c>
      <c r="E29" s="107"/>
      <c r="F29" s="30">
        <f>ROUND(C29*(21/100),2)</f>
        <v>0</v>
      </c>
      <c r="G29" s="109" t="s">
        <v>104</v>
      </c>
      <c r="H29" s="107"/>
      <c r="I29" s="30">
        <f>SUM(F28:F29)+I28</f>
        <v>0</v>
      </c>
    </row>
    <row r="31" spans="1:9" x14ac:dyDescent="0.25">
      <c r="A31" s="99" t="s">
        <v>105</v>
      </c>
      <c r="B31" s="91"/>
      <c r="C31" s="92"/>
      <c r="D31" s="90" t="s">
        <v>106</v>
      </c>
      <c r="E31" s="91"/>
      <c r="F31" s="92"/>
      <c r="G31" s="90" t="s">
        <v>107</v>
      </c>
      <c r="H31" s="91"/>
      <c r="I31" s="92"/>
    </row>
    <row r="32" spans="1:9" x14ac:dyDescent="0.25">
      <c r="A32" s="100" t="s">
        <v>20</v>
      </c>
      <c r="B32" s="94"/>
      <c r="C32" s="95"/>
      <c r="D32" s="93" t="s">
        <v>20</v>
      </c>
      <c r="E32" s="94"/>
      <c r="F32" s="95"/>
      <c r="G32" s="93" t="s">
        <v>20</v>
      </c>
      <c r="H32" s="94"/>
      <c r="I32" s="95"/>
    </row>
    <row r="33" spans="1:9" x14ac:dyDescent="0.25">
      <c r="A33" s="100" t="s">
        <v>20</v>
      </c>
      <c r="B33" s="94"/>
      <c r="C33" s="95"/>
      <c r="D33" s="93" t="s">
        <v>20</v>
      </c>
      <c r="E33" s="94"/>
      <c r="F33" s="95"/>
      <c r="G33" s="93" t="s">
        <v>20</v>
      </c>
      <c r="H33" s="94"/>
      <c r="I33" s="95"/>
    </row>
    <row r="34" spans="1:9" x14ac:dyDescent="0.25">
      <c r="A34" s="100" t="s">
        <v>20</v>
      </c>
      <c r="B34" s="94"/>
      <c r="C34" s="95"/>
      <c r="D34" s="93" t="s">
        <v>20</v>
      </c>
      <c r="E34" s="94"/>
      <c r="F34" s="95"/>
      <c r="G34" s="93" t="s">
        <v>20</v>
      </c>
      <c r="H34" s="94"/>
      <c r="I34" s="95"/>
    </row>
    <row r="35" spans="1:9" x14ac:dyDescent="0.25">
      <c r="A35" s="101" t="s">
        <v>108</v>
      </c>
      <c r="B35" s="97"/>
      <c r="C35" s="98"/>
      <c r="D35" s="96" t="s">
        <v>108</v>
      </c>
      <c r="E35" s="97"/>
      <c r="F35" s="98"/>
      <c r="G35" s="96" t="s">
        <v>108</v>
      </c>
      <c r="H35" s="97"/>
      <c r="I35" s="98"/>
    </row>
    <row r="36" spans="1:9" x14ac:dyDescent="0.25">
      <c r="A36" s="31" t="s">
        <v>109</v>
      </c>
    </row>
    <row r="37" spans="1:9" ht="12.75" customHeight="1" x14ac:dyDescent="0.25">
      <c r="A37" s="78" t="s">
        <v>20</v>
      </c>
      <c r="B37" s="73"/>
      <c r="C37" s="73"/>
      <c r="D37" s="73"/>
      <c r="E37" s="73"/>
      <c r="F37" s="73"/>
      <c r="G37" s="73"/>
      <c r="H37" s="73"/>
      <c r="I37" s="73"/>
    </row>
  </sheetData>
  <sheetProtection password="CC71" sheet="1"/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5"/>
  <sheetViews>
    <sheetView workbookViewId="0">
      <selection activeCell="A45" sqref="A45:E45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26" t="s">
        <v>60</v>
      </c>
      <c r="B1" s="81"/>
      <c r="C1" s="81"/>
      <c r="D1" s="81"/>
      <c r="E1" s="81"/>
      <c r="F1" s="81"/>
      <c r="G1" s="81"/>
      <c r="H1" s="81"/>
      <c r="I1" s="81"/>
    </row>
    <row r="2" spans="1:9" x14ac:dyDescent="0.25">
      <c r="A2" s="82" t="s">
        <v>1</v>
      </c>
      <c r="B2" s="80"/>
      <c r="C2" s="88" t="str">
        <f>'Stavební rozpočet'!C2</f>
        <v>Rekonstrukce bytu č.23</v>
      </c>
      <c r="D2" s="125"/>
      <c r="E2" s="87" t="s">
        <v>4</v>
      </c>
      <c r="F2" s="87" t="str">
        <f>'Stavební rozpočet'!I2</f>
        <v>Město Žďár nad Sázavou</v>
      </c>
      <c r="G2" s="80"/>
      <c r="H2" s="87" t="s">
        <v>65</v>
      </c>
      <c r="I2" s="127" t="s">
        <v>20</v>
      </c>
    </row>
    <row r="3" spans="1:9" ht="15" customHeight="1" x14ac:dyDescent="0.25">
      <c r="A3" s="83"/>
      <c r="B3" s="73"/>
      <c r="C3" s="89"/>
      <c r="D3" s="89"/>
      <c r="E3" s="73"/>
      <c r="F3" s="73"/>
      <c r="G3" s="73"/>
      <c r="H3" s="73"/>
      <c r="I3" s="75"/>
    </row>
    <row r="4" spans="1:9" x14ac:dyDescent="0.25">
      <c r="A4" s="84" t="s">
        <v>5</v>
      </c>
      <c r="B4" s="73"/>
      <c r="C4" s="78" t="str">
        <f>'Stavební rozpočet'!C4</f>
        <v>byt</v>
      </c>
      <c r="D4" s="73"/>
      <c r="E4" s="78" t="s">
        <v>7</v>
      </c>
      <c r="F4" s="78" t="str">
        <f>'Stavební rozpočet'!I4</f>
        <v>ing. Václav Kulhánek</v>
      </c>
      <c r="G4" s="73"/>
      <c r="H4" s="78" t="s">
        <v>65</v>
      </c>
      <c r="I4" s="75" t="s">
        <v>20</v>
      </c>
    </row>
    <row r="5" spans="1:9" ht="15" customHeight="1" x14ac:dyDescent="0.25">
      <c r="A5" s="83"/>
      <c r="B5" s="73"/>
      <c r="C5" s="73"/>
      <c r="D5" s="73"/>
      <c r="E5" s="73"/>
      <c r="F5" s="73"/>
      <c r="G5" s="73"/>
      <c r="H5" s="73"/>
      <c r="I5" s="75"/>
    </row>
    <row r="6" spans="1:9" x14ac:dyDescent="0.25">
      <c r="A6" s="84" t="s">
        <v>8</v>
      </c>
      <c r="B6" s="73"/>
      <c r="C6" s="78" t="str">
        <f>'Stavební rozpočet'!C6</f>
        <v>Žďár nad Sázavou</v>
      </c>
      <c r="D6" s="73"/>
      <c r="E6" s="78" t="s">
        <v>10</v>
      </c>
      <c r="F6" s="78" t="str">
        <f>'Stavební rozpočet'!I6</f>
        <v> </v>
      </c>
      <c r="G6" s="73"/>
      <c r="H6" s="78" t="s">
        <v>65</v>
      </c>
      <c r="I6" s="75" t="s">
        <v>20</v>
      </c>
    </row>
    <row r="7" spans="1:9" ht="15" customHeight="1" x14ac:dyDescent="0.25">
      <c r="A7" s="83"/>
      <c r="B7" s="73"/>
      <c r="C7" s="73"/>
      <c r="D7" s="73"/>
      <c r="E7" s="73"/>
      <c r="F7" s="73"/>
      <c r="G7" s="73"/>
      <c r="H7" s="73"/>
      <c r="I7" s="75"/>
    </row>
    <row r="8" spans="1:9" x14ac:dyDescent="0.25">
      <c r="A8" s="84" t="s">
        <v>6</v>
      </c>
      <c r="B8" s="73"/>
      <c r="C8" s="78" t="str">
        <f>'Stavební rozpočet'!G4</f>
        <v xml:space="preserve"> </v>
      </c>
      <c r="D8" s="73"/>
      <c r="E8" s="78" t="s">
        <v>9</v>
      </c>
      <c r="F8" s="78" t="str">
        <f>'Stavební rozpočet'!G6</f>
        <v xml:space="preserve"> </v>
      </c>
      <c r="G8" s="73"/>
      <c r="H8" s="73" t="s">
        <v>66</v>
      </c>
      <c r="I8" s="128">
        <v>98</v>
      </c>
    </row>
    <row r="9" spans="1:9" x14ac:dyDescent="0.25">
      <c r="A9" s="83"/>
      <c r="B9" s="73"/>
      <c r="C9" s="73"/>
      <c r="D9" s="73"/>
      <c r="E9" s="73"/>
      <c r="F9" s="73"/>
      <c r="G9" s="73"/>
      <c r="H9" s="73"/>
      <c r="I9" s="75"/>
    </row>
    <row r="10" spans="1:9" x14ac:dyDescent="0.25">
      <c r="A10" s="84" t="s">
        <v>67</v>
      </c>
      <c r="B10" s="73"/>
      <c r="C10" s="78" t="str">
        <f>'Stavební rozpočet'!C8</f>
        <v>812</v>
      </c>
      <c r="D10" s="73"/>
      <c r="E10" s="78" t="s">
        <v>11</v>
      </c>
      <c r="F10" s="78">
        <f>'Stavební rozpočet'!I8</f>
        <v>0</v>
      </c>
      <c r="G10" s="73"/>
      <c r="H10" s="73" t="s">
        <v>68</v>
      </c>
      <c r="I10" s="76" t="str">
        <f>'Stavební rozpočet'!G8</f>
        <v>18.01.2025</v>
      </c>
    </row>
    <row r="11" spans="1:9" x14ac:dyDescent="0.25">
      <c r="A11" s="124"/>
      <c r="B11" s="86"/>
      <c r="C11" s="86"/>
      <c r="D11" s="86"/>
      <c r="E11" s="86"/>
      <c r="F11" s="86"/>
      <c r="G11" s="86"/>
      <c r="H11" s="86"/>
      <c r="I11" s="120"/>
    </row>
    <row r="13" spans="1:9" ht="15.75" x14ac:dyDescent="0.25">
      <c r="A13" s="144" t="s">
        <v>110</v>
      </c>
      <c r="B13" s="144"/>
      <c r="C13" s="144"/>
      <c r="D13" s="144"/>
      <c r="E13" s="144"/>
    </row>
    <row r="14" spans="1:9" x14ac:dyDescent="0.25">
      <c r="A14" s="145" t="s">
        <v>111</v>
      </c>
      <c r="B14" s="146"/>
      <c r="C14" s="146"/>
      <c r="D14" s="146"/>
      <c r="E14" s="147"/>
      <c r="F14" s="32" t="s">
        <v>112</v>
      </c>
      <c r="G14" s="32" t="s">
        <v>113</v>
      </c>
      <c r="H14" s="32" t="s">
        <v>114</v>
      </c>
      <c r="I14" s="32" t="s">
        <v>112</v>
      </c>
    </row>
    <row r="15" spans="1:9" x14ac:dyDescent="0.25">
      <c r="A15" s="129" t="s">
        <v>78</v>
      </c>
      <c r="B15" s="130"/>
      <c r="C15" s="130"/>
      <c r="D15" s="130"/>
      <c r="E15" s="131"/>
      <c r="F15" s="33">
        <v>0</v>
      </c>
      <c r="G15" s="34" t="s">
        <v>20</v>
      </c>
      <c r="H15" s="34" t="s">
        <v>20</v>
      </c>
      <c r="I15" s="33">
        <f>F15</f>
        <v>0</v>
      </c>
    </row>
    <row r="16" spans="1:9" x14ac:dyDescent="0.25">
      <c r="A16" s="129" t="s">
        <v>80</v>
      </c>
      <c r="B16" s="130"/>
      <c r="C16" s="130"/>
      <c r="D16" s="130"/>
      <c r="E16" s="131"/>
      <c r="F16" s="33">
        <v>0</v>
      </c>
      <c r="G16" s="34" t="s">
        <v>20</v>
      </c>
      <c r="H16" s="34" t="s">
        <v>20</v>
      </c>
      <c r="I16" s="33">
        <f>F16</f>
        <v>0</v>
      </c>
    </row>
    <row r="17" spans="1:9" x14ac:dyDescent="0.25">
      <c r="A17" s="132" t="s">
        <v>83</v>
      </c>
      <c r="B17" s="133"/>
      <c r="C17" s="133"/>
      <c r="D17" s="133"/>
      <c r="E17" s="134"/>
      <c r="F17" s="35">
        <v>0</v>
      </c>
      <c r="G17" s="36" t="s">
        <v>20</v>
      </c>
      <c r="H17" s="36" t="s">
        <v>20</v>
      </c>
      <c r="I17" s="35">
        <f>F17</f>
        <v>0</v>
      </c>
    </row>
    <row r="18" spans="1:9" x14ac:dyDescent="0.25">
      <c r="A18" s="135" t="s">
        <v>115</v>
      </c>
      <c r="B18" s="136"/>
      <c r="C18" s="136"/>
      <c r="D18" s="136"/>
      <c r="E18" s="137"/>
      <c r="F18" s="37" t="s">
        <v>20</v>
      </c>
      <c r="G18" s="38" t="s">
        <v>20</v>
      </c>
      <c r="H18" s="38" t="s">
        <v>20</v>
      </c>
      <c r="I18" s="39">
        <f>SUM(I15:I17)</f>
        <v>0</v>
      </c>
    </row>
    <row r="20" spans="1:9" x14ac:dyDescent="0.25">
      <c r="A20" s="145" t="s">
        <v>75</v>
      </c>
      <c r="B20" s="146"/>
      <c r="C20" s="146"/>
      <c r="D20" s="146"/>
      <c r="E20" s="147"/>
      <c r="F20" s="32" t="s">
        <v>112</v>
      </c>
      <c r="G20" s="32" t="s">
        <v>113</v>
      </c>
      <c r="H20" s="32" t="s">
        <v>114</v>
      </c>
      <c r="I20" s="32" t="s">
        <v>112</v>
      </c>
    </row>
    <row r="21" spans="1:9" x14ac:dyDescent="0.25">
      <c r="A21" s="129" t="s">
        <v>62</v>
      </c>
      <c r="B21" s="130"/>
      <c r="C21" s="130"/>
      <c r="D21" s="130"/>
      <c r="E21" s="131"/>
      <c r="F21" s="33">
        <v>0</v>
      </c>
      <c r="G21" s="34" t="s">
        <v>20</v>
      </c>
      <c r="H21" s="34" t="s">
        <v>20</v>
      </c>
      <c r="I21" s="33">
        <f t="shared" ref="I21:I26" si="0">F21</f>
        <v>0</v>
      </c>
    </row>
    <row r="22" spans="1:9" x14ac:dyDescent="0.25">
      <c r="A22" s="129" t="s">
        <v>81</v>
      </c>
      <c r="B22" s="130"/>
      <c r="C22" s="130"/>
      <c r="D22" s="130"/>
      <c r="E22" s="131"/>
      <c r="F22" s="33">
        <v>0</v>
      </c>
      <c r="G22" s="34" t="s">
        <v>20</v>
      </c>
      <c r="H22" s="34" t="s">
        <v>20</v>
      </c>
      <c r="I22" s="33">
        <f t="shared" si="0"/>
        <v>0</v>
      </c>
    </row>
    <row r="23" spans="1:9" x14ac:dyDescent="0.25">
      <c r="A23" s="129" t="s">
        <v>84</v>
      </c>
      <c r="B23" s="130"/>
      <c r="C23" s="130"/>
      <c r="D23" s="130"/>
      <c r="E23" s="131"/>
      <c r="F23" s="33">
        <v>0</v>
      </c>
      <c r="G23" s="34" t="s">
        <v>20</v>
      </c>
      <c r="H23" s="34" t="s">
        <v>20</v>
      </c>
      <c r="I23" s="33">
        <f t="shared" si="0"/>
        <v>0</v>
      </c>
    </row>
    <row r="24" spans="1:9" x14ac:dyDescent="0.25">
      <c r="A24" s="129" t="s">
        <v>85</v>
      </c>
      <c r="B24" s="130"/>
      <c r="C24" s="130"/>
      <c r="D24" s="130"/>
      <c r="E24" s="131"/>
      <c r="F24" s="33">
        <v>0</v>
      </c>
      <c r="G24" s="34" t="s">
        <v>20</v>
      </c>
      <c r="H24" s="34" t="s">
        <v>20</v>
      </c>
      <c r="I24" s="33">
        <f t="shared" si="0"/>
        <v>0</v>
      </c>
    </row>
    <row r="25" spans="1:9" x14ac:dyDescent="0.25">
      <c r="A25" s="129" t="s">
        <v>87</v>
      </c>
      <c r="B25" s="130"/>
      <c r="C25" s="130"/>
      <c r="D25" s="130"/>
      <c r="E25" s="131"/>
      <c r="F25" s="33">
        <v>0</v>
      </c>
      <c r="G25" s="34" t="s">
        <v>20</v>
      </c>
      <c r="H25" s="34" t="s">
        <v>20</v>
      </c>
      <c r="I25" s="33">
        <f t="shared" si="0"/>
        <v>0</v>
      </c>
    </row>
    <row r="26" spans="1:9" x14ac:dyDescent="0.25">
      <c r="A26" s="132" t="s">
        <v>88</v>
      </c>
      <c r="B26" s="133"/>
      <c r="C26" s="133"/>
      <c r="D26" s="133"/>
      <c r="E26" s="134"/>
      <c r="F26" s="35">
        <v>0</v>
      </c>
      <c r="G26" s="36" t="s">
        <v>20</v>
      </c>
      <c r="H26" s="36" t="s">
        <v>20</v>
      </c>
      <c r="I26" s="35">
        <f t="shared" si="0"/>
        <v>0</v>
      </c>
    </row>
    <row r="27" spans="1:9" x14ac:dyDescent="0.25">
      <c r="A27" s="135" t="s">
        <v>116</v>
      </c>
      <c r="B27" s="136"/>
      <c r="C27" s="136"/>
      <c r="D27" s="136"/>
      <c r="E27" s="137"/>
      <c r="F27" s="37" t="s">
        <v>20</v>
      </c>
      <c r="G27" s="38" t="s">
        <v>20</v>
      </c>
      <c r="H27" s="38" t="s">
        <v>20</v>
      </c>
      <c r="I27" s="39">
        <f>SUM(I21:I26)</f>
        <v>0</v>
      </c>
    </row>
    <row r="29" spans="1:9" ht="15.75" x14ac:dyDescent="0.25">
      <c r="A29" s="138" t="s">
        <v>117</v>
      </c>
      <c r="B29" s="139"/>
      <c r="C29" s="139"/>
      <c r="D29" s="139"/>
      <c r="E29" s="140"/>
      <c r="F29" s="141">
        <f>I18+I27</f>
        <v>0</v>
      </c>
      <c r="G29" s="142"/>
      <c r="H29" s="142"/>
      <c r="I29" s="143"/>
    </row>
    <row r="33" spans="1:9" ht="15.75" x14ac:dyDescent="0.25">
      <c r="A33" s="144" t="s">
        <v>118</v>
      </c>
      <c r="B33" s="144"/>
      <c r="C33" s="144"/>
      <c r="D33" s="144"/>
      <c r="E33" s="144"/>
    </row>
    <row r="34" spans="1:9" x14ac:dyDescent="0.25">
      <c r="A34" s="145" t="s">
        <v>119</v>
      </c>
      <c r="B34" s="146"/>
      <c r="C34" s="146"/>
      <c r="D34" s="146"/>
      <c r="E34" s="147"/>
      <c r="F34" s="32" t="s">
        <v>112</v>
      </c>
      <c r="G34" s="32" t="s">
        <v>113</v>
      </c>
      <c r="H34" s="32" t="s">
        <v>114</v>
      </c>
      <c r="I34" s="32" t="s">
        <v>112</v>
      </c>
    </row>
    <row r="35" spans="1:9" x14ac:dyDescent="0.25">
      <c r="A35" s="129" t="s">
        <v>120</v>
      </c>
      <c r="B35" s="130"/>
      <c r="C35" s="130"/>
      <c r="D35" s="130"/>
      <c r="E35" s="131"/>
      <c r="F35" s="33">
        <f>SUM('Stavební rozpočet'!BM12:BM129)</f>
        <v>0</v>
      </c>
      <c r="G35" s="34" t="s">
        <v>20</v>
      </c>
      <c r="H35" s="34" t="s">
        <v>20</v>
      </c>
      <c r="I35" s="33">
        <f t="shared" ref="I35:I44" si="1">F35</f>
        <v>0</v>
      </c>
    </row>
    <row r="36" spans="1:9" x14ac:dyDescent="0.25">
      <c r="A36" s="129" t="s">
        <v>121</v>
      </c>
      <c r="B36" s="130"/>
      <c r="C36" s="130"/>
      <c r="D36" s="130"/>
      <c r="E36" s="131"/>
      <c r="F36" s="33">
        <f>SUM('Stavební rozpočet'!BN12:BN129)</f>
        <v>0</v>
      </c>
      <c r="G36" s="34" t="s">
        <v>20</v>
      </c>
      <c r="H36" s="34" t="s">
        <v>20</v>
      </c>
      <c r="I36" s="33">
        <f t="shared" si="1"/>
        <v>0</v>
      </c>
    </row>
    <row r="37" spans="1:9" x14ac:dyDescent="0.25">
      <c r="A37" s="129" t="s">
        <v>62</v>
      </c>
      <c r="B37" s="130"/>
      <c r="C37" s="130"/>
      <c r="D37" s="130"/>
      <c r="E37" s="131"/>
      <c r="F37" s="33">
        <f>SUM('Stavební rozpočet'!BO12:BO129)</f>
        <v>0</v>
      </c>
      <c r="G37" s="34" t="s">
        <v>20</v>
      </c>
      <c r="H37" s="34" t="s">
        <v>20</v>
      </c>
      <c r="I37" s="33">
        <f t="shared" si="1"/>
        <v>0</v>
      </c>
    </row>
    <row r="38" spans="1:9" x14ac:dyDescent="0.25">
      <c r="A38" s="129" t="s">
        <v>122</v>
      </c>
      <c r="B38" s="130"/>
      <c r="C38" s="130"/>
      <c r="D38" s="130"/>
      <c r="E38" s="131"/>
      <c r="F38" s="33">
        <f>SUM('Stavební rozpočet'!BP12:BP129)</f>
        <v>0</v>
      </c>
      <c r="G38" s="34" t="s">
        <v>20</v>
      </c>
      <c r="H38" s="34" t="s">
        <v>20</v>
      </c>
      <c r="I38" s="33">
        <f t="shared" si="1"/>
        <v>0</v>
      </c>
    </row>
    <row r="39" spans="1:9" x14ac:dyDescent="0.25">
      <c r="A39" s="129" t="s">
        <v>123</v>
      </c>
      <c r="B39" s="130"/>
      <c r="C39" s="130"/>
      <c r="D39" s="130"/>
      <c r="E39" s="131"/>
      <c r="F39" s="33">
        <f>SUM('Stavební rozpočet'!BQ12:BQ129)</f>
        <v>0</v>
      </c>
      <c r="G39" s="34" t="s">
        <v>20</v>
      </c>
      <c r="H39" s="34" t="s">
        <v>20</v>
      </c>
      <c r="I39" s="33">
        <f t="shared" si="1"/>
        <v>0</v>
      </c>
    </row>
    <row r="40" spans="1:9" x14ac:dyDescent="0.25">
      <c r="A40" s="129" t="s">
        <v>84</v>
      </c>
      <c r="B40" s="130"/>
      <c r="C40" s="130"/>
      <c r="D40" s="130"/>
      <c r="E40" s="131"/>
      <c r="F40" s="33">
        <f>SUM('Stavební rozpočet'!BR12:BR129)</f>
        <v>0</v>
      </c>
      <c r="G40" s="34" t="s">
        <v>20</v>
      </c>
      <c r="H40" s="34" t="s">
        <v>20</v>
      </c>
      <c r="I40" s="33">
        <f t="shared" si="1"/>
        <v>0</v>
      </c>
    </row>
    <row r="41" spans="1:9" x14ac:dyDescent="0.25">
      <c r="A41" s="129" t="s">
        <v>85</v>
      </c>
      <c r="B41" s="130"/>
      <c r="C41" s="130"/>
      <c r="D41" s="130"/>
      <c r="E41" s="131"/>
      <c r="F41" s="33">
        <f>SUM('Stavební rozpočet'!BS12:BS129)</f>
        <v>0</v>
      </c>
      <c r="G41" s="34" t="s">
        <v>20</v>
      </c>
      <c r="H41" s="34" t="s">
        <v>20</v>
      </c>
      <c r="I41" s="33">
        <f t="shared" si="1"/>
        <v>0</v>
      </c>
    </row>
    <row r="42" spans="1:9" x14ac:dyDescent="0.25">
      <c r="A42" s="129" t="s">
        <v>124</v>
      </c>
      <c r="B42" s="130"/>
      <c r="C42" s="130"/>
      <c r="D42" s="130"/>
      <c r="E42" s="131"/>
      <c r="F42" s="33">
        <f>SUM('Stavební rozpočet'!BT12:BT129)</f>
        <v>0</v>
      </c>
      <c r="G42" s="34" t="s">
        <v>20</v>
      </c>
      <c r="H42" s="34" t="s">
        <v>20</v>
      </c>
      <c r="I42" s="33">
        <f t="shared" si="1"/>
        <v>0</v>
      </c>
    </row>
    <row r="43" spans="1:9" x14ac:dyDescent="0.25">
      <c r="A43" s="129" t="s">
        <v>125</v>
      </c>
      <c r="B43" s="130"/>
      <c r="C43" s="130"/>
      <c r="D43" s="130"/>
      <c r="E43" s="131"/>
      <c r="F43" s="33">
        <f>SUM('Stavební rozpočet'!BU12:BU129)</f>
        <v>0</v>
      </c>
      <c r="G43" s="34" t="s">
        <v>20</v>
      </c>
      <c r="H43" s="34" t="s">
        <v>20</v>
      </c>
      <c r="I43" s="33">
        <f t="shared" si="1"/>
        <v>0</v>
      </c>
    </row>
    <row r="44" spans="1:9" x14ac:dyDescent="0.25">
      <c r="A44" s="132" t="s">
        <v>126</v>
      </c>
      <c r="B44" s="133"/>
      <c r="C44" s="133"/>
      <c r="D44" s="133"/>
      <c r="E44" s="134"/>
      <c r="F44" s="35">
        <f>SUM('Stavební rozpočet'!BV12:BV129)</f>
        <v>0</v>
      </c>
      <c r="G44" s="36" t="s">
        <v>20</v>
      </c>
      <c r="H44" s="36" t="s">
        <v>20</v>
      </c>
      <c r="I44" s="35">
        <f t="shared" si="1"/>
        <v>0</v>
      </c>
    </row>
    <row r="45" spans="1:9" x14ac:dyDescent="0.25">
      <c r="A45" s="135" t="s">
        <v>127</v>
      </c>
      <c r="B45" s="136"/>
      <c r="C45" s="136"/>
      <c r="D45" s="136"/>
      <c r="E45" s="137"/>
      <c r="F45" s="37" t="s">
        <v>20</v>
      </c>
      <c r="G45" s="38" t="s">
        <v>20</v>
      </c>
      <c r="H45" s="38" t="s">
        <v>20</v>
      </c>
      <c r="I45" s="39">
        <f>SUM(I35:I44)</f>
        <v>0</v>
      </c>
    </row>
  </sheetData>
  <sheetProtection password="CC71" sheet="1"/>
  <mergeCells count="60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Z132"/>
  <sheetViews>
    <sheetView tabSelected="1" workbookViewId="0">
      <pane ySplit="11" topLeftCell="A12" activePane="bottomLeft" state="frozen"/>
      <selection pane="bottomLeft" activeCell="I8" sqref="I8:K9"/>
    </sheetView>
  </sheetViews>
  <sheetFormatPr defaultColWidth="12.140625" defaultRowHeight="15" customHeight="1" x14ac:dyDescent="0.25"/>
  <cols>
    <col min="1" max="1" width="4" customWidth="1"/>
    <col min="2" max="2" width="17.85546875" customWidth="1"/>
    <col min="3" max="3" width="42.85546875" customWidth="1"/>
    <col min="4" max="4" width="35.7109375" customWidth="1"/>
    <col min="5" max="5" width="6.7109375" customWidth="1"/>
    <col min="6" max="6" width="12.85546875" customWidth="1"/>
    <col min="7" max="7" width="12" customWidth="1"/>
    <col min="8" max="10" width="15.7109375" customWidth="1"/>
    <col min="11" max="11" width="13.42578125" customWidth="1"/>
    <col min="25" max="75" width="12.140625" hidden="1"/>
    <col min="76" max="76" width="78.5703125" hidden="1" customWidth="1"/>
    <col min="77" max="78" width="12.140625" hidden="1"/>
  </cols>
  <sheetData>
    <row r="1" spans="1:76" ht="54.75" customHeight="1" x14ac:dyDescent="0.25">
      <c r="A1" s="81" t="s">
        <v>128</v>
      </c>
      <c r="B1" s="81"/>
      <c r="C1" s="81"/>
      <c r="D1" s="81"/>
      <c r="E1" s="81"/>
      <c r="F1" s="81"/>
      <c r="G1" s="81"/>
      <c r="H1" s="81"/>
      <c r="I1" s="81"/>
      <c r="J1" s="81"/>
      <c r="K1" s="81"/>
      <c r="AS1" s="40">
        <f>SUM(AJ1:AJ2)</f>
        <v>0</v>
      </c>
      <c r="AT1" s="40">
        <f>SUM(AK1:AK2)</f>
        <v>0</v>
      </c>
      <c r="AU1" s="40">
        <f>SUM(AL1:AL2)</f>
        <v>0</v>
      </c>
    </row>
    <row r="2" spans="1:76" x14ac:dyDescent="0.25">
      <c r="A2" s="82" t="s">
        <v>1</v>
      </c>
      <c r="B2" s="80"/>
      <c r="C2" s="88" t="s">
        <v>129</v>
      </c>
      <c r="D2" s="125"/>
      <c r="E2" s="80" t="s">
        <v>2</v>
      </c>
      <c r="F2" s="80"/>
      <c r="G2" s="166" t="s">
        <v>3</v>
      </c>
      <c r="H2" s="87" t="s">
        <v>4</v>
      </c>
      <c r="I2" s="87" t="s">
        <v>130</v>
      </c>
      <c r="J2" s="80"/>
      <c r="K2" s="127"/>
    </row>
    <row r="3" spans="1:76" x14ac:dyDescent="0.25">
      <c r="A3" s="83"/>
      <c r="B3" s="73"/>
      <c r="C3" s="89"/>
      <c r="D3" s="89"/>
      <c r="E3" s="73"/>
      <c r="F3" s="73"/>
      <c r="G3" s="159"/>
      <c r="H3" s="73"/>
      <c r="I3" s="73"/>
      <c r="J3" s="73"/>
      <c r="K3" s="75"/>
    </row>
    <row r="4" spans="1:76" x14ac:dyDescent="0.25">
      <c r="A4" s="84" t="s">
        <v>5</v>
      </c>
      <c r="B4" s="73"/>
      <c r="C4" s="78" t="s">
        <v>131</v>
      </c>
      <c r="D4" s="73"/>
      <c r="E4" s="73" t="s">
        <v>6</v>
      </c>
      <c r="F4" s="73"/>
      <c r="G4" s="159" t="s">
        <v>3</v>
      </c>
      <c r="H4" s="78" t="s">
        <v>7</v>
      </c>
      <c r="I4" s="78" t="s">
        <v>132</v>
      </c>
      <c r="J4" s="73"/>
      <c r="K4" s="75"/>
    </row>
    <row r="5" spans="1:76" x14ac:dyDescent="0.25">
      <c r="A5" s="83"/>
      <c r="B5" s="73"/>
      <c r="C5" s="73"/>
      <c r="D5" s="73"/>
      <c r="E5" s="73"/>
      <c r="F5" s="73"/>
      <c r="G5" s="159"/>
      <c r="H5" s="73"/>
      <c r="I5" s="73"/>
      <c r="J5" s="73"/>
      <c r="K5" s="75"/>
    </row>
    <row r="6" spans="1:76" x14ac:dyDescent="0.25">
      <c r="A6" s="84" t="s">
        <v>8</v>
      </c>
      <c r="B6" s="73"/>
      <c r="C6" s="78" t="s">
        <v>133</v>
      </c>
      <c r="D6" s="73"/>
      <c r="E6" s="73" t="s">
        <v>9</v>
      </c>
      <c r="F6" s="73"/>
      <c r="G6" s="159" t="s">
        <v>3</v>
      </c>
      <c r="H6" s="78" t="s">
        <v>10</v>
      </c>
      <c r="I6" s="159" t="s">
        <v>134</v>
      </c>
      <c r="J6" s="159"/>
      <c r="K6" s="160"/>
    </row>
    <row r="7" spans="1:76" x14ac:dyDescent="0.25">
      <c r="A7" s="83"/>
      <c r="B7" s="73"/>
      <c r="C7" s="73"/>
      <c r="D7" s="73"/>
      <c r="E7" s="73"/>
      <c r="F7" s="73"/>
      <c r="G7" s="159"/>
      <c r="H7" s="73"/>
      <c r="I7" s="159"/>
      <c r="J7" s="159"/>
      <c r="K7" s="160"/>
    </row>
    <row r="8" spans="1:76" x14ac:dyDescent="0.25">
      <c r="A8" s="84" t="s">
        <v>67</v>
      </c>
      <c r="B8" s="73"/>
      <c r="C8" s="78" t="s">
        <v>135</v>
      </c>
      <c r="D8" s="73"/>
      <c r="E8" s="73" t="s">
        <v>12</v>
      </c>
      <c r="F8" s="73"/>
      <c r="G8" s="159" t="s">
        <v>13</v>
      </c>
      <c r="H8" s="78" t="s">
        <v>11</v>
      </c>
      <c r="I8" s="161"/>
      <c r="J8" s="159"/>
      <c r="K8" s="160"/>
    </row>
    <row r="9" spans="1:76" x14ac:dyDescent="0.25">
      <c r="A9" s="85"/>
      <c r="B9" s="79"/>
      <c r="C9" s="79"/>
      <c r="D9" s="79"/>
      <c r="E9" s="79"/>
      <c r="F9" s="79"/>
      <c r="G9" s="162"/>
      <c r="H9" s="79"/>
      <c r="I9" s="162"/>
      <c r="J9" s="162"/>
      <c r="K9" s="163"/>
    </row>
    <row r="10" spans="1:76" x14ac:dyDescent="0.25">
      <c r="A10" s="41" t="s">
        <v>136</v>
      </c>
      <c r="B10" s="42" t="s">
        <v>15</v>
      </c>
      <c r="C10" s="164" t="s">
        <v>16</v>
      </c>
      <c r="D10" s="165"/>
      <c r="E10" s="42" t="s">
        <v>137</v>
      </c>
      <c r="F10" s="43" t="s">
        <v>138</v>
      </c>
      <c r="G10" s="44" t="s">
        <v>139</v>
      </c>
      <c r="H10" s="154" t="s">
        <v>140</v>
      </c>
      <c r="I10" s="155"/>
      <c r="J10" s="156"/>
      <c r="K10" s="45" t="s">
        <v>141</v>
      </c>
      <c r="BK10" s="46" t="s">
        <v>142</v>
      </c>
      <c r="BL10" s="47" t="s">
        <v>143</v>
      </c>
      <c r="BW10" s="47" t="s">
        <v>144</v>
      </c>
    </row>
    <row r="11" spans="1:76" x14ac:dyDescent="0.25">
      <c r="A11" s="48" t="s">
        <v>3</v>
      </c>
      <c r="B11" s="49" t="s">
        <v>3</v>
      </c>
      <c r="C11" s="152" t="s">
        <v>145</v>
      </c>
      <c r="D11" s="153"/>
      <c r="E11" s="49" t="s">
        <v>3</v>
      </c>
      <c r="F11" s="49" t="s">
        <v>3</v>
      </c>
      <c r="G11" s="50" t="s">
        <v>146</v>
      </c>
      <c r="H11" s="51" t="s">
        <v>147</v>
      </c>
      <c r="I11" s="52" t="s">
        <v>79</v>
      </c>
      <c r="J11" s="53" t="s">
        <v>148</v>
      </c>
      <c r="K11" s="54" t="s">
        <v>149</v>
      </c>
      <c r="Z11" s="46" t="s">
        <v>150</v>
      </c>
      <c r="AA11" s="46" t="s">
        <v>151</v>
      </c>
      <c r="AB11" s="46" t="s">
        <v>152</v>
      </c>
      <c r="AC11" s="46" t="s">
        <v>153</v>
      </c>
      <c r="AD11" s="46" t="s">
        <v>154</v>
      </c>
      <c r="AE11" s="46" t="s">
        <v>155</v>
      </c>
      <c r="AF11" s="46" t="s">
        <v>156</v>
      </c>
      <c r="AG11" s="46" t="s">
        <v>157</v>
      </c>
      <c r="AH11" s="46" t="s">
        <v>158</v>
      </c>
      <c r="BH11" s="46" t="s">
        <v>159</v>
      </c>
      <c r="BI11" s="46" t="s">
        <v>160</v>
      </c>
      <c r="BJ11" s="46" t="s">
        <v>161</v>
      </c>
    </row>
    <row r="12" spans="1:76" x14ac:dyDescent="0.25">
      <c r="A12" s="55" t="s">
        <v>20</v>
      </c>
      <c r="B12" s="56" t="s">
        <v>21</v>
      </c>
      <c r="C12" s="157" t="s">
        <v>22</v>
      </c>
      <c r="D12" s="158"/>
      <c r="E12" s="57" t="s">
        <v>3</v>
      </c>
      <c r="F12" s="57" t="s">
        <v>3</v>
      </c>
      <c r="G12" s="58"/>
      <c r="H12" s="59">
        <f>SUM(H13:H14)</f>
        <v>0</v>
      </c>
      <c r="I12" s="59">
        <f>SUM(I13:I14)</f>
        <v>0</v>
      </c>
      <c r="J12" s="59">
        <f>SUM(J13:J14)</f>
        <v>0</v>
      </c>
      <c r="K12" s="60" t="s">
        <v>20</v>
      </c>
      <c r="AI12" s="46" t="s">
        <v>20</v>
      </c>
      <c r="AS12" s="40">
        <f>SUM(AJ13:AJ14)</f>
        <v>0</v>
      </c>
      <c r="AT12" s="40">
        <f>SUM(AK13:AK14)</f>
        <v>0</v>
      </c>
      <c r="AU12" s="40">
        <f>SUM(AL13:AL14)</f>
        <v>0</v>
      </c>
    </row>
    <row r="13" spans="1:76" x14ac:dyDescent="0.25">
      <c r="A13" s="1" t="s">
        <v>162</v>
      </c>
      <c r="B13" s="2" t="s">
        <v>163</v>
      </c>
      <c r="C13" s="78" t="s">
        <v>164</v>
      </c>
      <c r="D13" s="73"/>
      <c r="E13" s="2" t="s">
        <v>165</v>
      </c>
      <c r="F13" s="15">
        <v>20.248000000000001</v>
      </c>
      <c r="G13" s="61"/>
      <c r="H13" s="15">
        <f>F13*AO13</f>
        <v>0</v>
      </c>
      <c r="I13" s="15">
        <f>F13*AP13</f>
        <v>0</v>
      </c>
      <c r="J13" s="15">
        <f>F13*G13</f>
        <v>0</v>
      </c>
      <c r="K13" s="62" t="s">
        <v>166</v>
      </c>
      <c r="Z13" s="15">
        <f>IF(AQ13="5",BJ13,0)</f>
        <v>0</v>
      </c>
      <c r="AB13" s="15">
        <f>IF(AQ13="1",BH13,0)</f>
        <v>0</v>
      </c>
      <c r="AC13" s="15">
        <f>IF(AQ13="1",BI13,0)</f>
        <v>0</v>
      </c>
      <c r="AD13" s="15">
        <f>IF(AQ13="7",BH13,0)</f>
        <v>0</v>
      </c>
      <c r="AE13" s="15">
        <f>IF(AQ13="7",BI13,0)</f>
        <v>0</v>
      </c>
      <c r="AF13" s="15">
        <f>IF(AQ13="2",BH13,0)</f>
        <v>0</v>
      </c>
      <c r="AG13" s="15">
        <f>IF(AQ13="2",BI13,0)</f>
        <v>0</v>
      </c>
      <c r="AH13" s="15">
        <f>IF(AQ13="0",BJ13,0)</f>
        <v>0</v>
      </c>
      <c r="AI13" s="46" t="s">
        <v>20</v>
      </c>
      <c r="AJ13" s="15">
        <f>IF(AN13=0,J13,0)</f>
        <v>0</v>
      </c>
      <c r="AK13" s="15">
        <f>IF(AN13=12,J13,0)</f>
        <v>0</v>
      </c>
      <c r="AL13" s="15">
        <f>IF(AN13=21,J13,0)</f>
        <v>0</v>
      </c>
      <c r="AN13" s="15">
        <v>12</v>
      </c>
      <c r="AO13" s="15">
        <f>G13*0.643374239</f>
        <v>0</v>
      </c>
      <c r="AP13" s="15">
        <f>G13*(1-0.643374239)</f>
        <v>0</v>
      </c>
      <c r="AQ13" s="14" t="s">
        <v>162</v>
      </c>
      <c r="AV13" s="15">
        <f>AW13+AX13</f>
        <v>0</v>
      </c>
      <c r="AW13" s="15">
        <f>F13*AO13</f>
        <v>0</v>
      </c>
      <c r="AX13" s="15">
        <f>F13*AP13</f>
        <v>0</v>
      </c>
      <c r="AY13" s="14" t="s">
        <v>167</v>
      </c>
      <c r="AZ13" s="14" t="s">
        <v>168</v>
      </c>
      <c r="BA13" s="46" t="s">
        <v>169</v>
      </c>
      <c r="BC13" s="15">
        <f>AW13+AX13</f>
        <v>0</v>
      </c>
      <c r="BD13" s="15">
        <f>G13/(100-BE13)*100</f>
        <v>0</v>
      </c>
      <c r="BE13" s="15">
        <v>0</v>
      </c>
      <c r="BF13" s="15">
        <f>13</f>
        <v>13</v>
      </c>
      <c r="BH13" s="15">
        <f>F13*AO13</f>
        <v>0</v>
      </c>
      <c r="BI13" s="15">
        <f>F13*AP13</f>
        <v>0</v>
      </c>
      <c r="BJ13" s="15">
        <f>F13*G13</f>
        <v>0</v>
      </c>
      <c r="BK13" s="15"/>
      <c r="BL13" s="15">
        <v>34</v>
      </c>
      <c r="BW13" s="15">
        <v>12</v>
      </c>
      <c r="BX13" s="4" t="s">
        <v>164</v>
      </c>
    </row>
    <row r="14" spans="1:76" x14ac:dyDescent="0.25">
      <c r="A14" s="1" t="s">
        <v>170</v>
      </c>
      <c r="B14" s="2" t="s">
        <v>171</v>
      </c>
      <c r="C14" s="78" t="s">
        <v>172</v>
      </c>
      <c r="D14" s="73"/>
      <c r="E14" s="2" t="s">
        <v>165</v>
      </c>
      <c r="F14" s="15">
        <v>2.09</v>
      </c>
      <c r="G14" s="61"/>
      <c r="H14" s="15">
        <f>F14*AO14</f>
        <v>0</v>
      </c>
      <c r="I14" s="15">
        <f>F14*AP14</f>
        <v>0</v>
      </c>
      <c r="J14" s="15">
        <f>F14*G14</f>
        <v>0</v>
      </c>
      <c r="K14" s="62" t="s">
        <v>166</v>
      </c>
      <c r="Z14" s="15">
        <f>IF(AQ14="5",BJ14,0)</f>
        <v>0</v>
      </c>
      <c r="AB14" s="15">
        <f>IF(AQ14="1",BH14,0)</f>
        <v>0</v>
      </c>
      <c r="AC14" s="15">
        <f>IF(AQ14="1",BI14,0)</f>
        <v>0</v>
      </c>
      <c r="AD14" s="15">
        <f>IF(AQ14="7",BH14,0)</f>
        <v>0</v>
      </c>
      <c r="AE14" s="15">
        <f>IF(AQ14="7",BI14,0)</f>
        <v>0</v>
      </c>
      <c r="AF14" s="15">
        <f>IF(AQ14="2",BH14,0)</f>
        <v>0</v>
      </c>
      <c r="AG14" s="15">
        <f>IF(AQ14="2",BI14,0)</f>
        <v>0</v>
      </c>
      <c r="AH14" s="15">
        <f>IF(AQ14="0",BJ14,0)</f>
        <v>0</v>
      </c>
      <c r="AI14" s="46" t="s">
        <v>20</v>
      </c>
      <c r="AJ14" s="15">
        <f>IF(AN14=0,J14,0)</f>
        <v>0</v>
      </c>
      <c r="AK14" s="15">
        <f>IF(AN14=12,J14,0)</f>
        <v>0</v>
      </c>
      <c r="AL14" s="15">
        <f>IF(AN14=21,J14,0)</f>
        <v>0</v>
      </c>
      <c r="AN14" s="15">
        <v>12</v>
      </c>
      <c r="AO14" s="15">
        <f>G14*0.601062937</f>
        <v>0</v>
      </c>
      <c r="AP14" s="15">
        <f>G14*(1-0.601062937)</f>
        <v>0</v>
      </c>
      <c r="AQ14" s="14" t="s">
        <v>162</v>
      </c>
      <c r="AV14" s="15">
        <f>AW14+AX14</f>
        <v>0</v>
      </c>
      <c r="AW14" s="15">
        <f>F14*AO14</f>
        <v>0</v>
      </c>
      <c r="AX14" s="15">
        <f>F14*AP14</f>
        <v>0</v>
      </c>
      <c r="AY14" s="14" t="s">
        <v>167</v>
      </c>
      <c r="AZ14" s="14" t="s">
        <v>168</v>
      </c>
      <c r="BA14" s="46" t="s">
        <v>169</v>
      </c>
      <c r="BC14" s="15">
        <f>AW14+AX14</f>
        <v>0</v>
      </c>
      <c r="BD14" s="15">
        <f>G14/(100-BE14)*100</f>
        <v>0</v>
      </c>
      <c r="BE14" s="15">
        <v>0</v>
      </c>
      <c r="BF14" s="15">
        <f>14</f>
        <v>14</v>
      </c>
      <c r="BH14" s="15">
        <f>F14*AO14</f>
        <v>0</v>
      </c>
      <c r="BI14" s="15">
        <f>F14*AP14</f>
        <v>0</v>
      </c>
      <c r="BJ14" s="15">
        <f>F14*G14</f>
        <v>0</v>
      </c>
      <c r="BK14" s="15"/>
      <c r="BL14" s="15">
        <v>34</v>
      </c>
      <c r="BW14" s="15">
        <v>12</v>
      </c>
      <c r="BX14" s="4" t="s">
        <v>172</v>
      </c>
    </row>
    <row r="15" spans="1:76" x14ac:dyDescent="0.25">
      <c r="A15" s="63" t="s">
        <v>20</v>
      </c>
      <c r="B15" s="64" t="s">
        <v>24</v>
      </c>
      <c r="C15" s="150" t="s">
        <v>25</v>
      </c>
      <c r="D15" s="151"/>
      <c r="E15" s="65" t="s">
        <v>3</v>
      </c>
      <c r="F15" s="65" t="s">
        <v>3</v>
      </c>
      <c r="G15" s="66"/>
      <c r="H15" s="40">
        <f>SUM(H16:H20)</f>
        <v>0</v>
      </c>
      <c r="I15" s="40">
        <f>SUM(I16:I20)</f>
        <v>0</v>
      </c>
      <c r="J15" s="40">
        <f>SUM(J16:J20)</f>
        <v>0</v>
      </c>
      <c r="K15" s="67" t="s">
        <v>20</v>
      </c>
      <c r="AI15" s="46" t="s">
        <v>20</v>
      </c>
      <c r="AS15" s="40">
        <f>SUM(AJ16:AJ20)</f>
        <v>0</v>
      </c>
      <c r="AT15" s="40">
        <f>SUM(AK16:AK20)</f>
        <v>0</v>
      </c>
      <c r="AU15" s="40">
        <f>SUM(AL16:AL20)</f>
        <v>0</v>
      </c>
    </row>
    <row r="16" spans="1:76" x14ac:dyDescent="0.25">
      <c r="A16" s="1" t="s">
        <v>173</v>
      </c>
      <c r="B16" s="2" t="s">
        <v>174</v>
      </c>
      <c r="C16" s="78" t="s">
        <v>175</v>
      </c>
      <c r="D16" s="73"/>
      <c r="E16" s="2" t="s">
        <v>165</v>
      </c>
      <c r="F16" s="15">
        <v>55.9</v>
      </c>
      <c r="G16" s="61"/>
      <c r="H16" s="15">
        <f>F16*AO16</f>
        <v>0</v>
      </c>
      <c r="I16" s="15">
        <f>F16*AP16</f>
        <v>0</v>
      </c>
      <c r="J16" s="15">
        <f>F16*G16</f>
        <v>0</v>
      </c>
      <c r="K16" s="62" t="s">
        <v>166</v>
      </c>
      <c r="Z16" s="15">
        <f>IF(AQ16="5",BJ16,0)</f>
        <v>0</v>
      </c>
      <c r="AB16" s="15">
        <f>IF(AQ16="1",BH16,0)</f>
        <v>0</v>
      </c>
      <c r="AC16" s="15">
        <f>IF(AQ16="1",BI16,0)</f>
        <v>0</v>
      </c>
      <c r="AD16" s="15">
        <f>IF(AQ16="7",BH16,0)</f>
        <v>0</v>
      </c>
      <c r="AE16" s="15">
        <f>IF(AQ16="7",BI16,0)</f>
        <v>0</v>
      </c>
      <c r="AF16" s="15">
        <f>IF(AQ16="2",BH16,0)</f>
        <v>0</v>
      </c>
      <c r="AG16" s="15">
        <f>IF(AQ16="2",BI16,0)</f>
        <v>0</v>
      </c>
      <c r="AH16" s="15">
        <f>IF(AQ16="0",BJ16,0)</f>
        <v>0</v>
      </c>
      <c r="AI16" s="46" t="s">
        <v>20</v>
      </c>
      <c r="AJ16" s="15">
        <f>IF(AN16=0,J16,0)</f>
        <v>0</v>
      </c>
      <c r="AK16" s="15">
        <f>IF(AN16=12,J16,0)</f>
        <v>0</v>
      </c>
      <c r="AL16" s="15">
        <f>IF(AN16=21,J16,0)</f>
        <v>0</v>
      </c>
      <c r="AN16" s="15">
        <v>12</v>
      </c>
      <c r="AO16" s="15">
        <f>G16*0.16853598</f>
        <v>0</v>
      </c>
      <c r="AP16" s="15">
        <f>G16*(1-0.16853598)</f>
        <v>0</v>
      </c>
      <c r="AQ16" s="14" t="s">
        <v>162</v>
      </c>
      <c r="AV16" s="15">
        <f>AW16+AX16</f>
        <v>0</v>
      </c>
      <c r="AW16" s="15">
        <f>F16*AO16</f>
        <v>0</v>
      </c>
      <c r="AX16" s="15">
        <f>F16*AP16</f>
        <v>0</v>
      </c>
      <c r="AY16" s="14" t="s">
        <v>176</v>
      </c>
      <c r="AZ16" s="14" t="s">
        <v>177</v>
      </c>
      <c r="BA16" s="46" t="s">
        <v>169</v>
      </c>
      <c r="BC16" s="15">
        <f>AW16+AX16</f>
        <v>0</v>
      </c>
      <c r="BD16" s="15">
        <f>G16/(100-BE16)*100</f>
        <v>0</v>
      </c>
      <c r="BE16" s="15">
        <v>0</v>
      </c>
      <c r="BF16" s="15">
        <f>16</f>
        <v>16</v>
      </c>
      <c r="BH16" s="15">
        <f>F16*AO16</f>
        <v>0</v>
      </c>
      <c r="BI16" s="15">
        <f>F16*AP16</f>
        <v>0</v>
      </c>
      <c r="BJ16" s="15">
        <f>F16*G16</f>
        <v>0</v>
      </c>
      <c r="BK16" s="15"/>
      <c r="BL16" s="15">
        <v>60</v>
      </c>
      <c r="BW16" s="15">
        <v>12</v>
      </c>
      <c r="BX16" s="4" t="s">
        <v>175</v>
      </c>
    </row>
    <row r="17" spans="1:76" ht="25.5" x14ac:dyDescent="0.25">
      <c r="A17" s="1" t="s">
        <v>178</v>
      </c>
      <c r="B17" s="2" t="s">
        <v>179</v>
      </c>
      <c r="C17" s="78" t="s">
        <v>180</v>
      </c>
      <c r="D17" s="73"/>
      <c r="E17" s="2" t="s">
        <v>165</v>
      </c>
      <c r="F17" s="15">
        <v>55.9</v>
      </c>
      <c r="G17" s="61"/>
      <c r="H17" s="15">
        <f>F17*AO17</f>
        <v>0</v>
      </c>
      <c r="I17" s="15">
        <f>F17*AP17</f>
        <v>0</v>
      </c>
      <c r="J17" s="15">
        <f>F17*G17</f>
        <v>0</v>
      </c>
      <c r="K17" s="62" t="s">
        <v>166</v>
      </c>
      <c r="Z17" s="15">
        <f>IF(AQ17="5",BJ17,0)</f>
        <v>0</v>
      </c>
      <c r="AB17" s="15">
        <f>IF(AQ17="1",BH17,0)</f>
        <v>0</v>
      </c>
      <c r="AC17" s="15">
        <f>IF(AQ17="1",BI17,0)</f>
        <v>0</v>
      </c>
      <c r="AD17" s="15">
        <f>IF(AQ17="7",BH17,0)</f>
        <v>0</v>
      </c>
      <c r="AE17" s="15">
        <f>IF(AQ17="7",BI17,0)</f>
        <v>0</v>
      </c>
      <c r="AF17" s="15">
        <f>IF(AQ17="2",BH17,0)</f>
        <v>0</v>
      </c>
      <c r="AG17" s="15">
        <f>IF(AQ17="2",BI17,0)</f>
        <v>0</v>
      </c>
      <c r="AH17" s="15">
        <f>IF(AQ17="0",BJ17,0)</f>
        <v>0</v>
      </c>
      <c r="AI17" s="46" t="s">
        <v>20</v>
      </c>
      <c r="AJ17" s="15">
        <f>IF(AN17=0,J17,0)</f>
        <v>0</v>
      </c>
      <c r="AK17" s="15">
        <f>IF(AN17=12,J17,0)</f>
        <v>0</v>
      </c>
      <c r="AL17" s="15">
        <f>IF(AN17=21,J17,0)</f>
        <v>0</v>
      </c>
      <c r="AN17" s="15">
        <v>12</v>
      </c>
      <c r="AO17" s="15">
        <f>G17*0.318962861</f>
        <v>0</v>
      </c>
      <c r="AP17" s="15">
        <f>G17*(1-0.318962861)</f>
        <v>0</v>
      </c>
      <c r="AQ17" s="14" t="s">
        <v>162</v>
      </c>
      <c r="AV17" s="15">
        <f>AW17+AX17</f>
        <v>0</v>
      </c>
      <c r="AW17" s="15">
        <f>F17*AO17</f>
        <v>0</v>
      </c>
      <c r="AX17" s="15">
        <f>F17*AP17</f>
        <v>0</v>
      </c>
      <c r="AY17" s="14" t="s">
        <v>176</v>
      </c>
      <c r="AZ17" s="14" t="s">
        <v>177</v>
      </c>
      <c r="BA17" s="46" t="s">
        <v>169</v>
      </c>
      <c r="BC17" s="15">
        <f>AW17+AX17</f>
        <v>0</v>
      </c>
      <c r="BD17" s="15">
        <f>G17/(100-BE17)*100</f>
        <v>0</v>
      </c>
      <c r="BE17" s="15">
        <v>0</v>
      </c>
      <c r="BF17" s="15">
        <f>17</f>
        <v>17</v>
      </c>
      <c r="BH17" s="15">
        <f>F17*AO17</f>
        <v>0</v>
      </c>
      <c r="BI17" s="15">
        <f>F17*AP17</f>
        <v>0</v>
      </c>
      <c r="BJ17" s="15">
        <f>F17*G17</f>
        <v>0</v>
      </c>
      <c r="BK17" s="15"/>
      <c r="BL17" s="15">
        <v>60</v>
      </c>
      <c r="BW17" s="15">
        <v>12</v>
      </c>
      <c r="BX17" s="4" t="s">
        <v>180</v>
      </c>
    </row>
    <row r="18" spans="1:76" x14ac:dyDescent="0.25">
      <c r="A18" s="1" t="s">
        <v>181</v>
      </c>
      <c r="B18" s="2" t="s">
        <v>182</v>
      </c>
      <c r="C18" s="78" t="s">
        <v>183</v>
      </c>
      <c r="D18" s="73"/>
      <c r="E18" s="2" t="s">
        <v>165</v>
      </c>
      <c r="F18" s="15">
        <v>37.479999999999997</v>
      </c>
      <c r="G18" s="61"/>
      <c r="H18" s="15">
        <f>F18*AO18</f>
        <v>0</v>
      </c>
      <c r="I18" s="15">
        <f>F18*AP18</f>
        <v>0</v>
      </c>
      <c r="J18" s="15">
        <f>F18*G18</f>
        <v>0</v>
      </c>
      <c r="K18" s="62" t="s">
        <v>166</v>
      </c>
      <c r="Z18" s="15">
        <f>IF(AQ18="5",BJ18,0)</f>
        <v>0</v>
      </c>
      <c r="AB18" s="15">
        <f>IF(AQ18="1",BH18,0)</f>
        <v>0</v>
      </c>
      <c r="AC18" s="15">
        <f>IF(AQ18="1",BI18,0)</f>
        <v>0</v>
      </c>
      <c r="AD18" s="15">
        <f>IF(AQ18="7",BH18,0)</f>
        <v>0</v>
      </c>
      <c r="AE18" s="15">
        <f>IF(AQ18="7",BI18,0)</f>
        <v>0</v>
      </c>
      <c r="AF18" s="15">
        <f>IF(AQ18="2",BH18,0)</f>
        <v>0</v>
      </c>
      <c r="AG18" s="15">
        <f>IF(AQ18="2",BI18,0)</f>
        <v>0</v>
      </c>
      <c r="AH18" s="15">
        <f>IF(AQ18="0",BJ18,0)</f>
        <v>0</v>
      </c>
      <c r="AI18" s="46" t="s">
        <v>20</v>
      </c>
      <c r="AJ18" s="15">
        <f>IF(AN18=0,J18,0)</f>
        <v>0</v>
      </c>
      <c r="AK18" s="15">
        <f>IF(AN18=12,J18,0)</f>
        <v>0</v>
      </c>
      <c r="AL18" s="15">
        <f>IF(AN18=21,J18,0)</f>
        <v>0</v>
      </c>
      <c r="AN18" s="15">
        <v>12</v>
      </c>
      <c r="AO18" s="15">
        <f>G18*0.374728435</f>
        <v>0</v>
      </c>
      <c r="AP18" s="15">
        <f>G18*(1-0.374728435)</f>
        <v>0</v>
      </c>
      <c r="AQ18" s="14" t="s">
        <v>162</v>
      </c>
      <c r="AV18" s="15">
        <f>AW18+AX18</f>
        <v>0</v>
      </c>
      <c r="AW18" s="15">
        <f>F18*AO18</f>
        <v>0</v>
      </c>
      <c r="AX18" s="15">
        <f>F18*AP18</f>
        <v>0</v>
      </c>
      <c r="AY18" s="14" t="s">
        <v>176</v>
      </c>
      <c r="AZ18" s="14" t="s">
        <v>177</v>
      </c>
      <c r="BA18" s="46" t="s">
        <v>169</v>
      </c>
      <c r="BC18" s="15">
        <f>AW18+AX18</f>
        <v>0</v>
      </c>
      <c r="BD18" s="15">
        <f>G18/(100-BE18)*100</f>
        <v>0</v>
      </c>
      <c r="BE18" s="15">
        <v>0</v>
      </c>
      <c r="BF18" s="15">
        <f>18</f>
        <v>18</v>
      </c>
      <c r="BH18" s="15">
        <f>F18*AO18</f>
        <v>0</v>
      </c>
      <c r="BI18" s="15">
        <f>F18*AP18</f>
        <v>0</v>
      </c>
      <c r="BJ18" s="15">
        <f>F18*G18</f>
        <v>0</v>
      </c>
      <c r="BK18" s="15"/>
      <c r="BL18" s="15">
        <v>60</v>
      </c>
      <c r="BW18" s="15">
        <v>12</v>
      </c>
      <c r="BX18" s="4" t="s">
        <v>183</v>
      </c>
    </row>
    <row r="19" spans="1:76" x14ac:dyDescent="0.25">
      <c r="A19" s="1" t="s">
        <v>184</v>
      </c>
      <c r="B19" s="2" t="s">
        <v>185</v>
      </c>
      <c r="C19" s="78" t="s">
        <v>186</v>
      </c>
      <c r="D19" s="73"/>
      <c r="E19" s="2" t="s">
        <v>165</v>
      </c>
      <c r="F19" s="15">
        <v>155.958</v>
      </c>
      <c r="G19" s="61"/>
      <c r="H19" s="15">
        <f>F19*AO19</f>
        <v>0</v>
      </c>
      <c r="I19" s="15">
        <f>F19*AP19</f>
        <v>0</v>
      </c>
      <c r="J19" s="15">
        <f>F19*G19</f>
        <v>0</v>
      </c>
      <c r="K19" s="62" t="s">
        <v>166</v>
      </c>
      <c r="Z19" s="15">
        <f>IF(AQ19="5",BJ19,0)</f>
        <v>0</v>
      </c>
      <c r="AB19" s="15">
        <f>IF(AQ19="1",BH19,0)</f>
        <v>0</v>
      </c>
      <c r="AC19" s="15">
        <f>IF(AQ19="1",BI19,0)</f>
        <v>0</v>
      </c>
      <c r="AD19" s="15">
        <f>IF(AQ19="7",BH19,0)</f>
        <v>0</v>
      </c>
      <c r="AE19" s="15">
        <f>IF(AQ19="7",BI19,0)</f>
        <v>0</v>
      </c>
      <c r="AF19" s="15">
        <f>IF(AQ19="2",BH19,0)</f>
        <v>0</v>
      </c>
      <c r="AG19" s="15">
        <f>IF(AQ19="2",BI19,0)</f>
        <v>0</v>
      </c>
      <c r="AH19" s="15">
        <f>IF(AQ19="0",BJ19,0)</f>
        <v>0</v>
      </c>
      <c r="AI19" s="46" t="s">
        <v>20</v>
      </c>
      <c r="AJ19" s="15">
        <f>IF(AN19=0,J19,0)</f>
        <v>0</v>
      </c>
      <c r="AK19" s="15">
        <f>IF(AN19=12,J19,0)</f>
        <v>0</v>
      </c>
      <c r="AL19" s="15">
        <f>IF(AN19=21,J19,0)</f>
        <v>0</v>
      </c>
      <c r="AN19" s="15">
        <v>12</v>
      </c>
      <c r="AO19" s="15">
        <f>G19*0.131815165</f>
        <v>0</v>
      </c>
      <c r="AP19" s="15">
        <f>G19*(1-0.131815165)</f>
        <v>0</v>
      </c>
      <c r="AQ19" s="14" t="s">
        <v>162</v>
      </c>
      <c r="AV19" s="15">
        <f>AW19+AX19</f>
        <v>0</v>
      </c>
      <c r="AW19" s="15">
        <f>F19*AO19</f>
        <v>0</v>
      </c>
      <c r="AX19" s="15">
        <f>F19*AP19</f>
        <v>0</v>
      </c>
      <c r="AY19" s="14" t="s">
        <v>176</v>
      </c>
      <c r="AZ19" s="14" t="s">
        <v>177</v>
      </c>
      <c r="BA19" s="46" t="s">
        <v>169</v>
      </c>
      <c r="BC19" s="15">
        <f>AW19+AX19</f>
        <v>0</v>
      </c>
      <c r="BD19" s="15">
        <f>G19/(100-BE19)*100</f>
        <v>0</v>
      </c>
      <c r="BE19" s="15">
        <v>0</v>
      </c>
      <c r="BF19" s="15">
        <f>19</f>
        <v>19</v>
      </c>
      <c r="BH19" s="15">
        <f>F19*AO19</f>
        <v>0</v>
      </c>
      <c r="BI19" s="15">
        <f>F19*AP19</f>
        <v>0</v>
      </c>
      <c r="BJ19" s="15">
        <f>F19*G19</f>
        <v>0</v>
      </c>
      <c r="BK19" s="15"/>
      <c r="BL19" s="15">
        <v>60</v>
      </c>
      <c r="BW19" s="15">
        <v>12</v>
      </c>
      <c r="BX19" s="4" t="s">
        <v>186</v>
      </c>
    </row>
    <row r="20" spans="1:76" x14ac:dyDescent="0.25">
      <c r="A20" s="1" t="s">
        <v>187</v>
      </c>
      <c r="B20" s="2" t="s">
        <v>188</v>
      </c>
      <c r="C20" s="78" t="s">
        <v>189</v>
      </c>
      <c r="D20" s="73"/>
      <c r="E20" s="2" t="s">
        <v>165</v>
      </c>
      <c r="F20" s="15">
        <v>155.9</v>
      </c>
      <c r="G20" s="61"/>
      <c r="H20" s="15">
        <f>F20*AO20</f>
        <v>0</v>
      </c>
      <c r="I20" s="15">
        <f>F20*AP20</f>
        <v>0</v>
      </c>
      <c r="J20" s="15">
        <f>F20*G20</f>
        <v>0</v>
      </c>
      <c r="K20" s="62" t="s">
        <v>166</v>
      </c>
      <c r="Z20" s="15">
        <f>IF(AQ20="5",BJ20,0)</f>
        <v>0</v>
      </c>
      <c r="AB20" s="15">
        <f>IF(AQ20="1",BH20,0)</f>
        <v>0</v>
      </c>
      <c r="AC20" s="15">
        <f>IF(AQ20="1",BI20,0)</f>
        <v>0</v>
      </c>
      <c r="AD20" s="15">
        <f>IF(AQ20="7",BH20,0)</f>
        <v>0</v>
      </c>
      <c r="AE20" s="15">
        <f>IF(AQ20="7",BI20,0)</f>
        <v>0</v>
      </c>
      <c r="AF20" s="15">
        <f>IF(AQ20="2",BH20,0)</f>
        <v>0</v>
      </c>
      <c r="AG20" s="15">
        <f>IF(AQ20="2",BI20,0)</f>
        <v>0</v>
      </c>
      <c r="AH20" s="15">
        <f>IF(AQ20="0",BJ20,0)</f>
        <v>0</v>
      </c>
      <c r="AI20" s="46" t="s">
        <v>20</v>
      </c>
      <c r="AJ20" s="15">
        <f>IF(AN20=0,J20,0)</f>
        <v>0</v>
      </c>
      <c r="AK20" s="15">
        <f>IF(AN20=12,J20,0)</f>
        <v>0</v>
      </c>
      <c r="AL20" s="15">
        <f>IF(AN20=21,J20,0)</f>
        <v>0</v>
      </c>
      <c r="AN20" s="15">
        <v>12</v>
      </c>
      <c r="AO20" s="15">
        <f>G20*0.194747837</f>
        <v>0</v>
      </c>
      <c r="AP20" s="15">
        <f>G20*(1-0.194747837)</f>
        <v>0</v>
      </c>
      <c r="AQ20" s="14" t="s">
        <v>162</v>
      </c>
      <c r="AV20" s="15">
        <f>AW20+AX20</f>
        <v>0</v>
      </c>
      <c r="AW20" s="15">
        <f>F20*AO20</f>
        <v>0</v>
      </c>
      <c r="AX20" s="15">
        <f>F20*AP20</f>
        <v>0</v>
      </c>
      <c r="AY20" s="14" t="s">
        <v>176</v>
      </c>
      <c r="AZ20" s="14" t="s">
        <v>177</v>
      </c>
      <c r="BA20" s="46" t="s">
        <v>169</v>
      </c>
      <c r="BC20" s="15">
        <f>AW20+AX20</f>
        <v>0</v>
      </c>
      <c r="BD20" s="15">
        <f>G20/(100-BE20)*100</f>
        <v>0</v>
      </c>
      <c r="BE20" s="15">
        <v>0</v>
      </c>
      <c r="BF20" s="15">
        <f>20</f>
        <v>20</v>
      </c>
      <c r="BH20" s="15">
        <f>F20*AO20</f>
        <v>0</v>
      </c>
      <c r="BI20" s="15">
        <f>F20*AP20</f>
        <v>0</v>
      </c>
      <c r="BJ20" s="15">
        <f>F20*G20</f>
        <v>0</v>
      </c>
      <c r="BK20" s="15"/>
      <c r="BL20" s="15">
        <v>60</v>
      </c>
      <c r="BW20" s="15">
        <v>12</v>
      </c>
      <c r="BX20" s="4" t="s">
        <v>189</v>
      </c>
    </row>
    <row r="21" spans="1:76" x14ac:dyDescent="0.25">
      <c r="A21" s="63" t="s">
        <v>20</v>
      </c>
      <c r="B21" s="64" t="s">
        <v>26</v>
      </c>
      <c r="C21" s="150" t="s">
        <v>27</v>
      </c>
      <c r="D21" s="151"/>
      <c r="E21" s="65" t="s">
        <v>3</v>
      </c>
      <c r="F21" s="65" t="s">
        <v>3</v>
      </c>
      <c r="G21" s="66"/>
      <c r="H21" s="40">
        <f>SUM(H22:H24)</f>
        <v>0</v>
      </c>
      <c r="I21" s="40">
        <f>SUM(I22:I24)</f>
        <v>0</v>
      </c>
      <c r="J21" s="40">
        <f>SUM(J22:J24)</f>
        <v>0</v>
      </c>
      <c r="K21" s="67" t="s">
        <v>20</v>
      </c>
      <c r="AI21" s="46" t="s">
        <v>20</v>
      </c>
      <c r="AS21" s="40">
        <f>SUM(AJ22:AJ24)</f>
        <v>0</v>
      </c>
      <c r="AT21" s="40">
        <f>SUM(AK22:AK24)</f>
        <v>0</v>
      </c>
      <c r="AU21" s="40">
        <f>SUM(AL22:AL24)</f>
        <v>0</v>
      </c>
    </row>
    <row r="22" spans="1:76" x14ac:dyDescent="0.25">
      <c r="A22" s="1" t="s">
        <v>190</v>
      </c>
      <c r="B22" s="2" t="s">
        <v>191</v>
      </c>
      <c r="C22" s="78" t="s">
        <v>192</v>
      </c>
      <c r="D22" s="73"/>
      <c r="E22" s="2" t="s">
        <v>165</v>
      </c>
      <c r="F22" s="15">
        <v>55.9</v>
      </c>
      <c r="G22" s="61"/>
      <c r="H22" s="15">
        <f>F22*AO22</f>
        <v>0</v>
      </c>
      <c r="I22" s="15">
        <f>F22*AP22</f>
        <v>0</v>
      </c>
      <c r="J22" s="15">
        <f>F22*G22</f>
        <v>0</v>
      </c>
      <c r="K22" s="62" t="s">
        <v>166</v>
      </c>
      <c r="Z22" s="15">
        <f>IF(AQ22="5",BJ22,0)</f>
        <v>0</v>
      </c>
      <c r="AB22" s="15">
        <f>IF(AQ22="1",BH22,0)</f>
        <v>0</v>
      </c>
      <c r="AC22" s="15">
        <f>IF(AQ22="1",BI22,0)</f>
        <v>0</v>
      </c>
      <c r="AD22" s="15">
        <f>IF(AQ22="7",BH22,0)</f>
        <v>0</v>
      </c>
      <c r="AE22" s="15">
        <f>IF(AQ22="7",BI22,0)</f>
        <v>0</v>
      </c>
      <c r="AF22" s="15">
        <f>IF(AQ22="2",BH22,0)</f>
        <v>0</v>
      </c>
      <c r="AG22" s="15">
        <f>IF(AQ22="2",BI22,0)</f>
        <v>0</v>
      </c>
      <c r="AH22" s="15">
        <f>IF(AQ22="0",BJ22,0)</f>
        <v>0</v>
      </c>
      <c r="AI22" s="46" t="s">
        <v>20</v>
      </c>
      <c r="AJ22" s="15">
        <f>IF(AN22=0,J22,0)</f>
        <v>0</v>
      </c>
      <c r="AK22" s="15">
        <f>IF(AN22=12,J22,0)</f>
        <v>0</v>
      </c>
      <c r="AL22" s="15">
        <f>IF(AN22=21,J22,0)</f>
        <v>0</v>
      </c>
      <c r="AN22" s="15">
        <v>12</v>
      </c>
      <c r="AO22" s="15">
        <f>G22*0.145294118</f>
        <v>0</v>
      </c>
      <c r="AP22" s="15">
        <f>G22*(1-0.145294118)</f>
        <v>0</v>
      </c>
      <c r="AQ22" s="14" t="s">
        <v>162</v>
      </c>
      <c r="AV22" s="15">
        <f>AW22+AX22</f>
        <v>0</v>
      </c>
      <c r="AW22" s="15">
        <f>F22*AO22</f>
        <v>0</v>
      </c>
      <c r="AX22" s="15">
        <f>F22*AP22</f>
        <v>0</v>
      </c>
      <c r="AY22" s="14" t="s">
        <v>193</v>
      </c>
      <c r="AZ22" s="14" t="s">
        <v>177</v>
      </c>
      <c r="BA22" s="46" t="s">
        <v>169</v>
      </c>
      <c r="BC22" s="15">
        <f>AW22+AX22</f>
        <v>0</v>
      </c>
      <c r="BD22" s="15">
        <f>G22/(100-BE22)*100</f>
        <v>0</v>
      </c>
      <c r="BE22" s="15">
        <v>0</v>
      </c>
      <c r="BF22" s="15">
        <f>22</f>
        <v>22</v>
      </c>
      <c r="BH22" s="15">
        <f>F22*AO22</f>
        <v>0</v>
      </c>
      <c r="BI22" s="15">
        <f>F22*AP22</f>
        <v>0</v>
      </c>
      <c r="BJ22" s="15">
        <f>F22*G22</f>
        <v>0</v>
      </c>
      <c r="BK22" s="15"/>
      <c r="BL22" s="15">
        <v>61</v>
      </c>
      <c r="BW22" s="15">
        <v>12</v>
      </c>
      <c r="BX22" s="4" t="s">
        <v>192</v>
      </c>
    </row>
    <row r="23" spans="1:76" x14ac:dyDescent="0.25">
      <c r="A23" s="1" t="s">
        <v>194</v>
      </c>
      <c r="B23" s="2" t="s">
        <v>195</v>
      </c>
      <c r="C23" s="78" t="s">
        <v>196</v>
      </c>
      <c r="D23" s="73"/>
      <c r="E23" s="2" t="s">
        <v>165</v>
      </c>
      <c r="F23" s="15">
        <v>136.43199999999999</v>
      </c>
      <c r="G23" s="61"/>
      <c r="H23" s="15">
        <f>F23*AO23</f>
        <v>0</v>
      </c>
      <c r="I23" s="15">
        <f>F23*AP23</f>
        <v>0</v>
      </c>
      <c r="J23" s="15">
        <f>F23*G23</f>
        <v>0</v>
      </c>
      <c r="K23" s="62" t="s">
        <v>166</v>
      </c>
      <c r="Z23" s="15">
        <f>IF(AQ23="5",BJ23,0)</f>
        <v>0</v>
      </c>
      <c r="AB23" s="15">
        <f>IF(AQ23="1",BH23,0)</f>
        <v>0</v>
      </c>
      <c r="AC23" s="15">
        <f>IF(AQ23="1",BI23,0)</f>
        <v>0</v>
      </c>
      <c r="AD23" s="15">
        <f>IF(AQ23="7",BH23,0)</f>
        <v>0</v>
      </c>
      <c r="AE23" s="15">
        <f>IF(AQ23="7",BI23,0)</f>
        <v>0</v>
      </c>
      <c r="AF23" s="15">
        <f>IF(AQ23="2",BH23,0)</f>
        <v>0</v>
      </c>
      <c r="AG23" s="15">
        <f>IF(AQ23="2",BI23,0)</f>
        <v>0</v>
      </c>
      <c r="AH23" s="15">
        <f>IF(AQ23="0",BJ23,0)</f>
        <v>0</v>
      </c>
      <c r="AI23" s="46" t="s">
        <v>20</v>
      </c>
      <c r="AJ23" s="15">
        <f>IF(AN23=0,J23,0)</f>
        <v>0</v>
      </c>
      <c r="AK23" s="15">
        <f>IF(AN23=12,J23,0)</f>
        <v>0</v>
      </c>
      <c r="AL23" s="15">
        <f>IF(AN23=21,J23,0)</f>
        <v>0</v>
      </c>
      <c r="AN23" s="15">
        <v>12</v>
      </c>
      <c r="AO23" s="15">
        <f>G23*0.087519229</f>
        <v>0</v>
      </c>
      <c r="AP23" s="15">
        <f>G23*(1-0.087519229)</f>
        <v>0</v>
      </c>
      <c r="AQ23" s="14" t="s">
        <v>162</v>
      </c>
      <c r="AV23" s="15">
        <f>AW23+AX23</f>
        <v>0</v>
      </c>
      <c r="AW23" s="15">
        <f>F23*AO23</f>
        <v>0</v>
      </c>
      <c r="AX23" s="15">
        <f>F23*AP23</f>
        <v>0</v>
      </c>
      <c r="AY23" s="14" t="s">
        <v>193</v>
      </c>
      <c r="AZ23" s="14" t="s">
        <v>177</v>
      </c>
      <c r="BA23" s="46" t="s">
        <v>169</v>
      </c>
      <c r="BC23" s="15">
        <f>AW23+AX23</f>
        <v>0</v>
      </c>
      <c r="BD23" s="15">
        <f>G23/(100-BE23)*100</f>
        <v>0</v>
      </c>
      <c r="BE23" s="15">
        <v>0</v>
      </c>
      <c r="BF23" s="15">
        <f>23</f>
        <v>23</v>
      </c>
      <c r="BH23" s="15">
        <f>F23*AO23</f>
        <v>0</v>
      </c>
      <c r="BI23" s="15">
        <f>F23*AP23</f>
        <v>0</v>
      </c>
      <c r="BJ23" s="15">
        <f>F23*G23</f>
        <v>0</v>
      </c>
      <c r="BK23" s="15"/>
      <c r="BL23" s="15">
        <v>61</v>
      </c>
      <c r="BW23" s="15">
        <v>12</v>
      </c>
      <c r="BX23" s="4" t="s">
        <v>196</v>
      </c>
    </row>
    <row r="24" spans="1:76" x14ac:dyDescent="0.25">
      <c r="A24" s="1" t="s">
        <v>197</v>
      </c>
      <c r="B24" s="2" t="s">
        <v>198</v>
      </c>
      <c r="C24" s="78" t="s">
        <v>199</v>
      </c>
      <c r="D24" s="73"/>
      <c r="E24" s="2" t="s">
        <v>200</v>
      </c>
      <c r="F24" s="15">
        <v>16</v>
      </c>
      <c r="G24" s="61"/>
      <c r="H24" s="15">
        <f>F24*AO24</f>
        <v>0</v>
      </c>
      <c r="I24" s="15">
        <f>F24*AP24</f>
        <v>0</v>
      </c>
      <c r="J24" s="15">
        <f>F24*G24</f>
        <v>0</v>
      </c>
      <c r="K24" s="62" t="s">
        <v>166</v>
      </c>
      <c r="Z24" s="15">
        <f>IF(AQ24="5",BJ24,0)</f>
        <v>0</v>
      </c>
      <c r="AB24" s="15">
        <f>IF(AQ24="1",BH24,0)</f>
        <v>0</v>
      </c>
      <c r="AC24" s="15">
        <f>IF(AQ24="1",BI24,0)</f>
        <v>0</v>
      </c>
      <c r="AD24" s="15">
        <f>IF(AQ24="7",BH24,0)</f>
        <v>0</v>
      </c>
      <c r="AE24" s="15">
        <f>IF(AQ24="7",BI24,0)</f>
        <v>0</v>
      </c>
      <c r="AF24" s="15">
        <f>IF(AQ24="2",BH24,0)</f>
        <v>0</v>
      </c>
      <c r="AG24" s="15">
        <f>IF(AQ24="2",BI24,0)</f>
        <v>0</v>
      </c>
      <c r="AH24" s="15">
        <f>IF(AQ24="0",BJ24,0)</f>
        <v>0</v>
      </c>
      <c r="AI24" s="46" t="s">
        <v>20</v>
      </c>
      <c r="AJ24" s="15">
        <f>IF(AN24=0,J24,0)</f>
        <v>0</v>
      </c>
      <c r="AK24" s="15">
        <f>IF(AN24=12,J24,0)</f>
        <v>0</v>
      </c>
      <c r="AL24" s="15">
        <f>IF(AN24=21,J24,0)</f>
        <v>0</v>
      </c>
      <c r="AN24" s="15">
        <v>12</v>
      </c>
      <c r="AO24" s="15">
        <f>G24*0.50182615</f>
        <v>0</v>
      </c>
      <c r="AP24" s="15">
        <f>G24*(1-0.50182615)</f>
        <v>0</v>
      </c>
      <c r="AQ24" s="14" t="s">
        <v>162</v>
      </c>
      <c r="AV24" s="15">
        <f>AW24+AX24</f>
        <v>0</v>
      </c>
      <c r="AW24" s="15">
        <f>F24*AO24</f>
        <v>0</v>
      </c>
      <c r="AX24" s="15">
        <f>F24*AP24</f>
        <v>0</v>
      </c>
      <c r="AY24" s="14" t="s">
        <v>193</v>
      </c>
      <c r="AZ24" s="14" t="s">
        <v>177</v>
      </c>
      <c r="BA24" s="46" t="s">
        <v>169</v>
      </c>
      <c r="BC24" s="15">
        <f>AW24+AX24</f>
        <v>0</v>
      </c>
      <c r="BD24" s="15">
        <f>G24/(100-BE24)*100</f>
        <v>0</v>
      </c>
      <c r="BE24" s="15">
        <v>0</v>
      </c>
      <c r="BF24" s="15">
        <f>24</f>
        <v>24</v>
      </c>
      <c r="BH24" s="15">
        <f>F24*AO24</f>
        <v>0</v>
      </c>
      <c r="BI24" s="15">
        <f>F24*AP24</f>
        <v>0</v>
      </c>
      <c r="BJ24" s="15">
        <f>F24*G24</f>
        <v>0</v>
      </c>
      <c r="BK24" s="15"/>
      <c r="BL24" s="15">
        <v>61</v>
      </c>
      <c r="BW24" s="15">
        <v>12</v>
      </c>
      <c r="BX24" s="4" t="s">
        <v>199</v>
      </c>
    </row>
    <row r="25" spans="1:76" x14ac:dyDescent="0.25">
      <c r="A25" s="63" t="s">
        <v>20</v>
      </c>
      <c r="B25" s="64" t="s">
        <v>28</v>
      </c>
      <c r="C25" s="150" t="s">
        <v>29</v>
      </c>
      <c r="D25" s="151"/>
      <c r="E25" s="65" t="s">
        <v>3</v>
      </c>
      <c r="F25" s="65" t="s">
        <v>3</v>
      </c>
      <c r="G25" s="66"/>
      <c r="H25" s="40">
        <f>SUM(H26:H28)</f>
        <v>0</v>
      </c>
      <c r="I25" s="40">
        <f>SUM(I26:I28)</f>
        <v>0</v>
      </c>
      <c r="J25" s="40">
        <f>SUM(J26:J28)</f>
        <v>0</v>
      </c>
      <c r="K25" s="67" t="s">
        <v>20</v>
      </c>
      <c r="AI25" s="46" t="s">
        <v>20</v>
      </c>
      <c r="AS25" s="40">
        <f>SUM(AJ26:AJ28)</f>
        <v>0</v>
      </c>
      <c r="AT25" s="40">
        <f>SUM(AK26:AK28)</f>
        <v>0</v>
      </c>
      <c r="AU25" s="40">
        <f>SUM(AL26:AL28)</f>
        <v>0</v>
      </c>
    </row>
    <row r="26" spans="1:76" ht="25.5" x14ac:dyDescent="0.25">
      <c r="A26" s="1" t="s">
        <v>201</v>
      </c>
      <c r="B26" s="2" t="s">
        <v>202</v>
      </c>
      <c r="C26" s="78" t="s">
        <v>203</v>
      </c>
      <c r="D26" s="73"/>
      <c r="E26" s="2" t="s">
        <v>204</v>
      </c>
      <c r="F26" s="15">
        <v>2</v>
      </c>
      <c r="G26" s="61"/>
      <c r="H26" s="15">
        <f>F26*AO26</f>
        <v>0</v>
      </c>
      <c r="I26" s="15">
        <f>F26*AP26</f>
        <v>0</v>
      </c>
      <c r="J26" s="15">
        <f>F26*G26</f>
        <v>0</v>
      </c>
      <c r="K26" s="62" t="s">
        <v>166</v>
      </c>
      <c r="Z26" s="15">
        <f>IF(AQ26="5",BJ26,0)</f>
        <v>0</v>
      </c>
      <c r="AB26" s="15">
        <f>IF(AQ26="1",BH26,0)</f>
        <v>0</v>
      </c>
      <c r="AC26" s="15">
        <f>IF(AQ26="1",BI26,0)</f>
        <v>0</v>
      </c>
      <c r="AD26" s="15">
        <f>IF(AQ26="7",BH26,0)</f>
        <v>0</v>
      </c>
      <c r="AE26" s="15">
        <f>IF(AQ26="7",BI26,0)</f>
        <v>0</v>
      </c>
      <c r="AF26" s="15">
        <f>IF(AQ26="2",BH26,0)</f>
        <v>0</v>
      </c>
      <c r="AG26" s="15">
        <f>IF(AQ26="2",BI26,0)</f>
        <v>0</v>
      </c>
      <c r="AH26" s="15">
        <f>IF(AQ26="0",BJ26,0)</f>
        <v>0</v>
      </c>
      <c r="AI26" s="46" t="s">
        <v>20</v>
      </c>
      <c r="AJ26" s="15">
        <f>IF(AN26=0,J26,0)</f>
        <v>0</v>
      </c>
      <c r="AK26" s="15">
        <f>IF(AN26=12,J26,0)</f>
        <v>0</v>
      </c>
      <c r="AL26" s="15">
        <f>IF(AN26=21,J26,0)</f>
        <v>0</v>
      </c>
      <c r="AN26" s="15">
        <v>12</v>
      </c>
      <c r="AO26" s="15">
        <f>G26*0.640164336</f>
        <v>0</v>
      </c>
      <c r="AP26" s="15">
        <f>G26*(1-0.640164336)</f>
        <v>0</v>
      </c>
      <c r="AQ26" s="14" t="s">
        <v>162</v>
      </c>
      <c r="AV26" s="15">
        <f>AW26+AX26</f>
        <v>0</v>
      </c>
      <c r="AW26" s="15">
        <f>F26*AO26</f>
        <v>0</v>
      </c>
      <c r="AX26" s="15">
        <f>F26*AP26</f>
        <v>0</v>
      </c>
      <c r="AY26" s="14" t="s">
        <v>205</v>
      </c>
      <c r="AZ26" s="14" t="s">
        <v>177</v>
      </c>
      <c r="BA26" s="46" t="s">
        <v>169</v>
      </c>
      <c r="BC26" s="15">
        <f>AW26+AX26</f>
        <v>0</v>
      </c>
      <c r="BD26" s="15">
        <f>G26/(100-BE26)*100</f>
        <v>0</v>
      </c>
      <c r="BE26" s="15">
        <v>0</v>
      </c>
      <c r="BF26" s="15">
        <f>26</f>
        <v>26</v>
      </c>
      <c r="BH26" s="15">
        <f>F26*AO26</f>
        <v>0</v>
      </c>
      <c r="BI26" s="15">
        <f>F26*AP26</f>
        <v>0</v>
      </c>
      <c r="BJ26" s="15">
        <f>F26*G26</f>
        <v>0</v>
      </c>
      <c r="BK26" s="15"/>
      <c r="BL26" s="15">
        <v>64</v>
      </c>
      <c r="BW26" s="15">
        <v>12</v>
      </c>
      <c r="BX26" s="4" t="s">
        <v>203</v>
      </c>
    </row>
    <row r="27" spans="1:76" ht="25.5" x14ac:dyDescent="0.25">
      <c r="A27" s="1" t="s">
        <v>206</v>
      </c>
      <c r="B27" s="2" t="s">
        <v>207</v>
      </c>
      <c r="C27" s="78" t="s">
        <v>208</v>
      </c>
      <c r="D27" s="73"/>
      <c r="E27" s="2" t="s">
        <v>204</v>
      </c>
      <c r="F27" s="15">
        <v>1</v>
      </c>
      <c r="G27" s="61"/>
      <c r="H27" s="15">
        <f>F27*AO27</f>
        <v>0</v>
      </c>
      <c r="I27" s="15">
        <f>F27*AP27</f>
        <v>0</v>
      </c>
      <c r="J27" s="15">
        <f>F27*G27</f>
        <v>0</v>
      </c>
      <c r="K27" s="62" t="s">
        <v>166</v>
      </c>
      <c r="Z27" s="15">
        <f>IF(AQ27="5",BJ27,0)</f>
        <v>0</v>
      </c>
      <c r="AB27" s="15">
        <f>IF(AQ27="1",BH27,0)</f>
        <v>0</v>
      </c>
      <c r="AC27" s="15">
        <f>IF(AQ27="1",BI27,0)</f>
        <v>0</v>
      </c>
      <c r="AD27" s="15">
        <f>IF(AQ27="7",BH27,0)</f>
        <v>0</v>
      </c>
      <c r="AE27" s="15">
        <f>IF(AQ27="7",BI27,0)</f>
        <v>0</v>
      </c>
      <c r="AF27" s="15">
        <f>IF(AQ27="2",BH27,0)</f>
        <v>0</v>
      </c>
      <c r="AG27" s="15">
        <f>IF(AQ27="2",BI27,0)</f>
        <v>0</v>
      </c>
      <c r="AH27" s="15">
        <f>IF(AQ27="0",BJ27,0)</f>
        <v>0</v>
      </c>
      <c r="AI27" s="46" t="s">
        <v>20</v>
      </c>
      <c r="AJ27" s="15">
        <f>IF(AN27=0,J27,0)</f>
        <v>0</v>
      </c>
      <c r="AK27" s="15">
        <f>IF(AN27=12,J27,0)</f>
        <v>0</v>
      </c>
      <c r="AL27" s="15">
        <f>IF(AN27=21,J27,0)</f>
        <v>0</v>
      </c>
      <c r="AN27" s="15">
        <v>12</v>
      </c>
      <c r="AO27" s="15">
        <f>G27*0.64451468</f>
        <v>0</v>
      </c>
      <c r="AP27" s="15">
        <f>G27*(1-0.64451468)</f>
        <v>0</v>
      </c>
      <c r="AQ27" s="14" t="s">
        <v>162</v>
      </c>
      <c r="AV27" s="15">
        <f>AW27+AX27</f>
        <v>0</v>
      </c>
      <c r="AW27" s="15">
        <f>F27*AO27</f>
        <v>0</v>
      </c>
      <c r="AX27" s="15">
        <f>F27*AP27</f>
        <v>0</v>
      </c>
      <c r="AY27" s="14" t="s">
        <v>205</v>
      </c>
      <c r="AZ27" s="14" t="s">
        <v>177</v>
      </c>
      <c r="BA27" s="46" t="s">
        <v>169</v>
      </c>
      <c r="BC27" s="15">
        <f>AW27+AX27</f>
        <v>0</v>
      </c>
      <c r="BD27" s="15">
        <f>G27/(100-BE27)*100</f>
        <v>0</v>
      </c>
      <c r="BE27" s="15">
        <v>0</v>
      </c>
      <c r="BF27" s="15">
        <f>27</f>
        <v>27</v>
      </c>
      <c r="BH27" s="15">
        <f>F27*AO27</f>
        <v>0</v>
      </c>
      <c r="BI27" s="15">
        <f>F27*AP27</f>
        <v>0</v>
      </c>
      <c r="BJ27" s="15">
        <f>F27*G27</f>
        <v>0</v>
      </c>
      <c r="BK27" s="15"/>
      <c r="BL27" s="15">
        <v>64</v>
      </c>
      <c r="BW27" s="15">
        <v>12</v>
      </c>
      <c r="BX27" s="4" t="s">
        <v>208</v>
      </c>
    </row>
    <row r="28" spans="1:76" x14ac:dyDescent="0.25">
      <c r="A28" s="1" t="s">
        <v>209</v>
      </c>
      <c r="B28" s="2" t="s">
        <v>210</v>
      </c>
      <c r="C28" s="78" t="s">
        <v>211</v>
      </c>
      <c r="D28" s="73"/>
      <c r="E28" s="2" t="s">
        <v>212</v>
      </c>
      <c r="F28" s="15">
        <v>4.3133100000000004</v>
      </c>
      <c r="G28" s="61"/>
      <c r="H28" s="15">
        <f>F28*AO28</f>
        <v>0</v>
      </c>
      <c r="I28" s="15">
        <f>F28*AP28</f>
        <v>0</v>
      </c>
      <c r="J28" s="15">
        <f>F28*G28</f>
        <v>0</v>
      </c>
      <c r="K28" s="62" t="s">
        <v>166</v>
      </c>
      <c r="Z28" s="15">
        <f>IF(AQ28="5",BJ28,0)</f>
        <v>0</v>
      </c>
      <c r="AB28" s="15">
        <f>IF(AQ28="1",BH28,0)</f>
        <v>0</v>
      </c>
      <c r="AC28" s="15">
        <f>IF(AQ28="1",BI28,0)</f>
        <v>0</v>
      </c>
      <c r="AD28" s="15">
        <f>IF(AQ28="7",BH28,0)</f>
        <v>0</v>
      </c>
      <c r="AE28" s="15">
        <f>IF(AQ28="7",BI28,0)</f>
        <v>0</v>
      </c>
      <c r="AF28" s="15">
        <f>IF(AQ28="2",BH28,0)</f>
        <v>0</v>
      </c>
      <c r="AG28" s="15">
        <f>IF(AQ28="2",BI28,0)</f>
        <v>0</v>
      </c>
      <c r="AH28" s="15">
        <f>IF(AQ28="0",BJ28,0)</f>
        <v>0</v>
      </c>
      <c r="AI28" s="46" t="s">
        <v>20</v>
      </c>
      <c r="AJ28" s="15">
        <f>IF(AN28=0,J28,0)</f>
        <v>0</v>
      </c>
      <c r="AK28" s="15">
        <f>IF(AN28=12,J28,0)</f>
        <v>0</v>
      </c>
      <c r="AL28" s="15">
        <f>IF(AN28=21,J28,0)</f>
        <v>0</v>
      </c>
      <c r="AN28" s="15">
        <v>12</v>
      </c>
      <c r="AO28" s="15">
        <f>G28*0</f>
        <v>0</v>
      </c>
      <c r="AP28" s="15">
        <f>G28*(1-0)</f>
        <v>0</v>
      </c>
      <c r="AQ28" s="14" t="s">
        <v>181</v>
      </c>
      <c r="AV28" s="15">
        <f>AW28+AX28</f>
        <v>0</v>
      </c>
      <c r="AW28" s="15">
        <f>F28*AO28</f>
        <v>0</v>
      </c>
      <c r="AX28" s="15">
        <f>F28*AP28</f>
        <v>0</v>
      </c>
      <c r="AY28" s="14" t="s">
        <v>205</v>
      </c>
      <c r="AZ28" s="14" t="s">
        <v>177</v>
      </c>
      <c r="BA28" s="46" t="s">
        <v>169</v>
      </c>
      <c r="BC28" s="15">
        <f>AW28+AX28</f>
        <v>0</v>
      </c>
      <c r="BD28" s="15">
        <f>G28/(100-BE28)*100</f>
        <v>0</v>
      </c>
      <c r="BE28" s="15">
        <v>0</v>
      </c>
      <c r="BF28" s="15">
        <f>28</f>
        <v>28</v>
      </c>
      <c r="BH28" s="15">
        <f>F28*AO28</f>
        <v>0</v>
      </c>
      <c r="BI28" s="15">
        <f>F28*AP28</f>
        <v>0</v>
      </c>
      <c r="BJ28" s="15">
        <f>F28*G28</f>
        <v>0</v>
      </c>
      <c r="BK28" s="15"/>
      <c r="BL28" s="15">
        <v>64</v>
      </c>
      <c r="BW28" s="15">
        <v>12</v>
      </c>
      <c r="BX28" s="4" t="s">
        <v>211</v>
      </c>
    </row>
    <row r="29" spans="1:76" x14ac:dyDescent="0.25">
      <c r="A29" s="63" t="s">
        <v>20</v>
      </c>
      <c r="B29" s="64" t="s">
        <v>30</v>
      </c>
      <c r="C29" s="150" t="s">
        <v>31</v>
      </c>
      <c r="D29" s="151"/>
      <c r="E29" s="65" t="s">
        <v>3</v>
      </c>
      <c r="F29" s="65" t="s">
        <v>3</v>
      </c>
      <c r="G29" s="66"/>
      <c r="H29" s="40">
        <f>SUM(H30:H33)</f>
        <v>0</v>
      </c>
      <c r="I29" s="40">
        <f>SUM(I30:I33)</f>
        <v>0</v>
      </c>
      <c r="J29" s="40">
        <f>SUM(J30:J33)</f>
        <v>0</v>
      </c>
      <c r="K29" s="67" t="s">
        <v>20</v>
      </c>
      <c r="AI29" s="46" t="s">
        <v>20</v>
      </c>
      <c r="AS29" s="40">
        <f>SUM(AJ30:AJ33)</f>
        <v>0</v>
      </c>
      <c r="AT29" s="40">
        <f>SUM(AK30:AK33)</f>
        <v>0</v>
      </c>
      <c r="AU29" s="40">
        <f>SUM(AL30:AL33)</f>
        <v>0</v>
      </c>
    </row>
    <row r="30" spans="1:76" x14ac:dyDescent="0.25">
      <c r="A30" s="1" t="s">
        <v>213</v>
      </c>
      <c r="B30" s="2" t="s">
        <v>214</v>
      </c>
      <c r="C30" s="78" t="s">
        <v>215</v>
      </c>
      <c r="D30" s="73"/>
      <c r="E30" s="2" t="s">
        <v>165</v>
      </c>
      <c r="F30" s="15">
        <v>9.9480000000000004</v>
      </c>
      <c r="G30" s="61"/>
      <c r="H30" s="15">
        <f>F30*AO30</f>
        <v>0</v>
      </c>
      <c r="I30" s="15">
        <f>F30*AP30</f>
        <v>0</v>
      </c>
      <c r="J30" s="15">
        <f>F30*G30</f>
        <v>0</v>
      </c>
      <c r="K30" s="62" t="s">
        <v>166</v>
      </c>
      <c r="Z30" s="15">
        <f>IF(AQ30="5",BJ30,0)</f>
        <v>0</v>
      </c>
      <c r="AB30" s="15">
        <f>IF(AQ30="1",BH30,0)</f>
        <v>0</v>
      </c>
      <c r="AC30" s="15">
        <f>IF(AQ30="1",BI30,0)</f>
        <v>0</v>
      </c>
      <c r="AD30" s="15">
        <f>IF(AQ30="7",BH30,0)</f>
        <v>0</v>
      </c>
      <c r="AE30" s="15">
        <f>IF(AQ30="7",BI30,0)</f>
        <v>0</v>
      </c>
      <c r="AF30" s="15">
        <f>IF(AQ30="2",BH30,0)</f>
        <v>0</v>
      </c>
      <c r="AG30" s="15">
        <f>IF(AQ30="2",BI30,0)</f>
        <v>0</v>
      </c>
      <c r="AH30" s="15">
        <f>IF(AQ30="0",BJ30,0)</f>
        <v>0</v>
      </c>
      <c r="AI30" s="46" t="s">
        <v>20</v>
      </c>
      <c r="AJ30" s="15">
        <f>IF(AN30=0,J30,0)</f>
        <v>0</v>
      </c>
      <c r="AK30" s="15">
        <f>IF(AN30=12,J30,0)</f>
        <v>0</v>
      </c>
      <c r="AL30" s="15">
        <f>IF(AN30=21,J30,0)</f>
        <v>0</v>
      </c>
      <c r="AN30" s="15">
        <v>12</v>
      </c>
      <c r="AO30" s="15">
        <f>G30*0.694751574</f>
        <v>0</v>
      </c>
      <c r="AP30" s="15">
        <f>G30*(1-0.694751574)</f>
        <v>0</v>
      </c>
      <c r="AQ30" s="14" t="s">
        <v>187</v>
      </c>
      <c r="AV30" s="15">
        <f>AW30+AX30</f>
        <v>0</v>
      </c>
      <c r="AW30" s="15">
        <f>F30*AO30</f>
        <v>0</v>
      </c>
      <c r="AX30" s="15">
        <f>F30*AP30</f>
        <v>0</v>
      </c>
      <c r="AY30" s="14" t="s">
        <v>216</v>
      </c>
      <c r="AZ30" s="14" t="s">
        <v>217</v>
      </c>
      <c r="BA30" s="46" t="s">
        <v>169</v>
      </c>
      <c r="BC30" s="15">
        <f>AW30+AX30</f>
        <v>0</v>
      </c>
      <c r="BD30" s="15">
        <f>G30/(100-BE30)*100</f>
        <v>0</v>
      </c>
      <c r="BE30" s="15">
        <v>0</v>
      </c>
      <c r="BF30" s="15">
        <f>30</f>
        <v>30</v>
      </c>
      <c r="BH30" s="15">
        <f>F30*AO30</f>
        <v>0</v>
      </c>
      <c r="BI30" s="15">
        <f>F30*AP30</f>
        <v>0</v>
      </c>
      <c r="BJ30" s="15">
        <f>F30*G30</f>
        <v>0</v>
      </c>
      <c r="BK30" s="15"/>
      <c r="BL30" s="15">
        <v>711</v>
      </c>
      <c r="BW30" s="15">
        <v>12</v>
      </c>
      <c r="BX30" s="4" t="s">
        <v>215</v>
      </c>
    </row>
    <row r="31" spans="1:76" x14ac:dyDescent="0.25">
      <c r="A31" s="1" t="s">
        <v>218</v>
      </c>
      <c r="B31" s="2" t="s">
        <v>219</v>
      </c>
      <c r="C31" s="78" t="s">
        <v>220</v>
      </c>
      <c r="D31" s="73"/>
      <c r="E31" s="2" t="s">
        <v>200</v>
      </c>
      <c r="F31" s="15">
        <v>9.16</v>
      </c>
      <c r="G31" s="61"/>
      <c r="H31" s="15">
        <f>F31*AO31</f>
        <v>0</v>
      </c>
      <c r="I31" s="15">
        <f>F31*AP31</f>
        <v>0</v>
      </c>
      <c r="J31" s="15">
        <f>F31*G31</f>
        <v>0</v>
      </c>
      <c r="K31" s="62" t="s">
        <v>166</v>
      </c>
      <c r="Z31" s="15">
        <f>IF(AQ31="5",BJ31,0)</f>
        <v>0</v>
      </c>
      <c r="AB31" s="15">
        <f>IF(AQ31="1",BH31,0)</f>
        <v>0</v>
      </c>
      <c r="AC31" s="15">
        <f>IF(AQ31="1",BI31,0)</f>
        <v>0</v>
      </c>
      <c r="AD31" s="15">
        <f>IF(AQ31="7",BH31,0)</f>
        <v>0</v>
      </c>
      <c r="AE31" s="15">
        <f>IF(AQ31="7",BI31,0)</f>
        <v>0</v>
      </c>
      <c r="AF31" s="15">
        <f>IF(AQ31="2",BH31,0)</f>
        <v>0</v>
      </c>
      <c r="AG31" s="15">
        <f>IF(AQ31="2",BI31,0)</f>
        <v>0</v>
      </c>
      <c r="AH31" s="15">
        <f>IF(AQ31="0",BJ31,0)</f>
        <v>0</v>
      </c>
      <c r="AI31" s="46" t="s">
        <v>20</v>
      </c>
      <c r="AJ31" s="15">
        <f>IF(AN31=0,J31,0)</f>
        <v>0</v>
      </c>
      <c r="AK31" s="15">
        <f>IF(AN31=12,J31,0)</f>
        <v>0</v>
      </c>
      <c r="AL31" s="15">
        <f>IF(AN31=21,J31,0)</f>
        <v>0</v>
      </c>
      <c r="AN31" s="15">
        <v>12</v>
      </c>
      <c r="AO31" s="15">
        <f>G31*0.692</f>
        <v>0</v>
      </c>
      <c r="AP31" s="15">
        <f>G31*(1-0.692)</f>
        <v>0</v>
      </c>
      <c r="AQ31" s="14" t="s">
        <v>187</v>
      </c>
      <c r="AV31" s="15">
        <f>AW31+AX31</f>
        <v>0</v>
      </c>
      <c r="AW31" s="15">
        <f>F31*AO31</f>
        <v>0</v>
      </c>
      <c r="AX31" s="15">
        <f>F31*AP31</f>
        <v>0</v>
      </c>
      <c r="AY31" s="14" t="s">
        <v>216</v>
      </c>
      <c r="AZ31" s="14" t="s">
        <v>217</v>
      </c>
      <c r="BA31" s="46" t="s">
        <v>169</v>
      </c>
      <c r="BC31" s="15">
        <f>AW31+AX31</f>
        <v>0</v>
      </c>
      <c r="BD31" s="15">
        <f>G31/(100-BE31)*100</f>
        <v>0</v>
      </c>
      <c r="BE31" s="15">
        <v>0</v>
      </c>
      <c r="BF31" s="15">
        <f>31</f>
        <v>31</v>
      </c>
      <c r="BH31" s="15">
        <f>F31*AO31</f>
        <v>0</v>
      </c>
      <c r="BI31" s="15">
        <f>F31*AP31</f>
        <v>0</v>
      </c>
      <c r="BJ31" s="15">
        <f>F31*G31</f>
        <v>0</v>
      </c>
      <c r="BK31" s="15"/>
      <c r="BL31" s="15">
        <v>711</v>
      </c>
      <c r="BW31" s="15">
        <v>12</v>
      </c>
      <c r="BX31" s="4" t="s">
        <v>220</v>
      </c>
    </row>
    <row r="32" spans="1:76" x14ac:dyDescent="0.25">
      <c r="A32" s="1" t="s">
        <v>221</v>
      </c>
      <c r="B32" s="2" t="s">
        <v>222</v>
      </c>
      <c r="C32" s="78" t="s">
        <v>223</v>
      </c>
      <c r="D32" s="73"/>
      <c r="E32" s="2" t="s">
        <v>200</v>
      </c>
      <c r="F32" s="15">
        <v>10.8</v>
      </c>
      <c r="G32" s="61"/>
      <c r="H32" s="15">
        <f>F32*AO32</f>
        <v>0</v>
      </c>
      <c r="I32" s="15">
        <f>F32*AP32</f>
        <v>0</v>
      </c>
      <c r="J32" s="15">
        <f>F32*G32</f>
        <v>0</v>
      </c>
      <c r="K32" s="62" t="s">
        <v>166</v>
      </c>
      <c r="Z32" s="15">
        <f>IF(AQ32="5",BJ32,0)</f>
        <v>0</v>
      </c>
      <c r="AB32" s="15">
        <f>IF(AQ32="1",BH32,0)</f>
        <v>0</v>
      </c>
      <c r="AC32" s="15">
        <f>IF(AQ32="1",BI32,0)</f>
        <v>0</v>
      </c>
      <c r="AD32" s="15">
        <f>IF(AQ32="7",BH32,0)</f>
        <v>0</v>
      </c>
      <c r="AE32" s="15">
        <f>IF(AQ32="7",BI32,0)</f>
        <v>0</v>
      </c>
      <c r="AF32" s="15">
        <f>IF(AQ32="2",BH32,0)</f>
        <v>0</v>
      </c>
      <c r="AG32" s="15">
        <f>IF(AQ32="2",BI32,0)</f>
        <v>0</v>
      </c>
      <c r="AH32" s="15">
        <f>IF(AQ32="0",BJ32,0)</f>
        <v>0</v>
      </c>
      <c r="AI32" s="46" t="s">
        <v>20</v>
      </c>
      <c r="AJ32" s="15">
        <f>IF(AN32=0,J32,0)</f>
        <v>0</v>
      </c>
      <c r="AK32" s="15">
        <f>IF(AN32=12,J32,0)</f>
        <v>0</v>
      </c>
      <c r="AL32" s="15">
        <f>IF(AN32=21,J32,0)</f>
        <v>0</v>
      </c>
      <c r="AN32" s="15">
        <v>12</v>
      </c>
      <c r="AO32" s="15">
        <f>G32*0.638831461</f>
        <v>0</v>
      </c>
      <c r="AP32" s="15">
        <f>G32*(1-0.638831461)</f>
        <v>0</v>
      </c>
      <c r="AQ32" s="14" t="s">
        <v>187</v>
      </c>
      <c r="AV32" s="15">
        <f>AW32+AX32</f>
        <v>0</v>
      </c>
      <c r="AW32" s="15">
        <f>F32*AO32</f>
        <v>0</v>
      </c>
      <c r="AX32" s="15">
        <f>F32*AP32</f>
        <v>0</v>
      </c>
      <c r="AY32" s="14" t="s">
        <v>216</v>
      </c>
      <c r="AZ32" s="14" t="s">
        <v>217</v>
      </c>
      <c r="BA32" s="46" t="s">
        <v>169</v>
      </c>
      <c r="BC32" s="15">
        <f>AW32+AX32</f>
        <v>0</v>
      </c>
      <c r="BD32" s="15">
        <f>G32/(100-BE32)*100</f>
        <v>0</v>
      </c>
      <c r="BE32" s="15">
        <v>0</v>
      </c>
      <c r="BF32" s="15">
        <f>32</f>
        <v>32</v>
      </c>
      <c r="BH32" s="15">
        <f>F32*AO32</f>
        <v>0</v>
      </c>
      <c r="BI32" s="15">
        <f>F32*AP32</f>
        <v>0</v>
      </c>
      <c r="BJ32" s="15">
        <f>F32*G32</f>
        <v>0</v>
      </c>
      <c r="BK32" s="15"/>
      <c r="BL32" s="15">
        <v>711</v>
      </c>
      <c r="BW32" s="15">
        <v>12</v>
      </c>
      <c r="BX32" s="4" t="s">
        <v>223</v>
      </c>
    </row>
    <row r="33" spans="1:76" x14ac:dyDescent="0.25">
      <c r="A33" s="1" t="s">
        <v>224</v>
      </c>
      <c r="B33" s="2" t="s">
        <v>225</v>
      </c>
      <c r="C33" s="78" t="s">
        <v>226</v>
      </c>
      <c r="D33" s="73"/>
      <c r="E33" s="2" t="s">
        <v>113</v>
      </c>
      <c r="F33" s="15">
        <v>114.83</v>
      </c>
      <c r="G33" s="61"/>
      <c r="H33" s="15">
        <f>F33*AO33</f>
        <v>0</v>
      </c>
      <c r="I33" s="15">
        <f>F33*AP33</f>
        <v>0</v>
      </c>
      <c r="J33" s="15">
        <f>F33*G33</f>
        <v>0</v>
      </c>
      <c r="K33" s="62" t="s">
        <v>166</v>
      </c>
      <c r="Z33" s="15">
        <f>IF(AQ33="5",BJ33,0)</f>
        <v>0</v>
      </c>
      <c r="AB33" s="15">
        <f>IF(AQ33="1",BH33,0)</f>
        <v>0</v>
      </c>
      <c r="AC33" s="15">
        <f>IF(AQ33="1",BI33,0)</f>
        <v>0</v>
      </c>
      <c r="AD33" s="15">
        <f>IF(AQ33="7",BH33,0)</f>
        <v>0</v>
      </c>
      <c r="AE33" s="15">
        <f>IF(AQ33="7",BI33,0)</f>
        <v>0</v>
      </c>
      <c r="AF33" s="15">
        <f>IF(AQ33="2",BH33,0)</f>
        <v>0</v>
      </c>
      <c r="AG33" s="15">
        <f>IF(AQ33="2",BI33,0)</f>
        <v>0</v>
      </c>
      <c r="AH33" s="15">
        <f>IF(AQ33="0",BJ33,0)</f>
        <v>0</v>
      </c>
      <c r="AI33" s="46" t="s">
        <v>20</v>
      </c>
      <c r="AJ33" s="15">
        <f>IF(AN33=0,J33,0)</f>
        <v>0</v>
      </c>
      <c r="AK33" s="15">
        <f>IF(AN33=12,J33,0)</f>
        <v>0</v>
      </c>
      <c r="AL33" s="15">
        <f>IF(AN33=21,J33,0)</f>
        <v>0</v>
      </c>
      <c r="AN33" s="15">
        <v>12</v>
      </c>
      <c r="AO33" s="15">
        <f>G33*0</f>
        <v>0</v>
      </c>
      <c r="AP33" s="15">
        <f>G33*(1-0)</f>
        <v>0</v>
      </c>
      <c r="AQ33" s="14" t="s">
        <v>181</v>
      </c>
      <c r="AV33" s="15">
        <f>AW33+AX33</f>
        <v>0</v>
      </c>
      <c r="AW33" s="15">
        <f>F33*AO33</f>
        <v>0</v>
      </c>
      <c r="AX33" s="15">
        <f>F33*AP33</f>
        <v>0</v>
      </c>
      <c r="AY33" s="14" t="s">
        <v>216</v>
      </c>
      <c r="AZ33" s="14" t="s">
        <v>217</v>
      </c>
      <c r="BA33" s="46" t="s">
        <v>169</v>
      </c>
      <c r="BC33" s="15">
        <f>AW33+AX33</f>
        <v>0</v>
      </c>
      <c r="BD33" s="15">
        <f>G33/(100-BE33)*100</f>
        <v>0</v>
      </c>
      <c r="BE33" s="15">
        <v>0</v>
      </c>
      <c r="BF33" s="15">
        <f>33</f>
        <v>33</v>
      </c>
      <c r="BH33" s="15">
        <f>F33*AO33</f>
        <v>0</v>
      </c>
      <c r="BI33" s="15">
        <f>F33*AP33</f>
        <v>0</v>
      </c>
      <c r="BJ33" s="15">
        <f>F33*G33</f>
        <v>0</v>
      </c>
      <c r="BK33" s="15"/>
      <c r="BL33" s="15">
        <v>711</v>
      </c>
      <c r="BW33" s="15">
        <v>12</v>
      </c>
      <c r="BX33" s="4" t="s">
        <v>226</v>
      </c>
    </row>
    <row r="34" spans="1:76" x14ac:dyDescent="0.25">
      <c r="A34" s="63" t="s">
        <v>20</v>
      </c>
      <c r="B34" s="64" t="s">
        <v>32</v>
      </c>
      <c r="C34" s="150" t="s">
        <v>33</v>
      </c>
      <c r="D34" s="151"/>
      <c r="E34" s="65" t="s">
        <v>3</v>
      </c>
      <c r="F34" s="65" t="s">
        <v>3</v>
      </c>
      <c r="G34" s="66"/>
      <c r="H34" s="40">
        <f>SUM(H35:H37)</f>
        <v>0</v>
      </c>
      <c r="I34" s="40">
        <f>SUM(I35:I37)</f>
        <v>0</v>
      </c>
      <c r="J34" s="40">
        <f>SUM(J35:J37)</f>
        <v>0</v>
      </c>
      <c r="K34" s="67" t="s">
        <v>20</v>
      </c>
      <c r="AI34" s="46" t="s">
        <v>20</v>
      </c>
      <c r="AS34" s="40">
        <f>SUM(AJ35:AJ37)</f>
        <v>0</v>
      </c>
      <c r="AT34" s="40">
        <f>SUM(AK35:AK37)</f>
        <v>0</v>
      </c>
      <c r="AU34" s="40">
        <f>SUM(AL35:AL37)</f>
        <v>0</v>
      </c>
    </row>
    <row r="35" spans="1:76" x14ac:dyDescent="0.25">
      <c r="A35" s="1" t="s">
        <v>227</v>
      </c>
      <c r="B35" s="2" t="s">
        <v>228</v>
      </c>
      <c r="C35" s="78" t="s">
        <v>229</v>
      </c>
      <c r="D35" s="73"/>
      <c r="E35" s="2" t="s">
        <v>230</v>
      </c>
      <c r="F35" s="15">
        <v>1</v>
      </c>
      <c r="G35" s="61"/>
      <c r="H35" s="15">
        <f>F35*AO35</f>
        <v>0</v>
      </c>
      <c r="I35" s="15">
        <f>F35*AP35</f>
        <v>0</v>
      </c>
      <c r="J35" s="15">
        <f>F35*G35</f>
        <v>0</v>
      </c>
      <c r="K35" s="62" t="s">
        <v>231</v>
      </c>
      <c r="Z35" s="15">
        <f>IF(AQ35="5",BJ35,0)</f>
        <v>0</v>
      </c>
      <c r="AB35" s="15">
        <f>IF(AQ35="1",BH35,0)</f>
        <v>0</v>
      </c>
      <c r="AC35" s="15">
        <f>IF(AQ35="1",BI35,0)</f>
        <v>0</v>
      </c>
      <c r="AD35" s="15">
        <f>IF(AQ35="7",BH35,0)</f>
        <v>0</v>
      </c>
      <c r="AE35" s="15">
        <f>IF(AQ35="7",BI35,0)</f>
        <v>0</v>
      </c>
      <c r="AF35" s="15">
        <f>IF(AQ35="2",BH35,0)</f>
        <v>0</v>
      </c>
      <c r="AG35" s="15">
        <f>IF(AQ35="2",BI35,0)</f>
        <v>0</v>
      </c>
      <c r="AH35" s="15">
        <f>IF(AQ35="0",BJ35,0)</f>
        <v>0</v>
      </c>
      <c r="AI35" s="46" t="s">
        <v>20</v>
      </c>
      <c r="AJ35" s="15">
        <f>IF(AN35=0,J35,0)</f>
        <v>0</v>
      </c>
      <c r="AK35" s="15">
        <f>IF(AN35=12,J35,0)</f>
        <v>0</v>
      </c>
      <c r="AL35" s="15">
        <f>IF(AN35=21,J35,0)</f>
        <v>0</v>
      </c>
      <c r="AN35" s="15">
        <v>12</v>
      </c>
      <c r="AO35" s="15">
        <f>G35*0</f>
        <v>0</v>
      </c>
      <c r="AP35" s="15">
        <f>G35*(1-0)</f>
        <v>0</v>
      </c>
      <c r="AQ35" s="14" t="s">
        <v>187</v>
      </c>
      <c r="AV35" s="15">
        <f>AW35+AX35</f>
        <v>0</v>
      </c>
      <c r="AW35" s="15">
        <f>F35*AO35</f>
        <v>0</v>
      </c>
      <c r="AX35" s="15">
        <f>F35*AP35</f>
        <v>0</v>
      </c>
      <c r="AY35" s="14" t="s">
        <v>232</v>
      </c>
      <c r="AZ35" s="14" t="s">
        <v>232</v>
      </c>
      <c r="BA35" s="46" t="s">
        <v>169</v>
      </c>
      <c r="BC35" s="15">
        <f>AW35+AX35</f>
        <v>0</v>
      </c>
      <c r="BD35" s="15">
        <f>G35/(100-BE35)*100</f>
        <v>0</v>
      </c>
      <c r="BE35" s="15">
        <v>0</v>
      </c>
      <c r="BF35" s="15">
        <f>35</f>
        <v>35</v>
      </c>
      <c r="BH35" s="15">
        <f>F35*AO35</f>
        <v>0</v>
      </c>
      <c r="BI35" s="15">
        <f>F35*AP35</f>
        <v>0</v>
      </c>
      <c r="BJ35" s="15">
        <f>F35*G35</f>
        <v>0</v>
      </c>
      <c r="BK35" s="15"/>
      <c r="BL35" s="15">
        <v>72</v>
      </c>
      <c r="BW35" s="15">
        <v>12</v>
      </c>
      <c r="BX35" s="4" t="s">
        <v>229</v>
      </c>
    </row>
    <row r="36" spans="1:76" x14ac:dyDescent="0.25">
      <c r="A36" s="1" t="s">
        <v>233</v>
      </c>
      <c r="B36" s="2" t="s">
        <v>234</v>
      </c>
      <c r="C36" s="78" t="s">
        <v>235</v>
      </c>
      <c r="D36" s="73"/>
      <c r="E36" s="2" t="s">
        <v>230</v>
      </c>
      <c r="F36" s="15">
        <v>1</v>
      </c>
      <c r="G36" s="61"/>
      <c r="H36" s="15">
        <f>F36*AO36</f>
        <v>0</v>
      </c>
      <c r="I36" s="15">
        <f>F36*AP36</f>
        <v>0</v>
      </c>
      <c r="J36" s="15">
        <f>F36*G36</f>
        <v>0</v>
      </c>
      <c r="K36" s="62" t="s">
        <v>231</v>
      </c>
      <c r="Z36" s="15">
        <f>IF(AQ36="5",BJ36,0)</f>
        <v>0</v>
      </c>
      <c r="AB36" s="15">
        <f>IF(AQ36="1",BH36,0)</f>
        <v>0</v>
      </c>
      <c r="AC36" s="15">
        <f>IF(AQ36="1",BI36,0)</f>
        <v>0</v>
      </c>
      <c r="AD36" s="15">
        <f>IF(AQ36="7",BH36,0)</f>
        <v>0</v>
      </c>
      <c r="AE36" s="15">
        <f>IF(AQ36="7",BI36,0)</f>
        <v>0</v>
      </c>
      <c r="AF36" s="15">
        <f>IF(AQ36="2",BH36,0)</f>
        <v>0</v>
      </c>
      <c r="AG36" s="15">
        <f>IF(AQ36="2",BI36,0)</f>
        <v>0</v>
      </c>
      <c r="AH36" s="15">
        <f>IF(AQ36="0",BJ36,0)</f>
        <v>0</v>
      </c>
      <c r="AI36" s="46" t="s">
        <v>20</v>
      </c>
      <c r="AJ36" s="15">
        <f>IF(AN36=0,J36,0)</f>
        <v>0</v>
      </c>
      <c r="AK36" s="15">
        <f>IF(AN36=12,J36,0)</f>
        <v>0</v>
      </c>
      <c r="AL36" s="15">
        <f>IF(AN36=21,J36,0)</f>
        <v>0</v>
      </c>
      <c r="AN36" s="15">
        <v>12</v>
      </c>
      <c r="AO36" s="15">
        <f>G36*0</f>
        <v>0</v>
      </c>
      <c r="AP36" s="15">
        <f>G36*(1-0)</f>
        <v>0</v>
      </c>
      <c r="AQ36" s="14" t="s">
        <v>187</v>
      </c>
      <c r="AV36" s="15">
        <f>AW36+AX36</f>
        <v>0</v>
      </c>
      <c r="AW36" s="15">
        <f>F36*AO36</f>
        <v>0</v>
      </c>
      <c r="AX36" s="15">
        <f>F36*AP36</f>
        <v>0</v>
      </c>
      <c r="AY36" s="14" t="s">
        <v>232</v>
      </c>
      <c r="AZ36" s="14" t="s">
        <v>232</v>
      </c>
      <c r="BA36" s="46" t="s">
        <v>169</v>
      </c>
      <c r="BC36" s="15">
        <f>AW36+AX36</f>
        <v>0</v>
      </c>
      <c r="BD36" s="15">
        <f>G36/(100-BE36)*100</f>
        <v>0</v>
      </c>
      <c r="BE36" s="15">
        <v>0</v>
      </c>
      <c r="BF36" s="15">
        <f>36</f>
        <v>36</v>
      </c>
      <c r="BH36" s="15">
        <f>F36*AO36</f>
        <v>0</v>
      </c>
      <c r="BI36" s="15">
        <f>F36*AP36</f>
        <v>0</v>
      </c>
      <c r="BJ36" s="15">
        <f>F36*G36</f>
        <v>0</v>
      </c>
      <c r="BK36" s="15"/>
      <c r="BL36" s="15">
        <v>72</v>
      </c>
      <c r="BW36" s="15">
        <v>12</v>
      </c>
      <c r="BX36" s="4" t="s">
        <v>235</v>
      </c>
    </row>
    <row r="37" spans="1:76" x14ac:dyDescent="0.25">
      <c r="A37" s="1" t="s">
        <v>236</v>
      </c>
      <c r="B37" s="2" t="s">
        <v>237</v>
      </c>
      <c r="C37" s="78" t="s">
        <v>238</v>
      </c>
      <c r="D37" s="73"/>
      <c r="E37" s="2" t="s">
        <v>230</v>
      </c>
      <c r="F37" s="15">
        <v>1</v>
      </c>
      <c r="G37" s="61"/>
      <c r="H37" s="15">
        <f>F37*AO37</f>
        <v>0</v>
      </c>
      <c r="I37" s="15">
        <f>F37*AP37</f>
        <v>0</v>
      </c>
      <c r="J37" s="15">
        <f>F37*G37</f>
        <v>0</v>
      </c>
      <c r="K37" s="62" t="s">
        <v>231</v>
      </c>
      <c r="Z37" s="15">
        <f>IF(AQ37="5",BJ37,0)</f>
        <v>0</v>
      </c>
      <c r="AB37" s="15">
        <f>IF(AQ37="1",BH37,0)</f>
        <v>0</v>
      </c>
      <c r="AC37" s="15">
        <f>IF(AQ37="1",BI37,0)</f>
        <v>0</v>
      </c>
      <c r="AD37" s="15">
        <f>IF(AQ37="7",BH37,0)</f>
        <v>0</v>
      </c>
      <c r="AE37" s="15">
        <f>IF(AQ37="7",BI37,0)</f>
        <v>0</v>
      </c>
      <c r="AF37" s="15">
        <f>IF(AQ37="2",BH37,0)</f>
        <v>0</v>
      </c>
      <c r="AG37" s="15">
        <f>IF(AQ37="2",BI37,0)</f>
        <v>0</v>
      </c>
      <c r="AH37" s="15">
        <f>IF(AQ37="0",BJ37,0)</f>
        <v>0</v>
      </c>
      <c r="AI37" s="46" t="s">
        <v>20</v>
      </c>
      <c r="AJ37" s="15">
        <f>IF(AN37=0,J37,0)</f>
        <v>0</v>
      </c>
      <c r="AK37" s="15">
        <f>IF(AN37=12,J37,0)</f>
        <v>0</v>
      </c>
      <c r="AL37" s="15">
        <f>IF(AN37=21,J37,0)</f>
        <v>0</v>
      </c>
      <c r="AN37" s="15">
        <v>12</v>
      </c>
      <c r="AO37" s="15">
        <f>G37*0</f>
        <v>0</v>
      </c>
      <c r="AP37" s="15">
        <f>G37*(1-0)</f>
        <v>0</v>
      </c>
      <c r="AQ37" s="14" t="s">
        <v>187</v>
      </c>
      <c r="AV37" s="15">
        <f>AW37+AX37</f>
        <v>0</v>
      </c>
      <c r="AW37" s="15">
        <f>F37*AO37</f>
        <v>0</v>
      </c>
      <c r="AX37" s="15">
        <f>F37*AP37</f>
        <v>0</v>
      </c>
      <c r="AY37" s="14" t="s">
        <v>232</v>
      </c>
      <c r="AZ37" s="14" t="s">
        <v>232</v>
      </c>
      <c r="BA37" s="46" t="s">
        <v>169</v>
      </c>
      <c r="BC37" s="15">
        <f>AW37+AX37</f>
        <v>0</v>
      </c>
      <c r="BD37" s="15">
        <f>G37/(100-BE37)*100</f>
        <v>0</v>
      </c>
      <c r="BE37" s="15">
        <v>0</v>
      </c>
      <c r="BF37" s="15">
        <f>37</f>
        <v>37</v>
      </c>
      <c r="BH37" s="15">
        <f>F37*AO37</f>
        <v>0</v>
      </c>
      <c r="BI37" s="15">
        <f>F37*AP37</f>
        <v>0</v>
      </c>
      <c r="BJ37" s="15">
        <f>F37*G37</f>
        <v>0</v>
      </c>
      <c r="BK37" s="15"/>
      <c r="BL37" s="15">
        <v>72</v>
      </c>
      <c r="BW37" s="15">
        <v>12</v>
      </c>
      <c r="BX37" s="4" t="s">
        <v>238</v>
      </c>
    </row>
    <row r="38" spans="1:76" x14ac:dyDescent="0.25">
      <c r="A38" s="63" t="s">
        <v>20</v>
      </c>
      <c r="B38" s="64" t="s">
        <v>34</v>
      </c>
      <c r="C38" s="150" t="s">
        <v>35</v>
      </c>
      <c r="D38" s="151"/>
      <c r="E38" s="65" t="s">
        <v>3</v>
      </c>
      <c r="F38" s="65" t="s">
        <v>3</v>
      </c>
      <c r="G38" s="66"/>
      <c r="H38" s="40">
        <f>SUM(H39:H39)</f>
        <v>0</v>
      </c>
      <c r="I38" s="40">
        <f>SUM(I39:I39)</f>
        <v>0</v>
      </c>
      <c r="J38" s="40">
        <f>SUM(J39:J39)</f>
        <v>0</v>
      </c>
      <c r="K38" s="67" t="s">
        <v>20</v>
      </c>
      <c r="AI38" s="46" t="s">
        <v>20</v>
      </c>
      <c r="AS38" s="40">
        <f>SUM(AJ39:AJ39)</f>
        <v>0</v>
      </c>
      <c r="AT38" s="40">
        <f>SUM(AK39:AK39)</f>
        <v>0</v>
      </c>
      <c r="AU38" s="40">
        <f>SUM(AL39:AL39)</f>
        <v>0</v>
      </c>
    </row>
    <row r="39" spans="1:76" ht="25.5" x14ac:dyDescent="0.25">
      <c r="A39" s="1" t="s">
        <v>239</v>
      </c>
      <c r="B39" s="2" t="s">
        <v>34</v>
      </c>
      <c r="C39" s="78" t="s">
        <v>240</v>
      </c>
      <c r="D39" s="73"/>
      <c r="E39" s="2" t="s">
        <v>241</v>
      </c>
      <c r="F39" s="15">
        <v>15.2</v>
      </c>
      <c r="G39" s="61"/>
      <c r="H39" s="15">
        <f>F39*AO39</f>
        <v>0</v>
      </c>
      <c r="I39" s="15">
        <f>F39*AP39</f>
        <v>0</v>
      </c>
      <c r="J39" s="15">
        <f>F39*G39</f>
        <v>0</v>
      </c>
      <c r="K39" s="62" t="s">
        <v>166</v>
      </c>
      <c r="Z39" s="15">
        <f>IF(AQ39="5",BJ39,0)</f>
        <v>0</v>
      </c>
      <c r="AB39" s="15">
        <f>IF(AQ39="1",BH39,0)</f>
        <v>0</v>
      </c>
      <c r="AC39" s="15">
        <f>IF(AQ39="1",BI39,0)</f>
        <v>0</v>
      </c>
      <c r="AD39" s="15">
        <f>IF(AQ39="7",BH39,0)</f>
        <v>0</v>
      </c>
      <c r="AE39" s="15">
        <f>IF(AQ39="7",BI39,0)</f>
        <v>0</v>
      </c>
      <c r="AF39" s="15">
        <f>IF(AQ39="2",BH39,0)</f>
        <v>0</v>
      </c>
      <c r="AG39" s="15">
        <f>IF(AQ39="2",BI39,0)</f>
        <v>0</v>
      </c>
      <c r="AH39" s="15">
        <f>IF(AQ39="0",BJ39,0)</f>
        <v>0</v>
      </c>
      <c r="AI39" s="46" t="s">
        <v>20</v>
      </c>
      <c r="AJ39" s="15">
        <f>IF(AN39=0,J39,0)</f>
        <v>0</v>
      </c>
      <c r="AK39" s="15">
        <f>IF(AN39=12,J39,0)</f>
        <v>0</v>
      </c>
      <c r="AL39" s="15">
        <f>IF(AN39=21,J39,0)</f>
        <v>0</v>
      </c>
      <c r="AN39" s="15">
        <v>12</v>
      </c>
      <c r="AO39" s="15">
        <f>G39*0</f>
        <v>0</v>
      </c>
      <c r="AP39" s="15">
        <f>G39*(1-0)</f>
        <v>0</v>
      </c>
      <c r="AQ39" s="14" t="s">
        <v>187</v>
      </c>
      <c r="AV39" s="15">
        <f>AW39+AX39</f>
        <v>0</v>
      </c>
      <c r="AW39" s="15">
        <f>F39*AO39</f>
        <v>0</v>
      </c>
      <c r="AX39" s="15">
        <f>F39*AP39</f>
        <v>0</v>
      </c>
      <c r="AY39" s="14" t="s">
        <v>242</v>
      </c>
      <c r="AZ39" s="14" t="s">
        <v>232</v>
      </c>
      <c r="BA39" s="46" t="s">
        <v>169</v>
      </c>
      <c r="BC39" s="15">
        <f>AW39+AX39</f>
        <v>0</v>
      </c>
      <c r="BD39" s="15">
        <f>G39/(100-BE39)*100</f>
        <v>0</v>
      </c>
      <c r="BE39" s="15">
        <v>0</v>
      </c>
      <c r="BF39" s="15">
        <f>39</f>
        <v>39</v>
      </c>
      <c r="BH39" s="15">
        <f>F39*AO39</f>
        <v>0</v>
      </c>
      <c r="BI39" s="15">
        <f>F39*AP39</f>
        <v>0</v>
      </c>
      <c r="BJ39" s="15">
        <f>F39*G39</f>
        <v>0</v>
      </c>
      <c r="BK39" s="15"/>
      <c r="BL39" s="15">
        <v>721</v>
      </c>
      <c r="BW39" s="15">
        <v>12</v>
      </c>
      <c r="BX39" s="4" t="s">
        <v>240</v>
      </c>
    </row>
    <row r="40" spans="1:76" x14ac:dyDescent="0.25">
      <c r="A40" s="63" t="s">
        <v>20</v>
      </c>
      <c r="B40" s="64" t="s">
        <v>36</v>
      </c>
      <c r="C40" s="150" t="s">
        <v>37</v>
      </c>
      <c r="D40" s="151"/>
      <c r="E40" s="65" t="s">
        <v>3</v>
      </c>
      <c r="F40" s="65" t="s">
        <v>3</v>
      </c>
      <c r="G40" s="66"/>
      <c r="H40" s="40">
        <f>SUM(H41:H41)</f>
        <v>0</v>
      </c>
      <c r="I40" s="40">
        <f>SUM(I41:I41)</f>
        <v>0</v>
      </c>
      <c r="J40" s="40">
        <f>SUM(J41:J41)</f>
        <v>0</v>
      </c>
      <c r="K40" s="67" t="s">
        <v>20</v>
      </c>
      <c r="AI40" s="46" t="s">
        <v>20</v>
      </c>
      <c r="AS40" s="40">
        <f>SUM(AJ41:AJ41)</f>
        <v>0</v>
      </c>
      <c r="AT40" s="40">
        <f>SUM(AK41:AK41)</f>
        <v>0</v>
      </c>
      <c r="AU40" s="40">
        <f>SUM(AL41:AL41)</f>
        <v>0</v>
      </c>
    </row>
    <row r="41" spans="1:76" x14ac:dyDescent="0.25">
      <c r="A41" s="1" t="s">
        <v>243</v>
      </c>
      <c r="B41" s="2" t="s">
        <v>36</v>
      </c>
      <c r="C41" s="78" t="s">
        <v>244</v>
      </c>
      <c r="D41" s="73"/>
      <c r="E41" s="2" t="s">
        <v>241</v>
      </c>
      <c r="F41" s="15">
        <v>15.2</v>
      </c>
      <c r="G41" s="61"/>
      <c r="H41" s="15">
        <f>F41*AO41</f>
        <v>0</v>
      </c>
      <c r="I41" s="15">
        <f>F41*AP41</f>
        <v>0</v>
      </c>
      <c r="J41" s="15">
        <f>F41*G41</f>
        <v>0</v>
      </c>
      <c r="K41" s="62" t="s">
        <v>166</v>
      </c>
      <c r="Z41" s="15">
        <f>IF(AQ41="5",BJ41,0)</f>
        <v>0</v>
      </c>
      <c r="AB41" s="15">
        <f>IF(AQ41="1",BH41,0)</f>
        <v>0</v>
      </c>
      <c r="AC41" s="15">
        <f>IF(AQ41="1",BI41,0)</f>
        <v>0</v>
      </c>
      <c r="AD41" s="15">
        <f>IF(AQ41="7",BH41,0)</f>
        <v>0</v>
      </c>
      <c r="AE41" s="15">
        <f>IF(AQ41="7",BI41,0)</f>
        <v>0</v>
      </c>
      <c r="AF41" s="15">
        <f>IF(AQ41="2",BH41,0)</f>
        <v>0</v>
      </c>
      <c r="AG41" s="15">
        <f>IF(AQ41="2",BI41,0)</f>
        <v>0</v>
      </c>
      <c r="AH41" s="15">
        <f>IF(AQ41="0",BJ41,0)</f>
        <v>0</v>
      </c>
      <c r="AI41" s="46" t="s">
        <v>20</v>
      </c>
      <c r="AJ41" s="15">
        <f>IF(AN41=0,J41,0)</f>
        <v>0</v>
      </c>
      <c r="AK41" s="15">
        <f>IF(AN41=12,J41,0)</f>
        <v>0</v>
      </c>
      <c r="AL41" s="15">
        <f>IF(AN41=21,J41,0)</f>
        <v>0</v>
      </c>
      <c r="AN41" s="15">
        <v>12</v>
      </c>
      <c r="AO41" s="15">
        <f>G41*0</f>
        <v>0</v>
      </c>
      <c r="AP41" s="15">
        <f>G41*(1-0)</f>
        <v>0</v>
      </c>
      <c r="AQ41" s="14" t="s">
        <v>187</v>
      </c>
      <c r="AV41" s="15">
        <f>AW41+AX41</f>
        <v>0</v>
      </c>
      <c r="AW41" s="15">
        <f>F41*AO41</f>
        <v>0</v>
      </c>
      <c r="AX41" s="15">
        <f>F41*AP41</f>
        <v>0</v>
      </c>
      <c r="AY41" s="14" t="s">
        <v>245</v>
      </c>
      <c r="AZ41" s="14" t="s">
        <v>232</v>
      </c>
      <c r="BA41" s="46" t="s">
        <v>169</v>
      </c>
      <c r="BC41" s="15">
        <f>AW41+AX41</f>
        <v>0</v>
      </c>
      <c r="BD41" s="15">
        <f>G41/(100-BE41)*100</f>
        <v>0</v>
      </c>
      <c r="BE41" s="15">
        <v>0</v>
      </c>
      <c r="BF41" s="15">
        <f>41</f>
        <v>41</v>
      </c>
      <c r="BH41" s="15">
        <f>F41*AO41</f>
        <v>0</v>
      </c>
      <c r="BI41" s="15">
        <f>F41*AP41</f>
        <v>0</v>
      </c>
      <c r="BJ41" s="15">
        <f>F41*G41</f>
        <v>0</v>
      </c>
      <c r="BK41" s="15"/>
      <c r="BL41" s="15">
        <v>722</v>
      </c>
      <c r="BW41" s="15">
        <v>12</v>
      </c>
      <c r="BX41" s="4" t="s">
        <v>244</v>
      </c>
    </row>
    <row r="42" spans="1:76" x14ac:dyDescent="0.25">
      <c r="A42" s="63" t="s">
        <v>20</v>
      </c>
      <c r="B42" s="64" t="s">
        <v>38</v>
      </c>
      <c r="C42" s="150" t="s">
        <v>39</v>
      </c>
      <c r="D42" s="151"/>
      <c r="E42" s="65" t="s">
        <v>3</v>
      </c>
      <c r="F42" s="65" t="s">
        <v>3</v>
      </c>
      <c r="G42" s="66"/>
      <c r="H42" s="40">
        <f>SUM(H43:H56)</f>
        <v>0</v>
      </c>
      <c r="I42" s="40">
        <f>SUM(I43:I56)</f>
        <v>0</v>
      </c>
      <c r="J42" s="40">
        <f>SUM(J43:J56)</f>
        <v>0</v>
      </c>
      <c r="K42" s="67" t="s">
        <v>20</v>
      </c>
      <c r="AI42" s="46" t="s">
        <v>20</v>
      </c>
      <c r="AS42" s="40">
        <f>SUM(AJ43:AJ56)</f>
        <v>0</v>
      </c>
      <c r="AT42" s="40">
        <f>SUM(AK43:AK56)</f>
        <v>0</v>
      </c>
      <c r="AU42" s="40">
        <f>SUM(AL43:AL56)</f>
        <v>0</v>
      </c>
    </row>
    <row r="43" spans="1:76" x14ac:dyDescent="0.25">
      <c r="A43" s="1" t="s">
        <v>246</v>
      </c>
      <c r="B43" s="2" t="s">
        <v>247</v>
      </c>
      <c r="C43" s="78" t="s">
        <v>248</v>
      </c>
      <c r="D43" s="73"/>
      <c r="E43" s="2" t="s">
        <v>230</v>
      </c>
      <c r="F43" s="15">
        <v>1</v>
      </c>
      <c r="G43" s="61"/>
      <c r="H43" s="15">
        <f t="shared" ref="H43:H56" si="0">F43*AO43</f>
        <v>0</v>
      </c>
      <c r="I43" s="15">
        <f t="shared" ref="I43:I56" si="1">F43*AP43</f>
        <v>0</v>
      </c>
      <c r="J43" s="15">
        <f t="shared" ref="J43:J56" si="2">F43*G43</f>
        <v>0</v>
      </c>
      <c r="K43" s="62" t="s">
        <v>166</v>
      </c>
      <c r="Z43" s="15">
        <f t="shared" ref="Z43:Z56" si="3">IF(AQ43="5",BJ43,0)</f>
        <v>0</v>
      </c>
      <c r="AB43" s="15">
        <f t="shared" ref="AB43:AB56" si="4">IF(AQ43="1",BH43,0)</f>
        <v>0</v>
      </c>
      <c r="AC43" s="15">
        <f t="shared" ref="AC43:AC56" si="5">IF(AQ43="1",BI43,0)</f>
        <v>0</v>
      </c>
      <c r="AD43" s="15">
        <f t="shared" ref="AD43:AD56" si="6">IF(AQ43="7",BH43,0)</f>
        <v>0</v>
      </c>
      <c r="AE43" s="15">
        <f t="shared" ref="AE43:AE56" si="7">IF(AQ43="7",BI43,0)</f>
        <v>0</v>
      </c>
      <c r="AF43" s="15">
        <f t="shared" ref="AF43:AF56" si="8">IF(AQ43="2",BH43,0)</f>
        <v>0</v>
      </c>
      <c r="AG43" s="15">
        <f t="shared" ref="AG43:AG56" si="9">IF(AQ43="2",BI43,0)</f>
        <v>0</v>
      </c>
      <c r="AH43" s="15">
        <f t="shared" ref="AH43:AH56" si="10">IF(AQ43="0",BJ43,0)</f>
        <v>0</v>
      </c>
      <c r="AI43" s="46" t="s">
        <v>20</v>
      </c>
      <c r="AJ43" s="15">
        <f t="shared" ref="AJ43:AJ56" si="11">IF(AN43=0,J43,0)</f>
        <v>0</v>
      </c>
      <c r="AK43" s="15">
        <f t="shared" ref="AK43:AK56" si="12">IF(AN43=12,J43,0)</f>
        <v>0</v>
      </c>
      <c r="AL43" s="15">
        <f t="shared" ref="AL43:AL56" si="13">IF(AN43=21,J43,0)</f>
        <v>0</v>
      </c>
      <c r="AN43" s="15">
        <v>12</v>
      </c>
      <c r="AO43" s="15">
        <f>G43*0.861823964</f>
        <v>0</v>
      </c>
      <c r="AP43" s="15">
        <f>G43*(1-0.861823964)</f>
        <v>0</v>
      </c>
      <c r="AQ43" s="14" t="s">
        <v>187</v>
      </c>
      <c r="AV43" s="15">
        <f t="shared" ref="AV43:AV56" si="14">AW43+AX43</f>
        <v>0</v>
      </c>
      <c r="AW43" s="15">
        <f t="shared" ref="AW43:AW56" si="15">F43*AO43</f>
        <v>0</v>
      </c>
      <c r="AX43" s="15">
        <f t="shared" ref="AX43:AX56" si="16">F43*AP43</f>
        <v>0</v>
      </c>
      <c r="AY43" s="14" t="s">
        <v>249</v>
      </c>
      <c r="AZ43" s="14" t="s">
        <v>232</v>
      </c>
      <c r="BA43" s="46" t="s">
        <v>169</v>
      </c>
      <c r="BC43" s="15">
        <f t="shared" ref="BC43:BC56" si="17">AW43+AX43</f>
        <v>0</v>
      </c>
      <c r="BD43" s="15">
        <f t="shared" ref="BD43:BD56" si="18">G43/(100-BE43)*100</f>
        <v>0</v>
      </c>
      <c r="BE43" s="15">
        <v>0</v>
      </c>
      <c r="BF43" s="15">
        <f>43</f>
        <v>43</v>
      </c>
      <c r="BH43" s="15">
        <f t="shared" ref="BH43:BH56" si="19">F43*AO43</f>
        <v>0</v>
      </c>
      <c r="BI43" s="15">
        <f t="shared" ref="BI43:BI56" si="20">F43*AP43</f>
        <v>0</v>
      </c>
      <c r="BJ43" s="15">
        <f t="shared" ref="BJ43:BJ56" si="21">F43*G43</f>
        <v>0</v>
      </c>
      <c r="BK43" s="15"/>
      <c r="BL43" s="15">
        <v>725</v>
      </c>
      <c r="BW43" s="15">
        <v>12</v>
      </c>
      <c r="BX43" s="4" t="s">
        <v>248</v>
      </c>
    </row>
    <row r="44" spans="1:76" x14ac:dyDescent="0.25">
      <c r="A44" s="1" t="s">
        <v>250</v>
      </c>
      <c r="B44" s="2" t="s">
        <v>251</v>
      </c>
      <c r="C44" s="78" t="s">
        <v>252</v>
      </c>
      <c r="D44" s="73"/>
      <c r="E44" s="2" t="s">
        <v>230</v>
      </c>
      <c r="F44" s="15">
        <v>1</v>
      </c>
      <c r="G44" s="61"/>
      <c r="H44" s="15">
        <f t="shared" si="0"/>
        <v>0</v>
      </c>
      <c r="I44" s="15">
        <f t="shared" si="1"/>
        <v>0</v>
      </c>
      <c r="J44" s="15">
        <f t="shared" si="2"/>
        <v>0</v>
      </c>
      <c r="K44" s="62" t="s">
        <v>166</v>
      </c>
      <c r="Z44" s="15">
        <f t="shared" si="3"/>
        <v>0</v>
      </c>
      <c r="AB44" s="15">
        <f t="shared" si="4"/>
        <v>0</v>
      </c>
      <c r="AC44" s="15">
        <f t="shared" si="5"/>
        <v>0</v>
      </c>
      <c r="AD44" s="15">
        <f t="shared" si="6"/>
        <v>0</v>
      </c>
      <c r="AE44" s="15">
        <f t="shared" si="7"/>
        <v>0</v>
      </c>
      <c r="AF44" s="15">
        <f t="shared" si="8"/>
        <v>0</v>
      </c>
      <c r="AG44" s="15">
        <f t="shared" si="9"/>
        <v>0</v>
      </c>
      <c r="AH44" s="15">
        <f t="shared" si="10"/>
        <v>0</v>
      </c>
      <c r="AI44" s="46" t="s">
        <v>20</v>
      </c>
      <c r="AJ44" s="15">
        <f t="shared" si="11"/>
        <v>0</v>
      </c>
      <c r="AK44" s="15">
        <f t="shared" si="12"/>
        <v>0</v>
      </c>
      <c r="AL44" s="15">
        <f t="shared" si="13"/>
        <v>0</v>
      </c>
      <c r="AN44" s="15">
        <v>12</v>
      </c>
      <c r="AO44" s="15">
        <f>G44*0.689555556</f>
        <v>0</v>
      </c>
      <c r="AP44" s="15">
        <f>G44*(1-0.689555556)</f>
        <v>0</v>
      </c>
      <c r="AQ44" s="14" t="s">
        <v>187</v>
      </c>
      <c r="AV44" s="15">
        <f t="shared" si="14"/>
        <v>0</v>
      </c>
      <c r="AW44" s="15">
        <f t="shared" si="15"/>
        <v>0</v>
      </c>
      <c r="AX44" s="15">
        <f t="shared" si="16"/>
        <v>0</v>
      </c>
      <c r="AY44" s="14" t="s">
        <v>249</v>
      </c>
      <c r="AZ44" s="14" t="s">
        <v>232</v>
      </c>
      <c r="BA44" s="46" t="s">
        <v>169</v>
      </c>
      <c r="BC44" s="15">
        <f t="shared" si="17"/>
        <v>0</v>
      </c>
      <c r="BD44" s="15">
        <f t="shared" si="18"/>
        <v>0</v>
      </c>
      <c r="BE44" s="15">
        <v>0</v>
      </c>
      <c r="BF44" s="15">
        <f>44</f>
        <v>44</v>
      </c>
      <c r="BH44" s="15">
        <f t="shared" si="19"/>
        <v>0</v>
      </c>
      <c r="BI44" s="15">
        <f t="shared" si="20"/>
        <v>0</v>
      </c>
      <c r="BJ44" s="15">
        <f t="shared" si="21"/>
        <v>0</v>
      </c>
      <c r="BK44" s="15"/>
      <c r="BL44" s="15">
        <v>725</v>
      </c>
      <c r="BW44" s="15">
        <v>12</v>
      </c>
      <c r="BX44" s="4" t="s">
        <v>252</v>
      </c>
    </row>
    <row r="45" spans="1:76" x14ac:dyDescent="0.25">
      <c r="A45" s="1" t="s">
        <v>253</v>
      </c>
      <c r="B45" s="2" t="s">
        <v>254</v>
      </c>
      <c r="C45" s="78" t="s">
        <v>255</v>
      </c>
      <c r="D45" s="73"/>
      <c r="E45" s="2" t="s">
        <v>204</v>
      </c>
      <c r="F45" s="15">
        <v>1</v>
      </c>
      <c r="G45" s="61"/>
      <c r="H45" s="15">
        <f t="shared" si="0"/>
        <v>0</v>
      </c>
      <c r="I45" s="15">
        <f t="shared" si="1"/>
        <v>0</v>
      </c>
      <c r="J45" s="15">
        <f t="shared" si="2"/>
        <v>0</v>
      </c>
      <c r="K45" s="62" t="s">
        <v>166</v>
      </c>
      <c r="Z45" s="15">
        <f t="shared" si="3"/>
        <v>0</v>
      </c>
      <c r="AB45" s="15">
        <f t="shared" si="4"/>
        <v>0</v>
      </c>
      <c r="AC45" s="15">
        <f t="shared" si="5"/>
        <v>0</v>
      </c>
      <c r="AD45" s="15">
        <f t="shared" si="6"/>
        <v>0</v>
      </c>
      <c r="AE45" s="15">
        <f t="shared" si="7"/>
        <v>0</v>
      </c>
      <c r="AF45" s="15">
        <f t="shared" si="8"/>
        <v>0</v>
      </c>
      <c r="AG45" s="15">
        <f t="shared" si="9"/>
        <v>0</v>
      </c>
      <c r="AH45" s="15">
        <f t="shared" si="10"/>
        <v>0</v>
      </c>
      <c r="AI45" s="46" t="s">
        <v>20</v>
      </c>
      <c r="AJ45" s="15">
        <f t="shared" si="11"/>
        <v>0</v>
      </c>
      <c r="AK45" s="15">
        <f t="shared" si="12"/>
        <v>0</v>
      </c>
      <c r="AL45" s="15">
        <f t="shared" si="13"/>
        <v>0</v>
      </c>
      <c r="AN45" s="15">
        <v>12</v>
      </c>
      <c r="AO45" s="15">
        <f>G45*0.902765125</f>
        <v>0</v>
      </c>
      <c r="AP45" s="15">
        <f>G45*(1-0.902765125)</f>
        <v>0</v>
      </c>
      <c r="AQ45" s="14" t="s">
        <v>187</v>
      </c>
      <c r="AV45" s="15">
        <f t="shared" si="14"/>
        <v>0</v>
      </c>
      <c r="AW45" s="15">
        <f t="shared" si="15"/>
        <v>0</v>
      </c>
      <c r="AX45" s="15">
        <f t="shared" si="16"/>
        <v>0</v>
      </c>
      <c r="AY45" s="14" t="s">
        <v>249</v>
      </c>
      <c r="AZ45" s="14" t="s">
        <v>232</v>
      </c>
      <c r="BA45" s="46" t="s">
        <v>169</v>
      </c>
      <c r="BC45" s="15">
        <f t="shared" si="17"/>
        <v>0</v>
      </c>
      <c r="BD45" s="15">
        <f t="shared" si="18"/>
        <v>0</v>
      </c>
      <c r="BE45" s="15">
        <v>0</v>
      </c>
      <c r="BF45" s="15">
        <f>45</f>
        <v>45</v>
      </c>
      <c r="BH45" s="15">
        <f t="shared" si="19"/>
        <v>0</v>
      </c>
      <c r="BI45" s="15">
        <f t="shared" si="20"/>
        <v>0</v>
      </c>
      <c r="BJ45" s="15">
        <f t="shared" si="21"/>
        <v>0</v>
      </c>
      <c r="BK45" s="15"/>
      <c r="BL45" s="15">
        <v>725</v>
      </c>
      <c r="BW45" s="15">
        <v>12</v>
      </c>
      <c r="BX45" s="4" t="s">
        <v>255</v>
      </c>
    </row>
    <row r="46" spans="1:76" x14ac:dyDescent="0.25">
      <c r="A46" s="1" t="s">
        <v>256</v>
      </c>
      <c r="B46" s="2" t="s">
        <v>257</v>
      </c>
      <c r="C46" s="78" t="s">
        <v>258</v>
      </c>
      <c r="D46" s="73"/>
      <c r="E46" s="2" t="s">
        <v>204</v>
      </c>
      <c r="F46" s="15">
        <v>1</v>
      </c>
      <c r="G46" s="61"/>
      <c r="H46" s="15">
        <f t="shared" si="0"/>
        <v>0</v>
      </c>
      <c r="I46" s="15">
        <f t="shared" si="1"/>
        <v>0</v>
      </c>
      <c r="J46" s="15">
        <f t="shared" si="2"/>
        <v>0</v>
      </c>
      <c r="K46" s="62" t="s">
        <v>166</v>
      </c>
      <c r="Z46" s="15">
        <f t="shared" si="3"/>
        <v>0</v>
      </c>
      <c r="AB46" s="15">
        <f t="shared" si="4"/>
        <v>0</v>
      </c>
      <c r="AC46" s="15">
        <f t="shared" si="5"/>
        <v>0</v>
      </c>
      <c r="AD46" s="15">
        <f t="shared" si="6"/>
        <v>0</v>
      </c>
      <c r="AE46" s="15">
        <f t="shared" si="7"/>
        <v>0</v>
      </c>
      <c r="AF46" s="15">
        <f t="shared" si="8"/>
        <v>0</v>
      </c>
      <c r="AG46" s="15">
        <f t="shared" si="9"/>
        <v>0</v>
      </c>
      <c r="AH46" s="15">
        <f t="shared" si="10"/>
        <v>0</v>
      </c>
      <c r="AI46" s="46" t="s">
        <v>20</v>
      </c>
      <c r="AJ46" s="15">
        <f t="shared" si="11"/>
        <v>0</v>
      </c>
      <c r="AK46" s="15">
        <f t="shared" si="12"/>
        <v>0</v>
      </c>
      <c r="AL46" s="15">
        <f t="shared" si="13"/>
        <v>0</v>
      </c>
      <c r="AN46" s="15">
        <v>12</v>
      </c>
      <c r="AO46" s="15">
        <f>G46*0.672366589</f>
        <v>0</v>
      </c>
      <c r="AP46" s="15">
        <f>G46*(1-0.672366589)</f>
        <v>0</v>
      </c>
      <c r="AQ46" s="14" t="s">
        <v>187</v>
      </c>
      <c r="AV46" s="15">
        <f t="shared" si="14"/>
        <v>0</v>
      </c>
      <c r="AW46" s="15">
        <f t="shared" si="15"/>
        <v>0</v>
      </c>
      <c r="AX46" s="15">
        <f t="shared" si="16"/>
        <v>0</v>
      </c>
      <c r="AY46" s="14" t="s">
        <v>249</v>
      </c>
      <c r="AZ46" s="14" t="s">
        <v>232</v>
      </c>
      <c r="BA46" s="46" t="s">
        <v>169</v>
      </c>
      <c r="BC46" s="15">
        <f t="shared" si="17"/>
        <v>0</v>
      </c>
      <c r="BD46" s="15">
        <f t="shared" si="18"/>
        <v>0</v>
      </c>
      <c r="BE46" s="15">
        <v>0</v>
      </c>
      <c r="BF46" s="15">
        <f>46</f>
        <v>46</v>
      </c>
      <c r="BH46" s="15">
        <f t="shared" si="19"/>
        <v>0</v>
      </c>
      <c r="BI46" s="15">
        <f t="shared" si="20"/>
        <v>0</v>
      </c>
      <c r="BJ46" s="15">
        <f t="shared" si="21"/>
        <v>0</v>
      </c>
      <c r="BK46" s="15"/>
      <c r="BL46" s="15">
        <v>725</v>
      </c>
      <c r="BW46" s="15">
        <v>12</v>
      </c>
      <c r="BX46" s="4" t="s">
        <v>258</v>
      </c>
    </row>
    <row r="47" spans="1:76" x14ac:dyDescent="0.25">
      <c r="A47" s="1" t="s">
        <v>259</v>
      </c>
      <c r="B47" s="2" t="s">
        <v>260</v>
      </c>
      <c r="C47" s="78" t="s">
        <v>261</v>
      </c>
      <c r="D47" s="73"/>
      <c r="E47" s="2" t="s">
        <v>230</v>
      </c>
      <c r="F47" s="15">
        <v>1</v>
      </c>
      <c r="G47" s="61"/>
      <c r="H47" s="15">
        <f t="shared" si="0"/>
        <v>0</v>
      </c>
      <c r="I47" s="15">
        <f t="shared" si="1"/>
        <v>0</v>
      </c>
      <c r="J47" s="15">
        <f t="shared" si="2"/>
        <v>0</v>
      </c>
      <c r="K47" s="62" t="s">
        <v>166</v>
      </c>
      <c r="Z47" s="15">
        <f t="shared" si="3"/>
        <v>0</v>
      </c>
      <c r="AB47" s="15">
        <f t="shared" si="4"/>
        <v>0</v>
      </c>
      <c r="AC47" s="15">
        <f t="shared" si="5"/>
        <v>0</v>
      </c>
      <c r="AD47" s="15">
        <f t="shared" si="6"/>
        <v>0</v>
      </c>
      <c r="AE47" s="15">
        <f t="shared" si="7"/>
        <v>0</v>
      </c>
      <c r="AF47" s="15">
        <f t="shared" si="8"/>
        <v>0</v>
      </c>
      <c r="AG47" s="15">
        <f t="shared" si="9"/>
        <v>0</v>
      </c>
      <c r="AH47" s="15">
        <f t="shared" si="10"/>
        <v>0</v>
      </c>
      <c r="AI47" s="46" t="s">
        <v>20</v>
      </c>
      <c r="AJ47" s="15">
        <f t="shared" si="11"/>
        <v>0</v>
      </c>
      <c r="AK47" s="15">
        <f t="shared" si="12"/>
        <v>0</v>
      </c>
      <c r="AL47" s="15">
        <f t="shared" si="13"/>
        <v>0</v>
      </c>
      <c r="AN47" s="15">
        <v>12</v>
      </c>
      <c r="AO47" s="15">
        <f>G47*0.057066818</f>
        <v>0</v>
      </c>
      <c r="AP47" s="15">
        <f>G47*(1-0.057066818)</f>
        <v>0</v>
      </c>
      <c r="AQ47" s="14" t="s">
        <v>187</v>
      </c>
      <c r="AV47" s="15">
        <f t="shared" si="14"/>
        <v>0</v>
      </c>
      <c r="AW47" s="15">
        <f t="shared" si="15"/>
        <v>0</v>
      </c>
      <c r="AX47" s="15">
        <f t="shared" si="16"/>
        <v>0</v>
      </c>
      <c r="AY47" s="14" t="s">
        <v>249</v>
      </c>
      <c r="AZ47" s="14" t="s">
        <v>232</v>
      </c>
      <c r="BA47" s="46" t="s">
        <v>169</v>
      </c>
      <c r="BC47" s="15">
        <f t="shared" si="17"/>
        <v>0</v>
      </c>
      <c r="BD47" s="15">
        <f t="shared" si="18"/>
        <v>0</v>
      </c>
      <c r="BE47" s="15">
        <v>0</v>
      </c>
      <c r="BF47" s="15">
        <f>47</f>
        <v>47</v>
      </c>
      <c r="BH47" s="15">
        <f t="shared" si="19"/>
        <v>0</v>
      </c>
      <c r="BI47" s="15">
        <f t="shared" si="20"/>
        <v>0</v>
      </c>
      <c r="BJ47" s="15">
        <f t="shared" si="21"/>
        <v>0</v>
      </c>
      <c r="BK47" s="15"/>
      <c r="BL47" s="15">
        <v>725</v>
      </c>
      <c r="BW47" s="15">
        <v>12</v>
      </c>
      <c r="BX47" s="4" t="s">
        <v>261</v>
      </c>
    </row>
    <row r="48" spans="1:76" x14ac:dyDescent="0.25">
      <c r="A48" s="1" t="s">
        <v>262</v>
      </c>
      <c r="B48" s="2" t="s">
        <v>263</v>
      </c>
      <c r="C48" s="78" t="s">
        <v>264</v>
      </c>
      <c r="D48" s="73"/>
      <c r="E48" s="2" t="s">
        <v>204</v>
      </c>
      <c r="F48" s="15">
        <v>1</v>
      </c>
      <c r="G48" s="61"/>
      <c r="H48" s="15">
        <f t="shared" si="0"/>
        <v>0</v>
      </c>
      <c r="I48" s="15">
        <f t="shared" si="1"/>
        <v>0</v>
      </c>
      <c r="J48" s="15">
        <f t="shared" si="2"/>
        <v>0</v>
      </c>
      <c r="K48" s="62" t="s">
        <v>166</v>
      </c>
      <c r="Z48" s="15">
        <f t="shared" si="3"/>
        <v>0</v>
      </c>
      <c r="AB48" s="15">
        <f t="shared" si="4"/>
        <v>0</v>
      </c>
      <c r="AC48" s="15">
        <f t="shared" si="5"/>
        <v>0</v>
      </c>
      <c r="AD48" s="15">
        <f t="shared" si="6"/>
        <v>0</v>
      </c>
      <c r="AE48" s="15">
        <f t="shared" si="7"/>
        <v>0</v>
      </c>
      <c r="AF48" s="15">
        <f t="shared" si="8"/>
        <v>0</v>
      </c>
      <c r="AG48" s="15">
        <f t="shared" si="9"/>
        <v>0</v>
      </c>
      <c r="AH48" s="15">
        <f t="shared" si="10"/>
        <v>0</v>
      </c>
      <c r="AI48" s="46" t="s">
        <v>20</v>
      </c>
      <c r="AJ48" s="15">
        <f t="shared" si="11"/>
        <v>0</v>
      </c>
      <c r="AK48" s="15">
        <f t="shared" si="12"/>
        <v>0</v>
      </c>
      <c r="AL48" s="15">
        <f t="shared" si="13"/>
        <v>0</v>
      </c>
      <c r="AN48" s="15">
        <v>12</v>
      </c>
      <c r="AO48" s="15">
        <f>G48*1</f>
        <v>0</v>
      </c>
      <c r="AP48" s="15">
        <f>G48*(1-1)</f>
        <v>0</v>
      </c>
      <c r="AQ48" s="14" t="s">
        <v>187</v>
      </c>
      <c r="AV48" s="15">
        <f t="shared" si="14"/>
        <v>0</v>
      </c>
      <c r="AW48" s="15">
        <f t="shared" si="15"/>
        <v>0</v>
      </c>
      <c r="AX48" s="15">
        <f t="shared" si="16"/>
        <v>0</v>
      </c>
      <c r="AY48" s="14" t="s">
        <v>249</v>
      </c>
      <c r="AZ48" s="14" t="s">
        <v>232</v>
      </c>
      <c r="BA48" s="46" t="s">
        <v>169</v>
      </c>
      <c r="BC48" s="15">
        <f t="shared" si="17"/>
        <v>0</v>
      </c>
      <c r="BD48" s="15">
        <f t="shared" si="18"/>
        <v>0</v>
      </c>
      <c r="BE48" s="15">
        <v>0</v>
      </c>
      <c r="BF48" s="15">
        <f>48</f>
        <v>48</v>
      </c>
      <c r="BH48" s="15">
        <f t="shared" si="19"/>
        <v>0</v>
      </c>
      <c r="BI48" s="15">
        <f t="shared" si="20"/>
        <v>0</v>
      </c>
      <c r="BJ48" s="15">
        <f t="shared" si="21"/>
        <v>0</v>
      </c>
      <c r="BK48" s="15"/>
      <c r="BL48" s="15">
        <v>725</v>
      </c>
      <c r="BW48" s="15">
        <v>12</v>
      </c>
      <c r="BX48" s="4" t="s">
        <v>264</v>
      </c>
    </row>
    <row r="49" spans="1:76" x14ac:dyDescent="0.25">
      <c r="A49" s="1" t="s">
        <v>265</v>
      </c>
      <c r="B49" s="2" t="s">
        <v>266</v>
      </c>
      <c r="C49" s="78" t="s">
        <v>267</v>
      </c>
      <c r="D49" s="73"/>
      <c r="E49" s="2" t="s">
        <v>204</v>
      </c>
      <c r="F49" s="15">
        <v>1</v>
      </c>
      <c r="G49" s="61"/>
      <c r="H49" s="15">
        <f t="shared" si="0"/>
        <v>0</v>
      </c>
      <c r="I49" s="15">
        <f t="shared" si="1"/>
        <v>0</v>
      </c>
      <c r="J49" s="15">
        <f t="shared" si="2"/>
        <v>0</v>
      </c>
      <c r="K49" s="62" t="s">
        <v>166</v>
      </c>
      <c r="Z49" s="15">
        <f t="shared" si="3"/>
        <v>0</v>
      </c>
      <c r="AB49" s="15">
        <f t="shared" si="4"/>
        <v>0</v>
      </c>
      <c r="AC49" s="15">
        <f t="shared" si="5"/>
        <v>0</v>
      </c>
      <c r="AD49" s="15">
        <f t="shared" si="6"/>
        <v>0</v>
      </c>
      <c r="AE49" s="15">
        <f t="shared" si="7"/>
        <v>0</v>
      </c>
      <c r="AF49" s="15">
        <f t="shared" si="8"/>
        <v>0</v>
      </c>
      <c r="AG49" s="15">
        <f t="shared" si="9"/>
        <v>0</v>
      </c>
      <c r="AH49" s="15">
        <f t="shared" si="10"/>
        <v>0</v>
      </c>
      <c r="AI49" s="46" t="s">
        <v>20</v>
      </c>
      <c r="AJ49" s="15">
        <f t="shared" si="11"/>
        <v>0</v>
      </c>
      <c r="AK49" s="15">
        <f t="shared" si="12"/>
        <v>0</v>
      </c>
      <c r="AL49" s="15">
        <f t="shared" si="13"/>
        <v>0</v>
      </c>
      <c r="AN49" s="15">
        <v>12</v>
      </c>
      <c r="AO49" s="15">
        <f>G49*1</f>
        <v>0</v>
      </c>
      <c r="AP49" s="15">
        <f>G49*(1-1)</f>
        <v>0</v>
      </c>
      <c r="AQ49" s="14" t="s">
        <v>187</v>
      </c>
      <c r="AV49" s="15">
        <f t="shared" si="14"/>
        <v>0</v>
      </c>
      <c r="AW49" s="15">
        <f t="shared" si="15"/>
        <v>0</v>
      </c>
      <c r="AX49" s="15">
        <f t="shared" si="16"/>
        <v>0</v>
      </c>
      <c r="AY49" s="14" t="s">
        <v>249</v>
      </c>
      <c r="AZ49" s="14" t="s">
        <v>232</v>
      </c>
      <c r="BA49" s="46" t="s">
        <v>169</v>
      </c>
      <c r="BC49" s="15">
        <f t="shared" si="17"/>
        <v>0</v>
      </c>
      <c r="BD49" s="15">
        <f t="shared" si="18"/>
        <v>0</v>
      </c>
      <c r="BE49" s="15">
        <v>0</v>
      </c>
      <c r="BF49" s="15">
        <f>49</f>
        <v>49</v>
      </c>
      <c r="BH49" s="15">
        <f t="shared" si="19"/>
        <v>0</v>
      </c>
      <c r="BI49" s="15">
        <f t="shared" si="20"/>
        <v>0</v>
      </c>
      <c r="BJ49" s="15">
        <f t="shared" si="21"/>
        <v>0</v>
      </c>
      <c r="BK49" s="15"/>
      <c r="BL49" s="15">
        <v>725</v>
      </c>
      <c r="BW49" s="15">
        <v>12</v>
      </c>
      <c r="BX49" s="4" t="s">
        <v>267</v>
      </c>
    </row>
    <row r="50" spans="1:76" ht="25.5" x14ac:dyDescent="0.25">
      <c r="A50" s="1" t="s">
        <v>268</v>
      </c>
      <c r="B50" s="2" t="s">
        <v>269</v>
      </c>
      <c r="C50" s="78" t="s">
        <v>270</v>
      </c>
      <c r="D50" s="73"/>
      <c r="E50" s="2" t="s">
        <v>204</v>
      </c>
      <c r="F50" s="15">
        <v>1</v>
      </c>
      <c r="G50" s="61"/>
      <c r="H50" s="15">
        <f t="shared" si="0"/>
        <v>0</v>
      </c>
      <c r="I50" s="15">
        <f t="shared" si="1"/>
        <v>0</v>
      </c>
      <c r="J50" s="15">
        <f t="shared" si="2"/>
        <v>0</v>
      </c>
      <c r="K50" s="62" t="s">
        <v>166</v>
      </c>
      <c r="Z50" s="15">
        <f t="shared" si="3"/>
        <v>0</v>
      </c>
      <c r="AB50" s="15">
        <f t="shared" si="4"/>
        <v>0</v>
      </c>
      <c r="AC50" s="15">
        <f t="shared" si="5"/>
        <v>0</v>
      </c>
      <c r="AD50" s="15">
        <f t="shared" si="6"/>
        <v>0</v>
      </c>
      <c r="AE50" s="15">
        <f t="shared" si="7"/>
        <v>0</v>
      </c>
      <c r="AF50" s="15">
        <f t="shared" si="8"/>
        <v>0</v>
      </c>
      <c r="AG50" s="15">
        <f t="shared" si="9"/>
        <v>0</v>
      </c>
      <c r="AH50" s="15">
        <f t="shared" si="10"/>
        <v>0</v>
      </c>
      <c r="AI50" s="46" t="s">
        <v>20</v>
      </c>
      <c r="AJ50" s="15">
        <f t="shared" si="11"/>
        <v>0</v>
      </c>
      <c r="AK50" s="15">
        <f t="shared" si="12"/>
        <v>0</v>
      </c>
      <c r="AL50" s="15">
        <f t="shared" si="13"/>
        <v>0</v>
      </c>
      <c r="AN50" s="15">
        <v>12</v>
      </c>
      <c r="AO50" s="15">
        <f>G50*0.852864629</f>
        <v>0</v>
      </c>
      <c r="AP50" s="15">
        <f>G50*(1-0.852864629)</f>
        <v>0</v>
      </c>
      <c r="AQ50" s="14" t="s">
        <v>187</v>
      </c>
      <c r="AV50" s="15">
        <f t="shared" si="14"/>
        <v>0</v>
      </c>
      <c r="AW50" s="15">
        <f t="shared" si="15"/>
        <v>0</v>
      </c>
      <c r="AX50" s="15">
        <f t="shared" si="16"/>
        <v>0</v>
      </c>
      <c r="AY50" s="14" t="s">
        <v>249</v>
      </c>
      <c r="AZ50" s="14" t="s">
        <v>232</v>
      </c>
      <c r="BA50" s="46" t="s">
        <v>169</v>
      </c>
      <c r="BC50" s="15">
        <f t="shared" si="17"/>
        <v>0</v>
      </c>
      <c r="BD50" s="15">
        <f t="shared" si="18"/>
        <v>0</v>
      </c>
      <c r="BE50" s="15">
        <v>0</v>
      </c>
      <c r="BF50" s="15">
        <f>50</f>
        <v>50</v>
      </c>
      <c r="BH50" s="15">
        <f t="shared" si="19"/>
        <v>0</v>
      </c>
      <c r="BI50" s="15">
        <f t="shared" si="20"/>
        <v>0</v>
      </c>
      <c r="BJ50" s="15">
        <f t="shared" si="21"/>
        <v>0</v>
      </c>
      <c r="BK50" s="15"/>
      <c r="BL50" s="15">
        <v>725</v>
      </c>
      <c r="BW50" s="15">
        <v>12</v>
      </c>
      <c r="BX50" s="4" t="s">
        <v>270</v>
      </c>
    </row>
    <row r="51" spans="1:76" x14ac:dyDescent="0.25">
      <c r="A51" s="1" t="s">
        <v>271</v>
      </c>
      <c r="B51" s="2" t="s">
        <v>272</v>
      </c>
      <c r="C51" s="78" t="s">
        <v>273</v>
      </c>
      <c r="D51" s="73"/>
      <c r="E51" s="2" t="s">
        <v>230</v>
      </c>
      <c r="F51" s="15">
        <v>1</v>
      </c>
      <c r="G51" s="61"/>
      <c r="H51" s="15">
        <f t="shared" si="0"/>
        <v>0</v>
      </c>
      <c r="I51" s="15">
        <f t="shared" si="1"/>
        <v>0</v>
      </c>
      <c r="J51" s="15">
        <f t="shared" si="2"/>
        <v>0</v>
      </c>
      <c r="K51" s="62" t="s">
        <v>166</v>
      </c>
      <c r="Z51" s="15">
        <f t="shared" si="3"/>
        <v>0</v>
      </c>
      <c r="AB51" s="15">
        <f t="shared" si="4"/>
        <v>0</v>
      </c>
      <c r="AC51" s="15">
        <f t="shared" si="5"/>
        <v>0</v>
      </c>
      <c r="AD51" s="15">
        <f t="shared" si="6"/>
        <v>0</v>
      </c>
      <c r="AE51" s="15">
        <f t="shared" si="7"/>
        <v>0</v>
      </c>
      <c r="AF51" s="15">
        <f t="shared" si="8"/>
        <v>0</v>
      </c>
      <c r="AG51" s="15">
        <f t="shared" si="9"/>
        <v>0</v>
      </c>
      <c r="AH51" s="15">
        <f t="shared" si="10"/>
        <v>0</v>
      </c>
      <c r="AI51" s="46" t="s">
        <v>20</v>
      </c>
      <c r="AJ51" s="15">
        <f t="shared" si="11"/>
        <v>0</v>
      </c>
      <c r="AK51" s="15">
        <f t="shared" si="12"/>
        <v>0</v>
      </c>
      <c r="AL51" s="15">
        <f t="shared" si="13"/>
        <v>0</v>
      </c>
      <c r="AN51" s="15">
        <v>12</v>
      </c>
      <c r="AO51" s="15">
        <f>G51*0.699327122</f>
        <v>0</v>
      </c>
      <c r="AP51" s="15">
        <f>G51*(1-0.699327122)</f>
        <v>0</v>
      </c>
      <c r="AQ51" s="14" t="s">
        <v>187</v>
      </c>
      <c r="AV51" s="15">
        <f t="shared" si="14"/>
        <v>0</v>
      </c>
      <c r="AW51" s="15">
        <f t="shared" si="15"/>
        <v>0</v>
      </c>
      <c r="AX51" s="15">
        <f t="shared" si="16"/>
        <v>0</v>
      </c>
      <c r="AY51" s="14" t="s">
        <v>249</v>
      </c>
      <c r="AZ51" s="14" t="s">
        <v>232</v>
      </c>
      <c r="BA51" s="46" t="s">
        <v>169</v>
      </c>
      <c r="BC51" s="15">
        <f t="shared" si="17"/>
        <v>0</v>
      </c>
      <c r="BD51" s="15">
        <f t="shared" si="18"/>
        <v>0</v>
      </c>
      <c r="BE51" s="15">
        <v>0</v>
      </c>
      <c r="BF51" s="15">
        <f>51</f>
        <v>51</v>
      </c>
      <c r="BH51" s="15">
        <f t="shared" si="19"/>
        <v>0</v>
      </c>
      <c r="BI51" s="15">
        <f t="shared" si="20"/>
        <v>0</v>
      </c>
      <c r="BJ51" s="15">
        <f t="shared" si="21"/>
        <v>0</v>
      </c>
      <c r="BK51" s="15"/>
      <c r="BL51" s="15">
        <v>725</v>
      </c>
      <c r="BW51" s="15">
        <v>12</v>
      </c>
      <c r="BX51" s="4" t="s">
        <v>273</v>
      </c>
    </row>
    <row r="52" spans="1:76" x14ac:dyDescent="0.25">
      <c r="A52" s="1" t="s">
        <v>274</v>
      </c>
      <c r="B52" s="2" t="s">
        <v>275</v>
      </c>
      <c r="C52" s="78" t="s">
        <v>276</v>
      </c>
      <c r="D52" s="73"/>
      <c r="E52" s="2" t="s">
        <v>204</v>
      </c>
      <c r="F52" s="15">
        <v>1</v>
      </c>
      <c r="G52" s="61"/>
      <c r="H52" s="15">
        <f t="shared" si="0"/>
        <v>0</v>
      </c>
      <c r="I52" s="15">
        <f t="shared" si="1"/>
        <v>0</v>
      </c>
      <c r="J52" s="15">
        <f t="shared" si="2"/>
        <v>0</v>
      </c>
      <c r="K52" s="62" t="s">
        <v>166</v>
      </c>
      <c r="Z52" s="15">
        <f t="shared" si="3"/>
        <v>0</v>
      </c>
      <c r="AB52" s="15">
        <f t="shared" si="4"/>
        <v>0</v>
      </c>
      <c r="AC52" s="15">
        <f t="shared" si="5"/>
        <v>0</v>
      </c>
      <c r="AD52" s="15">
        <f t="shared" si="6"/>
        <v>0</v>
      </c>
      <c r="AE52" s="15">
        <f t="shared" si="7"/>
        <v>0</v>
      </c>
      <c r="AF52" s="15">
        <f t="shared" si="8"/>
        <v>0</v>
      </c>
      <c r="AG52" s="15">
        <f t="shared" si="9"/>
        <v>0</v>
      </c>
      <c r="AH52" s="15">
        <f t="shared" si="10"/>
        <v>0</v>
      </c>
      <c r="AI52" s="46" t="s">
        <v>20</v>
      </c>
      <c r="AJ52" s="15">
        <f t="shared" si="11"/>
        <v>0</v>
      </c>
      <c r="AK52" s="15">
        <f t="shared" si="12"/>
        <v>0</v>
      </c>
      <c r="AL52" s="15">
        <f t="shared" si="13"/>
        <v>0</v>
      </c>
      <c r="AN52" s="15">
        <v>12</v>
      </c>
      <c r="AO52" s="15">
        <f>G52*0.88622221</f>
        <v>0</v>
      </c>
      <c r="AP52" s="15">
        <f>G52*(1-0.88622221)</f>
        <v>0</v>
      </c>
      <c r="AQ52" s="14" t="s">
        <v>187</v>
      </c>
      <c r="AV52" s="15">
        <f t="shared" si="14"/>
        <v>0</v>
      </c>
      <c r="AW52" s="15">
        <f t="shared" si="15"/>
        <v>0</v>
      </c>
      <c r="AX52" s="15">
        <f t="shared" si="16"/>
        <v>0</v>
      </c>
      <c r="AY52" s="14" t="s">
        <v>249</v>
      </c>
      <c r="AZ52" s="14" t="s">
        <v>232</v>
      </c>
      <c r="BA52" s="46" t="s">
        <v>169</v>
      </c>
      <c r="BC52" s="15">
        <f t="shared" si="17"/>
        <v>0</v>
      </c>
      <c r="BD52" s="15">
        <f t="shared" si="18"/>
        <v>0</v>
      </c>
      <c r="BE52" s="15">
        <v>0</v>
      </c>
      <c r="BF52" s="15">
        <f>52</f>
        <v>52</v>
      </c>
      <c r="BH52" s="15">
        <f t="shared" si="19"/>
        <v>0</v>
      </c>
      <c r="BI52" s="15">
        <f t="shared" si="20"/>
        <v>0</v>
      </c>
      <c r="BJ52" s="15">
        <f t="shared" si="21"/>
        <v>0</v>
      </c>
      <c r="BK52" s="15"/>
      <c r="BL52" s="15">
        <v>725</v>
      </c>
      <c r="BW52" s="15">
        <v>12</v>
      </c>
      <c r="BX52" s="4" t="s">
        <v>276</v>
      </c>
    </row>
    <row r="53" spans="1:76" x14ac:dyDescent="0.25">
      <c r="A53" s="1" t="s">
        <v>277</v>
      </c>
      <c r="B53" s="2" t="s">
        <v>278</v>
      </c>
      <c r="C53" s="78" t="s">
        <v>279</v>
      </c>
      <c r="D53" s="73"/>
      <c r="E53" s="2" t="s">
        <v>204</v>
      </c>
      <c r="F53" s="15">
        <v>1</v>
      </c>
      <c r="G53" s="61"/>
      <c r="H53" s="15">
        <f t="shared" si="0"/>
        <v>0</v>
      </c>
      <c r="I53" s="15">
        <f t="shared" si="1"/>
        <v>0</v>
      </c>
      <c r="J53" s="15">
        <f t="shared" si="2"/>
        <v>0</v>
      </c>
      <c r="K53" s="62" t="s">
        <v>166</v>
      </c>
      <c r="Z53" s="15">
        <f t="shared" si="3"/>
        <v>0</v>
      </c>
      <c r="AB53" s="15">
        <f t="shared" si="4"/>
        <v>0</v>
      </c>
      <c r="AC53" s="15">
        <f t="shared" si="5"/>
        <v>0</v>
      </c>
      <c r="AD53" s="15">
        <f t="shared" si="6"/>
        <v>0</v>
      </c>
      <c r="AE53" s="15">
        <f t="shared" si="7"/>
        <v>0</v>
      </c>
      <c r="AF53" s="15">
        <f t="shared" si="8"/>
        <v>0</v>
      </c>
      <c r="AG53" s="15">
        <f t="shared" si="9"/>
        <v>0</v>
      </c>
      <c r="AH53" s="15">
        <f t="shared" si="10"/>
        <v>0</v>
      </c>
      <c r="AI53" s="46" t="s">
        <v>20</v>
      </c>
      <c r="AJ53" s="15">
        <f t="shared" si="11"/>
        <v>0</v>
      </c>
      <c r="AK53" s="15">
        <f t="shared" si="12"/>
        <v>0</v>
      </c>
      <c r="AL53" s="15">
        <f t="shared" si="13"/>
        <v>0</v>
      </c>
      <c r="AN53" s="15">
        <v>12</v>
      </c>
      <c r="AO53" s="15">
        <f>G53*1</f>
        <v>0</v>
      </c>
      <c r="AP53" s="15">
        <f>G53*(1-1)</f>
        <v>0</v>
      </c>
      <c r="AQ53" s="14" t="s">
        <v>187</v>
      </c>
      <c r="AV53" s="15">
        <f t="shared" si="14"/>
        <v>0</v>
      </c>
      <c r="AW53" s="15">
        <f t="shared" si="15"/>
        <v>0</v>
      </c>
      <c r="AX53" s="15">
        <f t="shared" si="16"/>
        <v>0</v>
      </c>
      <c r="AY53" s="14" t="s">
        <v>249</v>
      </c>
      <c r="AZ53" s="14" t="s">
        <v>232</v>
      </c>
      <c r="BA53" s="46" t="s">
        <v>169</v>
      </c>
      <c r="BC53" s="15">
        <f t="shared" si="17"/>
        <v>0</v>
      </c>
      <c r="BD53" s="15">
        <f t="shared" si="18"/>
        <v>0</v>
      </c>
      <c r="BE53" s="15">
        <v>0</v>
      </c>
      <c r="BF53" s="15">
        <f>53</f>
        <v>53</v>
      </c>
      <c r="BH53" s="15">
        <f t="shared" si="19"/>
        <v>0</v>
      </c>
      <c r="BI53" s="15">
        <f t="shared" si="20"/>
        <v>0</v>
      </c>
      <c r="BJ53" s="15">
        <f t="shared" si="21"/>
        <v>0</v>
      </c>
      <c r="BK53" s="15"/>
      <c r="BL53" s="15">
        <v>725</v>
      </c>
      <c r="BW53" s="15">
        <v>12</v>
      </c>
      <c r="BX53" s="4" t="s">
        <v>279</v>
      </c>
    </row>
    <row r="54" spans="1:76" x14ac:dyDescent="0.25">
      <c r="A54" s="1" t="s">
        <v>21</v>
      </c>
      <c r="B54" s="2" t="s">
        <v>280</v>
      </c>
      <c r="C54" s="78" t="s">
        <v>281</v>
      </c>
      <c r="D54" s="73"/>
      <c r="E54" s="2" t="s">
        <v>204</v>
      </c>
      <c r="F54" s="15">
        <v>1</v>
      </c>
      <c r="G54" s="61"/>
      <c r="H54" s="15">
        <f t="shared" si="0"/>
        <v>0</v>
      </c>
      <c r="I54" s="15">
        <f t="shared" si="1"/>
        <v>0</v>
      </c>
      <c r="J54" s="15">
        <f t="shared" si="2"/>
        <v>0</v>
      </c>
      <c r="K54" s="62" t="s">
        <v>166</v>
      </c>
      <c r="Z54" s="15">
        <f t="shared" si="3"/>
        <v>0</v>
      </c>
      <c r="AB54" s="15">
        <f t="shared" si="4"/>
        <v>0</v>
      </c>
      <c r="AC54" s="15">
        <f t="shared" si="5"/>
        <v>0</v>
      </c>
      <c r="AD54" s="15">
        <f t="shared" si="6"/>
        <v>0</v>
      </c>
      <c r="AE54" s="15">
        <f t="shared" si="7"/>
        <v>0</v>
      </c>
      <c r="AF54" s="15">
        <f t="shared" si="8"/>
        <v>0</v>
      </c>
      <c r="AG54" s="15">
        <f t="shared" si="9"/>
        <v>0</v>
      </c>
      <c r="AH54" s="15">
        <f t="shared" si="10"/>
        <v>0</v>
      </c>
      <c r="AI54" s="46" t="s">
        <v>20</v>
      </c>
      <c r="AJ54" s="15">
        <f t="shared" si="11"/>
        <v>0</v>
      </c>
      <c r="AK54" s="15">
        <f t="shared" si="12"/>
        <v>0</v>
      </c>
      <c r="AL54" s="15">
        <f t="shared" si="13"/>
        <v>0</v>
      </c>
      <c r="AN54" s="15">
        <v>12</v>
      </c>
      <c r="AO54" s="15">
        <f>G54*0.713279188</f>
        <v>0</v>
      </c>
      <c r="AP54" s="15">
        <f>G54*(1-0.713279188)</f>
        <v>0</v>
      </c>
      <c r="AQ54" s="14" t="s">
        <v>187</v>
      </c>
      <c r="AV54" s="15">
        <f t="shared" si="14"/>
        <v>0</v>
      </c>
      <c r="AW54" s="15">
        <f t="shared" si="15"/>
        <v>0</v>
      </c>
      <c r="AX54" s="15">
        <f t="shared" si="16"/>
        <v>0</v>
      </c>
      <c r="AY54" s="14" t="s">
        <v>249</v>
      </c>
      <c r="AZ54" s="14" t="s">
        <v>232</v>
      </c>
      <c r="BA54" s="46" t="s">
        <v>169</v>
      </c>
      <c r="BC54" s="15">
        <f t="shared" si="17"/>
        <v>0</v>
      </c>
      <c r="BD54" s="15">
        <f t="shared" si="18"/>
        <v>0</v>
      </c>
      <c r="BE54" s="15">
        <v>0</v>
      </c>
      <c r="BF54" s="15">
        <f>54</f>
        <v>54</v>
      </c>
      <c r="BH54" s="15">
        <f t="shared" si="19"/>
        <v>0</v>
      </c>
      <c r="BI54" s="15">
        <f t="shared" si="20"/>
        <v>0</v>
      </c>
      <c r="BJ54" s="15">
        <f t="shared" si="21"/>
        <v>0</v>
      </c>
      <c r="BK54" s="15"/>
      <c r="BL54" s="15">
        <v>725</v>
      </c>
      <c r="BW54" s="15">
        <v>12</v>
      </c>
      <c r="BX54" s="4" t="s">
        <v>281</v>
      </c>
    </row>
    <row r="55" spans="1:76" x14ac:dyDescent="0.25">
      <c r="A55" s="1" t="s">
        <v>282</v>
      </c>
      <c r="B55" s="2" t="s">
        <v>283</v>
      </c>
      <c r="C55" s="78" t="s">
        <v>284</v>
      </c>
      <c r="D55" s="73"/>
      <c r="E55" s="2" t="s">
        <v>204</v>
      </c>
      <c r="F55" s="15">
        <v>1</v>
      </c>
      <c r="G55" s="61"/>
      <c r="H55" s="15">
        <f t="shared" si="0"/>
        <v>0</v>
      </c>
      <c r="I55" s="15">
        <f t="shared" si="1"/>
        <v>0</v>
      </c>
      <c r="J55" s="15">
        <f t="shared" si="2"/>
        <v>0</v>
      </c>
      <c r="K55" s="62" t="s">
        <v>166</v>
      </c>
      <c r="Z55" s="15">
        <f t="shared" si="3"/>
        <v>0</v>
      </c>
      <c r="AB55" s="15">
        <f t="shared" si="4"/>
        <v>0</v>
      </c>
      <c r="AC55" s="15">
        <f t="shared" si="5"/>
        <v>0</v>
      </c>
      <c r="AD55" s="15">
        <f t="shared" si="6"/>
        <v>0</v>
      </c>
      <c r="AE55" s="15">
        <f t="shared" si="7"/>
        <v>0</v>
      </c>
      <c r="AF55" s="15">
        <f t="shared" si="8"/>
        <v>0</v>
      </c>
      <c r="AG55" s="15">
        <f t="shared" si="9"/>
        <v>0</v>
      </c>
      <c r="AH55" s="15">
        <f t="shared" si="10"/>
        <v>0</v>
      </c>
      <c r="AI55" s="46" t="s">
        <v>20</v>
      </c>
      <c r="AJ55" s="15">
        <f t="shared" si="11"/>
        <v>0</v>
      </c>
      <c r="AK55" s="15">
        <f t="shared" si="12"/>
        <v>0</v>
      </c>
      <c r="AL55" s="15">
        <f t="shared" si="13"/>
        <v>0</v>
      </c>
      <c r="AN55" s="15">
        <v>12</v>
      </c>
      <c r="AO55" s="15">
        <f>G55*1</f>
        <v>0</v>
      </c>
      <c r="AP55" s="15">
        <f>G55*(1-1)</f>
        <v>0</v>
      </c>
      <c r="AQ55" s="14" t="s">
        <v>187</v>
      </c>
      <c r="AV55" s="15">
        <f t="shared" si="14"/>
        <v>0</v>
      </c>
      <c r="AW55" s="15">
        <f t="shared" si="15"/>
        <v>0</v>
      </c>
      <c r="AX55" s="15">
        <f t="shared" si="16"/>
        <v>0</v>
      </c>
      <c r="AY55" s="14" t="s">
        <v>249</v>
      </c>
      <c r="AZ55" s="14" t="s">
        <v>232</v>
      </c>
      <c r="BA55" s="46" t="s">
        <v>169</v>
      </c>
      <c r="BC55" s="15">
        <f t="shared" si="17"/>
        <v>0</v>
      </c>
      <c r="BD55" s="15">
        <f t="shared" si="18"/>
        <v>0</v>
      </c>
      <c r="BE55" s="15">
        <v>0</v>
      </c>
      <c r="BF55" s="15">
        <f>55</f>
        <v>55</v>
      </c>
      <c r="BH55" s="15">
        <f t="shared" si="19"/>
        <v>0</v>
      </c>
      <c r="BI55" s="15">
        <f t="shared" si="20"/>
        <v>0</v>
      </c>
      <c r="BJ55" s="15">
        <f t="shared" si="21"/>
        <v>0</v>
      </c>
      <c r="BK55" s="15"/>
      <c r="BL55" s="15">
        <v>725</v>
      </c>
      <c r="BW55" s="15">
        <v>12</v>
      </c>
      <c r="BX55" s="4" t="s">
        <v>284</v>
      </c>
    </row>
    <row r="56" spans="1:76" x14ac:dyDescent="0.25">
      <c r="A56" s="1" t="s">
        <v>285</v>
      </c>
      <c r="B56" s="2" t="s">
        <v>286</v>
      </c>
      <c r="C56" s="78" t="s">
        <v>287</v>
      </c>
      <c r="D56" s="73"/>
      <c r="E56" s="2" t="s">
        <v>113</v>
      </c>
      <c r="F56" s="15">
        <v>426.91</v>
      </c>
      <c r="G56" s="61"/>
      <c r="H56" s="15">
        <f t="shared" si="0"/>
        <v>0</v>
      </c>
      <c r="I56" s="15">
        <f t="shared" si="1"/>
        <v>0</v>
      </c>
      <c r="J56" s="15">
        <f t="shared" si="2"/>
        <v>0</v>
      </c>
      <c r="K56" s="62" t="s">
        <v>166</v>
      </c>
      <c r="Z56" s="15">
        <f t="shared" si="3"/>
        <v>0</v>
      </c>
      <c r="AB56" s="15">
        <f t="shared" si="4"/>
        <v>0</v>
      </c>
      <c r="AC56" s="15">
        <f t="shared" si="5"/>
        <v>0</v>
      </c>
      <c r="AD56" s="15">
        <f t="shared" si="6"/>
        <v>0</v>
      </c>
      <c r="AE56" s="15">
        <f t="shared" si="7"/>
        <v>0</v>
      </c>
      <c r="AF56" s="15">
        <f t="shared" si="8"/>
        <v>0</v>
      </c>
      <c r="AG56" s="15">
        <f t="shared" si="9"/>
        <v>0</v>
      </c>
      <c r="AH56" s="15">
        <f t="shared" si="10"/>
        <v>0</v>
      </c>
      <c r="AI56" s="46" t="s">
        <v>20</v>
      </c>
      <c r="AJ56" s="15">
        <f t="shared" si="11"/>
        <v>0</v>
      </c>
      <c r="AK56" s="15">
        <f t="shared" si="12"/>
        <v>0</v>
      </c>
      <c r="AL56" s="15">
        <f t="shared" si="13"/>
        <v>0</v>
      </c>
      <c r="AN56" s="15">
        <v>12</v>
      </c>
      <c r="AO56" s="15">
        <f>G56*0</f>
        <v>0</v>
      </c>
      <c r="AP56" s="15">
        <f>G56*(1-0)</f>
        <v>0</v>
      </c>
      <c r="AQ56" s="14" t="s">
        <v>181</v>
      </c>
      <c r="AV56" s="15">
        <f t="shared" si="14"/>
        <v>0</v>
      </c>
      <c r="AW56" s="15">
        <f t="shared" si="15"/>
        <v>0</v>
      </c>
      <c r="AX56" s="15">
        <f t="shared" si="16"/>
        <v>0</v>
      </c>
      <c r="AY56" s="14" t="s">
        <v>249</v>
      </c>
      <c r="AZ56" s="14" t="s">
        <v>232</v>
      </c>
      <c r="BA56" s="46" t="s">
        <v>169</v>
      </c>
      <c r="BC56" s="15">
        <f t="shared" si="17"/>
        <v>0</v>
      </c>
      <c r="BD56" s="15">
        <f t="shared" si="18"/>
        <v>0</v>
      </c>
      <c r="BE56" s="15">
        <v>0</v>
      </c>
      <c r="BF56" s="15">
        <f>56</f>
        <v>56</v>
      </c>
      <c r="BH56" s="15">
        <f t="shared" si="19"/>
        <v>0</v>
      </c>
      <c r="BI56" s="15">
        <f t="shared" si="20"/>
        <v>0</v>
      </c>
      <c r="BJ56" s="15">
        <f t="shared" si="21"/>
        <v>0</v>
      </c>
      <c r="BK56" s="15"/>
      <c r="BL56" s="15">
        <v>725</v>
      </c>
      <c r="BW56" s="15">
        <v>12</v>
      </c>
      <c r="BX56" s="4" t="s">
        <v>287</v>
      </c>
    </row>
    <row r="57" spans="1:76" x14ac:dyDescent="0.25">
      <c r="A57" s="63" t="s">
        <v>20</v>
      </c>
      <c r="B57" s="64" t="s">
        <v>40</v>
      </c>
      <c r="C57" s="150" t="s">
        <v>41</v>
      </c>
      <c r="D57" s="151"/>
      <c r="E57" s="65" t="s">
        <v>3</v>
      </c>
      <c r="F57" s="65" t="s">
        <v>3</v>
      </c>
      <c r="G57" s="66"/>
      <c r="H57" s="40">
        <f>SUM(H58:H72)</f>
        <v>0</v>
      </c>
      <c r="I57" s="40">
        <f>SUM(I58:I72)</f>
        <v>0</v>
      </c>
      <c r="J57" s="40">
        <f>SUM(J58:J72)</f>
        <v>0</v>
      </c>
      <c r="K57" s="67" t="s">
        <v>20</v>
      </c>
      <c r="AI57" s="46" t="s">
        <v>20</v>
      </c>
      <c r="AS57" s="40">
        <f>SUM(AJ58:AJ72)</f>
        <v>0</v>
      </c>
      <c r="AT57" s="40">
        <f>SUM(AK58:AK72)</f>
        <v>0</v>
      </c>
      <c r="AU57" s="40">
        <f>SUM(AL58:AL72)</f>
        <v>0</v>
      </c>
    </row>
    <row r="58" spans="1:76" x14ac:dyDescent="0.25">
      <c r="A58" s="1" t="s">
        <v>288</v>
      </c>
      <c r="B58" s="2" t="s">
        <v>289</v>
      </c>
      <c r="C58" s="78" t="s">
        <v>290</v>
      </c>
      <c r="D58" s="73"/>
      <c r="E58" s="2" t="s">
        <v>204</v>
      </c>
      <c r="F58" s="15">
        <v>6</v>
      </c>
      <c r="G58" s="61"/>
      <c r="H58" s="15">
        <f t="shared" ref="H58:H72" si="22">F58*AO58</f>
        <v>0</v>
      </c>
      <c r="I58" s="15">
        <f t="shared" ref="I58:I72" si="23">F58*AP58</f>
        <v>0</v>
      </c>
      <c r="J58" s="15">
        <f t="shared" ref="J58:J72" si="24">F58*G58</f>
        <v>0</v>
      </c>
      <c r="K58" s="62" t="s">
        <v>166</v>
      </c>
      <c r="Z58" s="15">
        <f t="shared" ref="Z58:Z72" si="25">IF(AQ58="5",BJ58,0)</f>
        <v>0</v>
      </c>
      <c r="AB58" s="15">
        <f t="shared" ref="AB58:AB72" si="26">IF(AQ58="1",BH58,0)</f>
        <v>0</v>
      </c>
      <c r="AC58" s="15">
        <f t="shared" ref="AC58:AC72" si="27">IF(AQ58="1",BI58,0)</f>
        <v>0</v>
      </c>
      <c r="AD58" s="15">
        <f t="shared" ref="AD58:AD72" si="28">IF(AQ58="7",BH58,0)</f>
        <v>0</v>
      </c>
      <c r="AE58" s="15">
        <f t="shared" ref="AE58:AE72" si="29">IF(AQ58="7",BI58,0)</f>
        <v>0</v>
      </c>
      <c r="AF58" s="15">
        <f t="shared" ref="AF58:AF72" si="30">IF(AQ58="2",BH58,0)</f>
        <v>0</v>
      </c>
      <c r="AG58" s="15">
        <f t="shared" ref="AG58:AG72" si="31">IF(AQ58="2",BI58,0)</f>
        <v>0</v>
      </c>
      <c r="AH58" s="15">
        <f t="shared" ref="AH58:AH72" si="32">IF(AQ58="0",BJ58,0)</f>
        <v>0</v>
      </c>
      <c r="AI58" s="46" t="s">
        <v>20</v>
      </c>
      <c r="AJ58" s="15">
        <f t="shared" ref="AJ58:AJ72" si="33">IF(AN58=0,J58,0)</f>
        <v>0</v>
      </c>
      <c r="AK58" s="15">
        <f t="shared" ref="AK58:AK72" si="34">IF(AN58=12,J58,0)</f>
        <v>0</v>
      </c>
      <c r="AL58" s="15">
        <f t="shared" ref="AL58:AL72" si="35">IF(AN58=21,J58,0)</f>
        <v>0</v>
      </c>
      <c r="AN58" s="15">
        <v>12</v>
      </c>
      <c r="AO58" s="15">
        <f>G58*0</f>
        <v>0</v>
      </c>
      <c r="AP58" s="15">
        <f>G58*(1-0)</f>
        <v>0</v>
      </c>
      <c r="AQ58" s="14" t="s">
        <v>187</v>
      </c>
      <c r="AV58" s="15">
        <f t="shared" ref="AV58:AV72" si="36">AW58+AX58</f>
        <v>0</v>
      </c>
      <c r="AW58" s="15">
        <f t="shared" ref="AW58:AW72" si="37">F58*AO58</f>
        <v>0</v>
      </c>
      <c r="AX58" s="15">
        <f t="shared" ref="AX58:AX72" si="38">F58*AP58</f>
        <v>0</v>
      </c>
      <c r="AY58" s="14" t="s">
        <v>291</v>
      </c>
      <c r="AZ58" s="14" t="s">
        <v>292</v>
      </c>
      <c r="BA58" s="46" t="s">
        <v>169</v>
      </c>
      <c r="BC58" s="15">
        <f t="shared" ref="BC58:BC72" si="39">AW58+AX58</f>
        <v>0</v>
      </c>
      <c r="BD58" s="15">
        <f t="shared" ref="BD58:BD72" si="40">G58/(100-BE58)*100</f>
        <v>0</v>
      </c>
      <c r="BE58" s="15">
        <v>0</v>
      </c>
      <c r="BF58" s="15">
        <f>58</f>
        <v>58</v>
      </c>
      <c r="BH58" s="15">
        <f t="shared" ref="BH58:BH72" si="41">F58*AO58</f>
        <v>0</v>
      </c>
      <c r="BI58" s="15">
        <f t="shared" ref="BI58:BI72" si="42">F58*AP58</f>
        <v>0</v>
      </c>
      <c r="BJ58" s="15">
        <f t="shared" ref="BJ58:BJ72" si="43">F58*G58</f>
        <v>0</v>
      </c>
      <c r="BK58" s="15"/>
      <c r="BL58" s="15">
        <v>766</v>
      </c>
      <c r="BW58" s="15">
        <v>12</v>
      </c>
      <c r="BX58" s="4" t="s">
        <v>290</v>
      </c>
    </row>
    <row r="59" spans="1:76" x14ac:dyDescent="0.25">
      <c r="A59" s="1" t="s">
        <v>293</v>
      </c>
      <c r="B59" s="2" t="s">
        <v>294</v>
      </c>
      <c r="C59" s="78" t="s">
        <v>295</v>
      </c>
      <c r="D59" s="73"/>
      <c r="E59" s="2" t="s">
        <v>204</v>
      </c>
      <c r="F59" s="15">
        <v>1</v>
      </c>
      <c r="G59" s="61"/>
      <c r="H59" s="15">
        <f t="shared" si="22"/>
        <v>0</v>
      </c>
      <c r="I59" s="15">
        <f t="shared" si="23"/>
        <v>0</v>
      </c>
      <c r="J59" s="15">
        <f t="shared" si="24"/>
        <v>0</v>
      </c>
      <c r="K59" s="62" t="s">
        <v>166</v>
      </c>
      <c r="Z59" s="15">
        <f t="shared" si="25"/>
        <v>0</v>
      </c>
      <c r="AB59" s="15">
        <f t="shared" si="26"/>
        <v>0</v>
      </c>
      <c r="AC59" s="15">
        <f t="shared" si="27"/>
        <v>0</v>
      </c>
      <c r="AD59" s="15">
        <f t="shared" si="28"/>
        <v>0</v>
      </c>
      <c r="AE59" s="15">
        <f t="shared" si="29"/>
        <v>0</v>
      </c>
      <c r="AF59" s="15">
        <f t="shared" si="30"/>
        <v>0</v>
      </c>
      <c r="AG59" s="15">
        <f t="shared" si="31"/>
        <v>0</v>
      </c>
      <c r="AH59" s="15">
        <f t="shared" si="32"/>
        <v>0</v>
      </c>
      <c r="AI59" s="46" t="s">
        <v>20</v>
      </c>
      <c r="AJ59" s="15">
        <f t="shared" si="33"/>
        <v>0</v>
      </c>
      <c r="AK59" s="15">
        <f t="shared" si="34"/>
        <v>0</v>
      </c>
      <c r="AL59" s="15">
        <f t="shared" si="35"/>
        <v>0</v>
      </c>
      <c r="AN59" s="15">
        <v>12</v>
      </c>
      <c r="AO59" s="15">
        <f>G59*1</f>
        <v>0</v>
      </c>
      <c r="AP59" s="15">
        <f>G59*(1-1)</f>
        <v>0</v>
      </c>
      <c r="AQ59" s="14" t="s">
        <v>187</v>
      </c>
      <c r="AV59" s="15">
        <f t="shared" si="36"/>
        <v>0</v>
      </c>
      <c r="AW59" s="15">
        <f t="shared" si="37"/>
        <v>0</v>
      </c>
      <c r="AX59" s="15">
        <f t="shared" si="38"/>
        <v>0</v>
      </c>
      <c r="AY59" s="14" t="s">
        <v>291</v>
      </c>
      <c r="AZ59" s="14" t="s">
        <v>292</v>
      </c>
      <c r="BA59" s="46" t="s">
        <v>169</v>
      </c>
      <c r="BC59" s="15">
        <f t="shared" si="39"/>
        <v>0</v>
      </c>
      <c r="BD59" s="15">
        <f t="shared" si="40"/>
        <v>0</v>
      </c>
      <c r="BE59" s="15">
        <v>0</v>
      </c>
      <c r="BF59" s="15">
        <f>59</f>
        <v>59</v>
      </c>
      <c r="BH59" s="15">
        <f t="shared" si="41"/>
        <v>0</v>
      </c>
      <c r="BI59" s="15">
        <f t="shared" si="42"/>
        <v>0</v>
      </c>
      <c r="BJ59" s="15">
        <f t="shared" si="43"/>
        <v>0</v>
      </c>
      <c r="BK59" s="15"/>
      <c r="BL59" s="15">
        <v>766</v>
      </c>
      <c r="BW59" s="15">
        <v>12</v>
      </c>
      <c r="BX59" s="4" t="s">
        <v>295</v>
      </c>
    </row>
    <row r="60" spans="1:76" x14ac:dyDescent="0.25">
      <c r="A60" s="1" t="s">
        <v>296</v>
      </c>
      <c r="B60" s="2" t="s">
        <v>297</v>
      </c>
      <c r="C60" s="78" t="s">
        <v>298</v>
      </c>
      <c r="D60" s="73"/>
      <c r="E60" s="2" t="s">
        <v>204</v>
      </c>
      <c r="F60" s="15">
        <v>2</v>
      </c>
      <c r="G60" s="61"/>
      <c r="H60" s="15">
        <f t="shared" si="22"/>
        <v>0</v>
      </c>
      <c r="I60" s="15">
        <f t="shared" si="23"/>
        <v>0</v>
      </c>
      <c r="J60" s="15">
        <f t="shared" si="24"/>
        <v>0</v>
      </c>
      <c r="K60" s="62" t="s">
        <v>166</v>
      </c>
      <c r="Z60" s="15">
        <f t="shared" si="25"/>
        <v>0</v>
      </c>
      <c r="AB60" s="15">
        <f t="shared" si="26"/>
        <v>0</v>
      </c>
      <c r="AC60" s="15">
        <f t="shared" si="27"/>
        <v>0</v>
      </c>
      <c r="AD60" s="15">
        <f t="shared" si="28"/>
        <v>0</v>
      </c>
      <c r="AE60" s="15">
        <f t="shared" si="29"/>
        <v>0</v>
      </c>
      <c r="AF60" s="15">
        <f t="shared" si="30"/>
        <v>0</v>
      </c>
      <c r="AG60" s="15">
        <f t="shared" si="31"/>
        <v>0</v>
      </c>
      <c r="AH60" s="15">
        <f t="shared" si="32"/>
        <v>0</v>
      </c>
      <c r="AI60" s="46" t="s">
        <v>20</v>
      </c>
      <c r="AJ60" s="15">
        <f t="shared" si="33"/>
        <v>0</v>
      </c>
      <c r="AK60" s="15">
        <f t="shared" si="34"/>
        <v>0</v>
      </c>
      <c r="AL60" s="15">
        <f t="shared" si="35"/>
        <v>0</v>
      </c>
      <c r="AN60" s="15">
        <v>12</v>
      </c>
      <c r="AO60" s="15">
        <f>G60*1</f>
        <v>0</v>
      </c>
      <c r="AP60" s="15">
        <f>G60*(1-1)</f>
        <v>0</v>
      </c>
      <c r="AQ60" s="14" t="s">
        <v>187</v>
      </c>
      <c r="AV60" s="15">
        <f t="shared" si="36"/>
        <v>0</v>
      </c>
      <c r="AW60" s="15">
        <f t="shared" si="37"/>
        <v>0</v>
      </c>
      <c r="AX60" s="15">
        <f t="shared" si="38"/>
        <v>0</v>
      </c>
      <c r="AY60" s="14" t="s">
        <v>291</v>
      </c>
      <c r="AZ60" s="14" t="s">
        <v>292</v>
      </c>
      <c r="BA60" s="46" t="s">
        <v>169</v>
      </c>
      <c r="BC60" s="15">
        <f t="shared" si="39"/>
        <v>0</v>
      </c>
      <c r="BD60" s="15">
        <f t="shared" si="40"/>
        <v>0</v>
      </c>
      <c r="BE60" s="15">
        <v>0</v>
      </c>
      <c r="BF60" s="15">
        <f>60</f>
        <v>60</v>
      </c>
      <c r="BH60" s="15">
        <f t="shared" si="41"/>
        <v>0</v>
      </c>
      <c r="BI60" s="15">
        <f t="shared" si="42"/>
        <v>0</v>
      </c>
      <c r="BJ60" s="15">
        <f t="shared" si="43"/>
        <v>0</v>
      </c>
      <c r="BK60" s="15"/>
      <c r="BL60" s="15">
        <v>766</v>
      </c>
      <c r="BW60" s="15">
        <v>12</v>
      </c>
      <c r="BX60" s="4" t="s">
        <v>298</v>
      </c>
    </row>
    <row r="61" spans="1:76" ht="25.5" x14ac:dyDescent="0.25">
      <c r="A61" s="1" t="s">
        <v>299</v>
      </c>
      <c r="B61" s="2" t="s">
        <v>300</v>
      </c>
      <c r="C61" s="78" t="s">
        <v>301</v>
      </c>
      <c r="D61" s="73"/>
      <c r="E61" s="2" t="s">
        <v>204</v>
      </c>
      <c r="F61" s="15">
        <v>3</v>
      </c>
      <c r="G61" s="61"/>
      <c r="H61" s="15">
        <f t="shared" si="22"/>
        <v>0</v>
      </c>
      <c r="I61" s="15">
        <f t="shared" si="23"/>
        <v>0</v>
      </c>
      <c r="J61" s="15">
        <f t="shared" si="24"/>
        <v>0</v>
      </c>
      <c r="K61" s="62" t="s">
        <v>166</v>
      </c>
      <c r="Z61" s="15">
        <f t="shared" si="25"/>
        <v>0</v>
      </c>
      <c r="AB61" s="15">
        <f t="shared" si="26"/>
        <v>0</v>
      </c>
      <c r="AC61" s="15">
        <f t="shared" si="27"/>
        <v>0</v>
      </c>
      <c r="AD61" s="15">
        <f t="shared" si="28"/>
        <v>0</v>
      </c>
      <c r="AE61" s="15">
        <f t="shared" si="29"/>
        <v>0</v>
      </c>
      <c r="AF61" s="15">
        <f t="shared" si="30"/>
        <v>0</v>
      </c>
      <c r="AG61" s="15">
        <f t="shared" si="31"/>
        <v>0</v>
      </c>
      <c r="AH61" s="15">
        <f t="shared" si="32"/>
        <v>0</v>
      </c>
      <c r="AI61" s="46" t="s">
        <v>20</v>
      </c>
      <c r="AJ61" s="15">
        <f t="shared" si="33"/>
        <v>0</v>
      </c>
      <c r="AK61" s="15">
        <f t="shared" si="34"/>
        <v>0</v>
      </c>
      <c r="AL61" s="15">
        <f t="shared" si="35"/>
        <v>0</v>
      </c>
      <c r="AN61" s="15">
        <v>12</v>
      </c>
      <c r="AO61" s="15">
        <f>G61*1</f>
        <v>0</v>
      </c>
      <c r="AP61" s="15">
        <f>G61*(1-1)</f>
        <v>0</v>
      </c>
      <c r="AQ61" s="14" t="s">
        <v>187</v>
      </c>
      <c r="AV61" s="15">
        <f t="shared" si="36"/>
        <v>0</v>
      </c>
      <c r="AW61" s="15">
        <f t="shared" si="37"/>
        <v>0</v>
      </c>
      <c r="AX61" s="15">
        <f t="shared" si="38"/>
        <v>0</v>
      </c>
      <c r="AY61" s="14" t="s">
        <v>291</v>
      </c>
      <c r="AZ61" s="14" t="s">
        <v>292</v>
      </c>
      <c r="BA61" s="46" t="s">
        <v>169</v>
      </c>
      <c r="BC61" s="15">
        <f t="shared" si="39"/>
        <v>0</v>
      </c>
      <c r="BD61" s="15">
        <f t="shared" si="40"/>
        <v>0</v>
      </c>
      <c r="BE61" s="15">
        <v>0</v>
      </c>
      <c r="BF61" s="15">
        <f>61</f>
        <v>61</v>
      </c>
      <c r="BH61" s="15">
        <f t="shared" si="41"/>
        <v>0</v>
      </c>
      <c r="BI61" s="15">
        <f t="shared" si="42"/>
        <v>0</v>
      </c>
      <c r="BJ61" s="15">
        <f t="shared" si="43"/>
        <v>0</v>
      </c>
      <c r="BK61" s="15"/>
      <c r="BL61" s="15">
        <v>766</v>
      </c>
      <c r="BW61" s="15">
        <v>12</v>
      </c>
      <c r="BX61" s="4" t="s">
        <v>301</v>
      </c>
    </row>
    <row r="62" spans="1:76" x14ac:dyDescent="0.25">
      <c r="A62" s="1" t="s">
        <v>302</v>
      </c>
      <c r="B62" s="2" t="s">
        <v>303</v>
      </c>
      <c r="C62" s="78" t="s">
        <v>304</v>
      </c>
      <c r="D62" s="73"/>
      <c r="E62" s="2" t="s">
        <v>204</v>
      </c>
      <c r="F62" s="15">
        <v>1</v>
      </c>
      <c r="G62" s="61"/>
      <c r="H62" s="15">
        <f t="shared" si="22"/>
        <v>0</v>
      </c>
      <c r="I62" s="15">
        <f t="shared" si="23"/>
        <v>0</v>
      </c>
      <c r="J62" s="15">
        <f t="shared" si="24"/>
        <v>0</v>
      </c>
      <c r="K62" s="62" t="s">
        <v>166</v>
      </c>
      <c r="Z62" s="15">
        <f t="shared" si="25"/>
        <v>0</v>
      </c>
      <c r="AB62" s="15">
        <f t="shared" si="26"/>
        <v>0</v>
      </c>
      <c r="AC62" s="15">
        <f t="shared" si="27"/>
        <v>0</v>
      </c>
      <c r="AD62" s="15">
        <f t="shared" si="28"/>
        <v>0</v>
      </c>
      <c r="AE62" s="15">
        <f t="shared" si="29"/>
        <v>0</v>
      </c>
      <c r="AF62" s="15">
        <f t="shared" si="30"/>
        <v>0</v>
      </c>
      <c r="AG62" s="15">
        <f t="shared" si="31"/>
        <v>0</v>
      </c>
      <c r="AH62" s="15">
        <f t="shared" si="32"/>
        <v>0</v>
      </c>
      <c r="AI62" s="46" t="s">
        <v>20</v>
      </c>
      <c r="AJ62" s="15">
        <f t="shared" si="33"/>
        <v>0</v>
      </c>
      <c r="AK62" s="15">
        <f t="shared" si="34"/>
        <v>0</v>
      </c>
      <c r="AL62" s="15">
        <f t="shared" si="35"/>
        <v>0</v>
      </c>
      <c r="AN62" s="15">
        <v>12</v>
      </c>
      <c r="AO62" s="15">
        <f>G62*0</f>
        <v>0</v>
      </c>
      <c r="AP62" s="15">
        <f>G62*(1-0)</f>
        <v>0</v>
      </c>
      <c r="AQ62" s="14" t="s">
        <v>187</v>
      </c>
      <c r="AV62" s="15">
        <f t="shared" si="36"/>
        <v>0</v>
      </c>
      <c r="AW62" s="15">
        <f t="shared" si="37"/>
        <v>0</v>
      </c>
      <c r="AX62" s="15">
        <f t="shared" si="38"/>
        <v>0</v>
      </c>
      <c r="AY62" s="14" t="s">
        <v>291</v>
      </c>
      <c r="AZ62" s="14" t="s">
        <v>292</v>
      </c>
      <c r="BA62" s="46" t="s">
        <v>169</v>
      </c>
      <c r="BC62" s="15">
        <f t="shared" si="39"/>
        <v>0</v>
      </c>
      <c r="BD62" s="15">
        <f t="shared" si="40"/>
        <v>0</v>
      </c>
      <c r="BE62" s="15">
        <v>0</v>
      </c>
      <c r="BF62" s="15">
        <f>62</f>
        <v>62</v>
      </c>
      <c r="BH62" s="15">
        <f t="shared" si="41"/>
        <v>0</v>
      </c>
      <c r="BI62" s="15">
        <f t="shared" si="42"/>
        <v>0</v>
      </c>
      <c r="BJ62" s="15">
        <f t="shared" si="43"/>
        <v>0</v>
      </c>
      <c r="BK62" s="15"/>
      <c r="BL62" s="15">
        <v>766</v>
      </c>
      <c r="BW62" s="15">
        <v>12</v>
      </c>
      <c r="BX62" s="4" t="s">
        <v>304</v>
      </c>
    </row>
    <row r="63" spans="1:76" x14ac:dyDescent="0.25">
      <c r="A63" s="1" t="s">
        <v>305</v>
      </c>
      <c r="B63" s="2" t="s">
        <v>306</v>
      </c>
      <c r="C63" s="78" t="s">
        <v>307</v>
      </c>
      <c r="D63" s="73"/>
      <c r="E63" s="2" t="s">
        <v>230</v>
      </c>
      <c r="F63" s="15">
        <v>1</v>
      </c>
      <c r="G63" s="61"/>
      <c r="H63" s="15">
        <f t="shared" si="22"/>
        <v>0</v>
      </c>
      <c r="I63" s="15">
        <f t="shared" si="23"/>
        <v>0</v>
      </c>
      <c r="J63" s="15">
        <f t="shared" si="24"/>
        <v>0</v>
      </c>
      <c r="K63" s="62" t="s">
        <v>166</v>
      </c>
      <c r="Z63" s="15">
        <f t="shared" si="25"/>
        <v>0</v>
      </c>
      <c r="AB63" s="15">
        <f t="shared" si="26"/>
        <v>0</v>
      </c>
      <c r="AC63" s="15">
        <f t="shared" si="27"/>
        <v>0</v>
      </c>
      <c r="AD63" s="15">
        <f t="shared" si="28"/>
        <v>0</v>
      </c>
      <c r="AE63" s="15">
        <f t="shared" si="29"/>
        <v>0</v>
      </c>
      <c r="AF63" s="15">
        <f t="shared" si="30"/>
        <v>0</v>
      </c>
      <c r="AG63" s="15">
        <f t="shared" si="31"/>
        <v>0</v>
      </c>
      <c r="AH63" s="15">
        <f t="shared" si="32"/>
        <v>0</v>
      </c>
      <c r="AI63" s="46" t="s">
        <v>20</v>
      </c>
      <c r="AJ63" s="15">
        <f t="shared" si="33"/>
        <v>0</v>
      </c>
      <c r="AK63" s="15">
        <f t="shared" si="34"/>
        <v>0</v>
      </c>
      <c r="AL63" s="15">
        <f t="shared" si="35"/>
        <v>0</v>
      </c>
      <c r="AN63" s="15">
        <v>12</v>
      </c>
      <c r="AO63" s="15">
        <f>G63*1</f>
        <v>0</v>
      </c>
      <c r="AP63" s="15">
        <f>G63*(1-1)</f>
        <v>0</v>
      </c>
      <c r="AQ63" s="14" t="s">
        <v>187</v>
      </c>
      <c r="AV63" s="15">
        <f t="shared" si="36"/>
        <v>0</v>
      </c>
      <c r="AW63" s="15">
        <f t="shared" si="37"/>
        <v>0</v>
      </c>
      <c r="AX63" s="15">
        <f t="shared" si="38"/>
        <v>0</v>
      </c>
      <c r="AY63" s="14" t="s">
        <v>291</v>
      </c>
      <c r="AZ63" s="14" t="s">
        <v>292</v>
      </c>
      <c r="BA63" s="46" t="s">
        <v>169</v>
      </c>
      <c r="BC63" s="15">
        <f t="shared" si="39"/>
        <v>0</v>
      </c>
      <c r="BD63" s="15">
        <f t="shared" si="40"/>
        <v>0</v>
      </c>
      <c r="BE63" s="15">
        <v>0</v>
      </c>
      <c r="BF63" s="15">
        <f>63</f>
        <v>63</v>
      </c>
      <c r="BH63" s="15">
        <f t="shared" si="41"/>
        <v>0</v>
      </c>
      <c r="BI63" s="15">
        <f t="shared" si="42"/>
        <v>0</v>
      </c>
      <c r="BJ63" s="15">
        <f t="shared" si="43"/>
        <v>0</v>
      </c>
      <c r="BK63" s="15"/>
      <c r="BL63" s="15">
        <v>766</v>
      </c>
      <c r="BW63" s="15">
        <v>12</v>
      </c>
      <c r="BX63" s="4" t="s">
        <v>307</v>
      </c>
    </row>
    <row r="64" spans="1:76" x14ac:dyDescent="0.25">
      <c r="A64" s="1" t="s">
        <v>308</v>
      </c>
      <c r="B64" s="2" t="s">
        <v>309</v>
      </c>
      <c r="C64" s="78" t="s">
        <v>310</v>
      </c>
      <c r="D64" s="73"/>
      <c r="E64" s="2" t="s">
        <v>204</v>
      </c>
      <c r="F64" s="15">
        <v>1</v>
      </c>
      <c r="G64" s="61"/>
      <c r="H64" s="15">
        <f t="shared" si="22"/>
        <v>0</v>
      </c>
      <c r="I64" s="15">
        <f t="shared" si="23"/>
        <v>0</v>
      </c>
      <c r="J64" s="15">
        <f t="shared" si="24"/>
        <v>0</v>
      </c>
      <c r="K64" s="62" t="s">
        <v>166</v>
      </c>
      <c r="Z64" s="15">
        <f t="shared" si="25"/>
        <v>0</v>
      </c>
      <c r="AB64" s="15">
        <f t="shared" si="26"/>
        <v>0</v>
      </c>
      <c r="AC64" s="15">
        <f t="shared" si="27"/>
        <v>0</v>
      </c>
      <c r="AD64" s="15">
        <f t="shared" si="28"/>
        <v>0</v>
      </c>
      <c r="AE64" s="15">
        <f t="shared" si="29"/>
        <v>0</v>
      </c>
      <c r="AF64" s="15">
        <f t="shared" si="30"/>
        <v>0</v>
      </c>
      <c r="AG64" s="15">
        <f t="shared" si="31"/>
        <v>0</v>
      </c>
      <c r="AH64" s="15">
        <f t="shared" si="32"/>
        <v>0</v>
      </c>
      <c r="AI64" s="46" t="s">
        <v>20</v>
      </c>
      <c r="AJ64" s="15">
        <f t="shared" si="33"/>
        <v>0</v>
      </c>
      <c r="AK64" s="15">
        <f t="shared" si="34"/>
        <v>0</v>
      </c>
      <c r="AL64" s="15">
        <f t="shared" si="35"/>
        <v>0</v>
      </c>
      <c r="AN64" s="15">
        <v>12</v>
      </c>
      <c r="AO64" s="15">
        <f>G64*0</f>
        <v>0</v>
      </c>
      <c r="AP64" s="15">
        <f>G64*(1-0)</f>
        <v>0</v>
      </c>
      <c r="AQ64" s="14" t="s">
        <v>187</v>
      </c>
      <c r="AV64" s="15">
        <f t="shared" si="36"/>
        <v>0</v>
      </c>
      <c r="AW64" s="15">
        <f t="shared" si="37"/>
        <v>0</v>
      </c>
      <c r="AX64" s="15">
        <f t="shared" si="38"/>
        <v>0</v>
      </c>
      <c r="AY64" s="14" t="s">
        <v>291</v>
      </c>
      <c r="AZ64" s="14" t="s">
        <v>292</v>
      </c>
      <c r="BA64" s="46" t="s">
        <v>169</v>
      </c>
      <c r="BC64" s="15">
        <f t="shared" si="39"/>
        <v>0</v>
      </c>
      <c r="BD64" s="15">
        <f t="shared" si="40"/>
        <v>0</v>
      </c>
      <c r="BE64" s="15">
        <v>0</v>
      </c>
      <c r="BF64" s="15">
        <f>64</f>
        <v>64</v>
      </c>
      <c r="BH64" s="15">
        <f t="shared" si="41"/>
        <v>0</v>
      </c>
      <c r="BI64" s="15">
        <f t="shared" si="42"/>
        <v>0</v>
      </c>
      <c r="BJ64" s="15">
        <f t="shared" si="43"/>
        <v>0</v>
      </c>
      <c r="BK64" s="15"/>
      <c r="BL64" s="15">
        <v>766</v>
      </c>
      <c r="BW64" s="15">
        <v>12</v>
      </c>
      <c r="BX64" s="4" t="s">
        <v>310</v>
      </c>
    </row>
    <row r="65" spans="1:76" x14ac:dyDescent="0.25">
      <c r="A65" s="1" t="s">
        <v>311</v>
      </c>
      <c r="B65" s="2" t="s">
        <v>312</v>
      </c>
      <c r="C65" s="78" t="s">
        <v>313</v>
      </c>
      <c r="D65" s="73"/>
      <c r="E65" s="2" t="s">
        <v>204</v>
      </c>
      <c r="F65" s="15">
        <v>8</v>
      </c>
      <c r="G65" s="61"/>
      <c r="H65" s="15">
        <f t="shared" si="22"/>
        <v>0</v>
      </c>
      <c r="I65" s="15">
        <f t="shared" si="23"/>
        <v>0</v>
      </c>
      <c r="J65" s="15">
        <f t="shared" si="24"/>
        <v>0</v>
      </c>
      <c r="K65" s="62" t="s">
        <v>166</v>
      </c>
      <c r="Z65" s="15">
        <f t="shared" si="25"/>
        <v>0</v>
      </c>
      <c r="AB65" s="15">
        <f t="shared" si="26"/>
        <v>0</v>
      </c>
      <c r="AC65" s="15">
        <f t="shared" si="27"/>
        <v>0</v>
      </c>
      <c r="AD65" s="15">
        <f t="shared" si="28"/>
        <v>0</v>
      </c>
      <c r="AE65" s="15">
        <f t="shared" si="29"/>
        <v>0</v>
      </c>
      <c r="AF65" s="15">
        <f t="shared" si="30"/>
        <v>0</v>
      </c>
      <c r="AG65" s="15">
        <f t="shared" si="31"/>
        <v>0</v>
      </c>
      <c r="AH65" s="15">
        <f t="shared" si="32"/>
        <v>0</v>
      </c>
      <c r="AI65" s="46" t="s">
        <v>20</v>
      </c>
      <c r="AJ65" s="15">
        <f t="shared" si="33"/>
        <v>0</v>
      </c>
      <c r="AK65" s="15">
        <f t="shared" si="34"/>
        <v>0</v>
      </c>
      <c r="AL65" s="15">
        <f t="shared" si="35"/>
        <v>0</v>
      </c>
      <c r="AN65" s="15">
        <v>12</v>
      </c>
      <c r="AO65" s="15">
        <f>G65*0</f>
        <v>0</v>
      </c>
      <c r="AP65" s="15">
        <f>G65*(1-0)</f>
        <v>0</v>
      </c>
      <c r="AQ65" s="14" t="s">
        <v>187</v>
      </c>
      <c r="AV65" s="15">
        <f t="shared" si="36"/>
        <v>0</v>
      </c>
      <c r="AW65" s="15">
        <f t="shared" si="37"/>
        <v>0</v>
      </c>
      <c r="AX65" s="15">
        <f t="shared" si="38"/>
        <v>0</v>
      </c>
      <c r="AY65" s="14" t="s">
        <v>291</v>
      </c>
      <c r="AZ65" s="14" t="s">
        <v>292</v>
      </c>
      <c r="BA65" s="46" t="s">
        <v>169</v>
      </c>
      <c r="BC65" s="15">
        <f t="shared" si="39"/>
        <v>0</v>
      </c>
      <c r="BD65" s="15">
        <f t="shared" si="40"/>
        <v>0</v>
      </c>
      <c r="BE65" s="15">
        <v>0</v>
      </c>
      <c r="BF65" s="15">
        <f>65</f>
        <v>65</v>
      </c>
      <c r="BH65" s="15">
        <f t="shared" si="41"/>
        <v>0</v>
      </c>
      <c r="BI65" s="15">
        <f t="shared" si="42"/>
        <v>0</v>
      </c>
      <c r="BJ65" s="15">
        <f t="shared" si="43"/>
        <v>0</v>
      </c>
      <c r="BK65" s="15"/>
      <c r="BL65" s="15">
        <v>766</v>
      </c>
      <c r="BW65" s="15">
        <v>12</v>
      </c>
      <c r="BX65" s="4" t="s">
        <v>313</v>
      </c>
    </row>
    <row r="66" spans="1:76" x14ac:dyDescent="0.25">
      <c r="A66" s="1" t="s">
        <v>314</v>
      </c>
      <c r="B66" s="2" t="s">
        <v>315</v>
      </c>
      <c r="C66" s="78" t="s">
        <v>316</v>
      </c>
      <c r="D66" s="73"/>
      <c r="E66" s="2" t="s">
        <v>204</v>
      </c>
      <c r="F66" s="15">
        <v>8</v>
      </c>
      <c r="G66" s="61"/>
      <c r="H66" s="15">
        <f t="shared" si="22"/>
        <v>0</v>
      </c>
      <c r="I66" s="15">
        <f t="shared" si="23"/>
        <v>0</v>
      </c>
      <c r="J66" s="15">
        <f t="shared" si="24"/>
        <v>0</v>
      </c>
      <c r="K66" s="62" t="s">
        <v>166</v>
      </c>
      <c r="Z66" s="15">
        <f t="shared" si="25"/>
        <v>0</v>
      </c>
      <c r="AB66" s="15">
        <f t="shared" si="26"/>
        <v>0</v>
      </c>
      <c r="AC66" s="15">
        <f t="shared" si="27"/>
        <v>0</v>
      </c>
      <c r="AD66" s="15">
        <f t="shared" si="28"/>
        <v>0</v>
      </c>
      <c r="AE66" s="15">
        <f t="shared" si="29"/>
        <v>0</v>
      </c>
      <c r="AF66" s="15">
        <f t="shared" si="30"/>
        <v>0</v>
      </c>
      <c r="AG66" s="15">
        <f t="shared" si="31"/>
        <v>0</v>
      </c>
      <c r="AH66" s="15">
        <f t="shared" si="32"/>
        <v>0</v>
      </c>
      <c r="AI66" s="46" t="s">
        <v>20</v>
      </c>
      <c r="AJ66" s="15">
        <f t="shared" si="33"/>
        <v>0</v>
      </c>
      <c r="AK66" s="15">
        <f t="shared" si="34"/>
        <v>0</v>
      </c>
      <c r="AL66" s="15">
        <f t="shared" si="35"/>
        <v>0</v>
      </c>
      <c r="AN66" s="15">
        <v>12</v>
      </c>
      <c r="AO66" s="15">
        <f>G66*0</f>
        <v>0</v>
      </c>
      <c r="AP66" s="15">
        <f>G66*(1-0)</f>
        <v>0</v>
      </c>
      <c r="AQ66" s="14" t="s">
        <v>187</v>
      </c>
      <c r="AV66" s="15">
        <f t="shared" si="36"/>
        <v>0</v>
      </c>
      <c r="AW66" s="15">
        <f t="shared" si="37"/>
        <v>0</v>
      </c>
      <c r="AX66" s="15">
        <f t="shared" si="38"/>
        <v>0</v>
      </c>
      <c r="AY66" s="14" t="s">
        <v>291</v>
      </c>
      <c r="AZ66" s="14" t="s">
        <v>292</v>
      </c>
      <c r="BA66" s="46" t="s">
        <v>169</v>
      </c>
      <c r="BC66" s="15">
        <f t="shared" si="39"/>
        <v>0</v>
      </c>
      <c r="BD66" s="15">
        <f t="shared" si="40"/>
        <v>0</v>
      </c>
      <c r="BE66" s="15">
        <v>0</v>
      </c>
      <c r="BF66" s="15">
        <f>66</f>
        <v>66</v>
      </c>
      <c r="BH66" s="15">
        <f t="shared" si="41"/>
        <v>0</v>
      </c>
      <c r="BI66" s="15">
        <f t="shared" si="42"/>
        <v>0</v>
      </c>
      <c r="BJ66" s="15">
        <f t="shared" si="43"/>
        <v>0</v>
      </c>
      <c r="BK66" s="15"/>
      <c r="BL66" s="15">
        <v>766</v>
      </c>
      <c r="BW66" s="15">
        <v>12</v>
      </c>
      <c r="BX66" s="4" t="s">
        <v>316</v>
      </c>
    </row>
    <row r="67" spans="1:76" ht="25.5" x14ac:dyDescent="0.25">
      <c r="A67" s="1" t="s">
        <v>317</v>
      </c>
      <c r="B67" s="2" t="s">
        <v>318</v>
      </c>
      <c r="C67" s="78" t="s">
        <v>319</v>
      </c>
      <c r="D67" s="73"/>
      <c r="E67" s="2" t="s">
        <v>204</v>
      </c>
      <c r="F67" s="15">
        <v>1</v>
      </c>
      <c r="G67" s="61"/>
      <c r="H67" s="15">
        <f t="shared" si="22"/>
        <v>0</v>
      </c>
      <c r="I67" s="15">
        <f t="shared" si="23"/>
        <v>0</v>
      </c>
      <c r="J67" s="15">
        <f t="shared" si="24"/>
        <v>0</v>
      </c>
      <c r="K67" s="62" t="s">
        <v>166</v>
      </c>
      <c r="Z67" s="15">
        <f t="shared" si="25"/>
        <v>0</v>
      </c>
      <c r="AB67" s="15">
        <f t="shared" si="26"/>
        <v>0</v>
      </c>
      <c r="AC67" s="15">
        <f t="shared" si="27"/>
        <v>0</v>
      </c>
      <c r="AD67" s="15">
        <f t="shared" si="28"/>
        <v>0</v>
      </c>
      <c r="AE67" s="15">
        <f t="shared" si="29"/>
        <v>0</v>
      </c>
      <c r="AF67" s="15">
        <f t="shared" si="30"/>
        <v>0</v>
      </c>
      <c r="AG67" s="15">
        <f t="shared" si="31"/>
        <v>0</v>
      </c>
      <c r="AH67" s="15">
        <f t="shared" si="32"/>
        <v>0</v>
      </c>
      <c r="AI67" s="46" t="s">
        <v>20</v>
      </c>
      <c r="AJ67" s="15">
        <f t="shared" si="33"/>
        <v>0</v>
      </c>
      <c r="AK67" s="15">
        <f t="shared" si="34"/>
        <v>0</v>
      </c>
      <c r="AL67" s="15">
        <f t="shared" si="35"/>
        <v>0</v>
      </c>
      <c r="AN67" s="15">
        <v>12</v>
      </c>
      <c r="AO67" s="15">
        <f>G67*1</f>
        <v>0</v>
      </c>
      <c r="AP67" s="15">
        <f>G67*(1-1)</f>
        <v>0</v>
      </c>
      <c r="AQ67" s="14" t="s">
        <v>187</v>
      </c>
      <c r="AV67" s="15">
        <f t="shared" si="36"/>
        <v>0</v>
      </c>
      <c r="AW67" s="15">
        <f t="shared" si="37"/>
        <v>0</v>
      </c>
      <c r="AX67" s="15">
        <f t="shared" si="38"/>
        <v>0</v>
      </c>
      <c r="AY67" s="14" t="s">
        <v>291</v>
      </c>
      <c r="AZ67" s="14" t="s">
        <v>292</v>
      </c>
      <c r="BA67" s="46" t="s">
        <v>169</v>
      </c>
      <c r="BC67" s="15">
        <f t="shared" si="39"/>
        <v>0</v>
      </c>
      <c r="BD67" s="15">
        <f t="shared" si="40"/>
        <v>0</v>
      </c>
      <c r="BE67" s="15">
        <v>0</v>
      </c>
      <c r="BF67" s="15">
        <f>67</f>
        <v>67</v>
      </c>
      <c r="BH67" s="15">
        <f t="shared" si="41"/>
        <v>0</v>
      </c>
      <c r="BI67" s="15">
        <f t="shared" si="42"/>
        <v>0</v>
      </c>
      <c r="BJ67" s="15">
        <f t="shared" si="43"/>
        <v>0</v>
      </c>
      <c r="BK67" s="15"/>
      <c r="BL67" s="15">
        <v>766</v>
      </c>
      <c r="BW67" s="15">
        <v>12</v>
      </c>
      <c r="BX67" s="4" t="s">
        <v>319</v>
      </c>
    </row>
    <row r="68" spans="1:76" x14ac:dyDescent="0.25">
      <c r="A68" s="1" t="s">
        <v>320</v>
      </c>
      <c r="B68" s="2" t="s">
        <v>321</v>
      </c>
      <c r="C68" s="78" t="s">
        <v>322</v>
      </c>
      <c r="D68" s="73"/>
      <c r="E68" s="2" t="s">
        <v>204</v>
      </c>
      <c r="F68" s="15">
        <v>5</v>
      </c>
      <c r="G68" s="61"/>
      <c r="H68" s="15">
        <f t="shared" si="22"/>
        <v>0</v>
      </c>
      <c r="I68" s="15">
        <f t="shared" si="23"/>
        <v>0</v>
      </c>
      <c r="J68" s="15">
        <f t="shared" si="24"/>
        <v>0</v>
      </c>
      <c r="K68" s="62" t="s">
        <v>166</v>
      </c>
      <c r="Z68" s="15">
        <f t="shared" si="25"/>
        <v>0</v>
      </c>
      <c r="AB68" s="15">
        <f t="shared" si="26"/>
        <v>0</v>
      </c>
      <c r="AC68" s="15">
        <f t="shared" si="27"/>
        <v>0</v>
      </c>
      <c r="AD68" s="15">
        <f t="shared" si="28"/>
        <v>0</v>
      </c>
      <c r="AE68" s="15">
        <f t="shared" si="29"/>
        <v>0</v>
      </c>
      <c r="AF68" s="15">
        <f t="shared" si="30"/>
        <v>0</v>
      </c>
      <c r="AG68" s="15">
        <f t="shared" si="31"/>
        <v>0</v>
      </c>
      <c r="AH68" s="15">
        <f t="shared" si="32"/>
        <v>0</v>
      </c>
      <c r="AI68" s="46" t="s">
        <v>20</v>
      </c>
      <c r="AJ68" s="15">
        <f t="shared" si="33"/>
        <v>0</v>
      </c>
      <c r="AK68" s="15">
        <f t="shared" si="34"/>
        <v>0</v>
      </c>
      <c r="AL68" s="15">
        <f t="shared" si="35"/>
        <v>0</v>
      </c>
      <c r="AN68" s="15">
        <v>12</v>
      </c>
      <c r="AO68" s="15">
        <f>G68*1</f>
        <v>0</v>
      </c>
      <c r="AP68" s="15">
        <f>G68*(1-1)</f>
        <v>0</v>
      </c>
      <c r="AQ68" s="14" t="s">
        <v>187</v>
      </c>
      <c r="AV68" s="15">
        <f t="shared" si="36"/>
        <v>0</v>
      </c>
      <c r="AW68" s="15">
        <f t="shared" si="37"/>
        <v>0</v>
      </c>
      <c r="AX68" s="15">
        <f t="shared" si="38"/>
        <v>0</v>
      </c>
      <c r="AY68" s="14" t="s">
        <v>291</v>
      </c>
      <c r="AZ68" s="14" t="s">
        <v>292</v>
      </c>
      <c r="BA68" s="46" t="s">
        <v>169</v>
      </c>
      <c r="BC68" s="15">
        <f t="shared" si="39"/>
        <v>0</v>
      </c>
      <c r="BD68" s="15">
        <f t="shared" si="40"/>
        <v>0</v>
      </c>
      <c r="BE68" s="15">
        <v>0</v>
      </c>
      <c r="BF68" s="15">
        <f>68</f>
        <v>68</v>
      </c>
      <c r="BH68" s="15">
        <f t="shared" si="41"/>
        <v>0</v>
      </c>
      <c r="BI68" s="15">
        <f t="shared" si="42"/>
        <v>0</v>
      </c>
      <c r="BJ68" s="15">
        <f t="shared" si="43"/>
        <v>0</v>
      </c>
      <c r="BK68" s="15"/>
      <c r="BL68" s="15">
        <v>766</v>
      </c>
      <c r="BW68" s="15">
        <v>12</v>
      </c>
      <c r="BX68" s="4" t="s">
        <v>322</v>
      </c>
    </row>
    <row r="69" spans="1:76" x14ac:dyDescent="0.25">
      <c r="A69" s="1" t="s">
        <v>323</v>
      </c>
      <c r="B69" s="2" t="s">
        <v>324</v>
      </c>
      <c r="C69" s="78" t="s">
        <v>325</v>
      </c>
      <c r="D69" s="73"/>
      <c r="E69" s="2" t="s">
        <v>204</v>
      </c>
      <c r="F69" s="15">
        <v>2</v>
      </c>
      <c r="G69" s="61"/>
      <c r="H69" s="15">
        <f t="shared" si="22"/>
        <v>0</v>
      </c>
      <c r="I69" s="15">
        <f t="shared" si="23"/>
        <v>0</v>
      </c>
      <c r="J69" s="15">
        <f t="shared" si="24"/>
        <v>0</v>
      </c>
      <c r="K69" s="62" t="s">
        <v>166</v>
      </c>
      <c r="Z69" s="15">
        <f t="shared" si="25"/>
        <v>0</v>
      </c>
      <c r="AB69" s="15">
        <f t="shared" si="26"/>
        <v>0</v>
      </c>
      <c r="AC69" s="15">
        <f t="shared" si="27"/>
        <v>0</v>
      </c>
      <c r="AD69" s="15">
        <f t="shared" si="28"/>
        <v>0</v>
      </c>
      <c r="AE69" s="15">
        <f t="shared" si="29"/>
        <v>0</v>
      </c>
      <c r="AF69" s="15">
        <f t="shared" si="30"/>
        <v>0</v>
      </c>
      <c r="AG69" s="15">
        <f t="shared" si="31"/>
        <v>0</v>
      </c>
      <c r="AH69" s="15">
        <f t="shared" si="32"/>
        <v>0</v>
      </c>
      <c r="AI69" s="46" t="s">
        <v>20</v>
      </c>
      <c r="AJ69" s="15">
        <f t="shared" si="33"/>
        <v>0</v>
      </c>
      <c r="AK69" s="15">
        <f t="shared" si="34"/>
        <v>0</v>
      </c>
      <c r="AL69" s="15">
        <f t="shared" si="35"/>
        <v>0</v>
      </c>
      <c r="AN69" s="15">
        <v>12</v>
      </c>
      <c r="AO69" s="15">
        <f>G69*1</f>
        <v>0</v>
      </c>
      <c r="AP69" s="15">
        <f>G69*(1-1)</f>
        <v>0</v>
      </c>
      <c r="AQ69" s="14" t="s">
        <v>187</v>
      </c>
      <c r="AV69" s="15">
        <f t="shared" si="36"/>
        <v>0</v>
      </c>
      <c r="AW69" s="15">
        <f t="shared" si="37"/>
        <v>0</v>
      </c>
      <c r="AX69" s="15">
        <f t="shared" si="38"/>
        <v>0</v>
      </c>
      <c r="AY69" s="14" t="s">
        <v>291</v>
      </c>
      <c r="AZ69" s="14" t="s">
        <v>292</v>
      </c>
      <c r="BA69" s="46" t="s">
        <v>169</v>
      </c>
      <c r="BC69" s="15">
        <f t="shared" si="39"/>
        <v>0</v>
      </c>
      <c r="BD69" s="15">
        <f t="shared" si="40"/>
        <v>0</v>
      </c>
      <c r="BE69" s="15">
        <v>0</v>
      </c>
      <c r="BF69" s="15">
        <f>69</f>
        <v>69</v>
      </c>
      <c r="BH69" s="15">
        <f t="shared" si="41"/>
        <v>0</v>
      </c>
      <c r="BI69" s="15">
        <f t="shared" si="42"/>
        <v>0</v>
      </c>
      <c r="BJ69" s="15">
        <f t="shared" si="43"/>
        <v>0</v>
      </c>
      <c r="BK69" s="15"/>
      <c r="BL69" s="15">
        <v>766</v>
      </c>
      <c r="BW69" s="15">
        <v>12</v>
      </c>
      <c r="BX69" s="4" t="s">
        <v>325</v>
      </c>
    </row>
    <row r="70" spans="1:76" x14ac:dyDescent="0.25">
      <c r="A70" s="1" t="s">
        <v>326</v>
      </c>
      <c r="B70" s="2" t="s">
        <v>327</v>
      </c>
      <c r="C70" s="78" t="s">
        <v>328</v>
      </c>
      <c r="D70" s="73"/>
      <c r="E70" s="2" t="s">
        <v>204</v>
      </c>
      <c r="F70" s="15">
        <v>1</v>
      </c>
      <c r="G70" s="61"/>
      <c r="H70" s="15">
        <f t="shared" si="22"/>
        <v>0</v>
      </c>
      <c r="I70" s="15">
        <f t="shared" si="23"/>
        <v>0</v>
      </c>
      <c r="J70" s="15">
        <f t="shared" si="24"/>
        <v>0</v>
      </c>
      <c r="K70" s="62" t="s">
        <v>166</v>
      </c>
      <c r="Z70" s="15">
        <f t="shared" si="25"/>
        <v>0</v>
      </c>
      <c r="AB70" s="15">
        <f t="shared" si="26"/>
        <v>0</v>
      </c>
      <c r="AC70" s="15">
        <f t="shared" si="27"/>
        <v>0</v>
      </c>
      <c r="AD70" s="15">
        <f t="shared" si="28"/>
        <v>0</v>
      </c>
      <c r="AE70" s="15">
        <f t="shared" si="29"/>
        <v>0</v>
      </c>
      <c r="AF70" s="15">
        <f t="shared" si="30"/>
        <v>0</v>
      </c>
      <c r="AG70" s="15">
        <f t="shared" si="31"/>
        <v>0</v>
      </c>
      <c r="AH70" s="15">
        <f t="shared" si="32"/>
        <v>0</v>
      </c>
      <c r="AI70" s="46" t="s">
        <v>20</v>
      </c>
      <c r="AJ70" s="15">
        <f t="shared" si="33"/>
        <v>0</v>
      </c>
      <c r="AK70" s="15">
        <f t="shared" si="34"/>
        <v>0</v>
      </c>
      <c r="AL70" s="15">
        <f t="shared" si="35"/>
        <v>0</v>
      </c>
      <c r="AN70" s="15">
        <v>12</v>
      </c>
      <c r="AO70" s="15">
        <f>G70*0.036979861</f>
        <v>0</v>
      </c>
      <c r="AP70" s="15">
        <f>G70*(1-0.036979861)</f>
        <v>0</v>
      </c>
      <c r="AQ70" s="14" t="s">
        <v>187</v>
      </c>
      <c r="AV70" s="15">
        <f t="shared" si="36"/>
        <v>0</v>
      </c>
      <c r="AW70" s="15">
        <f t="shared" si="37"/>
        <v>0</v>
      </c>
      <c r="AX70" s="15">
        <f t="shared" si="38"/>
        <v>0</v>
      </c>
      <c r="AY70" s="14" t="s">
        <v>291</v>
      </c>
      <c r="AZ70" s="14" t="s">
        <v>292</v>
      </c>
      <c r="BA70" s="46" t="s">
        <v>169</v>
      </c>
      <c r="BC70" s="15">
        <f t="shared" si="39"/>
        <v>0</v>
      </c>
      <c r="BD70" s="15">
        <f t="shared" si="40"/>
        <v>0</v>
      </c>
      <c r="BE70" s="15">
        <v>0</v>
      </c>
      <c r="BF70" s="15">
        <f>70</f>
        <v>70</v>
      </c>
      <c r="BH70" s="15">
        <f t="shared" si="41"/>
        <v>0</v>
      </c>
      <c r="BI70" s="15">
        <f t="shared" si="42"/>
        <v>0</v>
      </c>
      <c r="BJ70" s="15">
        <f t="shared" si="43"/>
        <v>0</v>
      </c>
      <c r="BK70" s="15"/>
      <c r="BL70" s="15">
        <v>766</v>
      </c>
      <c r="BW70" s="15">
        <v>12</v>
      </c>
      <c r="BX70" s="4" t="s">
        <v>328</v>
      </c>
    </row>
    <row r="71" spans="1:76" x14ac:dyDescent="0.25">
      <c r="A71" s="1" t="s">
        <v>329</v>
      </c>
      <c r="B71" s="2" t="s">
        <v>330</v>
      </c>
      <c r="C71" s="78" t="s">
        <v>331</v>
      </c>
      <c r="D71" s="73"/>
      <c r="E71" s="2" t="s">
        <v>204</v>
      </c>
      <c r="F71" s="15">
        <v>1</v>
      </c>
      <c r="G71" s="61"/>
      <c r="H71" s="15">
        <f t="shared" si="22"/>
        <v>0</v>
      </c>
      <c r="I71" s="15">
        <f t="shared" si="23"/>
        <v>0</v>
      </c>
      <c r="J71" s="15">
        <f t="shared" si="24"/>
        <v>0</v>
      </c>
      <c r="K71" s="62" t="s">
        <v>166</v>
      </c>
      <c r="Z71" s="15">
        <f t="shared" si="25"/>
        <v>0</v>
      </c>
      <c r="AB71" s="15">
        <f t="shared" si="26"/>
        <v>0</v>
      </c>
      <c r="AC71" s="15">
        <f t="shared" si="27"/>
        <v>0</v>
      </c>
      <c r="AD71" s="15">
        <f t="shared" si="28"/>
        <v>0</v>
      </c>
      <c r="AE71" s="15">
        <f t="shared" si="29"/>
        <v>0</v>
      </c>
      <c r="AF71" s="15">
        <f t="shared" si="30"/>
        <v>0</v>
      </c>
      <c r="AG71" s="15">
        <f t="shared" si="31"/>
        <v>0</v>
      </c>
      <c r="AH71" s="15">
        <f t="shared" si="32"/>
        <v>0</v>
      </c>
      <c r="AI71" s="46" t="s">
        <v>20</v>
      </c>
      <c r="AJ71" s="15">
        <f t="shared" si="33"/>
        <v>0</v>
      </c>
      <c r="AK71" s="15">
        <f t="shared" si="34"/>
        <v>0</v>
      </c>
      <c r="AL71" s="15">
        <f t="shared" si="35"/>
        <v>0</v>
      </c>
      <c r="AN71" s="15">
        <v>12</v>
      </c>
      <c r="AO71" s="15">
        <f>G71*1</f>
        <v>0</v>
      </c>
      <c r="AP71" s="15">
        <f>G71*(1-1)</f>
        <v>0</v>
      </c>
      <c r="AQ71" s="14" t="s">
        <v>187</v>
      </c>
      <c r="AV71" s="15">
        <f t="shared" si="36"/>
        <v>0</v>
      </c>
      <c r="AW71" s="15">
        <f t="shared" si="37"/>
        <v>0</v>
      </c>
      <c r="AX71" s="15">
        <f t="shared" si="38"/>
        <v>0</v>
      </c>
      <c r="AY71" s="14" t="s">
        <v>291</v>
      </c>
      <c r="AZ71" s="14" t="s">
        <v>292</v>
      </c>
      <c r="BA71" s="46" t="s">
        <v>169</v>
      </c>
      <c r="BC71" s="15">
        <f t="shared" si="39"/>
        <v>0</v>
      </c>
      <c r="BD71" s="15">
        <f t="shared" si="40"/>
        <v>0</v>
      </c>
      <c r="BE71" s="15">
        <v>0</v>
      </c>
      <c r="BF71" s="15">
        <f>71</f>
        <v>71</v>
      </c>
      <c r="BH71" s="15">
        <f t="shared" si="41"/>
        <v>0</v>
      </c>
      <c r="BI71" s="15">
        <f t="shared" si="42"/>
        <v>0</v>
      </c>
      <c r="BJ71" s="15">
        <f t="shared" si="43"/>
        <v>0</v>
      </c>
      <c r="BK71" s="15"/>
      <c r="BL71" s="15">
        <v>766</v>
      </c>
      <c r="BW71" s="15">
        <v>12</v>
      </c>
      <c r="BX71" s="4" t="s">
        <v>331</v>
      </c>
    </row>
    <row r="72" spans="1:76" x14ac:dyDescent="0.25">
      <c r="A72" s="1" t="s">
        <v>332</v>
      </c>
      <c r="B72" s="2" t="s">
        <v>333</v>
      </c>
      <c r="C72" s="78" t="s">
        <v>334</v>
      </c>
      <c r="D72" s="73"/>
      <c r="E72" s="2" t="s">
        <v>113</v>
      </c>
      <c r="F72" s="15">
        <v>689.1</v>
      </c>
      <c r="G72" s="61"/>
      <c r="H72" s="15">
        <f t="shared" si="22"/>
        <v>0</v>
      </c>
      <c r="I72" s="15">
        <f t="shared" si="23"/>
        <v>0</v>
      </c>
      <c r="J72" s="15">
        <f t="shared" si="24"/>
        <v>0</v>
      </c>
      <c r="K72" s="62" t="s">
        <v>166</v>
      </c>
      <c r="Z72" s="15">
        <f t="shared" si="25"/>
        <v>0</v>
      </c>
      <c r="AB72" s="15">
        <f t="shared" si="26"/>
        <v>0</v>
      </c>
      <c r="AC72" s="15">
        <f t="shared" si="27"/>
        <v>0</v>
      </c>
      <c r="AD72" s="15">
        <f t="shared" si="28"/>
        <v>0</v>
      </c>
      <c r="AE72" s="15">
        <f t="shared" si="29"/>
        <v>0</v>
      </c>
      <c r="AF72" s="15">
        <f t="shared" si="30"/>
        <v>0</v>
      </c>
      <c r="AG72" s="15">
        <f t="shared" si="31"/>
        <v>0</v>
      </c>
      <c r="AH72" s="15">
        <f t="shared" si="32"/>
        <v>0</v>
      </c>
      <c r="AI72" s="46" t="s">
        <v>20</v>
      </c>
      <c r="AJ72" s="15">
        <f t="shared" si="33"/>
        <v>0</v>
      </c>
      <c r="AK72" s="15">
        <f t="shared" si="34"/>
        <v>0</v>
      </c>
      <c r="AL72" s="15">
        <f t="shared" si="35"/>
        <v>0</v>
      </c>
      <c r="AN72" s="15">
        <v>12</v>
      </c>
      <c r="AO72" s="15">
        <f>G72*0</f>
        <v>0</v>
      </c>
      <c r="AP72" s="15">
        <f>G72*(1-0)</f>
        <v>0</v>
      </c>
      <c r="AQ72" s="14" t="s">
        <v>181</v>
      </c>
      <c r="AV72" s="15">
        <f t="shared" si="36"/>
        <v>0</v>
      </c>
      <c r="AW72" s="15">
        <f t="shared" si="37"/>
        <v>0</v>
      </c>
      <c r="AX72" s="15">
        <f t="shared" si="38"/>
        <v>0</v>
      </c>
      <c r="AY72" s="14" t="s">
        <v>291</v>
      </c>
      <c r="AZ72" s="14" t="s">
        <v>292</v>
      </c>
      <c r="BA72" s="46" t="s">
        <v>169</v>
      </c>
      <c r="BC72" s="15">
        <f t="shared" si="39"/>
        <v>0</v>
      </c>
      <c r="BD72" s="15">
        <f t="shared" si="40"/>
        <v>0</v>
      </c>
      <c r="BE72" s="15">
        <v>0</v>
      </c>
      <c r="BF72" s="15">
        <f>72</f>
        <v>72</v>
      </c>
      <c r="BH72" s="15">
        <f t="shared" si="41"/>
        <v>0</v>
      </c>
      <c r="BI72" s="15">
        <f t="shared" si="42"/>
        <v>0</v>
      </c>
      <c r="BJ72" s="15">
        <f t="shared" si="43"/>
        <v>0</v>
      </c>
      <c r="BK72" s="15"/>
      <c r="BL72" s="15">
        <v>766</v>
      </c>
      <c r="BW72" s="15">
        <v>12</v>
      </c>
      <c r="BX72" s="4" t="s">
        <v>334</v>
      </c>
    </row>
    <row r="73" spans="1:76" x14ac:dyDescent="0.25">
      <c r="A73" s="63" t="s">
        <v>20</v>
      </c>
      <c r="B73" s="64" t="s">
        <v>42</v>
      </c>
      <c r="C73" s="150" t="s">
        <v>43</v>
      </c>
      <c r="D73" s="151"/>
      <c r="E73" s="65" t="s">
        <v>3</v>
      </c>
      <c r="F73" s="65" t="s">
        <v>3</v>
      </c>
      <c r="G73" s="66"/>
      <c r="H73" s="40">
        <f>SUM(H74:H79)</f>
        <v>0</v>
      </c>
      <c r="I73" s="40">
        <f>SUM(I74:I79)</f>
        <v>0</v>
      </c>
      <c r="J73" s="40">
        <f>SUM(J74:J79)</f>
        <v>0</v>
      </c>
      <c r="K73" s="67" t="s">
        <v>20</v>
      </c>
      <c r="AI73" s="46" t="s">
        <v>20</v>
      </c>
      <c r="AS73" s="40">
        <f>SUM(AJ74:AJ79)</f>
        <v>0</v>
      </c>
      <c r="AT73" s="40">
        <f>SUM(AK74:AK79)</f>
        <v>0</v>
      </c>
      <c r="AU73" s="40">
        <f>SUM(AL74:AL79)</f>
        <v>0</v>
      </c>
    </row>
    <row r="74" spans="1:76" x14ac:dyDescent="0.25">
      <c r="A74" s="1" t="s">
        <v>335</v>
      </c>
      <c r="B74" s="2" t="s">
        <v>336</v>
      </c>
      <c r="C74" s="78" t="s">
        <v>337</v>
      </c>
      <c r="D74" s="73"/>
      <c r="E74" s="2" t="s">
        <v>165</v>
      </c>
      <c r="F74" s="15">
        <v>2.97</v>
      </c>
      <c r="G74" s="61"/>
      <c r="H74" s="15">
        <f t="shared" ref="H74:H79" si="44">F74*AO74</f>
        <v>0</v>
      </c>
      <c r="I74" s="15">
        <f t="shared" ref="I74:I79" si="45">F74*AP74</f>
        <v>0</v>
      </c>
      <c r="J74" s="15">
        <f t="shared" ref="J74:J79" si="46">F74*G74</f>
        <v>0</v>
      </c>
      <c r="K74" s="62" t="s">
        <v>166</v>
      </c>
      <c r="Z74" s="15">
        <f t="shared" ref="Z74:Z79" si="47">IF(AQ74="5",BJ74,0)</f>
        <v>0</v>
      </c>
      <c r="AB74" s="15">
        <f t="shared" ref="AB74:AB79" si="48">IF(AQ74="1",BH74,0)</f>
        <v>0</v>
      </c>
      <c r="AC74" s="15">
        <f t="shared" ref="AC74:AC79" si="49">IF(AQ74="1",BI74,0)</f>
        <v>0</v>
      </c>
      <c r="AD74" s="15">
        <f t="shared" ref="AD74:AD79" si="50">IF(AQ74="7",BH74,0)</f>
        <v>0</v>
      </c>
      <c r="AE74" s="15">
        <f t="shared" ref="AE74:AE79" si="51">IF(AQ74="7",BI74,0)</f>
        <v>0</v>
      </c>
      <c r="AF74" s="15">
        <f t="shared" ref="AF74:AF79" si="52">IF(AQ74="2",BH74,0)</f>
        <v>0</v>
      </c>
      <c r="AG74" s="15">
        <f t="shared" ref="AG74:AG79" si="53">IF(AQ74="2",BI74,0)</f>
        <v>0</v>
      </c>
      <c r="AH74" s="15">
        <f t="shared" ref="AH74:AH79" si="54">IF(AQ74="0",BJ74,0)</f>
        <v>0</v>
      </c>
      <c r="AI74" s="46" t="s">
        <v>20</v>
      </c>
      <c r="AJ74" s="15">
        <f t="shared" ref="AJ74:AJ79" si="55">IF(AN74=0,J74,0)</f>
        <v>0</v>
      </c>
      <c r="AK74" s="15">
        <f t="shared" ref="AK74:AK79" si="56">IF(AN74=12,J74,0)</f>
        <v>0</v>
      </c>
      <c r="AL74" s="15">
        <f t="shared" ref="AL74:AL79" si="57">IF(AN74=21,J74,0)</f>
        <v>0</v>
      </c>
      <c r="AN74" s="15">
        <v>12</v>
      </c>
      <c r="AO74" s="15">
        <f>G74*0</f>
        <v>0</v>
      </c>
      <c r="AP74" s="15">
        <f>G74*(1-0)</f>
        <v>0</v>
      </c>
      <c r="AQ74" s="14" t="s">
        <v>187</v>
      </c>
      <c r="AV74" s="15">
        <f t="shared" ref="AV74:AV79" si="58">AW74+AX74</f>
        <v>0</v>
      </c>
      <c r="AW74" s="15">
        <f t="shared" ref="AW74:AW79" si="59">F74*AO74</f>
        <v>0</v>
      </c>
      <c r="AX74" s="15">
        <f t="shared" ref="AX74:AX79" si="60">F74*AP74</f>
        <v>0</v>
      </c>
      <c r="AY74" s="14" t="s">
        <v>338</v>
      </c>
      <c r="AZ74" s="14" t="s">
        <v>339</v>
      </c>
      <c r="BA74" s="46" t="s">
        <v>169</v>
      </c>
      <c r="BC74" s="15">
        <f t="shared" ref="BC74:BC79" si="61">AW74+AX74</f>
        <v>0</v>
      </c>
      <c r="BD74" s="15">
        <f t="shared" ref="BD74:BD79" si="62">G74/(100-BE74)*100</f>
        <v>0</v>
      </c>
      <c r="BE74" s="15">
        <v>0</v>
      </c>
      <c r="BF74" s="15">
        <f>74</f>
        <v>74</v>
      </c>
      <c r="BH74" s="15">
        <f t="shared" ref="BH74:BH79" si="63">F74*AO74</f>
        <v>0</v>
      </c>
      <c r="BI74" s="15">
        <f t="shared" ref="BI74:BI79" si="64">F74*AP74</f>
        <v>0</v>
      </c>
      <c r="BJ74" s="15">
        <f t="shared" ref="BJ74:BJ79" si="65">F74*G74</f>
        <v>0</v>
      </c>
      <c r="BK74" s="15"/>
      <c r="BL74" s="15">
        <v>771</v>
      </c>
      <c r="BW74" s="15">
        <v>12</v>
      </c>
      <c r="BX74" s="4" t="s">
        <v>337</v>
      </c>
    </row>
    <row r="75" spans="1:76" x14ac:dyDescent="0.25">
      <c r="A75" s="1" t="s">
        <v>340</v>
      </c>
      <c r="B75" s="2" t="s">
        <v>341</v>
      </c>
      <c r="C75" s="78" t="s">
        <v>342</v>
      </c>
      <c r="D75" s="73"/>
      <c r="E75" s="2" t="s">
        <v>165</v>
      </c>
      <c r="F75" s="15">
        <v>2.97</v>
      </c>
      <c r="G75" s="61"/>
      <c r="H75" s="15">
        <f t="shared" si="44"/>
        <v>0</v>
      </c>
      <c r="I75" s="15">
        <f t="shared" si="45"/>
        <v>0</v>
      </c>
      <c r="J75" s="15">
        <f t="shared" si="46"/>
        <v>0</v>
      </c>
      <c r="K75" s="62" t="s">
        <v>166</v>
      </c>
      <c r="Z75" s="15">
        <f t="shared" si="47"/>
        <v>0</v>
      </c>
      <c r="AB75" s="15">
        <f t="shared" si="48"/>
        <v>0</v>
      </c>
      <c r="AC75" s="15">
        <f t="shared" si="49"/>
        <v>0</v>
      </c>
      <c r="AD75" s="15">
        <f t="shared" si="50"/>
        <v>0</v>
      </c>
      <c r="AE75" s="15">
        <f t="shared" si="51"/>
        <v>0</v>
      </c>
      <c r="AF75" s="15">
        <f t="shared" si="52"/>
        <v>0</v>
      </c>
      <c r="AG75" s="15">
        <f t="shared" si="53"/>
        <v>0</v>
      </c>
      <c r="AH75" s="15">
        <f t="shared" si="54"/>
        <v>0</v>
      </c>
      <c r="AI75" s="46" t="s">
        <v>20</v>
      </c>
      <c r="AJ75" s="15">
        <f t="shared" si="55"/>
        <v>0</v>
      </c>
      <c r="AK75" s="15">
        <f t="shared" si="56"/>
        <v>0</v>
      </c>
      <c r="AL75" s="15">
        <f t="shared" si="57"/>
        <v>0</v>
      </c>
      <c r="AN75" s="15">
        <v>12</v>
      </c>
      <c r="AO75" s="15">
        <f>G75*0.472420623</f>
        <v>0</v>
      </c>
      <c r="AP75" s="15">
        <f>G75*(1-0.472420623)</f>
        <v>0</v>
      </c>
      <c r="AQ75" s="14" t="s">
        <v>187</v>
      </c>
      <c r="AV75" s="15">
        <f t="shared" si="58"/>
        <v>0</v>
      </c>
      <c r="AW75" s="15">
        <f t="shared" si="59"/>
        <v>0</v>
      </c>
      <c r="AX75" s="15">
        <f t="shared" si="60"/>
        <v>0</v>
      </c>
      <c r="AY75" s="14" t="s">
        <v>338</v>
      </c>
      <c r="AZ75" s="14" t="s">
        <v>339</v>
      </c>
      <c r="BA75" s="46" t="s">
        <v>169</v>
      </c>
      <c r="BC75" s="15">
        <f t="shared" si="61"/>
        <v>0</v>
      </c>
      <c r="BD75" s="15">
        <f t="shared" si="62"/>
        <v>0</v>
      </c>
      <c r="BE75" s="15">
        <v>0</v>
      </c>
      <c r="BF75" s="15">
        <f>75</f>
        <v>75</v>
      </c>
      <c r="BH75" s="15">
        <f t="shared" si="63"/>
        <v>0</v>
      </c>
      <c r="BI75" s="15">
        <f t="shared" si="64"/>
        <v>0</v>
      </c>
      <c r="BJ75" s="15">
        <f t="shared" si="65"/>
        <v>0</v>
      </c>
      <c r="BK75" s="15"/>
      <c r="BL75" s="15">
        <v>771</v>
      </c>
      <c r="BW75" s="15">
        <v>12</v>
      </c>
      <c r="BX75" s="4" t="s">
        <v>342</v>
      </c>
    </row>
    <row r="76" spans="1:76" x14ac:dyDescent="0.25">
      <c r="A76" s="1" t="s">
        <v>343</v>
      </c>
      <c r="B76" s="2" t="s">
        <v>344</v>
      </c>
      <c r="C76" s="78" t="s">
        <v>345</v>
      </c>
      <c r="D76" s="73"/>
      <c r="E76" s="2" t="s">
        <v>165</v>
      </c>
      <c r="F76" s="15">
        <v>2.97</v>
      </c>
      <c r="G76" s="61"/>
      <c r="H76" s="15">
        <f t="shared" si="44"/>
        <v>0</v>
      </c>
      <c r="I76" s="15">
        <f t="shared" si="45"/>
        <v>0</v>
      </c>
      <c r="J76" s="15">
        <f t="shared" si="46"/>
        <v>0</v>
      </c>
      <c r="K76" s="62" t="s">
        <v>166</v>
      </c>
      <c r="Z76" s="15">
        <f t="shared" si="47"/>
        <v>0</v>
      </c>
      <c r="AB76" s="15">
        <f t="shared" si="48"/>
        <v>0</v>
      </c>
      <c r="AC76" s="15">
        <f t="shared" si="49"/>
        <v>0</v>
      </c>
      <c r="AD76" s="15">
        <f t="shared" si="50"/>
        <v>0</v>
      </c>
      <c r="AE76" s="15">
        <f t="shared" si="51"/>
        <v>0</v>
      </c>
      <c r="AF76" s="15">
        <f t="shared" si="52"/>
        <v>0</v>
      </c>
      <c r="AG76" s="15">
        <f t="shared" si="53"/>
        <v>0</v>
      </c>
      <c r="AH76" s="15">
        <f t="shared" si="54"/>
        <v>0</v>
      </c>
      <c r="AI76" s="46" t="s">
        <v>20</v>
      </c>
      <c r="AJ76" s="15">
        <f t="shared" si="55"/>
        <v>0</v>
      </c>
      <c r="AK76" s="15">
        <f t="shared" si="56"/>
        <v>0</v>
      </c>
      <c r="AL76" s="15">
        <f t="shared" si="57"/>
        <v>0</v>
      </c>
      <c r="AN76" s="15">
        <v>12</v>
      </c>
      <c r="AO76" s="15">
        <f>G76*0</f>
        <v>0</v>
      </c>
      <c r="AP76" s="15">
        <f>G76*(1-0)</f>
        <v>0</v>
      </c>
      <c r="AQ76" s="14" t="s">
        <v>187</v>
      </c>
      <c r="AV76" s="15">
        <f t="shared" si="58"/>
        <v>0</v>
      </c>
      <c r="AW76" s="15">
        <f t="shared" si="59"/>
        <v>0</v>
      </c>
      <c r="AX76" s="15">
        <f t="shared" si="60"/>
        <v>0</v>
      </c>
      <c r="AY76" s="14" t="s">
        <v>338</v>
      </c>
      <c r="AZ76" s="14" t="s">
        <v>339</v>
      </c>
      <c r="BA76" s="46" t="s">
        <v>169</v>
      </c>
      <c r="BC76" s="15">
        <f t="shared" si="61"/>
        <v>0</v>
      </c>
      <c r="BD76" s="15">
        <f t="shared" si="62"/>
        <v>0</v>
      </c>
      <c r="BE76" s="15">
        <v>0</v>
      </c>
      <c r="BF76" s="15">
        <f>76</f>
        <v>76</v>
      </c>
      <c r="BH76" s="15">
        <f t="shared" si="63"/>
        <v>0</v>
      </c>
      <c r="BI76" s="15">
        <f t="shared" si="64"/>
        <v>0</v>
      </c>
      <c r="BJ76" s="15">
        <f t="shared" si="65"/>
        <v>0</v>
      </c>
      <c r="BK76" s="15"/>
      <c r="BL76" s="15">
        <v>771</v>
      </c>
      <c r="BW76" s="15">
        <v>12</v>
      </c>
      <c r="BX76" s="4" t="s">
        <v>345</v>
      </c>
    </row>
    <row r="77" spans="1:76" ht="25.5" x14ac:dyDescent="0.25">
      <c r="A77" s="1" t="s">
        <v>346</v>
      </c>
      <c r="B77" s="2" t="s">
        <v>347</v>
      </c>
      <c r="C77" s="78" t="s">
        <v>348</v>
      </c>
      <c r="D77" s="73"/>
      <c r="E77" s="2" t="s">
        <v>165</v>
      </c>
      <c r="F77" s="15">
        <v>3.0590999999999999</v>
      </c>
      <c r="G77" s="61"/>
      <c r="H77" s="15">
        <f t="shared" si="44"/>
        <v>0</v>
      </c>
      <c r="I77" s="15">
        <f t="shared" si="45"/>
        <v>0</v>
      </c>
      <c r="J77" s="15">
        <f t="shared" si="46"/>
        <v>0</v>
      </c>
      <c r="K77" s="62" t="s">
        <v>166</v>
      </c>
      <c r="Z77" s="15">
        <f t="shared" si="47"/>
        <v>0</v>
      </c>
      <c r="AB77" s="15">
        <f t="shared" si="48"/>
        <v>0</v>
      </c>
      <c r="AC77" s="15">
        <f t="shared" si="49"/>
        <v>0</v>
      </c>
      <c r="AD77" s="15">
        <f t="shared" si="50"/>
        <v>0</v>
      </c>
      <c r="AE77" s="15">
        <f t="shared" si="51"/>
        <v>0</v>
      </c>
      <c r="AF77" s="15">
        <f t="shared" si="52"/>
        <v>0</v>
      </c>
      <c r="AG77" s="15">
        <f t="shared" si="53"/>
        <v>0</v>
      </c>
      <c r="AH77" s="15">
        <f t="shared" si="54"/>
        <v>0</v>
      </c>
      <c r="AI77" s="46" t="s">
        <v>20</v>
      </c>
      <c r="AJ77" s="15">
        <f t="shared" si="55"/>
        <v>0</v>
      </c>
      <c r="AK77" s="15">
        <f t="shared" si="56"/>
        <v>0</v>
      </c>
      <c r="AL77" s="15">
        <f t="shared" si="57"/>
        <v>0</v>
      </c>
      <c r="AN77" s="15">
        <v>12</v>
      </c>
      <c r="AO77" s="15">
        <f>G77*1</f>
        <v>0</v>
      </c>
      <c r="AP77" s="15">
        <f>G77*(1-1)</f>
        <v>0</v>
      </c>
      <c r="AQ77" s="14" t="s">
        <v>187</v>
      </c>
      <c r="AV77" s="15">
        <f t="shared" si="58"/>
        <v>0</v>
      </c>
      <c r="AW77" s="15">
        <f t="shared" si="59"/>
        <v>0</v>
      </c>
      <c r="AX77" s="15">
        <f t="shared" si="60"/>
        <v>0</v>
      </c>
      <c r="AY77" s="14" t="s">
        <v>338</v>
      </c>
      <c r="AZ77" s="14" t="s">
        <v>339</v>
      </c>
      <c r="BA77" s="46" t="s">
        <v>169</v>
      </c>
      <c r="BC77" s="15">
        <f t="shared" si="61"/>
        <v>0</v>
      </c>
      <c r="BD77" s="15">
        <f t="shared" si="62"/>
        <v>0</v>
      </c>
      <c r="BE77" s="15">
        <v>0</v>
      </c>
      <c r="BF77" s="15">
        <f>77</f>
        <v>77</v>
      </c>
      <c r="BH77" s="15">
        <f t="shared" si="63"/>
        <v>0</v>
      </c>
      <c r="BI77" s="15">
        <f t="shared" si="64"/>
        <v>0</v>
      </c>
      <c r="BJ77" s="15">
        <f t="shared" si="65"/>
        <v>0</v>
      </c>
      <c r="BK77" s="15"/>
      <c r="BL77" s="15">
        <v>771</v>
      </c>
      <c r="BW77" s="15">
        <v>12</v>
      </c>
      <c r="BX77" s="4" t="s">
        <v>348</v>
      </c>
    </row>
    <row r="78" spans="1:76" x14ac:dyDescent="0.25">
      <c r="A78" s="1" t="s">
        <v>349</v>
      </c>
      <c r="B78" s="2" t="s">
        <v>350</v>
      </c>
      <c r="C78" s="78" t="s">
        <v>351</v>
      </c>
      <c r="D78" s="73"/>
      <c r="E78" s="2" t="s">
        <v>200</v>
      </c>
      <c r="F78" s="15">
        <v>1.4</v>
      </c>
      <c r="G78" s="61"/>
      <c r="H78" s="15">
        <f t="shared" si="44"/>
        <v>0</v>
      </c>
      <c r="I78" s="15">
        <f t="shared" si="45"/>
        <v>0</v>
      </c>
      <c r="J78" s="15">
        <f t="shared" si="46"/>
        <v>0</v>
      </c>
      <c r="K78" s="62" t="s">
        <v>166</v>
      </c>
      <c r="Z78" s="15">
        <f t="shared" si="47"/>
        <v>0</v>
      </c>
      <c r="AB78" s="15">
        <f t="shared" si="48"/>
        <v>0</v>
      </c>
      <c r="AC78" s="15">
        <f t="shared" si="49"/>
        <v>0</v>
      </c>
      <c r="AD78" s="15">
        <f t="shared" si="50"/>
        <v>0</v>
      </c>
      <c r="AE78" s="15">
        <f t="shared" si="51"/>
        <v>0</v>
      </c>
      <c r="AF78" s="15">
        <f t="shared" si="52"/>
        <v>0</v>
      </c>
      <c r="AG78" s="15">
        <f t="shared" si="53"/>
        <v>0</v>
      </c>
      <c r="AH78" s="15">
        <f t="shared" si="54"/>
        <v>0</v>
      </c>
      <c r="AI78" s="46" t="s">
        <v>20</v>
      </c>
      <c r="AJ78" s="15">
        <f t="shared" si="55"/>
        <v>0</v>
      </c>
      <c r="AK78" s="15">
        <f t="shared" si="56"/>
        <v>0</v>
      </c>
      <c r="AL78" s="15">
        <f t="shared" si="57"/>
        <v>0</v>
      </c>
      <c r="AN78" s="15">
        <v>12</v>
      </c>
      <c r="AO78" s="15">
        <f>G78*0.739485628</f>
        <v>0</v>
      </c>
      <c r="AP78" s="15">
        <f>G78*(1-0.739485628)</f>
        <v>0</v>
      </c>
      <c r="AQ78" s="14" t="s">
        <v>187</v>
      </c>
      <c r="AV78" s="15">
        <f t="shared" si="58"/>
        <v>0</v>
      </c>
      <c r="AW78" s="15">
        <f t="shared" si="59"/>
        <v>0</v>
      </c>
      <c r="AX78" s="15">
        <f t="shared" si="60"/>
        <v>0</v>
      </c>
      <c r="AY78" s="14" t="s">
        <v>338</v>
      </c>
      <c r="AZ78" s="14" t="s">
        <v>339</v>
      </c>
      <c r="BA78" s="46" t="s">
        <v>169</v>
      </c>
      <c r="BC78" s="15">
        <f t="shared" si="61"/>
        <v>0</v>
      </c>
      <c r="BD78" s="15">
        <f t="shared" si="62"/>
        <v>0</v>
      </c>
      <c r="BE78" s="15">
        <v>0</v>
      </c>
      <c r="BF78" s="15">
        <f>78</f>
        <v>78</v>
      </c>
      <c r="BH78" s="15">
        <f t="shared" si="63"/>
        <v>0</v>
      </c>
      <c r="BI78" s="15">
        <f t="shared" si="64"/>
        <v>0</v>
      </c>
      <c r="BJ78" s="15">
        <f t="shared" si="65"/>
        <v>0</v>
      </c>
      <c r="BK78" s="15"/>
      <c r="BL78" s="15">
        <v>771</v>
      </c>
      <c r="BW78" s="15">
        <v>12</v>
      </c>
      <c r="BX78" s="4" t="s">
        <v>351</v>
      </c>
    </row>
    <row r="79" spans="1:76" x14ac:dyDescent="0.25">
      <c r="A79" s="1" t="s">
        <v>352</v>
      </c>
      <c r="B79" s="2" t="s">
        <v>353</v>
      </c>
      <c r="C79" s="78" t="s">
        <v>354</v>
      </c>
      <c r="D79" s="73"/>
      <c r="E79" s="2" t="s">
        <v>113</v>
      </c>
      <c r="F79" s="15">
        <v>53.25</v>
      </c>
      <c r="G79" s="61"/>
      <c r="H79" s="15">
        <f t="shared" si="44"/>
        <v>0</v>
      </c>
      <c r="I79" s="15">
        <f t="shared" si="45"/>
        <v>0</v>
      </c>
      <c r="J79" s="15">
        <f t="shared" si="46"/>
        <v>0</v>
      </c>
      <c r="K79" s="62" t="s">
        <v>166</v>
      </c>
      <c r="Z79" s="15">
        <f t="shared" si="47"/>
        <v>0</v>
      </c>
      <c r="AB79" s="15">
        <f t="shared" si="48"/>
        <v>0</v>
      </c>
      <c r="AC79" s="15">
        <f t="shared" si="49"/>
        <v>0</v>
      </c>
      <c r="AD79" s="15">
        <f t="shared" si="50"/>
        <v>0</v>
      </c>
      <c r="AE79" s="15">
        <f t="shared" si="51"/>
        <v>0</v>
      </c>
      <c r="AF79" s="15">
        <f t="shared" si="52"/>
        <v>0</v>
      </c>
      <c r="AG79" s="15">
        <f t="shared" si="53"/>
        <v>0</v>
      </c>
      <c r="AH79" s="15">
        <f t="shared" si="54"/>
        <v>0</v>
      </c>
      <c r="AI79" s="46" t="s">
        <v>20</v>
      </c>
      <c r="AJ79" s="15">
        <f t="shared" si="55"/>
        <v>0</v>
      </c>
      <c r="AK79" s="15">
        <f t="shared" si="56"/>
        <v>0</v>
      </c>
      <c r="AL79" s="15">
        <f t="shared" si="57"/>
        <v>0</v>
      </c>
      <c r="AN79" s="15">
        <v>12</v>
      </c>
      <c r="AO79" s="15">
        <f>G79*0</f>
        <v>0</v>
      </c>
      <c r="AP79" s="15">
        <f>G79*(1-0)</f>
        <v>0</v>
      </c>
      <c r="AQ79" s="14" t="s">
        <v>181</v>
      </c>
      <c r="AV79" s="15">
        <f t="shared" si="58"/>
        <v>0</v>
      </c>
      <c r="AW79" s="15">
        <f t="shared" si="59"/>
        <v>0</v>
      </c>
      <c r="AX79" s="15">
        <f t="shared" si="60"/>
        <v>0</v>
      </c>
      <c r="AY79" s="14" t="s">
        <v>338</v>
      </c>
      <c r="AZ79" s="14" t="s">
        <v>339</v>
      </c>
      <c r="BA79" s="46" t="s">
        <v>169</v>
      </c>
      <c r="BC79" s="15">
        <f t="shared" si="61"/>
        <v>0</v>
      </c>
      <c r="BD79" s="15">
        <f t="shared" si="62"/>
        <v>0</v>
      </c>
      <c r="BE79" s="15">
        <v>0</v>
      </c>
      <c r="BF79" s="15">
        <f>79</f>
        <v>79</v>
      </c>
      <c r="BH79" s="15">
        <f t="shared" si="63"/>
        <v>0</v>
      </c>
      <c r="BI79" s="15">
        <f t="shared" si="64"/>
        <v>0</v>
      </c>
      <c r="BJ79" s="15">
        <f t="shared" si="65"/>
        <v>0</v>
      </c>
      <c r="BK79" s="15"/>
      <c r="BL79" s="15">
        <v>771</v>
      </c>
      <c r="BW79" s="15">
        <v>12</v>
      </c>
      <c r="BX79" s="4" t="s">
        <v>354</v>
      </c>
    </row>
    <row r="80" spans="1:76" x14ac:dyDescent="0.25">
      <c r="A80" s="63" t="s">
        <v>20</v>
      </c>
      <c r="B80" s="64" t="s">
        <v>44</v>
      </c>
      <c r="C80" s="150" t="s">
        <v>45</v>
      </c>
      <c r="D80" s="151"/>
      <c r="E80" s="65" t="s">
        <v>3</v>
      </c>
      <c r="F80" s="65" t="s">
        <v>3</v>
      </c>
      <c r="G80" s="66"/>
      <c r="H80" s="40">
        <f>SUM(H81:H88)</f>
        <v>0</v>
      </c>
      <c r="I80" s="40">
        <f>SUM(I81:I88)</f>
        <v>0</v>
      </c>
      <c r="J80" s="40">
        <f>SUM(J81:J88)</f>
        <v>0</v>
      </c>
      <c r="K80" s="67" t="s">
        <v>20</v>
      </c>
      <c r="AI80" s="46" t="s">
        <v>20</v>
      </c>
      <c r="AS80" s="40">
        <f>SUM(AJ81:AJ88)</f>
        <v>0</v>
      </c>
      <c r="AT80" s="40">
        <f>SUM(AK81:AK88)</f>
        <v>0</v>
      </c>
      <c r="AU80" s="40">
        <f>SUM(AL81:AL88)</f>
        <v>0</v>
      </c>
    </row>
    <row r="81" spans="1:76" x14ac:dyDescent="0.25">
      <c r="A81" s="1" t="s">
        <v>355</v>
      </c>
      <c r="B81" s="2" t="s">
        <v>356</v>
      </c>
      <c r="C81" s="78" t="s">
        <v>357</v>
      </c>
      <c r="D81" s="73"/>
      <c r="E81" s="2" t="s">
        <v>200</v>
      </c>
      <c r="F81" s="15">
        <v>67.92</v>
      </c>
      <c r="G81" s="61"/>
      <c r="H81" s="15">
        <f t="shared" ref="H81:H88" si="66">F81*AO81</f>
        <v>0</v>
      </c>
      <c r="I81" s="15">
        <f t="shared" ref="I81:I88" si="67">F81*AP81</f>
        <v>0</v>
      </c>
      <c r="J81" s="15">
        <f t="shared" ref="J81:J88" si="68">F81*G81</f>
        <v>0</v>
      </c>
      <c r="K81" s="62" t="s">
        <v>166</v>
      </c>
      <c r="Z81" s="15">
        <f t="shared" ref="Z81:Z88" si="69">IF(AQ81="5",BJ81,0)</f>
        <v>0</v>
      </c>
      <c r="AB81" s="15">
        <f t="shared" ref="AB81:AB88" si="70">IF(AQ81="1",BH81,0)</f>
        <v>0</v>
      </c>
      <c r="AC81" s="15">
        <f t="shared" ref="AC81:AC88" si="71">IF(AQ81="1",BI81,0)</f>
        <v>0</v>
      </c>
      <c r="AD81" s="15">
        <f t="shared" ref="AD81:AD88" si="72">IF(AQ81="7",BH81,0)</f>
        <v>0</v>
      </c>
      <c r="AE81" s="15">
        <f t="shared" ref="AE81:AE88" si="73">IF(AQ81="7",BI81,0)</f>
        <v>0</v>
      </c>
      <c r="AF81" s="15">
        <f t="shared" ref="AF81:AF88" si="74">IF(AQ81="2",BH81,0)</f>
        <v>0</v>
      </c>
      <c r="AG81" s="15">
        <f t="shared" ref="AG81:AG88" si="75">IF(AQ81="2",BI81,0)</f>
        <v>0</v>
      </c>
      <c r="AH81" s="15">
        <f t="shared" ref="AH81:AH88" si="76">IF(AQ81="0",BJ81,0)</f>
        <v>0</v>
      </c>
      <c r="AI81" s="46" t="s">
        <v>20</v>
      </c>
      <c r="AJ81" s="15">
        <f t="shared" ref="AJ81:AJ88" si="77">IF(AN81=0,J81,0)</f>
        <v>0</v>
      </c>
      <c r="AK81" s="15">
        <f t="shared" ref="AK81:AK88" si="78">IF(AN81=12,J81,0)</f>
        <v>0</v>
      </c>
      <c r="AL81" s="15">
        <f t="shared" ref="AL81:AL88" si="79">IF(AN81=21,J81,0)</f>
        <v>0</v>
      </c>
      <c r="AN81" s="15">
        <v>12</v>
      </c>
      <c r="AO81" s="15">
        <f>G81*0</f>
        <v>0</v>
      </c>
      <c r="AP81" s="15">
        <f>G81*(1-0)</f>
        <v>0</v>
      </c>
      <c r="AQ81" s="14" t="s">
        <v>187</v>
      </c>
      <c r="AV81" s="15">
        <f t="shared" ref="AV81:AV88" si="80">AW81+AX81</f>
        <v>0</v>
      </c>
      <c r="AW81" s="15">
        <f t="shared" ref="AW81:AW88" si="81">F81*AO81</f>
        <v>0</v>
      </c>
      <c r="AX81" s="15">
        <f t="shared" ref="AX81:AX88" si="82">F81*AP81</f>
        <v>0</v>
      </c>
      <c r="AY81" s="14" t="s">
        <v>358</v>
      </c>
      <c r="AZ81" s="14" t="s">
        <v>339</v>
      </c>
      <c r="BA81" s="46" t="s">
        <v>169</v>
      </c>
      <c r="BC81" s="15">
        <f t="shared" ref="BC81:BC88" si="83">AW81+AX81</f>
        <v>0</v>
      </c>
      <c r="BD81" s="15">
        <f t="shared" ref="BD81:BD88" si="84">G81/(100-BE81)*100</f>
        <v>0</v>
      </c>
      <c r="BE81" s="15">
        <v>0</v>
      </c>
      <c r="BF81" s="15">
        <f>81</f>
        <v>81</v>
      </c>
      <c r="BH81" s="15">
        <f t="shared" ref="BH81:BH88" si="85">F81*AO81</f>
        <v>0</v>
      </c>
      <c r="BI81" s="15">
        <f t="shared" ref="BI81:BI88" si="86">F81*AP81</f>
        <v>0</v>
      </c>
      <c r="BJ81" s="15">
        <f t="shared" ref="BJ81:BJ88" si="87">F81*G81</f>
        <v>0</v>
      </c>
      <c r="BK81" s="15"/>
      <c r="BL81" s="15">
        <v>776</v>
      </c>
      <c r="BW81" s="15">
        <v>12</v>
      </c>
      <c r="BX81" s="4" t="s">
        <v>357</v>
      </c>
    </row>
    <row r="82" spans="1:76" x14ac:dyDescent="0.25">
      <c r="A82" s="1" t="s">
        <v>359</v>
      </c>
      <c r="B82" s="2" t="s">
        <v>360</v>
      </c>
      <c r="C82" s="78" t="s">
        <v>361</v>
      </c>
      <c r="D82" s="73"/>
      <c r="E82" s="2" t="s">
        <v>165</v>
      </c>
      <c r="F82" s="15">
        <v>57.6</v>
      </c>
      <c r="G82" s="61"/>
      <c r="H82" s="15">
        <f t="shared" si="66"/>
        <v>0</v>
      </c>
      <c r="I82" s="15">
        <f t="shared" si="67"/>
        <v>0</v>
      </c>
      <c r="J82" s="15">
        <f t="shared" si="68"/>
        <v>0</v>
      </c>
      <c r="K82" s="62" t="s">
        <v>166</v>
      </c>
      <c r="Z82" s="15">
        <f t="shared" si="69"/>
        <v>0</v>
      </c>
      <c r="AB82" s="15">
        <f t="shared" si="70"/>
        <v>0</v>
      </c>
      <c r="AC82" s="15">
        <f t="shared" si="71"/>
        <v>0</v>
      </c>
      <c r="AD82" s="15">
        <f t="shared" si="72"/>
        <v>0</v>
      </c>
      <c r="AE82" s="15">
        <f t="shared" si="73"/>
        <v>0</v>
      </c>
      <c r="AF82" s="15">
        <f t="shared" si="74"/>
        <v>0</v>
      </c>
      <c r="AG82" s="15">
        <f t="shared" si="75"/>
        <v>0</v>
      </c>
      <c r="AH82" s="15">
        <f t="shared" si="76"/>
        <v>0</v>
      </c>
      <c r="AI82" s="46" t="s">
        <v>20</v>
      </c>
      <c r="AJ82" s="15">
        <f t="shared" si="77"/>
        <v>0</v>
      </c>
      <c r="AK82" s="15">
        <f t="shared" si="78"/>
        <v>0</v>
      </c>
      <c r="AL82" s="15">
        <f t="shared" si="79"/>
        <v>0</v>
      </c>
      <c r="AN82" s="15">
        <v>12</v>
      </c>
      <c r="AO82" s="15">
        <f>G82*0</f>
        <v>0</v>
      </c>
      <c r="AP82" s="15">
        <f>G82*(1-0)</f>
        <v>0</v>
      </c>
      <c r="AQ82" s="14" t="s">
        <v>187</v>
      </c>
      <c r="AV82" s="15">
        <f t="shared" si="80"/>
        <v>0</v>
      </c>
      <c r="AW82" s="15">
        <f t="shared" si="81"/>
        <v>0</v>
      </c>
      <c r="AX82" s="15">
        <f t="shared" si="82"/>
        <v>0</v>
      </c>
      <c r="AY82" s="14" t="s">
        <v>358</v>
      </c>
      <c r="AZ82" s="14" t="s">
        <v>339</v>
      </c>
      <c r="BA82" s="46" t="s">
        <v>169</v>
      </c>
      <c r="BC82" s="15">
        <f t="shared" si="83"/>
        <v>0</v>
      </c>
      <c r="BD82" s="15">
        <f t="shared" si="84"/>
        <v>0</v>
      </c>
      <c r="BE82" s="15">
        <v>0</v>
      </c>
      <c r="BF82" s="15">
        <f>82</f>
        <v>82</v>
      </c>
      <c r="BH82" s="15">
        <f t="shared" si="85"/>
        <v>0</v>
      </c>
      <c r="BI82" s="15">
        <f t="shared" si="86"/>
        <v>0</v>
      </c>
      <c r="BJ82" s="15">
        <f t="shared" si="87"/>
        <v>0</v>
      </c>
      <c r="BK82" s="15"/>
      <c r="BL82" s="15">
        <v>776</v>
      </c>
      <c r="BW82" s="15">
        <v>12</v>
      </c>
      <c r="BX82" s="4" t="s">
        <v>361</v>
      </c>
    </row>
    <row r="83" spans="1:76" x14ac:dyDescent="0.25">
      <c r="A83" s="1" t="s">
        <v>24</v>
      </c>
      <c r="B83" s="2" t="s">
        <v>362</v>
      </c>
      <c r="C83" s="78" t="s">
        <v>363</v>
      </c>
      <c r="D83" s="73"/>
      <c r="E83" s="2" t="s">
        <v>165</v>
      </c>
      <c r="F83" s="15">
        <v>55.1</v>
      </c>
      <c r="G83" s="61"/>
      <c r="H83" s="15">
        <f t="shared" si="66"/>
        <v>0</v>
      </c>
      <c r="I83" s="15">
        <f t="shared" si="67"/>
        <v>0</v>
      </c>
      <c r="J83" s="15">
        <f t="shared" si="68"/>
        <v>0</v>
      </c>
      <c r="K83" s="62" t="s">
        <v>166</v>
      </c>
      <c r="Z83" s="15">
        <f t="shared" si="69"/>
        <v>0</v>
      </c>
      <c r="AB83" s="15">
        <f t="shared" si="70"/>
        <v>0</v>
      </c>
      <c r="AC83" s="15">
        <f t="shared" si="71"/>
        <v>0</v>
      </c>
      <c r="AD83" s="15">
        <f t="shared" si="72"/>
        <v>0</v>
      </c>
      <c r="AE83" s="15">
        <f t="shared" si="73"/>
        <v>0</v>
      </c>
      <c r="AF83" s="15">
        <f t="shared" si="74"/>
        <v>0</v>
      </c>
      <c r="AG83" s="15">
        <f t="shared" si="75"/>
        <v>0</v>
      </c>
      <c r="AH83" s="15">
        <f t="shared" si="76"/>
        <v>0</v>
      </c>
      <c r="AI83" s="46" t="s">
        <v>20</v>
      </c>
      <c r="AJ83" s="15">
        <f t="shared" si="77"/>
        <v>0</v>
      </c>
      <c r="AK83" s="15">
        <f t="shared" si="78"/>
        <v>0</v>
      </c>
      <c r="AL83" s="15">
        <f t="shared" si="79"/>
        <v>0</v>
      </c>
      <c r="AN83" s="15">
        <v>12</v>
      </c>
      <c r="AO83" s="15">
        <f>G83*0</f>
        <v>0</v>
      </c>
      <c r="AP83" s="15">
        <f>G83*(1-0)</f>
        <v>0</v>
      </c>
      <c r="AQ83" s="14" t="s">
        <v>187</v>
      </c>
      <c r="AV83" s="15">
        <f t="shared" si="80"/>
        <v>0</v>
      </c>
      <c r="AW83" s="15">
        <f t="shared" si="81"/>
        <v>0</v>
      </c>
      <c r="AX83" s="15">
        <f t="shared" si="82"/>
        <v>0</v>
      </c>
      <c r="AY83" s="14" t="s">
        <v>358</v>
      </c>
      <c r="AZ83" s="14" t="s">
        <v>339</v>
      </c>
      <c r="BA83" s="46" t="s">
        <v>169</v>
      </c>
      <c r="BC83" s="15">
        <f t="shared" si="83"/>
        <v>0</v>
      </c>
      <c r="BD83" s="15">
        <f t="shared" si="84"/>
        <v>0</v>
      </c>
      <c r="BE83" s="15">
        <v>0</v>
      </c>
      <c r="BF83" s="15">
        <f>83</f>
        <v>83</v>
      </c>
      <c r="BH83" s="15">
        <f t="shared" si="85"/>
        <v>0</v>
      </c>
      <c r="BI83" s="15">
        <f t="shared" si="86"/>
        <v>0</v>
      </c>
      <c r="BJ83" s="15">
        <f t="shared" si="87"/>
        <v>0</v>
      </c>
      <c r="BK83" s="15"/>
      <c r="BL83" s="15">
        <v>776</v>
      </c>
      <c r="BW83" s="15">
        <v>12</v>
      </c>
      <c r="BX83" s="4" t="s">
        <v>363</v>
      </c>
    </row>
    <row r="84" spans="1:76" x14ac:dyDescent="0.25">
      <c r="A84" s="1" t="s">
        <v>26</v>
      </c>
      <c r="B84" s="2" t="s">
        <v>364</v>
      </c>
      <c r="C84" s="78" t="s">
        <v>365</v>
      </c>
      <c r="D84" s="73"/>
      <c r="E84" s="2" t="s">
        <v>200</v>
      </c>
      <c r="F84" s="15">
        <v>58.68</v>
      </c>
      <c r="G84" s="61"/>
      <c r="H84" s="15">
        <f t="shared" si="66"/>
        <v>0</v>
      </c>
      <c r="I84" s="15">
        <f t="shared" si="67"/>
        <v>0</v>
      </c>
      <c r="J84" s="15">
        <f t="shared" si="68"/>
        <v>0</v>
      </c>
      <c r="K84" s="62" t="s">
        <v>166</v>
      </c>
      <c r="Z84" s="15">
        <f t="shared" si="69"/>
        <v>0</v>
      </c>
      <c r="AB84" s="15">
        <f t="shared" si="70"/>
        <v>0</v>
      </c>
      <c r="AC84" s="15">
        <f t="shared" si="71"/>
        <v>0</v>
      </c>
      <c r="AD84" s="15">
        <f t="shared" si="72"/>
        <v>0</v>
      </c>
      <c r="AE84" s="15">
        <f t="shared" si="73"/>
        <v>0</v>
      </c>
      <c r="AF84" s="15">
        <f t="shared" si="74"/>
        <v>0</v>
      </c>
      <c r="AG84" s="15">
        <f t="shared" si="75"/>
        <v>0</v>
      </c>
      <c r="AH84" s="15">
        <f t="shared" si="76"/>
        <v>0</v>
      </c>
      <c r="AI84" s="46" t="s">
        <v>20</v>
      </c>
      <c r="AJ84" s="15">
        <f t="shared" si="77"/>
        <v>0</v>
      </c>
      <c r="AK84" s="15">
        <f t="shared" si="78"/>
        <v>0</v>
      </c>
      <c r="AL84" s="15">
        <f t="shared" si="79"/>
        <v>0</v>
      </c>
      <c r="AN84" s="15">
        <v>12</v>
      </c>
      <c r="AO84" s="15">
        <f>G84*0.141503373</f>
        <v>0</v>
      </c>
      <c r="AP84" s="15">
        <f>G84*(1-0.141503373)</f>
        <v>0</v>
      </c>
      <c r="AQ84" s="14" t="s">
        <v>187</v>
      </c>
      <c r="AV84" s="15">
        <f t="shared" si="80"/>
        <v>0</v>
      </c>
      <c r="AW84" s="15">
        <f t="shared" si="81"/>
        <v>0</v>
      </c>
      <c r="AX84" s="15">
        <f t="shared" si="82"/>
        <v>0</v>
      </c>
      <c r="AY84" s="14" t="s">
        <v>358</v>
      </c>
      <c r="AZ84" s="14" t="s">
        <v>339</v>
      </c>
      <c r="BA84" s="46" t="s">
        <v>169</v>
      </c>
      <c r="BC84" s="15">
        <f t="shared" si="83"/>
        <v>0</v>
      </c>
      <c r="BD84" s="15">
        <f t="shared" si="84"/>
        <v>0</v>
      </c>
      <c r="BE84" s="15">
        <v>0</v>
      </c>
      <c r="BF84" s="15">
        <f>84</f>
        <v>84</v>
      </c>
      <c r="BH84" s="15">
        <f t="shared" si="85"/>
        <v>0</v>
      </c>
      <c r="BI84" s="15">
        <f t="shared" si="86"/>
        <v>0</v>
      </c>
      <c r="BJ84" s="15">
        <f t="shared" si="87"/>
        <v>0</v>
      </c>
      <c r="BK84" s="15"/>
      <c r="BL84" s="15">
        <v>776</v>
      </c>
      <c r="BW84" s="15">
        <v>12</v>
      </c>
      <c r="BX84" s="4" t="s">
        <v>365</v>
      </c>
    </row>
    <row r="85" spans="1:76" x14ac:dyDescent="0.25">
      <c r="A85" s="1" t="s">
        <v>366</v>
      </c>
      <c r="B85" s="2" t="s">
        <v>367</v>
      </c>
      <c r="C85" s="78" t="s">
        <v>368</v>
      </c>
      <c r="D85" s="73"/>
      <c r="E85" s="2" t="s">
        <v>165</v>
      </c>
      <c r="F85" s="15">
        <v>55.1</v>
      </c>
      <c r="G85" s="61"/>
      <c r="H85" s="15">
        <f t="shared" si="66"/>
        <v>0</v>
      </c>
      <c r="I85" s="15">
        <f t="shared" si="67"/>
        <v>0</v>
      </c>
      <c r="J85" s="15">
        <f t="shared" si="68"/>
        <v>0</v>
      </c>
      <c r="K85" s="62" t="s">
        <v>166</v>
      </c>
      <c r="Z85" s="15">
        <f t="shared" si="69"/>
        <v>0</v>
      </c>
      <c r="AB85" s="15">
        <f t="shared" si="70"/>
        <v>0</v>
      </c>
      <c r="AC85" s="15">
        <f t="shared" si="71"/>
        <v>0</v>
      </c>
      <c r="AD85" s="15">
        <f t="shared" si="72"/>
        <v>0</v>
      </c>
      <c r="AE85" s="15">
        <f t="shared" si="73"/>
        <v>0</v>
      </c>
      <c r="AF85" s="15">
        <f t="shared" si="74"/>
        <v>0</v>
      </c>
      <c r="AG85" s="15">
        <f t="shared" si="75"/>
        <v>0</v>
      </c>
      <c r="AH85" s="15">
        <f t="shared" si="76"/>
        <v>0</v>
      </c>
      <c r="AI85" s="46" t="s">
        <v>20</v>
      </c>
      <c r="AJ85" s="15">
        <f t="shared" si="77"/>
        <v>0</v>
      </c>
      <c r="AK85" s="15">
        <f t="shared" si="78"/>
        <v>0</v>
      </c>
      <c r="AL85" s="15">
        <f t="shared" si="79"/>
        <v>0</v>
      </c>
      <c r="AN85" s="15">
        <v>12</v>
      </c>
      <c r="AO85" s="15">
        <f>G85*0.32155521</f>
        <v>0</v>
      </c>
      <c r="AP85" s="15">
        <f>G85*(1-0.32155521)</f>
        <v>0</v>
      </c>
      <c r="AQ85" s="14" t="s">
        <v>187</v>
      </c>
      <c r="AV85" s="15">
        <f t="shared" si="80"/>
        <v>0</v>
      </c>
      <c r="AW85" s="15">
        <f t="shared" si="81"/>
        <v>0</v>
      </c>
      <c r="AX85" s="15">
        <f t="shared" si="82"/>
        <v>0</v>
      </c>
      <c r="AY85" s="14" t="s">
        <v>358</v>
      </c>
      <c r="AZ85" s="14" t="s">
        <v>339</v>
      </c>
      <c r="BA85" s="46" t="s">
        <v>169</v>
      </c>
      <c r="BC85" s="15">
        <f t="shared" si="83"/>
        <v>0</v>
      </c>
      <c r="BD85" s="15">
        <f t="shared" si="84"/>
        <v>0</v>
      </c>
      <c r="BE85" s="15">
        <v>0</v>
      </c>
      <c r="BF85" s="15">
        <f>85</f>
        <v>85</v>
      </c>
      <c r="BH85" s="15">
        <f t="shared" si="85"/>
        <v>0</v>
      </c>
      <c r="BI85" s="15">
        <f t="shared" si="86"/>
        <v>0</v>
      </c>
      <c r="BJ85" s="15">
        <f t="shared" si="87"/>
        <v>0</v>
      </c>
      <c r="BK85" s="15"/>
      <c r="BL85" s="15">
        <v>776</v>
      </c>
      <c r="BW85" s="15">
        <v>12</v>
      </c>
      <c r="BX85" s="4" t="s">
        <v>368</v>
      </c>
    </row>
    <row r="86" spans="1:76" x14ac:dyDescent="0.25">
      <c r="A86" s="1" t="s">
        <v>369</v>
      </c>
      <c r="B86" s="2" t="s">
        <v>370</v>
      </c>
      <c r="C86" s="78" t="s">
        <v>371</v>
      </c>
      <c r="D86" s="73"/>
      <c r="E86" s="2" t="s">
        <v>165</v>
      </c>
      <c r="F86" s="15">
        <v>56.201999999999998</v>
      </c>
      <c r="G86" s="61"/>
      <c r="H86" s="15">
        <f t="shared" si="66"/>
        <v>0</v>
      </c>
      <c r="I86" s="15">
        <f t="shared" si="67"/>
        <v>0</v>
      </c>
      <c r="J86" s="15">
        <f t="shared" si="68"/>
        <v>0</v>
      </c>
      <c r="K86" s="62" t="s">
        <v>166</v>
      </c>
      <c r="Z86" s="15">
        <f t="shared" si="69"/>
        <v>0</v>
      </c>
      <c r="AB86" s="15">
        <f t="shared" si="70"/>
        <v>0</v>
      </c>
      <c r="AC86" s="15">
        <f t="shared" si="71"/>
        <v>0</v>
      </c>
      <c r="AD86" s="15">
        <f t="shared" si="72"/>
        <v>0</v>
      </c>
      <c r="AE86" s="15">
        <f t="shared" si="73"/>
        <v>0</v>
      </c>
      <c r="AF86" s="15">
        <f t="shared" si="74"/>
        <v>0</v>
      </c>
      <c r="AG86" s="15">
        <f t="shared" si="75"/>
        <v>0</v>
      </c>
      <c r="AH86" s="15">
        <f t="shared" si="76"/>
        <v>0</v>
      </c>
      <c r="AI86" s="46" t="s">
        <v>20</v>
      </c>
      <c r="AJ86" s="15">
        <f t="shared" si="77"/>
        <v>0</v>
      </c>
      <c r="AK86" s="15">
        <f t="shared" si="78"/>
        <v>0</v>
      </c>
      <c r="AL86" s="15">
        <f t="shared" si="79"/>
        <v>0</v>
      </c>
      <c r="AN86" s="15">
        <v>12</v>
      </c>
      <c r="AO86" s="15">
        <f>G86*1</f>
        <v>0</v>
      </c>
      <c r="AP86" s="15">
        <f>G86*(1-1)</f>
        <v>0</v>
      </c>
      <c r="AQ86" s="14" t="s">
        <v>187</v>
      </c>
      <c r="AV86" s="15">
        <f t="shared" si="80"/>
        <v>0</v>
      </c>
      <c r="AW86" s="15">
        <f t="shared" si="81"/>
        <v>0</v>
      </c>
      <c r="AX86" s="15">
        <f t="shared" si="82"/>
        <v>0</v>
      </c>
      <c r="AY86" s="14" t="s">
        <v>358</v>
      </c>
      <c r="AZ86" s="14" t="s">
        <v>339</v>
      </c>
      <c r="BA86" s="46" t="s">
        <v>169</v>
      </c>
      <c r="BC86" s="15">
        <f t="shared" si="83"/>
        <v>0</v>
      </c>
      <c r="BD86" s="15">
        <f t="shared" si="84"/>
        <v>0</v>
      </c>
      <c r="BE86" s="15">
        <v>0</v>
      </c>
      <c r="BF86" s="15">
        <f>86</f>
        <v>86</v>
      </c>
      <c r="BH86" s="15">
        <f t="shared" si="85"/>
        <v>0</v>
      </c>
      <c r="BI86" s="15">
        <f t="shared" si="86"/>
        <v>0</v>
      </c>
      <c r="BJ86" s="15">
        <f t="shared" si="87"/>
        <v>0</v>
      </c>
      <c r="BK86" s="15"/>
      <c r="BL86" s="15">
        <v>776</v>
      </c>
      <c r="BW86" s="15">
        <v>12</v>
      </c>
      <c r="BX86" s="4" t="s">
        <v>371</v>
      </c>
    </row>
    <row r="87" spans="1:76" x14ac:dyDescent="0.25">
      <c r="A87" s="1" t="s">
        <v>28</v>
      </c>
      <c r="B87" s="2" t="s">
        <v>372</v>
      </c>
      <c r="C87" s="78" t="s">
        <v>373</v>
      </c>
      <c r="D87" s="73"/>
      <c r="E87" s="2" t="s">
        <v>200</v>
      </c>
      <c r="F87" s="15">
        <v>3.8</v>
      </c>
      <c r="G87" s="61"/>
      <c r="H87" s="15">
        <f t="shared" si="66"/>
        <v>0</v>
      </c>
      <c r="I87" s="15">
        <f t="shared" si="67"/>
        <v>0</v>
      </c>
      <c r="J87" s="15">
        <f t="shared" si="68"/>
        <v>0</v>
      </c>
      <c r="K87" s="62" t="s">
        <v>166</v>
      </c>
      <c r="Z87" s="15">
        <f t="shared" si="69"/>
        <v>0</v>
      </c>
      <c r="AB87" s="15">
        <f t="shared" si="70"/>
        <v>0</v>
      </c>
      <c r="AC87" s="15">
        <f t="shared" si="71"/>
        <v>0</v>
      </c>
      <c r="AD87" s="15">
        <f t="shared" si="72"/>
        <v>0</v>
      </c>
      <c r="AE87" s="15">
        <f t="shared" si="73"/>
        <v>0</v>
      </c>
      <c r="AF87" s="15">
        <f t="shared" si="74"/>
        <v>0</v>
      </c>
      <c r="AG87" s="15">
        <f t="shared" si="75"/>
        <v>0</v>
      </c>
      <c r="AH87" s="15">
        <f t="shared" si="76"/>
        <v>0</v>
      </c>
      <c r="AI87" s="46" t="s">
        <v>20</v>
      </c>
      <c r="AJ87" s="15">
        <f t="shared" si="77"/>
        <v>0</v>
      </c>
      <c r="AK87" s="15">
        <f t="shared" si="78"/>
        <v>0</v>
      </c>
      <c r="AL87" s="15">
        <f t="shared" si="79"/>
        <v>0</v>
      </c>
      <c r="AN87" s="15">
        <v>12</v>
      </c>
      <c r="AO87" s="15">
        <f>G87*0.68043956</f>
        <v>0</v>
      </c>
      <c r="AP87" s="15">
        <f>G87*(1-0.68043956)</f>
        <v>0</v>
      </c>
      <c r="AQ87" s="14" t="s">
        <v>187</v>
      </c>
      <c r="AV87" s="15">
        <f t="shared" si="80"/>
        <v>0</v>
      </c>
      <c r="AW87" s="15">
        <f t="shared" si="81"/>
        <v>0</v>
      </c>
      <c r="AX87" s="15">
        <f t="shared" si="82"/>
        <v>0</v>
      </c>
      <c r="AY87" s="14" t="s">
        <v>358</v>
      </c>
      <c r="AZ87" s="14" t="s">
        <v>339</v>
      </c>
      <c r="BA87" s="46" t="s">
        <v>169</v>
      </c>
      <c r="BC87" s="15">
        <f t="shared" si="83"/>
        <v>0</v>
      </c>
      <c r="BD87" s="15">
        <f t="shared" si="84"/>
        <v>0</v>
      </c>
      <c r="BE87" s="15">
        <v>0</v>
      </c>
      <c r="BF87" s="15">
        <f>87</f>
        <v>87</v>
      </c>
      <c r="BH87" s="15">
        <f t="shared" si="85"/>
        <v>0</v>
      </c>
      <c r="BI87" s="15">
        <f t="shared" si="86"/>
        <v>0</v>
      </c>
      <c r="BJ87" s="15">
        <f t="shared" si="87"/>
        <v>0</v>
      </c>
      <c r="BK87" s="15"/>
      <c r="BL87" s="15">
        <v>776</v>
      </c>
      <c r="BW87" s="15">
        <v>12</v>
      </c>
      <c r="BX87" s="4" t="s">
        <v>373</v>
      </c>
    </row>
    <row r="88" spans="1:76" x14ac:dyDescent="0.25">
      <c r="A88" s="1" t="s">
        <v>374</v>
      </c>
      <c r="B88" s="2" t="s">
        <v>375</v>
      </c>
      <c r="C88" s="78" t="s">
        <v>376</v>
      </c>
      <c r="D88" s="73"/>
      <c r="E88" s="2" t="s">
        <v>113</v>
      </c>
      <c r="F88" s="15">
        <v>652.76</v>
      </c>
      <c r="G88" s="61"/>
      <c r="H88" s="15">
        <f t="shared" si="66"/>
        <v>0</v>
      </c>
      <c r="I88" s="15">
        <f t="shared" si="67"/>
        <v>0</v>
      </c>
      <c r="J88" s="15">
        <f t="shared" si="68"/>
        <v>0</v>
      </c>
      <c r="K88" s="62" t="s">
        <v>166</v>
      </c>
      <c r="Z88" s="15">
        <f t="shared" si="69"/>
        <v>0</v>
      </c>
      <c r="AB88" s="15">
        <f t="shared" si="70"/>
        <v>0</v>
      </c>
      <c r="AC88" s="15">
        <f t="shared" si="71"/>
        <v>0</v>
      </c>
      <c r="AD88" s="15">
        <f t="shared" si="72"/>
        <v>0</v>
      </c>
      <c r="AE88" s="15">
        <f t="shared" si="73"/>
        <v>0</v>
      </c>
      <c r="AF88" s="15">
        <f t="shared" si="74"/>
        <v>0</v>
      </c>
      <c r="AG88" s="15">
        <f t="shared" si="75"/>
        <v>0</v>
      </c>
      <c r="AH88" s="15">
        <f t="shared" si="76"/>
        <v>0</v>
      </c>
      <c r="AI88" s="46" t="s">
        <v>20</v>
      </c>
      <c r="AJ88" s="15">
        <f t="shared" si="77"/>
        <v>0</v>
      </c>
      <c r="AK88" s="15">
        <f t="shared" si="78"/>
        <v>0</v>
      </c>
      <c r="AL88" s="15">
        <f t="shared" si="79"/>
        <v>0</v>
      </c>
      <c r="AN88" s="15">
        <v>12</v>
      </c>
      <c r="AO88" s="15">
        <f>G88*0</f>
        <v>0</v>
      </c>
      <c r="AP88" s="15">
        <f>G88*(1-0)</f>
        <v>0</v>
      </c>
      <c r="AQ88" s="14" t="s">
        <v>181</v>
      </c>
      <c r="AV88" s="15">
        <f t="shared" si="80"/>
        <v>0</v>
      </c>
      <c r="AW88" s="15">
        <f t="shared" si="81"/>
        <v>0</v>
      </c>
      <c r="AX88" s="15">
        <f t="shared" si="82"/>
        <v>0</v>
      </c>
      <c r="AY88" s="14" t="s">
        <v>358</v>
      </c>
      <c r="AZ88" s="14" t="s">
        <v>339</v>
      </c>
      <c r="BA88" s="46" t="s">
        <v>169</v>
      </c>
      <c r="BC88" s="15">
        <f t="shared" si="83"/>
        <v>0</v>
      </c>
      <c r="BD88" s="15">
        <f t="shared" si="84"/>
        <v>0</v>
      </c>
      <c r="BE88" s="15">
        <v>0</v>
      </c>
      <c r="BF88" s="15">
        <f>88</f>
        <v>88</v>
      </c>
      <c r="BH88" s="15">
        <f t="shared" si="85"/>
        <v>0</v>
      </c>
      <c r="BI88" s="15">
        <f t="shared" si="86"/>
        <v>0</v>
      </c>
      <c r="BJ88" s="15">
        <f t="shared" si="87"/>
        <v>0</v>
      </c>
      <c r="BK88" s="15"/>
      <c r="BL88" s="15">
        <v>776</v>
      </c>
      <c r="BW88" s="15">
        <v>12</v>
      </c>
      <c r="BX88" s="4" t="s">
        <v>376</v>
      </c>
    </row>
    <row r="89" spans="1:76" x14ac:dyDescent="0.25">
      <c r="A89" s="63" t="s">
        <v>20</v>
      </c>
      <c r="B89" s="64" t="s">
        <v>46</v>
      </c>
      <c r="C89" s="150" t="s">
        <v>47</v>
      </c>
      <c r="D89" s="151"/>
      <c r="E89" s="65" t="s">
        <v>3</v>
      </c>
      <c r="F89" s="65" t="s">
        <v>3</v>
      </c>
      <c r="G89" s="66"/>
      <c r="H89" s="40">
        <f>SUM(H90:H93)</f>
        <v>0</v>
      </c>
      <c r="I89" s="40">
        <f>SUM(I90:I93)</f>
        <v>0</v>
      </c>
      <c r="J89" s="40">
        <f>SUM(J90:J93)</f>
        <v>0</v>
      </c>
      <c r="K89" s="67" t="s">
        <v>20</v>
      </c>
      <c r="AI89" s="46" t="s">
        <v>20</v>
      </c>
      <c r="AS89" s="40">
        <f>SUM(AJ90:AJ93)</f>
        <v>0</v>
      </c>
      <c r="AT89" s="40">
        <f>SUM(AK90:AK93)</f>
        <v>0</v>
      </c>
      <c r="AU89" s="40">
        <f>SUM(AL90:AL93)</f>
        <v>0</v>
      </c>
    </row>
    <row r="90" spans="1:76" x14ac:dyDescent="0.25">
      <c r="A90" s="1" t="s">
        <v>377</v>
      </c>
      <c r="B90" s="2" t="s">
        <v>378</v>
      </c>
      <c r="C90" s="78" t="s">
        <v>379</v>
      </c>
      <c r="D90" s="73"/>
      <c r="E90" s="2" t="s">
        <v>165</v>
      </c>
      <c r="F90" s="15">
        <v>55.9</v>
      </c>
      <c r="G90" s="61"/>
      <c r="H90" s="15">
        <f>F90*AO90</f>
        <v>0</v>
      </c>
      <c r="I90" s="15">
        <f>F90*AP90</f>
        <v>0</v>
      </c>
      <c r="J90" s="15">
        <f>F90*G90</f>
        <v>0</v>
      </c>
      <c r="K90" s="62" t="s">
        <v>166</v>
      </c>
      <c r="Z90" s="15">
        <f>IF(AQ90="5",BJ90,0)</f>
        <v>0</v>
      </c>
      <c r="AB90" s="15">
        <f>IF(AQ90="1",BH90,0)</f>
        <v>0</v>
      </c>
      <c r="AC90" s="15">
        <f>IF(AQ90="1",BI90,0)</f>
        <v>0</v>
      </c>
      <c r="AD90" s="15">
        <f>IF(AQ90="7",BH90,0)</f>
        <v>0</v>
      </c>
      <c r="AE90" s="15">
        <f>IF(AQ90="7",BI90,0)</f>
        <v>0</v>
      </c>
      <c r="AF90" s="15">
        <f>IF(AQ90="2",BH90,0)</f>
        <v>0</v>
      </c>
      <c r="AG90" s="15">
        <f>IF(AQ90="2",BI90,0)</f>
        <v>0</v>
      </c>
      <c r="AH90" s="15">
        <f>IF(AQ90="0",BJ90,0)</f>
        <v>0</v>
      </c>
      <c r="AI90" s="46" t="s">
        <v>20</v>
      </c>
      <c r="AJ90" s="15">
        <f>IF(AN90=0,J90,0)</f>
        <v>0</v>
      </c>
      <c r="AK90" s="15">
        <f>IF(AN90=12,J90,0)</f>
        <v>0</v>
      </c>
      <c r="AL90" s="15">
        <f>IF(AN90=21,J90,0)</f>
        <v>0</v>
      </c>
      <c r="AN90" s="15">
        <v>12</v>
      </c>
      <c r="AO90" s="15">
        <f>G90*0</f>
        <v>0</v>
      </c>
      <c r="AP90" s="15">
        <f>G90*(1-0)</f>
        <v>0</v>
      </c>
      <c r="AQ90" s="14" t="s">
        <v>187</v>
      </c>
      <c r="AV90" s="15">
        <f>AW90+AX90</f>
        <v>0</v>
      </c>
      <c r="AW90" s="15">
        <f>F90*AO90</f>
        <v>0</v>
      </c>
      <c r="AX90" s="15">
        <f>F90*AP90</f>
        <v>0</v>
      </c>
      <c r="AY90" s="14" t="s">
        <v>380</v>
      </c>
      <c r="AZ90" s="14" t="s">
        <v>339</v>
      </c>
      <c r="BA90" s="46" t="s">
        <v>169</v>
      </c>
      <c r="BC90" s="15">
        <f>AW90+AX90</f>
        <v>0</v>
      </c>
      <c r="BD90" s="15">
        <f>G90/(100-BE90)*100</f>
        <v>0</v>
      </c>
      <c r="BE90" s="15">
        <v>0</v>
      </c>
      <c r="BF90" s="15">
        <f>90</f>
        <v>90</v>
      </c>
      <c r="BH90" s="15">
        <f>F90*AO90</f>
        <v>0</v>
      </c>
      <c r="BI90" s="15">
        <f>F90*AP90</f>
        <v>0</v>
      </c>
      <c r="BJ90" s="15">
        <f>F90*G90</f>
        <v>0</v>
      </c>
      <c r="BK90" s="15"/>
      <c r="BL90" s="15">
        <v>777</v>
      </c>
      <c r="BW90" s="15">
        <v>12</v>
      </c>
      <c r="BX90" s="4" t="s">
        <v>379</v>
      </c>
    </row>
    <row r="91" spans="1:76" x14ac:dyDescent="0.25">
      <c r="A91" s="1" t="s">
        <v>381</v>
      </c>
      <c r="B91" s="2" t="s">
        <v>382</v>
      </c>
      <c r="C91" s="78" t="s">
        <v>383</v>
      </c>
      <c r="D91" s="73"/>
      <c r="E91" s="2" t="s">
        <v>165</v>
      </c>
      <c r="F91" s="15">
        <v>55.9</v>
      </c>
      <c r="G91" s="61"/>
      <c r="H91" s="15">
        <f>F91*AO91</f>
        <v>0</v>
      </c>
      <c r="I91" s="15">
        <f>F91*AP91</f>
        <v>0</v>
      </c>
      <c r="J91" s="15">
        <f>F91*G91</f>
        <v>0</v>
      </c>
      <c r="K91" s="62" t="s">
        <v>166</v>
      </c>
      <c r="Z91" s="15">
        <f>IF(AQ91="5",BJ91,0)</f>
        <v>0</v>
      </c>
      <c r="AB91" s="15">
        <f>IF(AQ91="1",BH91,0)</f>
        <v>0</v>
      </c>
      <c r="AC91" s="15">
        <f>IF(AQ91="1",BI91,0)</f>
        <v>0</v>
      </c>
      <c r="AD91" s="15">
        <f>IF(AQ91="7",BH91,0)</f>
        <v>0</v>
      </c>
      <c r="AE91" s="15">
        <f>IF(AQ91="7",BI91,0)</f>
        <v>0</v>
      </c>
      <c r="AF91" s="15">
        <f>IF(AQ91="2",BH91,0)</f>
        <v>0</v>
      </c>
      <c r="AG91" s="15">
        <f>IF(AQ91="2",BI91,0)</f>
        <v>0</v>
      </c>
      <c r="AH91" s="15">
        <f>IF(AQ91="0",BJ91,0)</f>
        <v>0</v>
      </c>
      <c r="AI91" s="46" t="s">
        <v>20</v>
      </c>
      <c r="AJ91" s="15">
        <f>IF(AN91=0,J91,0)</f>
        <v>0</v>
      </c>
      <c r="AK91" s="15">
        <f>IF(AN91=12,J91,0)</f>
        <v>0</v>
      </c>
      <c r="AL91" s="15">
        <f>IF(AN91=21,J91,0)</f>
        <v>0</v>
      </c>
      <c r="AN91" s="15">
        <v>12</v>
      </c>
      <c r="AO91" s="15">
        <f>G91*0.174336283</f>
        <v>0</v>
      </c>
      <c r="AP91" s="15">
        <f>G91*(1-0.174336283)</f>
        <v>0</v>
      </c>
      <c r="AQ91" s="14" t="s">
        <v>187</v>
      </c>
      <c r="AV91" s="15">
        <f>AW91+AX91</f>
        <v>0</v>
      </c>
      <c r="AW91" s="15">
        <f>F91*AO91</f>
        <v>0</v>
      </c>
      <c r="AX91" s="15">
        <f>F91*AP91</f>
        <v>0</v>
      </c>
      <c r="AY91" s="14" t="s">
        <v>380</v>
      </c>
      <c r="AZ91" s="14" t="s">
        <v>339</v>
      </c>
      <c r="BA91" s="46" t="s">
        <v>169</v>
      </c>
      <c r="BC91" s="15">
        <f>AW91+AX91</f>
        <v>0</v>
      </c>
      <c r="BD91" s="15">
        <f>G91/(100-BE91)*100</f>
        <v>0</v>
      </c>
      <c r="BE91" s="15">
        <v>0</v>
      </c>
      <c r="BF91" s="15">
        <f>91</f>
        <v>91</v>
      </c>
      <c r="BH91" s="15">
        <f>F91*AO91</f>
        <v>0</v>
      </c>
      <c r="BI91" s="15">
        <f>F91*AP91</f>
        <v>0</v>
      </c>
      <c r="BJ91" s="15">
        <f>F91*G91</f>
        <v>0</v>
      </c>
      <c r="BK91" s="15"/>
      <c r="BL91" s="15">
        <v>777</v>
      </c>
      <c r="BW91" s="15">
        <v>12</v>
      </c>
      <c r="BX91" s="4" t="s">
        <v>383</v>
      </c>
    </row>
    <row r="92" spans="1:76" x14ac:dyDescent="0.25">
      <c r="A92" s="1" t="s">
        <v>384</v>
      </c>
      <c r="B92" s="2" t="s">
        <v>385</v>
      </c>
      <c r="C92" s="78" t="s">
        <v>386</v>
      </c>
      <c r="D92" s="73"/>
      <c r="E92" s="2" t="s">
        <v>165</v>
      </c>
      <c r="F92" s="15">
        <v>55.9</v>
      </c>
      <c r="G92" s="61"/>
      <c r="H92" s="15">
        <f>F92*AO92</f>
        <v>0</v>
      </c>
      <c r="I92" s="15">
        <f>F92*AP92</f>
        <v>0</v>
      </c>
      <c r="J92" s="15">
        <f>F92*G92</f>
        <v>0</v>
      </c>
      <c r="K92" s="62" t="s">
        <v>166</v>
      </c>
      <c r="Z92" s="15">
        <f>IF(AQ92="5",BJ92,0)</f>
        <v>0</v>
      </c>
      <c r="AB92" s="15">
        <f>IF(AQ92="1",BH92,0)</f>
        <v>0</v>
      </c>
      <c r="AC92" s="15">
        <f>IF(AQ92="1",BI92,0)</f>
        <v>0</v>
      </c>
      <c r="AD92" s="15">
        <f>IF(AQ92="7",BH92,0)</f>
        <v>0</v>
      </c>
      <c r="AE92" s="15">
        <f>IF(AQ92="7",BI92,0)</f>
        <v>0</v>
      </c>
      <c r="AF92" s="15">
        <f>IF(AQ92="2",BH92,0)</f>
        <v>0</v>
      </c>
      <c r="AG92" s="15">
        <f>IF(AQ92="2",BI92,0)</f>
        <v>0</v>
      </c>
      <c r="AH92" s="15">
        <f>IF(AQ92="0",BJ92,0)</f>
        <v>0</v>
      </c>
      <c r="AI92" s="46" t="s">
        <v>20</v>
      </c>
      <c r="AJ92" s="15">
        <f>IF(AN92=0,J92,0)</f>
        <v>0</v>
      </c>
      <c r="AK92" s="15">
        <f>IF(AN92=12,J92,0)</f>
        <v>0</v>
      </c>
      <c r="AL92" s="15">
        <f>IF(AN92=21,J92,0)</f>
        <v>0</v>
      </c>
      <c r="AN92" s="15">
        <v>12</v>
      </c>
      <c r="AO92" s="15">
        <f>G92*0.231018711</f>
        <v>0</v>
      </c>
      <c r="AP92" s="15">
        <f>G92*(1-0.231018711)</f>
        <v>0</v>
      </c>
      <c r="AQ92" s="14" t="s">
        <v>187</v>
      </c>
      <c r="AV92" s="15">
        <f>AW92+AX92</f>
        <v>0</v>
      </c>
      <c r="AW92" s="15">
        <f>F92*AO92</f>
        <v>0</v>
      </c>
      <c r="AX92" s="15">
        <f>F92*AP92</f>
        <v>0</v>
      </c>
      <c r="AY92" s="14" t="s">
        <v>380</v>
      </c>
      <c r="AZ92" s="14" t="s">
        <v>339</v>
      </c>
      <c r="BA92" s="46" t="s">
        <v>169</v>
      </c>
      <c r="BC92" s="15">
        <f>AW92+AX92</f>
        <v>0</v>
      </c>
      <c r="BD92" s="15">
        <f>G92/(100-BE92)*100</f>
        <v>0</v>
      </c>
      <c r="BE92" s="15">
        <v>0</v>
      </c>
      <c r="BF92" s="15">
        <f>92</f>
        <v>92</v>
      </c>
      <c r="BH92" s="15">
        <f>F92*AO92</f>
        <v>0</v>
      </c>
      <c r="BI92" s="15">
        <f>F92*AP92</f>
        <v>0</v>
      </c>
      <c r="BJ92" s="15">
        <f>F92*G92</f>
        <v>0</v>
      </c>
      <c r="BK92" s="15"/>
      <c r="BL92" s="15">
        <v>777</v>
      </c>
      <c r="BW92" s="15">
        <v>12</v>
      </c>
      <c r="BX92" s="4" t="s">
        <v>386</v>
      </c>
    </row>
    <row r="93" spans="1:76" x14ac:dyDescent="0.25">
      <c r="A93" s="1" t="s">
        <v>387</v>
      </c>
      <c r="B93" s="2" t="s">
        <v>388</v>
      </c>
      <c r="C93" s="78" t="s">
        <v>389</v>
      </c>
      <c r="D93" s="73"/>
      <c r="E93" s="2" t="s">
        <v>113</v>
      </c>
      <c r="F93" s="15">
        <v>164.24</v>
      </c>
      <c r="G93" s="61"/>
      <c r="H93" s="15">
        <f>F93*AO93</f>
        <v>0</v>
      </c>
      <c r="I93" s="15">
        <f>F93*AP93</f>
        <v>0</v>
      </c>
      <c r="J93" s="15">
        <f>F93*G93</f>
        <v>0</v>
      </c>
      <c r="K93" s="62" t="s">
        <v>166</v>
      </c>
      <c r="Z93" s="15">
        <f>IF(AQ93="5",BJ93,0)</f>
        <v>0</v>
      </c>
      <c r="AB93" s="15">
        <f>IF(AQ93="1",BH93,0)</f>
        <v>0</v>
      </c>
      <c r="AC93" s="15">
        <f>IF(AQ93="1",BI93,0)</f>
        <v>0</v>
      </c>
      <c r="AD93" s="15">
        <f>IF(AQ93="7",BH93,0)</f>
        <v>0</v>
      </c>
      <c r="AE93" s="15">
        <f>IF(AQ93="7",BI93,0)</f>
        <v>0</v>
      </c>
      <c r="AF93" s="15">
        <f>IF(AQ93="2",BH93,0)</f>
        <v>0</v>
      </c>
      <c r="AG93" s="15">
        <f>IF(AQ93="2",BI93,0)</f>
        <v>0</v>
      </c>
      <c r="AH93" s="15">
        <f>IF(AQ93="0",BJ93,0)</f>
        <v>0</v>
      </c>
      <c r="AI93" s="46" t="s">
        <v>20</v>
      </c>
      <c r="AJ93" s="15">
        <f>IF(AN93=0,J93,0)</f>
        <v>0</v>
      </c>
      <c r="AK93" s="15">
        <f>IF(AN93=12,J93,0)</f>
        <v>0</v>
      </c>
      <c r="AL93" s="15">
        <f>IF(AN93=21,J93,0)</f>
        <v>0</v>
      </c>
      <c r="AN93" s="15">
        <v>12</v>
      </c>
      <c r="AO93" s="15">
        <f>G93*0</f>
        <v>0</v>
      </c>
      <c r="AP93" s="15">
        <f>G93*(1-0)</f>
        <v>0</v>
      </c>
      <c r="AQ93" s="14" t="s">
        <v>181</v>
      </c>
      <c r="AV93" s="15">
        <f>AW93+AX93</f>
        <v>0</v>
      </c>
      <c r="AW93" s="15">
        <f>F93*AO93</f>
        <v>0</v>
      </c>
      <c r="AX93" s="15">
        <f>F93*AP93</f>
        <v>0</v>
      </c>
      <c r="AY93" s="14" t="s">
        <v>380</v>
      </c>
      <c r="AZ93" s="14" t="s">
        <v>339</v>
      </c>
      <c r="BA93" s="46" t="s">
        <v>169</v>
      </c>
      <c r="BC93" s="15">
        <f>AW93+AX93</f>
        <v>0</v>
      </c>
      <c r="BD93" s="15">
        <f>G93/(100-BE93)*100</f>
        <v>0</v>
      </c>
      <c r="BE93" s="15">
        <v>0</v>
      </c>
      <c r="BF93" s="15">
        <f>93</f>
        <v>93</v>
      </c>
      <c r="BH93" s="15">
        <f>F93*AO93</f>
        <v>0</v>
      </c>
      <c r="BI93" s="15">
        <f>F93*AP93</f>
        <v>0</v>
      </c>
      <c r="BJ93" s="15">
        <f>F93*G93</f>
        <v>0</v>
      </c>
      <c r="BK93" s="15"/>
      <c r="BL93" s="15">
        <v>777</v>
      </c>
      <c r="BW93" s="15">
        <v>12</v>
      </c>
      <c r="BX93" s="4" t="s">
        <v>389</v>
      </c>
    </row>
    <row r="94" spans="1:76" x14ac:dyDescent="0.25">
      <c r="A94" s="63" t="s">
        <v>20</v>
      </c>
      <c r="B94" s="64" t="s">
        <v>48</v>
      </c>
      <c r="C94" s="150" t="s">
        <v>49</v>
      </c>
      <c r="D94" s="151"/>
      <c r="E94" s="65" t="s">
        <v>3</v>
      </c>
      <c r="F94" s="65" t="s">
        <v>3</v>
      </c>
      <c r="G94" s="66"/>
      <c r="H94" s="40">
        <f>SUM(H95:H102)</f>
        <v>0</v>
      </c>
      <c r="I94" s="40">
        <f>SUM(I95:I102)</f>
        <v>0</v>
      </c>
      <c r="J94" s="40">
        <f>SUM(J95:J102)</f>
        <v>0</v>
      </c>
      <c r="K94" s="67" t="s">
        <v>20</v>
      </c>
      <c r="AI94" s="46" t="s">
        <v>20</v>
      </c>
      <c r="AS94" s="40">
        <f>SUM(AJ95:AJ102)</f>
        <v>0</v>
      </c>
      <c r="AT94" s="40">
        <f>SUM(AK95:AK102)</f>
        <v>0</v>
      </c>
      <c r="AU94" s="40">
        <f>SUM(AL95:AL102)</f>
        <v>0</v>
      </c>
    </row>
    <row r="95" spans="1:76" x14ac:dyDescent="0.25">
      <c r="A95" s="1" t="s">
        <v>390</v>
      </c>
      <c r="B95" s="2" t="s">
        <v>391</v>
      </c>
      <c r="C95" s="78" t="s">
        <v>392</v>
      </c>
      <c r="D95" s="73"/>
      <c r="E95" s="2" t="s">
        <v>165</v>
      </c>
      <c r="F95" s="15">
        <v>19.986000000000001</v>
      </c>
      <c r="G95" s="61"/>
      <c r="H95" s="15">
        <f t="shared" ref="H95:H102" si="88">F95*AO95</f>
        <v>0</v>
      </c>
      <c r="I95" s="15">
        <f t="shared" ref="I95:I102" si="89">F95*AP95</f>
        <v>0</v>
      </c>
      <c r="J95" s="15">
        <f t="shared" ref="J95:J102" si="90">F95*G95</f>
        <v>0</v>
      </c>
      <c r="K95" s="62" t="s">
        <v>166</v>
      </c>
      <c r="Z95" s="15">
        <f t="shared" ref="Z95:Z102" si="91">IF(AQ95="5",BJ95,0)</f>
        <v>0</v>
      </c>
      <c r="AB95" s="15">
        <f t="shared" ref="AB95:AB102" si="92">IF(AQ95="1",BH95,0)</f>
        <v>0</v>
      </c>
      <c r="AC95" s="15">
        <f t="shared" ref="AC95:AC102" si="93">IF(AQ95="1",BI95,0)</f>
        <v>0</v>
      </c>
      <c r="AD95" s="15">
        <f t="shared" ref="AD95:AD102" si="94">IF(AQ95="7",BH95,0)</f>
        <v>0</v>
      </c>
      <c r="AE95" s="15">
        <f t="shared" ref="AE95:AE102" si="95">IF(AQ95="7",BI95,0)</f>
        <v>0</v>
      </c>
      <c r="AF95" s="15">
        <f t="shared" ref="AF95:AF102" si="96">IF(AQ95="2",BH95,0)</f>
        <v>0</v>
      </c>
      <c r="AG95" s="15">
        <f t="shared" ref="AG95:AG102" si="97">IF(AQ95="2",BI95,0)</f>
        <v>0</v>
      </c>
      <c r="AH95" s="15">
        <f t="shared" ref="AH95:AH102" si="98">IF(AQ95="0",BJ95,0)</f>
        <v>0</v>
      </c>
      <c r="AI95" s="46" t="s">
        <v>20</v>
      </c>
      <c r="AJ95" s="15">
        <f t="shared" ref="AJ95:AJ102" si="99">IF(AN95=0,J95,0)</f>
        <v>0</v>
      </c>
      <c r="AK95" s="15">
        <f t="shared" ref="AK95:AK102" si="100">IF(AN95=12,J95,0)</f>
        <v>0</v>
      </c>
      <c r="AL95" s="15">
        <f t="shared" ref="AL95:AL102" si="101">IF(AN95=21,J95,0)</f>
        <v>0</v>
      </c>
      <c r="AN95" s="15">
        <v>12</v>
      </c>
      <c r="AO95" s="15">
        <f>G95*0.472425775</f>
        <v>0</v>
      </c>
      <c r="AP95" s="15">
        <f>G95*(1-0.472425775)</f>
        <v>0</v>
      </c>
      <c r="AQ95" s="14" t="s">
        <v>187</v>
      </c>
      <c r="AV95" s="15">
        <f t="shared" ref="AV95:AV102" si="102">AW95+AX95</f>
        <v>0</v>
      </c>
      <c r="AW95" s="15">
        <f t="shared" ref="AW95:AW102" si="103">F95*AO95</f>
        <v>0</v>
      </c>
      <c r="AX95" s="15">
        <f t="shared" ref="AX95:AX102" si="104">F95*AP95</f>
        <v>0</v>
      </c>
      <c r="AY95" s="14" t="s">
        <v>393</v>
      </c>
      <c r="AZ95" s="14" t="s">
        <v>394</v>
      </c>
      <c r="BA95" s="46" t="s">
        <v>169</v>
      </c>
      <c r="BC95" s="15">
        <f t="shared" ref="BC95:BC102" si="105">AW95+AX95</f>
        <v>0</v>
      </c>
      <c r="BD95" s="15">
        <f t="shared" ref="BD95:BD102" si="106">G95/(100-BE95)*100</f>
        <v>0</v>
      </c>
      <c r="BE95" s="15">
        <v>0</v>
      </c>
      <c r="BF95" s="15">
        <f>95</f>
        <v>95</v>
      </c>
      <c r="BH95" s="15">
        <f t="shared" ref="BH95:BH102" si="107">F95*AO95</f>
        <v>0</v>
      </c>
      <c r="BI95" s="15">
        <f t="shared" ref="BI95:BI102" si="108">F95*AP95</f>
        <v>0</v>
      </c>
      <c r="BJ95" s="15">
        <f t="shared" ref="BJ95:BJ102" si="109">F95*G95</f>
        <v>0</v>
      </c>
      <c r="BK95" s="15"/>
      <c r="BL95" s="15">
        <v>781</v>
      </c>
      <c r="BW95" s="15">
        <v>12</v>
      </c>
      <c r="BX95" s="4" t="s">
        <v>392</v>
      </c>
    </row>
    <row r="96" spans="1:76" x14ac:dyDescent="0.25">
      <c r="A96" s="1" t="s">
        <v>395</v>
      </c>
      <c r="B96" s="2" t="s">
        <v>396</v>
      </c>
      <c r="C96" s="78" t="s">
        <v>397</v>
      </c>
      <c r="D96" s="73"/>
      <c r="E96" s="2" t="s">
        <v>165</v>
      </c>
      <c r="F96" s="15">
        <v>19.989999999999998</v>
      </c>
      <c r="G96" s="61"/>
      <c r="H96" s="15">
        <f t="shared" si="88"/>
        <v>0</v>
      </c>
      <c r="I96" s="15">
        <f t="shared" si="89"/>
        <v>0</v>
      </c>
      <c r="J96" s="15">
        <f t="shared" si="90"/>
        <v>0</v>
      </c>
      <c r="K96" s="62" t="s">
        <v>166</v>
      </c>
      <c r="Z96" s="15">
        <f t="shared" si="91"/>
        <v>0</v>
      </c>
      <c r="AB96" s="15">
        <f t="shared" si="92"/>
        <v>0</v>
      </c>
      <c r="AC96" s="15">
        <f t="shared" si="93"/>
        <v>0</v>
      </c>
      <c r="AD96" s="15">
        <f t="shared" si="94"/>
        <v>0</v>
      </c>
      <c r="AE96" s="15">
        <f t="shared" si="95"/>
        <v>0</v>
      </c>
      <c r="AF96" s="15">
        <f t="shared" si="96"/>
        <v>0</v>
      </c>
      <c r="AG96" s="15">
        <f t="shared" si="97"/>
        <v>0</v>
      </c>
      <c r="AH96" s="15">
        <f t="shared" si="98"/>
        <v>0</v>
      </c>
      <c r="AI96" s="46" t="s">
        <v>20</v>
      </c>
      <c r="AJ96" s="15">
        <f t="shared" si="99"/>
        <v>0</v>
      </c>
      <c r="AK96" s="15">
        <f t="shared" si="100"/>
        <v>0</v>
      </c>
      <c r="AL96" s="15">
        <f t="shared" si="101"/>
        <v>0</v>
      </c>
      <c r="AN96" s="15">
        <v>12</v>
      </c>
      <c r="AO96" s="15">
        <f>G96*0.165589744</f>
        <v>0</v>
      </c>
      <c r="AP96" s="15">
        <f>G96*(1-0.165589744)</f>
        <v>0</v>
      </c>
      <c r="AQ96" s="14" t="s">
        <v>187</v>
      </c>
      <c r="AV96" s="15">
        <f t="shared" si="102"/>
        <v>0</v>
      </c>
      <c r="AW96" s="15">
        <f t="shared" si="103"/>
        <v>0</v>
      </c>
      <c r="AX96" s="15">
        <f t="shared" si="104"/>
        <v>0</v>
      </c>
      <c r="AY96" s="14" t="s">
        <v>393</v>
      </c>
      <c r="AZ96" s="14" t="s">
        <v>394</v>
      </c>
      <c r="BA96" s="46" t="s">
        <v>169</v>
      </c>
      <c r="BC96" s="15">
        <f t="shared" si="105"/>
        <v>0</v>
      </c>
      <c r="BD96" s="15">
        <f t="shared" si="106"/>
        <v>0</v>
      </c>
      <c r="BE96" s="15">
        <v>0</v>
      </c>
      <c r="BF96" s="15">
        <f>96</f>
        <v>96</v>
      </c>
      <c r="BH96" s="15">
        <f t="shared" si="107"/>
        <v>0</v>
      </c>
      <c r="BI96" s="15">
        <f t="shared" si="108"/>
        <v>0</v>
      </c>
      <c r="BJ96" s="15">
        <f t="shared" si="109"/>
        <v>0</v>
      </c>
      <c r="BK96" s="15"/>
      <c r="BL96" s="15">
        <v>781</v>
      </c>
      <c r="BW96" s="15">
        <v>12</v>
      </c>
      <c r="BX96" s="4" t="s">
        <v>397</v>
      </c>
    </row>
    <row r="97" spans="1:76" x14ac:dyDescent="0.25">
      <c r="A97" s="1" t="s">
        <v>32</v>
      </c>
      <c r="B97" s="2" t="s">
        <v>398</v>
      </c>
      <c r="C97" s="78" t="s">
        <v>399</v>
      </c>
      <c r="D97" s="73"/>
      <c r="E97" s="2" t="s">
        <v>165</v>
      </c>
      <c r="F97" s="15">
        <v>19.989999999999998</v>
      </c>
      <c r="G97" s="61"/>
      <c r="H97" s="15">
        <f t="shared" si="88"/>
        <v>0</v>
      </c>
      <c r="I97" s="15">
        <f t="shared" si="89"/>
        <v>0</v>
      </c>
      <c r="J97" s="15">
        <f t="shared" si="90"/>
        <v>0</v>
      </c>
      <c r="K97" s="62" t="s">
        <v>166</v>
      </c>
      <c r="Z97" s="15">
        <f t="shared" si="91"/>
        <v>0</v>
      </c>
      <c r="AB97" s="15">
        <f t="shared" si="92"/>
        <v>0</v>
      </c>
      <c r="AC97" s="15">
        <f t="shared" si="93"/>
        <v>0</v>
      </c>
      <c r="AD97" s="15">
        <f t="shared" si="94"/>
        <v>0</v>
      </c>
      <c r="AE97" s="15">
        <f t="shared" si="95"/>
        <v>0</v>
      </c>
      <c r="AF97" s="15">
        <f t="shared" si="96"/>
        <v>0</v>
      </c>
      <c r="AG97" s="15">
        <f t="shared" si="97"/>
        <v>0</v>
      </c>
      <c r="AH97" s="15">
        <f t="shared" si="98"/>
        <v>0</v>
      </c>
      <c r="AI97" s="46" t="s">
        <v>20</v>
      </c>
      <c r="AJ97" s="15">
        <f t="shared" si="99"/>
        <v>0</v>
      </c>
      <c r="AK97" s="15">
        <f t="shared" si="100"/>
        <v>0</v>
      </c>
      <c r="AL97" s="15">
        <f t="shared" si="101"/>
        <v>0</v>
      </c>
      <c r="AN97" s="15">
        <v>12</v>
      </c>
      <c r="AO97" s="15">
        <f>G97*0</f>
        <v>0</v>
      </c>
      <c r="AP97" s="15">
        <f>G97*(1-0)</f>
        <v>0</v>
      </c>
      <c r="AQ97" s="14" t="s">
        <v>187</v>
      </c>
      <c r="AV97" s="15">
        <f t="shared" si="102"/>
        <v>0</v>
      </c>
      <c r="AW97" s="15">
        <f t="shared" si="103"/>
        <v>0</v>
      </c>
      <c r="AX97" s="15">
        <f t="shared" si="104"/>
        <v>0</v>
      </c>
      <c r="AY97" s="14" t="s">
        <v>393</v>
      </c>
      <c r="AZ97" s="14" t="s">
        <v>394</v>
      </c>
      <c r="BA97" s="46" t="s">
        <v>169</v>
      </c>
      <c r="BC97" s="15">
        <f t="shared" si="105"/>
        <v>0</v>
      </c>
      <c r="BD97" s="15">
        <f t="shared" si="106"/>
        <v>0</v>
      </c>
      <c r="BE97" s="15">
        <v>0</v>
      </c>
      <c r="BF97" s="15">
        <f>97</f>
        <v>97</v>
      </c>
      <c r="BH97" s="15">
        <f t="shared" si="107"/>
        <v>0</v>
      </c>
      <c r="BI97" s="15">
        <f t="shared" si="108"/>
        <v>0</v>
      </c>
      <c r="BJ97" s="15">
        <f t="shared" si="109"/>
        <v>0</v>
      </c>
      <c r="BK97" s="15"/>
      <c r="BL97" s="15">
        <v>781</v>
      </c>
      <c r="BW97" s="15">
        <v>12</v>
      </c>
      <c r="BX97" s="4" t="s">
        <v>399</v>
      </c>
    </row>
    <row r="98" spans="1:76" x14ac:dyDescent="0.25">
      <c r="A98" s="1" t="s">
        <v>400</v>
      </c>
      <c r="B98" s="2" t="s">
        <v>401</v>
      </c>
      <c r="C98" s="78" t="s">
        <v>402</v>
      </c>
      <c r="D98" s="73"/>
      <c r="E98" s="2" t="s">
        <v>165</v>
      </c>
      <c r="F98" s="15">
        <v>20.589700000000001</v>
      </c>
      <c r="G98" s="61"/>
      <c r="H98" s="15">
        <f t="shared" si="88"/>
        <v>0</v>
      </c>
      <c r="I98" s="15">
        <f t="shared" si="89"/>
        <v>0</v>
      </c>
      <c r="J98" s="15">
        <f t="shared" si="90"/>
        <v>0</v>
      </c>
      <c r="K98" s="62" t="s">
        <v>166</v>
      </c>
      <c r="Z98" s="15">
        <f t="shared" si="91"/>
        <v>0</v>
      </c>
      <c r="AB98" s="15">
        <f t="shared" si="92"/>
        <v>0</v>
      </c>
      <c r="AC98" s="15">
        <f t="shared" si="93"/>
        <v>0</v>
      </c>
      <c r="AD98" s="15">
        <f t="shared" si="94"/>
        <v>0</v>
      </c>
      <c r="AE98" s="15">
        <f t="shared" si="95"/>
        <v>0</v>
      </c>
      <c r="AF98" s="15">
        <f t="shared" si="96"/>
        <v>0</v>
      </c>
      <c r="AG98" s="15">
        <f t="shared" si="97"/>
        <v>0</v>
      </c>
      <c r="AH98" s="15">
        <f t="shared" si="98"/>
        <v>0</v>
      </c>
      <c r="AI98" s="46" t="s">
        <v>20</v>
      </c>
      <c r="AJ98" s="15">
        <f t="shared" si="99"/>
        <v>0</v>
      </c>
      <c r="AK98" s="15">
        <f t="shared" si="100"/>
        <v>0</v>
      </c>
      <c r="AL98" s="15">
        <f t="shared" si="101"/>
        <v>0</v>
      </c>
      <c r="AN98" s="15">
        <v>12</v>
      </c>
      <c r="AO98" s="15">
        <f>G98*1</f>
        <v>0</v>
      </c>
      <c r="AP98" s="15">
        <f>G98*(1-1)</f>
        <v>0</v>
      </c>
      <c r="AQ98" s="14" t="s">
        <v>187</v>
      </c>
      <c r="AV98" s="15">
        <f t="shared" si="102"/>
        <v>0</v>
      </c>
      <c r="AW98" s="15">
        <f t="shared" si="103"/>
        <v>0</v>
      </c>
      <c r="AX98" s="15">
        <f t="shared" si="104"/>
        <v>0</v>
      </c>
      <c r="AY98" s="14" t="s">
        <v>393</v>
      </c>
      <c r="AZ98" s="14" t="s">
        <v>394</v>
      </c>
      <c r="BA98" s="46" t="s">
        <v>169</v>
      </c>
      <c r="BC98" s="15">
        <f t="shared" si="105"/>
        <v>0</v>
      </c>
      <c r="BD98" s="15">
        <f t="shared" si="106"/>
        <v>0</v>
      </c>
      <c r="BE98" s="15">
        <v>0</v>
      </c>
      <c r="BF98" s="15">
        <f>98</f>
        <v>98</v>
      </c>
      <c r="BH98" s="15">
        <f t="shared" si="107"/>
        <v>0</v>
      </c>
      <c r="BI98" s="15">
        <f t="shared" si="108"/>
        <v>0</v>
      </c>
      <c r="BJ98" s="15">
        <f t="shared" si="109"/>
        <v>0</v>
      </c>
      <c r="BK98" s="15"/>
      <c r="BL98" s="15">
        <v>781</v>
      </c>
      <c r="BW98" s="15">
        <v>12</v>
      </c>
      <c r="BX98" s="4" t="s">
        <v>402</v>
      </c>
    </row>
    <row r="99" spans="1:76" x14ac:dyDescent="0.25">
      <c r="A99" s="1" t="s">
        <v>403</v>
      </c>
      <c r="B99" s="2" t="s">
        <v>404</v>
      </c>
      <c r="C99" s="78" t="s">
        <v>405</v>
      </c>
      <c r="D99" s="73"/>
      <c r="E99" s="2" t="s">
        <v>200</v>
      </c>
      <c r="F99" s="15">
        <v>23.56</v>
      </c>
      <c r="G99" s="61"/>
      <c r="H99" s="15">
        <f t="shared" si="88"/>
        <v>0</v>
      </c>
      <c r="I99" s="15">
        <f t="shared" si="89"/>
        <v>0</v>
      </c>
      <c r="J99" s="15">
        <f t="shared" si="90"/>
        <v>0</v>
      </c>
      <c r="K99" s="62" t="s">
        <v>166</v>
      </c>
      <c r="Z99" s="15">
        <f t="shared" si="91"/>
        <v>0</v>
      </c>
      <c r="AB99" s="15">
        <f t="shared" si="92"/>
        <v>0</v>
      </c>
      <c r="AC99" s="15">
        <f t="shared" si="93"/>
        <v>0</v>
      </c>
      <c r="AD99" s="15">
        <f t="shared" si="94"/>
        <v>0</v>
      </c>
      <c r="AE99" s="15">
        <f t="shared" si="95"/>
        <v>0</v>
      </c>
      <c r="AF99" s="15">
        <f t="shared" si="96"/>
        <v>0</v>
      </c>
      <c r="AG99" s="15">
        <f t="shared" si="97"/>
        <v>0</v>
      </c>
      <c r="AH99" s="15">
        <f t="shared" si="98"/>
        <v>0</v>
      </c>
      <c r="AI99" s="46" t="s">
        <v>20</v>
      </c>
      <c r="AJ99" s="15">
        <f t="shared" si="99"/>
        <v>0</v>
      </c>
      <c r="AK99" s="15">
        <f t="shared" si="100"/>
        <v>0</v>
      </c>
      <c r="AL99" s="15">
        <f t="shared" si="101"/>
        <v>0</v>
      </c>
      <c r="AN99" s="15">
        <v>12</v>
      </c>
      <c r="AO99" s="15">
        <f>G99*0</f>
        <v>0</v>
      </c>
      <c r="AP99" s="15">
        <f>G99*(1-0)</f>
        <v>0</v>
      </c>
      <c r="AQ99" s="14" t="s">
        <v>187</v>
      </c>
      <c r="AV99" s="15">
        <f t="shared" si="102"/>
        <v>0</v>
      </c>
      <c r="AW99" s="15">
        <f t="shared" si="103"/>
        <v>0</v>
      </c>
      <c r="AX99" s="15">
        <f t="shared" si="104"/>
        <v>0</v>
      </c>
      <c r="AY99" s="14" t="s">
        <v>393</v>
      </c>
      <c r="AZ99" s="14" t="s">
        <v>394</v>
      </c>
      <c r="BA99" s="46" t="s">
        <v>169</v>
      </c>
      <c r="BC99" s="15">
        <f t="shared" si="105"/>
        <v>0</v>
      </c>
      <c r="BD99" s="15">
        <f t="shared" si="106"/>
        <v>0</v>
      </c>
      <c r="BE99" s="15">
        <v>0</v>
      </c>
      <c r="BF99" s="15">
        <f>99</f>
        <v>99</v>
      </c>
      <c r="BH99" s="15">
        <f t="shared" si="107"/>
        <v>0</v>
      </c>
      <c r="BI99" s="15">
        <f t="shared" si="108"/>
        <v>0</v>
      </c>
      <c r="BJ99" s="15">
        <f t="shared" si="109"/>
        <v>0</v>
      </c>
      <c r="BK99" s="15"/>
      <c r="BL99" s="15">
        <v>781</v>
      </c>
      <c r="BW99" s="15">
        <v>12</v>
      </c>
      <c r="BX99" s="4" t="s">
        <v>405</v>
      </c>
    </row>
    <row r="100" spans="1:76" x14ac:dyDescent="0.25">
      <c r="A100" s="1" t="s">
        <v>406</v>
      </c>
      <c r="B100" s="2" t="s">
        <v>407</v>
      </c>
      <c r="C100" s="78" t="s">
        <v>408</v>
      </c>
      <c r="D100" s="73"/>
      <c r="E100" s="2" t="s">
        <v>204</v>
      </c>
      <c r="F100" s="15">
        <v>13.142799999999999</v>
      </c>
      <c r="G100" s="61"/>
      <c r="H100" s="15">
        <f t="shared" si="88"/>
        <v>0</v>
      </c>
      <c r="I100" s="15">
        <f t="shared" si="89"/>
        <v>0</v>
      </c>
      <c r="J100" s="15">
        <f t="shared" si="90"/>
        <v>0</v>
      </c>
      <c r="K100" s="62" t="s">
        <v>166</v>
      </c>
      <c r="Z100" s="15">
        <f t="shared" si="91"/>
        <v>0</v>
      </c>
      <c r="AB100" s="15">
        <f t="shared" si="92"/>
        <v>0</v>
      </c>
      <c r="AC100" s="15">
        <f t="shared" si="93"/>
        <v>0</v>
      </c>
      <c r="AD100" s="15">
        <f t="shared" si="94"/>
        <v>0</v>
      </c>
      <c r="AE100" s="15">
        <f t="shared" si="95"/>
        <v>0</v>
      </c>
      <c r="AF100" s="15">
        <f t="shared" si="96"/>
        <v>0</v>
      </c>
      <c r="AG100" s="15">
        <f t="shared" si="97"/>
        <v>0</v>
      </c>
      <c r="AH100" s="15">
        <f t="shared" si="98"/>
        <v>0</v>
      </c>
      <c r="AI100" s="46" t="s">
        <v>20</v>
      </c>
      <c r="AJ100" s="15">
        <f t="shared" si="99"/>
        <v>0</v>
      </c>
      <c r="AK100" s="15">
        <f t="shared" si="100"/>
        <v>0</v>
      </c>
      <c r="AL100" s="15">
        <f t="shared" si="101"/>
        <v>0</v>
      </c>
      <c r="AN100" s="15">
        <v>12</v>
      </c>
      <c r="AO100" s="15">
        <f>G100*1</f>
        <v>0</v>
      </c>
      <c r="AP100" s="15">
        <f>G100*(1-1)</f>
        <v>0</v>
      </c>
      <c r="AQ100" s="14" t="s">
        <v>187</v>
      </c>
      <c r="AV100" s="15">
        <f t="shared" si="102"/>
        <v>0</v>
      </c>
      <c r="AW100" s="15">
        <f t="shared" si="103"/>
        <v>0</v>
      </c>
      <c r="AX100" s="15">
        <f t="shared" si="104"/>
        <v>0</v>
      </c>
      <c r="AY100" s="14" t="s">
        <v>393</v>
      </c>
      <c r="AZ100" s="14" t="s">
        <v>394</v>
      </c>
      <c r="BA100" s="46" t="s">
        <v>169</v>
      </c>
      <c r="BC100" s="15">
        <f t="shared" si="105"/>
        <v>0</v>
      </c>
      <c r="BD100" s="15">
        <f t="shared" si="106"/>
        <v>0</v>
      </c>
      <c r="BE100" s="15">
        <v>0</v>
      </c>
      <c r="BF100" s="15">
        <f>100</f>
        <v>100</v>
      </c>
      <c r="BH100" s="15">
        <f t="shared" si="107"/>
        <v>0</v>
      </c>
      <c r="BI100" s="15">
        <f t="shared" si="108"/>
        <v>0</v>
      </c>
      <c r="BJ100" s="15">
        <f t="shared" si="109"/>
        <v>0</v>
      </c>
      <c r="BK100" s="15"/>
      <c r="BL100" s="15">
        <v>781</v>
      </c>
      <c r="BW100" s="15">
        <v>12</v>
      </c>
      <c r="BX100" s="4" t="s">
        <v>408</v>
      </c>
    </row>
    <row r="101" spans="1:76" x14ac:dyDescent="0.25">
      <c r="A101" s="1" t="s">
        <v>409</v>
      </c>
      <c r="B101" s="2" t="s">
        <v>410</v>
      </c>
      <c r="C101" s="78" t="s">
        <v>411</v>
      </c>
      <c r="D101" s="73"/>
      <c r="E101" s="2" t="s">
        <v>204</v>
      </c>
      <c r="F101" s="15">
        <v>11.124000000000001</v>
      </c>
      <c r="G101" s="61"/>
      <c r="H101" s="15">
        <f t="shared" si="88"/>
        <v>0</v>
      </c>
      <c r="I101" s="15">
        <f t="shared" si="89"/>
        <v>0</v>
      </c>
      <c r="J101" s="15">
        <f t="shared" si="90"/>
        <v>0</v>
      </c>
      <c r="K101" s="62" t="s">
        <v>166</v>
      </c>
      <c r="Z101" s="15">
        <f t="shared" si="91"/>
        <v>0</v>
      </c>
      <c r="AB101" s="15">
        <f t="shared" si="92"/>
        <v>0</v>
      </c>
      <c r="AC101" s="15">
        <f t="shared" si="93"/>
        <v>0</v>
      </c>
      <c r="AD101" s="15">
        <f t="shared" si="94"/>
        <v>0</v>
      </c>
      <c r="AE101" s="15">
        <f t="shared" si="95"/>
        <v>0</v>
      </c>
      <c r="AF101" s="15">
        <f t="shared" si="96"/>
        <v>0</v>
      </c>
      <c r="AG101" s="15">
        <f t="shared" si="97"/>
        <v>0</v>
      </c>
      <c r="AH101" s="15">
        <f t="shared" si="98"/>
        <v>0</v>
      </c>
      <c r="AI101" s="46" t="s">
        <v>20</v>
      </c>
      <c r="AJ101" s="15">
        <f t="shared" si="99"/>
        <v>0</v>
      </c>
      <c r="AK101" s="15">
        <f t="shared" si="100"/>
        <v>0</v>
      </c>
      <c r="AL101" s="15">
        <f t="shared" si="101"/>
        <v>0</v>
      </c>
      <c r="AN101" s="15">
        <v>12</v>
      </c>
      <c r="AO101" s="15">
        <f>G101*1</f>
        <v>0</v>
      </c>
      <c r="AP101" s="15">
        <f>G101*(1-1)</f>
        <v>0</v>
      </c>
      <c r="AQ101" s="14" t="s">
        <v>187</v>
      </c>
      <c r="AV101" s="15">
        <f t="shared" si="102"/>
        <v>0</v>
      </c>
      <c r="AW101" s="15">
        <f t="shared" si="103"/>
        <v>0</v>
      </c>
      <c r="AX101" s="15">
        <f t="shared" si="104"/>
        <v>0</v>
      </c>
      <c r="AY101" s="14" t="s">
        <v>393</v>
      </c>
      <c r="AZ101" s="14" t="s">
        <v>394</v>
      </c>
      <c r="BA101" s="46" t="s">
        <v>169</v>
      </c>
      <c r="BC101" s="15">
        <f t="shared" si="105"/>
        <v>0</v>
      </c>
      <c r="BD101" s="15">
        <f t="shared" si="106"/>
        <v>0</v>
      </c>
      <c r="BE101" s="15">
        <v>0</v>
      </c>
      <c r="BF101" s="15">
        <f>101</f>
        <v>101</v>
      </c>
      <c r="BH101" s="15">
        <f t="shared" si="107"/>
        <v>0</v>
      </c>
      <c r="BI101" s="15">
        <f t="shared" si="108"/>
        <v>0</v>
      </c>
      <c r="BJ101" s="15">
        <f t="shared" si="109"/>
        <v>0</v>
      </c>
      <c r="BK101" s="15"/>
      <c r="BL101" s="15">
        <v>781</v>
      </c>
      <c r="BW101" s="15">
        <v>12</v>
      </c>
      <c r="BX101" s="4" t="s">
        <v>411</v>
      </c>
    </row>
    <row r="102" spans="1:76" x14ac:dyDescent="0.25">
      <c r="A102" s="1" t="s">
        <v>412</v>
      </c>
      <c r="B102" s="2" t="s">
        <v>413</v>
      </c>
      <c r="C102" s="78" t="s">
        <v>414</v>
      </c>
      <c r="D102" s="73"/>
      <c r="E102" s="2" t="s">
        <v>113</v>
      </c>
      <c r="F102" s="15">
        <v>308.89</v>
      </c>
      <c r="G102" s="61"/>
      <c r="H102" s="15">
        <f t="shared" si="88"/>
        <v>0</v>
      </c>
      <c r="I102" s="15">
        <f t="shared" si="89"/>
        <v>0</v>
      </c>
      <c r="J102" s="15">
        <f t="shared" si="90"/>
        <v>0</v>
      </c>
      <c r="K102" s="62" t="s">
        <v>166</v>
      </c>
      <c r="Z102" s="15">
        <f t="shared" si="91"/>
        <v>0</v>
      </c>
      <c r="AB102" s="15">
        <f t="shared" si="92"/>
        <v>0</v>
      </c>
      <c r="AC102" s="15">
        <f t="shared" si="93"/>
        <v>0</v>
      </c>
      <c r="AD102" s="15">
        <f t="shared" si="94"/>
        <v>0</v>
      </c>
      <c r="AE102" s="15">
        <f t="shared" si="95"/>
        <v>0</v>
      </c>
      <c r="AF102" s="15">
        <f t="shared" si="96"/>
        <v>0</v>
      </c>
      <c r="AG102" s="15">
        <f t="shared" si="97"/>
        <v>0</v>
      </c>
      <c r="AH102" s="15">
        <f t="shared" si="98"/>
        <v>0</v>
      </c>
      <c r="AI102" s="46" t="s">
        <v>20</v>
      </c>
      <c r="AJ102" s="15">
        <f t="shared" si="99"/>
        <v>0</v>
      </c>
      <c r="AK102" s="15">
        <f t="shared" si="100"/>
        <v>0</v>
      </c>
      <c r="AL102" s="15">
        <f t="shared" si="101"/>
        <v>0</v>
      </c>
      <c r="AN102" s="15">
        <v>12</v>
      </c>
      <c r="AO102" s="15">
        <f>G102*0</f>
        <v>0</v>
      </c>
      <c r="AP102" s="15">
        <f>G102*(1-0)</f>
        <v>0</v>
      </c>
      <c r="AQ102" s="14" t="s">
        <v>181</v>
      </c>
      <c r="AV102" s="15">
        <f t="shared" si="102"/>
        <v>0</v>
      </c>
      <c r="AW102" s="15">
        <f t="shared" si="103"/>
        <v>0</v>
      </c>
      <c r="AX102" s="15">
        <f t="shared" si="104"/>
        <v>0</v>
      </c>
      <c r="AY102" s="14" t="s">
        <v>393</v>
      </c>
      <c r="AZ102" s="14" t="s">
        <v>394</v>
      </c>
      <c r="BA102" s="46" t="s">
        <v>169</v>
      </c>
      <c r="BC102" s="15">
        <f t="shared" si="105"/>
        <v>0</v>
      </c>
      <c r="BD102" s="15">
        <f t="shared" si="106"/>
        <v>0</v>
      </c>
      <c r="BE102" s="15">
        <v>0</v>
      </c>
      <c r="BF102" s="15">
        <f>102</f>
        <v>102</v>
      </c>
      <c r="BH102" s="15">
        <f t="shared" si="107"/>
        <v>0</v>
      </c>
      <c r="BI102" s="15">
        <f t="shared" si="108"/>
        <v>0</v>
      </c>
      <c r="BJ102" s="15">
        <f t="shared" si="109"/>
        <v>0</v>
      </c>
      <c r="BK102" s="15"/>
      <c r="BL102" s="15">
        <v>781</v>
      </c>
      <c r="BW102" s="15">
        <v>12</v>
      </c>
      <c r="BX102" s="4" t="s">
        <v>414</v>
      </c>
    </row>
    <row r="103" spans="1:76" x14ac:dyDescent="0.25">
      <c r="A103" s="63" t="s">
        <v>20</v>
      </c>
      <c r="B103" s="64" t="s">
        <v>50</v>
      </c>
      <c r="C103" s="150" t="s">
        <v>51</v>
      </c>
      <c r="D103" s="151"/>
      <c r="E103" s="65" t="s">
        <v>3</v>
      </c>
      <c r="F103" s="65" t="s">
        <v>3</v>
      </c>
      <c r="G103" s="66"/>
      <c r="H103" s="40">
        <f>SUM(H104:H105)</f>
        <v>0</v>
      </c>
      <c r="I103" s="40">
        <f>SUM(I104:I105)</f>
        <v>0</v>
      </c>
      <c r="J103" s="40">
        <f>SUM(J104:J105)</f>
        <v>0</v>
      </c>
      <c r="K103" s="67" t="s">
        <v>20</v>
      </c>
      <c r="AI103" s="46" t="s">
        <v>20</v>
      </c>
      <c r="AS103" s="40">
        <f>SUM(AJ104:AJ105)</f>
        <v>0</v>
      </c>
      <c r="AT103" s="40">
        <f>SUM(AK104:AK105)</f>
        <v>0</v>
      </c>
      <c r="AU103" s="40">
        <f>SUM(AL104:AL105)</f>
        <v>0</v>
      </c>
    </row>
    <row r="104" spans="1:76" x14ac:dyDescent="0.25">
      <c r="A104" s="1" t="s">
        <v>415</v>
      </c>
      <c r="B104" s="2" t="s">
        <v>416</v>
      </c>
      <c r="C104" s="78" t="s">
        <v>417</v>
      </c>
      <c r="D104" s="73"/>
      <c r="E104" s="2" t="s">
        <v>165</v>
      </c>
      <c r="F104" s="15">
        <v>6.556</v>
      </c>
      <c r="G104" s="61"/>
      <c r="H104" s="15">
        <f>F104*AO104</f>
        <v>0</v>
      </c>
      <c r="I104" s="15">
        <f>F104*AP104</f>
        <v>0</v>
      </c>
      <c r="J104" s="15">
        <f>F104*G104</f>
        <v>0</v>
      </c>
      <c r="K104" s="62" t="s">
        <v>166</v>
      </c>
      <c r="Z104" s="15">
        <f>IF(AQ104="5",BJ104,0)</f>
        <v>0</v>
      </c>
      <c r="AB104" s="15">
        <f>IF(AQ104="1",BH104,0)</f>
        <v>0</v>
      </c>
      <c r="AC104" s="15">
        <f>IF(AQ104="1",BI104,0)</f>
        <v>0</v>
      </c>
      <c r="AD104" s="15">
        <f>IF(AQ104="7",BH104,0)</f>
        <v>0</v>
      </c>
      <c r="AE104" s="15">
        <f>IF(AQ104="7",BI104,0)</f>
        <v>0</v>
      </c>
      <c r="AF104" s="15">
        <f>IF(AQ104="2",BH104,0)</f>
        <v>0</v>
      </c>
      <c r="AG104" s="15">
        <f>IF(AQ104="2",BI104,0)</f>
        <v>0</v>
      </c>
      <c r="AH104" s="15">
        <f>IF(AQ104="0",BJ104,0)</f>
        <v>0</v>
      </c>
      <c r="AI104" s="46" t="s">
        <v>20</v>
      </c>
      <c r="AJ104" s="15">
        <f>IF(AN104=0,J104,0)</f>
        <v>0</v>
      </c>
      <c r="AK104" s="15">
        <f>IF(AN104=12,J104,0)</f>
        <v>0</v>
      </c>
      <c r="AL104" s="15">
        <f>IF(AN104=21,J104,0)</f>
        <v>0</v>
      </c>
      <c r="AN104" s="15">
        <v>12</v>
      </c>
      <c r="AO104" s="15">
        <f>G104*0.194300139</f>
        <v>0</v>
      </c>
      <c r="AP104" s="15">
        <f>G104*(1-0.194300139)</f>
        <v>0</v>
      </c>
      <c r="AQ104" s="14" t="s">
        <v>187</v>
      </c>
      <c r="AV104" s="15">
        <f>AW104+AX104</f>
        <v>0</v>
      </c>
      <c r="AW104" s="15">
        <f>F104*AO104</f>
        <v>0</v>
      </c>
      <c r="AX104" s="15">
        <f>F104*AP104</f>
        <v>0</v>
      </c>
      <c r="AY104" s="14" t="s">
        <v>418</v>
      </c>
      <c r="AZ104" s="14" t="s">
        <v>394</v>
      </c>
      <c r="BA104" s="46" t="s">
        <v>169</v>
      </c>
      <c r="BC104" s="15">
        <f>AW104+AX104</f>
        <v>0</v>
      </c>
      <c r="BD104" s="15">
        <f>G104/(100-BE104)*100</f>
        <v>0</v>
      </c>
      <c r="BE104" s="15">
        <v>0</v>
      </c>
      <c r="BF104" s="15">
        <f>104</f>
        <v>104</v>
      </c>
      <c r="BH104" s="15">
        <f>F104*AO104</f>
        <v>0</v>
      </c>
      <c r="BI104" s="15">
        <f>F104*AP104</f>
        <v>0</v>
      </c>
      <c r="BJ104" s="15">
        <f>F104*G104</f>
        <v>0</v>
      </c>
      <c r="BK104" s="15"/>
      <c r="BL104" s="15">
        <v>783</v>
      </c>
      <c r="BW104" s="15">
        <v>12</v>
      </c>
      <c r="BX104" s="4" t="s">
        <v>417</v>
      </c>
    </row>
    <row r="105" spans="1:76" x14ac:dyDescent="0.25">
      <c r="A105" s="1" t="s">
        <v>419</v>
      </c>
      <c r="B105" s="2" t="s">
        <v>420</v>
      </c>
      <c r="C105" s="78" t="s">
        <v>421</v>
      </c>
      <c r="D105" s="73"/>
      <c r="E105" s="2" t="s">
        <v>165</v>
      </c>
      <c r="F105" s="15">
        <v>4.8000000000000001E-2</v>
      </c>
      <c r="G105" s="61"/>
      <c r="H105" s="15">
        <f>F105*AO105</f>
        <v>0</v>
      </c>
      <c r="I105" s="15">
        <f>F105*AP105</f>
        <v>0</v>
      </c>
      <c r="J105" s="15">
        <f>F105*G105</f>
        <v>0</v>
      </c>
      <c r="K105" s="62" t="s">
        <v>166</v>
      </c>
      <c r="Z105" s="15">
        <f>IF(AQ105="5",BJ105,0)</f>
        <v>0</v>
      </c>
      <c r="AB105" s="15">
        <f>IF(AQ105="1",BH105,0)</f>
        <v>0</v>
      </c>
      <c r="AC105" s="15">
        <f>IF(AQ105="1",BI105,0)</f>
        <v>0</v>
      </c>
      <c r="AD105" s="15">
        <f>IF(AQ105="7",BH105,0)</f>
        <v>0</v>
      </c>
      <c r="AE105" s="15">
        <f>IF(AQ105="7",BI105,0)</f>
        <v>0</v>
      </c>
      <c r="AF105" s="15">
        <f>IF(AQ105="2",BH105,0)</f>
        <v>0</v>
      </c>
      <c r="AG105" s="15">
        <f>IF(AQ105="2",BI105,0)</f>
        <v>0</v>
      </c>
      <c r="AH105" s="15">
        <f>IF(AQ105="0",BJ105,0)</f>
        <v>0</v>
      </c>
      <c r="AI105" s="46" t="s">
        <v>20</v>
      </c>
      <c r="AJ105" s="15">
        <f>IF(AN105=0,J105,0)</f>
        <v>0</v>
      </c>
      <c r="AK105" s="15">
        <f>IF(AN105=12,J105,0)</f>
        <v>0</v>
      </c>
      <c r="AL105" s="15">
        <f>IF(AN105=21,J105,0)</f>
        <v>0</v>
      </c>
      <c r="AN105" s="15">
        <v>12</v>
      </c>
      <c r="AO105" s="15">
        <f>G105*0.216667509</f>
        <v>0</v>
      </c>
      <c r="AP105" s="15">
        <f>G105*(1-0.216667509)</f>
        <v>0</v>
      </c>
      <c r="AQ105" s="14" t="s">
        <v>187</v>
      </c>
      <c r="AV105" s="15">
        <f>AW105+AX105</f>
        <v>0</v>
      </c>
      <c r="AW105" s="15">
        <f>F105*AO105</f>
        <v>0</v>
      </c>
      <c r="AX105" s="15">
        <f>F105*AP105</f>
        <v>0</v>
      </c>
      <c r="AY105" s="14" t="s">
        <v>418</v>
      </c>
      <c r="AZ105" s="14" t="s">
        <v>394</v>
      </c>
      <c r="BA105" s="46" t="s">
        <v>169</v>
      </c>
      <c r="BC105" s="15">
        <f>AW105+AX105</f>
        <v>0</v>
      </c>
      <c r="BD105" s="15">
        <f>G105/(100-BE105)*100</f>
        <v>0</v>
      </c>
      <c r="BE105" s="15">
        <v>0</v>
      </c>
      <c r="BF105" s="15">
        <f>105</f>
        <v>105</v>
      </c>
      <c r="BH105" s="15">
        <f>F105*AO105</f>
        <v>0</v>
      </c>
      <c r="BI105" s="15">
        <f>F105*AP105</f>
        <v>0</v>
      </c>
      <c r="BJ105" s="15">
        <f>F105*G105</f>
        <v>0</v>
      </c>
      <c r="BK105" s="15"/>
      <c r="BL105" s="15">
        <v>783</v>
      </c>
      <c r="BW105" s="15">
        <v>12</v>
      </c>
      <c r="BX105" s="4" t="s">
        <v>421</v>
      </c>
    </row>
    <row r="106" spans="1:76" x14ac:dyDescent="0.25">
      <c r="A106" s="63" t="s">
        <v>20</v>
      </c>
      <c r="B106" s="64" t="s">
        <v>52</v>
      </c>
      <c r="C106" s="150" t="s">
        <v>53</v>
      </c>
      <c r="D106" s="151"/>
      <c r="E106" s="65" t="s">
        <v>3</v>
      </c>
      <c r="F106" s="65" t="s">
        <v>3</v>
      </c>
      <c r="G106" s="66"/>
      <c r="H106" s="40">
        <f>SUM(H107:H108)</f>
        <v>0</v>
      </c>
      <c r="I106" s="40">
        <f>SUM(I107:I108)</f>
        <v>0</v>
      </c>
      <c r="J106" s="40">
        <f>SUM(J107:J108)</f>
        <v>0</v>
      </c>
      <c r="K106" s="67" t="s">
        <v>20</v>
      </c>
      <c r="AI106" s="46" t="s">
        <v>20</v>
      </c>
      <c r="AS106" s="40">
        <f>SUM(AJ107:AJ108)</f>
        <v>0</v>
      </c>
      <c r="AT106" s="40">
        <f>SUM(AK107:AK108)</f>
        <v>0</v>
      </c>
      <c r="AU106" s="40">
        <f>SUM(AL107:AL108)</f>
        <v>0</v>
      </c>
    </row>
    <row r="107" spans="1:76" x14ac:dyDescent="0.25">
      <c r="A107" s="1" t="s">
        <v>422</v>
      </c>
      <c r="B107" s="2" t="s">
        <v>423</v>
      </c>
      <c r="C107" s="78" t="s">
        <v>424</v>
      </c>
      <c r="D107" s="73"/>
      <c r="E107" s="2" t="s">
        <v>165</v>
      </c>
      <c r="F107" s="15">
        <v>259.68799999999999</v>
      </c>
      <c r="G107" s="61"/>
      <c r="H107" s="15">
        <f>F107*AO107</f>
        <v>0</v>
      </c>
      <c r="I107" s="15">
        <f>F107*AP107</f>
        <v>0</v>
      </c>
      <c r="J107" s="15">
        <f>F107*G107</f>
        <v>0</v>
      </c>
      <c r="K107" s="62" t="s">
        <v>166</v>
      </c>
      <c r="Z107" s="15">
        <f>IF(AQ107="5",BJ107,0)</f>
        <v>0</v>
      </c>
      <c r="AB107" s="15">
        <f>IF(AQ107="1",BH107,0)</f>
        <v>0</v>
      </c>
      <c r="AC107" s="15">
        <f>IF(AQ107="1",BI107,0)</f>
        <v>0</v>
      </c>
      <c r="AD107" s="15">
        <f>IF(AQ107="7",BH107,0)</f>
        <v>0</v>
      </c>
      <c r="AE107" s="15">
        <f>IF(AQ107="7",BI107,0)</f>
        <v>0</v>
      </c>
      <c r="AF107" s="15">
        <f>IF(AQ107="2",BH107,0)</f>
        <v>0</v>
      </c>
      <c r="AG107" s="15">
        <f>IF(AQ107="2",BI107,0)</f>
        <v>0</v>
      </c>
      <c r="AH107" s="15">
        <f>IF(AQ107="0",BJ107,0)</f>
        <v>0</v>
      </c>
      <c r="AI107" s="46" t="s">
        <v>20</v>
      </c>
      <c r="AJ107" s="15">
        <f>IF(AN107=0,J107,0)</f>
        <v>0</v>
      </c>
      <c r="AK107" s="15">
        <f>IF(AN107=12,J107,0)</f>
        <v>0</v>
      </c>
      <c r="AL107" s="15">
        <f>IF(AN107=21,J107,0)</f>
        <v>0</v>
      </c>
      <c r="AN107" s="15">
        <v>12</v>
      </c>
      <c r="AO107" s="15">
        <f>G107*0.334405012</f>
        <v>0</v>
      </c>
      <c r="AP107" s="15">
        <f>G107*(1-0.334405012)</f>
        <v>0</v>
      </c>
      <c r="AQ107" s="14" t="s">
        <v>187</v>
      </c>
      <c r="AV107" s="15">
        <f>AW107+AX107</f>
        <v>0</v>
      </c>
      <c r="AW107" s="15">
        <f>F107*AO107</f>
        <v>0</v>
      </c>
      <c r="AX107" s="15">
        <f>F107*AP107</f>
        <v>0</v>
      </c>
      <c r="AY107" s="14" t="s">
        <v>425</v>
      </c>
      <c r="AZ107" s="14" t="s">
        <v>394</v>
      </c>
      <c r="BA107" s="46" t="s">
        <v>169</v>
      </c>
      <c r="BC107" s="15">
        <f>AW107+AX107</f>
        <v>0</v>
      </c>
      <c r="BD107" s="15">
        <f>G107/(100-BE107)*100</f>
        <v>0</v>
      </c>
      <c r="BE107" s="15">
        <v>0</v>
      </c>
      <c r="BF107" s="15">
        <f>107</f>
        <v>107</v>
      </c>
      <c r="BH107" s="15">
        <f>F107*AO107</f>
        <v>0</v>
      </c>
      <c r="BI107" s="15">
        <f>F107*AP107</f>
        <v>0</v>
      </c>
      <c r="BJ107" s="15">
        <f>F107*G107</f>
        <v>0</v>
      </c>
      <c r="BK107" s="15"/>
      <c r="BL107" s="15">
        <v>784</v>
      </c>
      <c r="BW107" s="15">
        <v>12</v>
      </c>
      <c r="BX107" s="4" t="s">
        <v>424</v>
      </c>
    </row>
    <row r="108" spans="1:76" x14ac:dyDescent="0.25">
      <c r="A108" s="1" t="s">
        <v>426</v>
      </c>
      <c r="B108" s="2" t="s">
        <v>427</v>
      </c>
      <c r="C108" s="78" t="s">
        <v>428</v>
      </c>
      <c r="D108" s="73"/>
      <c r="E108" s="2" t="s">
        <v>165</v>
      </c>
      <c r="F108" s="15">
        <v>260</v>
      </c>
      <c r="G108" s="61"/>
      <c r="H108" s="15">
        <f>F108*AO108</f>
        <v>0</v>
      </c>
      <c r="I108" s="15">
        <f>F108*AP108</f>
        <v>0</v>
      </c>
      <c r="J108" s="15">
        <f>F108*G108</f>
        <v>0</v>
      </c>
      <c r="K108" s="62" t="s">
        <v>166</v>
      </c>
      <c r="Z108" s="15">
        <f>IF(AQ108="5",BJ108,0)</f>
        <v>0</v>
      </c>
      <c r="AB108" s="15">
        <f>IF(AQ108="1",BH108,0)</f>
        <v>0</v>
      </c>
      <c r="AC108" s="15">
        <f>IF(AQ108="1",BI108,0)</f>
        <v>0</v>
      </c>
      <c r="AD108" s="15">
        <f>IF(AQ108="7",BH108,0)</f>
        <v>0</v>
      </c>
      <c r="AE108" s="15">
        <f>IF(AQ108="7",BI108,0)</f>
        <v>0</v>
      </c>
      <c r="AF108" s="15">
        <f>IF(AQ108="2",BH108,0)</f>
        <v>0</v>
      </c>
      <c r="AG108" s="15">
        <f>IF(AQ108="2",BI108,0)</f>
        <v>0</v>
      </c>
      <c r="AH108" s="15">
        <f>IF(AQ108="0",BJ108,0)</f>
        <v>0</v>
      </c>
      <c r="AI108" s="46" t="s">
        <v>20</v>
      </c>
      <c r="AJ108" s="15">
        <f>IF(AN108=0,J108,0)</f>
        <v>0</v>
      </c>
      <c r="AK108" s="15">
        <f>IF(AN108=12,J108,0)</f>
        <v>0</v>
      </c>
      <c r="AL108" s="15">
        <f>IF(AN108=21,J108,0)</f>
        <v>0</v>
      </c>
      <c r="AN108" s="15">
        <v>12</v>
      </c>
      <c r="AO108" s="15">
        <f>G108*0.227407407</f>
        <v>0</v>
      </c>
      <c r="AP108" s="15">
        <f>G108*(1-0.227407407)</f>
        <v>0</v>
      </c>
      <c r="AQ108" s="14" t="s">
        <v>187</v>
      </c>
      <c r="AV108" s="15">
        <f>AW108+AX108</f>
        <v>0</v>
      </c>
      <c r="AW108" s="15">
        <f>F108*AO108</f>
        <v>0</v>
      </c>
      <c r="AX108" s="15">
        <f>F108*AP108</f>
        <v>0</v>
      </c>
      <c r="AY108" s="14" t="s">
        <v>425</v>
      </c>
      <c r="AZ108" s="14" t="s">
        <v>394</v>
      </c>
      <c r="BA108" s="46" t="s">
        <v>169</v>
      </c>
      <c r="BC108" s="15">
        <f>AW108+AX108</f>
        <v>0</v>
      </c>
      <c r="BD108" s="15">
        <f>G108/(100-BE108)*100</f>
        <v>0</v>
      </c>
      <c r="BE108" s="15">
        <v>0</v>
      </c>
      <c r="BF108" s="15">
        <f>108</f>
        <v>108</v>
      </c>
      <c r="BH108" s="15">
        <f>F108*AO108</f>
        <v>0</v>
      </c>
      <c r="BI108" s="15">
        <f>F108*AP108</f>
        <v>0</v>
      </c>
      <c r="BJ108" s="15">
        <f>F108*G108</f>
        <v>0</v>
      </c>
      <c r="BK108" s="15"/>
      <c r="BL108" s="15">
        <v>784</v>
      </c>
      <c r="BW108" s="15">
        <v>12</v>
      </c>
      <c r="BX108" s="4" t="s">
        <v>428</v>
      </c>
    </row>
    <row r="109" spans="1:76" x14ac:dyDescent="0.25">
      <c r="A109" s="63" t="s">
        <v>20</v>
      </c>
      <c r="B109" s="64" t="s">
        <v>54</v>
      </c>
      <c r="C109" s="150" t="s">
        <v>55</v>
      </c>
      <c r="D109" s="151"/>
      <c r="E109" s="65" t="s">
        <v>3</v>
      </c>
      <c r="F109" s="65" t="s">
        <v>3</v>
      </c>
      <c r="G109" s="66"/>
      <c r="H109" s="40">
        <f>SUM(H110:H115)</f>
        <v>0</v>
      </c>
      <c r="I109" s="40">
        <f>SUM(I110:I115)</f>
        <v>0</v>
      </c>
      <c r="J109" s="40">
        <f>SUM(J110:J115)</f>
        <v>0</v>
      </c>
      <c r="K109" s="67" t="s">
        <v>20</v>
      </c>
      <c r="AI109" s="46" t="s">
        <v>20</v>
      </c>
      <c r="AS109" s="40">
        <f>SUM(AJ110:AJ115)</f>
        <v>0</v>
      </c>
      <c r="AT109" s="40">
        <f>SUM(AK110:AK115)</f>
        <v>0</v>
      </c>
      <c r="AU109" s="40">
        <f>SUM(AL110:AL115)</f>
        <v>0</v>
      </c>
    </row>
    <row r="110" spans="1:76" x14ac:dyDescent="0.25">
      <c r="A110" s="1" t="s">
        <v>429</v>
      </c>
      <c r="B110" s="2" t="s">
        <v>430</v>
      </c>
      <c r="C110" s="78" t="s">
        <v>431</v>
      </c>
      <c r="D110" s="73"/>
      <c r="E110" s="2" t="s">
        <v>204</v>
      </c>
      <c r="F110" s="15">
        <v>8</v>
      </c>
      <c r="G110" s="61"/>
      <c r="H110" s="15">
        <f t="shared" ref="H110:H115" si="110">F110*AO110</f>
        <v>0</v>
      </c>
      <c r="I110" s="15">
        <f t="shared" ref="I110:I115" si="111">F110*AP110</f>
        <v>0</v>
      </c>
      <c r="J110" s="15">
        <f t="shared" ref="J110:J115" si="112">F110*G110</f>
        <v>0</v>
      </c>
      <c r="K110" s="62" t="s">
        <v>166</v>
      </c>
      <c r="Z110" s="15">
        <f t="shared" ref="Z110:Z115" si="113">IF(AQ110="5",BJ110,0)</f>
        <v>0</v>
      </c>
      <c r="AB110" s="15">
        <f t="shared" ref="AB110:AB115" si="114">IF(AQ110="1",BH110,0)</f>
        <v>0</v>
      </c>
      <c r="AC110" s="15">
        <f t="shared" ref="AC110:AC115" si="115">IF(AQ110="1",BI110,0)</f>
        <v>0</v>
      </c>
      <c r="AD110" s="15">
        <f t="shared" ref="AD110:AD115" si="116">IF(AQ110="7",BH110,0)</f>
        <v>0</v>
      </c>
      <c r="AE110" s="15">
        <f t="shared" ref="AE110:AE115" si="117">IF(AQ110="7",BI110,0)</f>
        <v>0</v>
      </c>
      <c r="AF110" s="15">
        <f t="shared" ref="AF110:AF115" si="118">IF(AQ110="2",BH110,0)</f>
        <v>0</v>
      </c>
      <c r="AG110" s="15">
        <f t="shared" ref="AG110:AG115" si="119">IF(AQ110="2",BI110,0)</f>
        <v>0</v>
      </c>
      <c r="AH110" s="15">
        <f t="shared" ref="AH110:AH115" si="120">IF(AQ110="0",BJ110,0)</f>
        <v>0</v>
      </c>
      <c r="AI110" s="46" t="s">
        <v>20</v>
      </c>
      <c r="AJ110" s="15">
        <f t="shared" ref="AJ110:AJ115" si="121">IF(AN110=0,J110,0)</f>
        <v>0</v>
      </c>
      <c r="AK110" s="15">
        <f t="shared" ref="AK110:AK115" si="122">IF(AN110=12,J110,0)</f>
        <v>0</v>
      </c>
      <c r="AL110" s="15">
        <f t="shared" ref="AL110:AL115" si="123">IF(AN110=21,J110,0)</f>
        <v>0</v>
      </c>
      <c r="AN110" s="15">
        <v>12</v>
      </c>
      <c r="AO110" s="15">
        <f>G110*0</f>
        <v>0</v>
      </c>
      <c r="AP110" s="15">
        <f>G110*(1-0)</f>
        <v>0</v>
      </c>
      <c r="AQ110" s="14" t="s">
        <v>162</v>
      </c>
      <c r="AV110" s="15">
        <f t="shared" ref="AV110:AV115" si="124">AW110+AX110</f>
        <v>0</v>
      </c>
      <c r="AW110" s="15">
        <f t="shared" ref="AW110:AW115" si="125">F110*AO110</f>
        <v>0</v>
      </c>
      <c r="AX110" s="15">
        <f t="shared" ref="AX110:AX115" si="126">F110*AP110</f>
        <v>0</v>
      </c>
      <c r="AY110" s="14" t="s">
        <v>432</v>
      </c>
      <c r="AZ110" s="14" t="s">
        <v>433</v>
      </c>
      <c r="BA110" s="46" t="s">
        <v>169</v>
      </c>
      <c r="BC110" s="15">
        <f t="shared" ref="BC110:BC115" si="127">AW110+AX110</f>
        <v>0</v>
      </c>
      <c r="BD110" s="15">
        <f t="shared" ref="BD110:BD115" si="128">G110/(100-BE110)*100</f>
        <v>0</v>
      </c>
      <c r="BE110" s="15">
        <v>0</v>
      </c>
      <c r="BF110" s="15">
        <f>110</f>
        <v>110</v>
      </c>
      <c r="BH110" s="15">
        <f t="shared" ref="BH110:BH115" si="129">F110*AO110</f>
        <v>0</v>
      </c>
      <c r="BI110" s="15">
        <f t="shared" ref="BI110:BI115" si="130">F110*AP110</f>
        <v>0</v>
      </c>
      <c r="BJ110" s="15">
        <f t="shared" ref="BJ110:BJ115" si="131">F110*G110</f>
        <v>0</v>
      </c>
      <c r="BK110" s="15"/>
      <c r="BL110" s="15">
        <v>96</v>
      </c>
      <c r="BW110" s="15">
        <v>12</v>
      </c>
      <c r="BX110" s="4" t="s">
        <v>431</v>
      </c>
    </row>
    <row r="111" spans="1:76" x14ac:dyDescent="0.25">
      <c r="A111" s="1" t="s">
        <v>434</v>
      </c>
      <c r="B111" s="2" t="s">
        <v>435</v>
      </c>
      <c r="C111" s="78" t="s">
        <v>436</v>
      </c>
      <c r="D111" s="73"/>
      <c r="E111" s="2" t="s">
        <v>165</v>
      </c>
      <c r="F111" s="15">
        <v>4</v>
      </c>
      <c r="G111" s="61"/>
      <c r="H111" s="15">
        <f t="shared" si="110"/>
        <v>0</v>
      </c>
      <c r="I111" s="15">
        <f t="shared" si="111"/>
        <v>0</v>
      </c>
      <c r="J111" s="15">
        <f t="shared" si="112"/>
        <v>0</v>
      </c>
      <c r="K111" s="62" t="s">
        <v>166</v>
      </c>
      <c r="Z111" s="15">
        <f t="shared" si="113"/>
        <v>0</v>
      </c>
      <c r="AB111" s="15">
        <f t="shared" si="114"/>
        <v>0</v>
      </c>
      <c r="AC111" s="15">
        <f t="shared" si="115"/>
        <v>0</v>
      </c>
      <c r="AD111" s="15">
        <f t="shared" si="116"/>
        <v>0</v>
      </c>
      <c r="AE111" s="15">
        <f t="shared" si="117"/>
        <v>0</v>
      </c>
      <c r="AF111" s="15">
        <f t="shared" si="118"/>
        <v>0</v>
      </c>
      <c r="AG111" s="15">
        <f t="shared" si="119"/>
        <v>0</v>
      </c>
      <c r="AH111" s="15">
        <f t="shared" si="120"/>
        <v>0</v>
      </c>
      <c r="AI111" s="46" t="s">
        <v>20</v>
      </c>
      <c r="AJ111" s="15">
        <f t="shared" si="121"/>
        <v>0</v>
      </c>
      <c r="AK111" s="15">
        <f t="shared" si="122"/>
        <v>0</v>
      </c>
      <c r="AL111" s="15">
        <f t="shared" si="123"/>
        <v>0</v>
      </c>
      <c r="AN111" s="15">
        <v>12</v>
      </c>
      <c r="AO111" s="15">
        <f>G111*0.073406518</f>
        <v>0</v>
      </c>
      <c r="AP111" s="15">
        <f>G111*(1-0.073406518)</f>
        <v>0</v>
      </c>
      <c r="AQ111" s="14" t="s">
        <v>162</v>
      </c>
      <c r="AV111" s="15">
        <f t="shared" si="124"/>
        <v>0</v>
      </c>
      <c r="AW111" s="15">
        <f t="shared" si="125"/>
        <v>0</v>
      </c>
      <c r="AX111" s="15">
        <f t="shared" si="126"/>
        <v>0</v>
      </c>
      <c r="AY111" s="14" t="s">
        <v>432</v>
      </c>
      <c r="AZ111" s="14" t="s">
        <v>433</v>
      </c>
      <c r="BA111" s="46" t="s">
        <v>169</v>
      </c>
      <c r="BC111" s="15">
        <f t="shared" si="127"/>
        <v>0</v>
      </c>
      <c r="BD111" s="15">
        <f t="shared" si="128"/>
        <v>0</v>
      </c>
      <c r="BE111" s="15">
        <v>0</v>
      </c>
      <c r="BF111" s="15">
        <f>111</f>
        <v>111</v>
      </c>
      <c r="BH111" s="15">
        <f t="shared" si="129"/>
        <v>0</v>
      </c>
      <c r="BI111" s="15">
        <f t="shared" si="130"/>
        <v>0</v>
      </c>
      <c r="BJ111" s="15">
        <f t="shared" si="131"/>
        <v>0</v>
      </c>
      <c r="BK111" s="15"/>
      <c r="BL111" s="15">
        <v>96</v>
      </c>
      <c r="BW111" s="15">
        <v>12</v>
      </c>
      <c r="BX111" s="4" t="s">
        <v>436</v>
      </c>
    </row>
    <row r="112" spans="1:76" x14ac:dyDescent="0.25">
      <c r="A112" s="1" t="s">
        <v>437</v>
      </c>
      <c r="B112" s="2" t="s">
        <v>438</v>
      </c>
      <c r="C112" s="78" t="s">
        <v>439</v>
      </c>
      <c r="D112" s="73"/>
      <c r="E112" s="2" t="s">
        <v>165</v>
      </c>
      <c r="F112" s="15">
        <v>21.91</v>
      </c>
      <c r="G112" s="61"/>
      <c r="H112" s="15">
        <f t="shared" si="110"/>
        <v>0</v>
      </c>
      <c r="I112" s="15">
        <f t="shared" si="111"/>
        <v>0</v>
      </c>
      <c r="J112" s="15">
        <f t="shared" si="112"/>
        <v>0</v>
      </c>
      <c r="K112" s="62" t="s">
        <v>166</v>
      </c>
      <c r="Z112" s="15">
        <f t="shared" si="113"/>
        <v>0</v>
      </c>
      <c r="AB112" s="15">
        <f t="shared" si="114"/>
        <v>0</v>
      </c>
      <c r="AC112" s="15">
        <f t="shared" si="115"/>
        <v>0</v>
      </c>
      <c r="AD112" s="15">
        <f t="shared" si="116"/>
        <v>0</v>
      </c>
      <c r="AE112" s="15">
        <f t="shared" si="117"/>
        <v>0</v>
      </c>
      <c r="AF112" s="15">
        <f t="shared" si="118"/>
        <v>0</v>
      </c>
      <c r="AG112" s="15">
        <f t="shared" si="119"/>
        <v>0</v>
      </c>
      <c r="AH112" s="15">
        <f t="shared" si="120"/>
        <v>0</v>
      </c>
      <c r="AI112" s="46" t="s">
        <v>20</v>
      </c>
      <c r="AJ112" s="15">
        <f t="shared" si="121"/>
        <v>0</v>
      </c>
      <c r="AK112" s="15">
        <f t="shared" si="122"/>
        <v>0</v>
      </c>
      <c r="AL112" s="15">
        <f t="shared" si="123"/>
        <v>0</v>
      </c>
      <c r="AN112" s="15">
        <v>12</v>
      </c>
      <c r="AO112" s="15">
        <f>G112*0.14719697</f>
        <v>0</v>
      </c>
      <c r="AP112" s="15">
        <f>G112*(1-0.14719697)</f>
        <v>0</v>
      </c>
      <c r="AQ112" s="14" t="s">
        <v>162</v>
      </c>
      <c r="AV112" s="15">
        <f t="shared" si="124"/>
        <v>0</v>
      </c>
      <c r="AW112" s="15">
        <f t="shared" si="125"/>
        <v>0</v>
      </c>
      <c r="AX112" s="15">
        <f t="shared" si="126"/>
        <v>0</v>
      </c>
      <c r="AY112" s="14" t="s">
        <v>432</v>
      </c>
      <c r="AZ112" s="14" t="s">
        <v>433</v>
      </c>
      <c r="BA112" s="46" t="s">
        <v>169</v>
      </c>
      <c r="BC112" s="15">
        <f t="shared" si="127"/>
        <v>0</v>
      </c>
      <c r="BD112" s="15">
        <f t="shared" si="128"/>
        <v>0</v>
      </c>
      <c r="BE112" s="15">
        <v>0</v>
      </c>
      <c r="BF112" s="15">
        <f>112</f>
        <v>112</v>
      </c>
      <c r="BH112" s="15">
        <f t="shared" si="129"/>
        <v>0</v>
      </c>
      <c r="BI112" s="15">
        <f t="shared" si="130"/>
        <v>0</v>
      </c>
      <c r="BJ112" s="15">
        <f t="shared" si="131"/>
        <v>0</v>
      </c>
      <c r="BK112" s="15"/>
      <c r="BL112" s="15">
        <v>96</v>
      </c>
      <c r="BW112" s="15">
        <v>12</v>
      </c>
      <c r="BX112" s="4" t="s">
        <v>439</v>
      </c>
    </row>
    <row r="113" spans="1:76" x14ac:dyDescent="0.25">
      <c r="A113" s="1" t="s">
        <v>440</v>
      </c>
      <c r="B113" s="2" t="s">
        <v>441</v>
      </c>
      <c r="C113" s="78" t="s">
        <v>442</v>
      </c>
      <c r="D113" s="73"/>
      <c r="E113" s="2" t="s">
        <v>241</v>
      </c>
      <c r="F113" s="15">
        <v>1</v>
      </c>
      <c r="G113" s="61"/>
      <c r="H113" s="15">
        <f t="shared" si="110"/>
        <v>0</v>
      </c>
      <c r="I113" s="15">
        <f t="shared" si="111"/>
        <v>0</v>
      </c>
      <c r="J113" s="15">
        <f t="shared" si="112"/>
        <v>0</v>
      </c>
      <c r="K113" s="62" t="s">
        <v>231</v>
      </c>
      <c r="Z113" s="15">
        <f t="shared" si="113"/>
        <v>0</v>
      </c>
      <c r="AB113" s="15">
        <f t="shared" si="114"/>
        <v>0</v>
      </c>
      <c r="AC113" s="15">
        <f t="shared" si="115"/>
        <v>0</v>
      </c>
      <c r="AD113" s="15">
        <f t="shared" si="116"/>
        <v>0</v>
      </c>
      <c r="AE113" s="15">
        <f t="shared" si="117"/>
        <v>0</v>
      </c>
      <c r="AF113" s="15">
        <f t="shared" si="118"/>
        <v>0</v>
      </c>
      <c r="AG113" s="15">
        <f t="shared" si="119"/>
        <v>0</v>
      </c>
      <c r="AH113" s="15">
        <f t="shared" si="120"/>
        <v>0</v>
      </c>
      <c r="AI113" s="46" t="s">
        <v>20</v>
      </c>
      <c r="AJ113" s="15">
        <f t="shared" si="121"/>
        <v>0</v>
      </c>
      <c r="AK113" s="15">
        <f t="shared" si="122"/>
        <v>0</v>
      </c>
      <c r="AL113" s="15">
        <f t="shared" si="123"/>
        <v>0</v>
      </c>
      <c r="AN113" s="15">
        <v>12</v>
      </c>
      <c r="AO113" s="15">
        <f>G113*0.15814386</f>
        <v>0</v>
      </c>
      <c r="AP113" s="15">
        <f>G113*(1-0.15814386)</f>
        <v>0</v>
      </c>
      <c r="AQ113" s="14" t="s">
        <v>162</v>
      </c>
      <c r="AV113" s="15">
        <f t="shared" si="124"/>
        <v>0</v>
      </c>
      <c r="AW113" s="15">
        <f t="shared" si="125"/>
        <v>0</v>
      </c>
      <c r="AX113" s="15">
        <f t="shared" si="126"/>
        <v>0</v>
      </c>
      <c r="AY113" s="14" t="s">
        <v>432</v>
      </c>
      <c r="AZ113" s="14" t="s">
        <v>433</v>
      </c>
      <c r="BA113" s="46" t="s">
        <v>169</v>
      </c>
      <c r="BC113" s="15">
        <f t="shared" si="127"/>
        <v>0</v>
      </c>
      <c r="BD113" s="15">
        <f t="shared" si="128"/>
        <v>0</v>
      </c>
      <c r="BE113" s="15">
        <v>0</v>
      </c>
      <c r="BF113" s="15">
        <f>113</f>
        <v>113</v>
      </c>
      <c r="BH113" s="15">
        <f t="shared" si="129"/>
        <v>0</v>
      </c>
      <c r="BI113" s="15">
        <f t="shared" si="130"/>
        <v>0</v>
      </c>
      <c r="BJ113" s="15">
        <f t="shared" si="131"/>
        <v>0</v>
      </c>
      <c r="BK113" s="15"/>
      <c r="BL113" s="15">
        <v>96</v>
      </c>
      <c r="BW113" s="15">
        <v>12</v>
      </c>
      <c r="BX113" s="4" t="s">
        <v>442</v>
      </c>
    </row>
    <row r="114" spans="1:76" x14ac:dyDescent="0.25">
      <c r="A114" s="1" t="s">
        <v>443</v>
      </c>
      <c r="B114" s="2" t="s">
        <v>444</v>
      </c>
      <c r="C114" s="78" t="s">
        <v>445</v>
      </c>
      <c r="D114" s="73"/>
      <c r="E114" s="2" t="s">
        <v>165</v>
      </c>
      <c r="F114" s="15">
        <v>1.56</v>
      </c>
      <c r="G114" s="61"/>
      <c r="H114" s="15">
        <f t="shared" si="110"/>
        <v>0</v>
      </c>
      <c r="I114" s="15">
        <f t="shared" si="111"/>
        <v>0</v>
      </c>
      <c r="J114" s="15">
        <f t="shared" si="112"/>
        <v>0</v>
      </c>
      <c r="K114" s="62" t="s">
        <v>166</v>
      </c>
      <c r="Z114" s="15">
        <f t="shared" si="113"/>
        <v>0</v>
      </c>
      <c r="AB114" s="15">
        <f t="shared" si="114"/>
        <v>0</v>
      </c>
      <c r="AC114" s="15">
        <f t="shared" si="115"/>
        <v>0</v>
      </c>
      <c r="AD114" s="15">
        <f t="shared" si="116"/>
        <v>0</v>
      </c>
      <c r="AE114" s="15">
        <f t="shared" si="117"/>
        <v>0</v>
      </c>
      <c r="AF114" s="15">
        <f t="shared" si="118"/>
        <v>0</v>
      </c>
      <c r="AG114" s="15">
        <f t="shared" si="119"/>
        <v>0</v>
      </c>
      <c r="AH114" s="15">
        <f t="shared" si="120"/>
        <v>0</v>
      </c>
      <c r="AI114" s="46" t="s">
        <v>20</v>
      </c>
      <c r="AJ114" s="15">
        <f t="shared" si="121"/>
        <v>0</v>
      </c>
      <c r="AK114" s="15">
        <f t="shared" si="122"/>
        <v>0</v>
      </c>
      <c r="AL114" s="15">
        <f t="shared" si="123"/>
        <v>0</v>
      </c>
      <c r="AN114" s="15">
        <v>12</v>
      </c>
      <c r="AO114" s="15">
        <f>G114*0.133082192</f>
        <v>0</v>
      </c>
      <c r="AP114" s="15">
        <f>G114*(1-0.133082192)</f>
        <v>0</v>
      </c>
      <c r="AQ114" s="14" t="s">
        <v>162</v>
      </c>
      <c r="AV114" s="15">
        <f t="shared" si="124"/>
        <v>0</v>
      </c>
      <c r="AW114" s="15">
        <f t="shared" si="125"/>
        <v>0</v>
      </c>
      <c r="AX114" s="15">
        <f t="shared" si="126"/>
        <v>0</v>
      </c>
      <c r="AY114" s="14" t="s">
        <v>432</v>
      </c>
      <c r="AZ114" s="14" t="s">
        <v>433</v>
      </c>
      <c r="BA114" s="46" t="s">
        <v>169</v>
      </c>
      <c r="BC114" s="15">
        <f t="shared" si="127"/>
        <v>0</v>
      </c>
      <c r="BD114" s="15">
        <f t="shared" si="128"/>
        <v>0</v>
      </c>
      <c r="BE114" s="15">
        <v>0</v>
      </c>
      <c r="BF114" s="15">
        <f>114</f>
        <v>114</v>
      </c>
      <c r="BH114" s="15">
        <f t="shared" si="129"/>
        <v>0</v>
      </c>
      <c r="BI114" s="15">
        <f t="shared" si="130"/>
        <v>0</v>
      </c>
      <c r="BJ114" s="15">
        <f t="shared" si="131"/>
        <v>0</v>
      </c>
      <c r="BK114" s="15"/>
      <c r="BL114" s="15">
        <v>96</v>
      </c>
      <c r="BW114" s="15">
        <v>12</v>
      </c>
      <c r="BX114" s="4" t="s">
        <v>445</v>
      </c>
    </row>
    <row r="115" spans="1:76" x14ac:dyDescent="0.25">
      <c r="A115" s="1" t="s">
        <v>446</v>
      </c>
      <c r="B115" s="2" t="s">
        <v>447</v>
      </c>
      <c r="C115" s="78" t="s">
        <v>448</v>
      </c>
      <c r="D115" s="73"/>
      <c r="E115" s="2" t="s">
        <v>165</v>
      </c>
      <c r="F115" s="15">
        <v>57.6</v>
      </c>
      <c r="G115" s="61"/>
      <c r="H115" s="15">
        <f t="shared" si="110"/>
        <v>0</v>
      </c>
      <c r="I115" s="15">
        <f t="shared" si="111"/>
        <v>0</v>
      </c>
      <c r="J115" s="15">
        <f t="shared" si="112"/>
        <v>0</v>
      </c>
      <c r="K115" s="62" t="s">
        <v>166</v>
      </c>
      <c r="Z115" s="15">
        <f t="shared" si="113"/>
        <v>0</v>
      </c>
      <c r="AB115" s="15">
        <f t="shared" si="114"/>
        <v>0</v>
      </c>
      <c r="AC115" s="15">
        <f t="shared" si="115"/>
        <v>0</v>
      </c>
      <c r="AD115" s="15">
        <f t="shared" si="116"/>
        <v>0</v>
      </c>
      <c r="AE115" s="15">
        <f t="shared" si="117"/>
        <v>0</v>
      </c>
      <c r="AF115" s="15">
        <f t="shared" si="118"/>
        <v>0</v>
      </c>
      <c r="AG115" s="15">
        <f t="shared" si="119"/>
        <v>0</v>
      </c>
      <c r="AH115" s="15">
        <f t="shared" si="120"/>
        <v>0</v>
      </c>
      <c r="AI115" s="46" t="s">
        <v>20</v>
      </c>
      <c r="AJ115" s="15">
        <f t="shared" si="121"/>
        <v>0</v>
      </c>
      <c r="AK115" s="15">
        <f t="shared" si="122"/>
        <v>0</v>
      </c>
      <c r="AL115" s="15">
        <f t="shared" si="123"/>
        <v>0</v>
      </c>
      <c r="AN115" s="15">
        <v>12</v>
      </c>
      <c r="AO115" s="15">
        <f>G115*0</f>
        <v>0</v>
      </c>
      <c r="AP115" s="15">
        <f>G115*(1-0)</f>
        <v>0</v>
      </c>
      <c r="AQ115" s="14" t="s">
        <v>162</v>
      </c>
      <c r="AV115" s="15">
        <f t="shared" si="124"/>
        <v>0</v>
      </c>
      <c r="AW115" s="15">
        <f t="shared" si="125"/>
        <v>0</v>
      </c>
      <c r="AX115" s="15">
        <f t="shared" si="126"/>
        <v>0</v>
      </c>
      <c r="AY115" s="14" t="s">
        <v>432</v>
      </c>
      <c r="AZ115" s="14" t="s">
        <v>433</v>
      </c>
      <c r="BA115" s="46" t="s">
        <v>169</v>
      </c>
      <c r="BC115" s="15">
        <f t="shared" si="127"/>
        <v>0</v>
      </c>
      <c r="BD115" s="15">
        <f t="shared" si="128"/>
        <v>0</v>
      </c>
      <c r="BE115" s="15">
        <v>0</v>
      </c>
      <c r="BF115" s="15">
        <f>115</f>
        <v>115</v>
      </c>
      <c r="BH115" s="15">
        <f t="shared" si="129"/>
        <v>0</v>
      </c>
      <c r="BI115" s="15">
        <f t="shared" si="130"/>
        <v>0</v>
      </c>
      <c r="BJ115" s="15">
        <f t="shared" si="131"/>
        <v>0</v>
      </c>
      <c r="BK115" s="15"/>
      <c r="BL115" s="15">
        <v>96</v>
      </c>
      <c r="BW115" s="15">
        <v>12</v>
      </c>
      <c r="BX115" s="4" t="s">
        <v>448</v>
      </c>
    </row>
    <row r="116" spans="1:76" x14ac:dyDescent="0.25">
      <c r="A116" s="63" t="s">
        <v>20</v>
      </c>
      <c r="B116" s="64" t="s">
        <v>56</v>
      </c>
      <c r="C116" s="150" t="s">
        <v>57</v>
      </c>
      <c r="D116" s="151"/>
      <c r="E116" s="65" t="s">
        <v>3</v>
      </c>
      <c r="F116" s="65" t="s">
        <v>3</v>
      </c>
      <c r="G116" s="66"/>
      <c r="H116" s="40">
        <f>SUM(H117:H119)</f>
        <v>0</v>
      </c>
      <c r="I116" s="40">
        <f>SUM(I117:I119)</f>
        <v>0</v>
      </c>
      <c r="J116" s="40">
        <f>SUM(J117:J119)</f>
        <v>0</v>
      </c>
      <c r="K116" s="67" t="s">
        <v>20</v>
      </c>
      <c r="AI116" s="46" t="s">
        <v>20</v>
      </c>
      <c r="AS116" s="40">
        <f>SUM(AJ117:AJ119)</f>
        <v>0</v>
      </c>
      <c r="AT116" s="40">
        <f>SUM(AK117:AK119)</f>
        <v>0</v>
      </c>
      <c r="AU116" s="40">
        <f>SUM(AL117:AL119)</f>
        <v>0</v>
      </c>
    </row>
    <row r="117" spans="1:76" x14ac:dyDescent="0.25">
      <c r="A117" s="1" t="s">
        <v>449</v>
      </c>
      <c r="B117" s="2" t="s">
        <v>450</v>
      </c>
      <c r="C117" s="78" t="s">
        <v>451</v>
      </c>
      <c r="D117" s="73"/>
      <c r="E117" s="2" t="s">
        <v>230</v>
      </c>
      <c r="F117" s="15">
        <v>1</v>
      </c>
      <c r="G117" s="61"/>
      <c r="H117" s="15">
        <f>F117*AO117</f>
        <v>0</v>
      </c>
      <c r="I117" s="15">
        <f>F117*AP117</f>
        <v>0</v>
      </c>
      <c r="J117" s="15">
        <f>F117*G117</f>
        <v>0</v>
      </c>
      <c r="K117" s="62" t="s">
        <v>20</v>
      </c>
      <c r="Z117" s="15">
        <f>IF(AQ117="5",BJ117,0)</f>
        <v>0</v>
      </c>
      <c r="AB117" s="15">
        <f>IF(AQ117="1",BH117,0)</f>
        <v>0</v>
      </c>
      <c r="AC117" s="15">
        <f>IF(AQ117="1",BI117,0)</f>
        <v>0</v>
      </c>
      <c r="AD117" s="15">
        <f>IF(AQ117="7",BH117,0)</f>
        <v>0</v>
      </c>
      <c r="AE117" s="15">
        <f>IF(AQ117="7",BI117,0)</f>
        <v>0</v>
      </c>
      <c r="AF117" s="15">
        <f>IF(AQ117="2",BH117,0)</f>
        <v>0</v>
      </c>
      <c r="AG117" s="15">
        <f>IF(AQ117="2",BI117,0)</f>
        <v>0</v>
      </c>
      <c r="AH117" s="15">
        <f>IF(AQ117="0",BJ117,0)</f>
        <v>0</v>
      </c>
      <c r="AI117" s="46" t="s">
        <v>20</v>
      </c>
      <c r="AJ117" s="15">
        <f>IF(AN117=0,J117,0)</f>
        <v>0</v>
      </c>
      <c r="AK117" s="15">
        <f>IF(AN117=12,J117,0)</f>
        <v>0</v>
      </c>
      <c r="AL117" s="15">
        <f>IF(AN117=21,J117,0)</f>
        <v>0</v>
      </c>
      <c r="AN117" s="15">
        <v>12</v>
      </c>
      <c r="AO117" s="15">
        <f>G117*0</f>
        <v>0</v>
      </c>
      <c r="AP117" s="15">
        <f>G117*(1-0)</f>
        <v>0</v>
      </c>
      <c r="AQ117" s="14" t="s">
        <v>170</v>
      </c>
      <c r="AV117" s="15">
        <f>AW117+AX117</f>
        <v>0</v>
      </c>
      <c r="AW117" s="15">
        <f>F117*AO117</f>
        <v>0</v>
      </c>
      <c r="AX117" s="15">
        <f>F117*AP117</f>
        <v>0</v>
      </c>
      <c r="AY117" s="14" t="s">
        <v>452</v>
      </c>
      <c r="AZ117" s="14" t="s">
        <v>433</v>
      </c>
      <c r="BA117" s="46" t="s">
        <v>169</v>
      </c>
      <c r="BC117" s="15">
        <f>AW117+AX117</f>
        <v>0</v>
      </c>
      <c r="BD117" s="15">
        <f>G117/(100-BE117)*100</f>
        <v>0</v>
      </c>
      <c r="BE117" s="15">
        <v>0</v>
      </c>
      <c r="BF117" s="15">
        <f>117</f>
        <v>117</v>
      </c>
      <c r="BH117" s="15">
        <f>F117*AO117</f>
        <v>0</v>
      </c>
      <c r="BI117" s="15">
        <f>F117*AP117</f>
        <v>0</v>
      </c>
      <c r="BJ117" s="15">
        <f>F117*G117</f>
        <v>0</v>
      </c>
      <c r="BK117" s="15"/>
      <c r="BL117" s="15"/>
      <c r="BW117" s="15">
        <v>12</v>
      </c>
      <c r="BX117" s="4" t="s">
        <v>451</v>
      </c>
    </row>
    <row r="118" spans="1:76" x14ac:dyDescent="0.25">
      <c r="A118" s="1" t="s">
        <v>453</v>
      </c>
      <c r="B118" s="2" t="s">
        <v>454</v>
      </c>
      <c r="C118" s="78" t="s">
        <v>455</v>
      </c>
      <c r="D118" s="73"/>
      <c r="E118" s="2" t="s">
        <v>204</v>
      </c>
      <c r="F118" s="15">
        <v>1</v>
      </c>
      <c r="G118" s="61"/>
      <c r="H118" s="15">
        <f>F118*AO118</f>
        <v>0</v>
      </c>
      <c r="I118" s="15">
        <f>F118*AP118</f>
        <v>0</v>
      </c>
      <c r="J118" s="15">
        <f>F118*G118</f>
        <v>0</v>
      </c>
      <c r="K118" s="62" t="s">
        <v>231</v>
      </c>
      <c r="Z118" s="15">
        <f>IF(AQ118="5",BJ118,0)</f>
        <v>0</v>
      </c>
      <c r="AB118" s="15">
        <f>IF(AQ118="1",BH118,0)</f>
        <v>0</v>
      </c>
      <c r="AC118" s="15">
        <f>IF(AQ118="1",BI118,0)</f>
        <v>0</v>
      </c>
      <c r="AD118" s="15">
        <f>IF(AQ118="7",BH118,0)</f>
        <v>0</v>
      </c>
      <c r="AE118" s="15">
        <f>IF(AQ118="7",BI118,0)</f>
        <v>0</v>
      </c>
      <c r="AF118" s="15">
        <f>IF(AQ118="2",BH118,0)</f>
        <v>0</v>
      </c>
      <c r="AG118" s="15">
        <f>IF(AQ118="2",BI118,0)</f>
        <v>0</v>
      </c>
      <c r="AH118" s="15">
        <f>IF(AQ118="0",BJ118,0)</f>
        <v>0</v>
      </c>
      <c r="AI118" s="46" t="s">
        <v>20</v>
      </c>
      <c r="AJ118" s="15">
        <f>IF(AN118=0,J118,0)</f>
        <v>0</v>
      </c>
      <c r="AK118" s="15">
        <f>IF(AN118=12,J118,0)</f>
        <v>0</v>
      </c>
      <c r="AL118" s="15">
        <f>IF(AN118=21,J118,0)</f>
        <v>0</v>
      </c>
      <c r="AN118" s="15">
        <v>12</v>
      </c>
      <c r="AO118" s="15">
        <f>G118*1</f>
        <v>0</v>
      </c>
      <c r="AP118" s="15">
        <f>G118*(1-1)</f>
        <v>0</v>
      </c>
      <c r="AQ118" s="14" t="s">
        <v>162</v>
      </c>
      <c r="AV118" s="15">
        <f>AW118+AX118</f>
        <v>0</v>
      </c>
      <c r="AW118" s="15">
        <f>F118*AO118</f>
        <v>0</v>
      </c>
      <c r="AX118" s="15">
        <f>F118*AP118</f>
        <v>0</v>
      </c>
      <c r="AY118" s="14" t="s">
        <v>452</v>
      </c>
      <c r="AZ118" s="14" t="s">
        <v>433</v>
      </c>
      <c r="BA118" s="46" t="s">
        <v>169</v>
      </c>
      <c r="BC118" s="15">
        <f>AW118+AX118</f>
        <v>0</v>
      </c>
      <c r="BD118" s="15">
        <f>G118/(100-BE118)*100</f>
        <v>0</v>
      </c>
      <c r="BE118" s="15">
        <v>0</v>
      </c>
      <c r="BF118" s="15">
        <f>118</f>
        <v>118</v>
      </c>
      <c r="BH118" s="15">
        <f>F118*AO118</f>
        <v>0</v>
      </c>
      <c r="BI118" s="15">
        <f>F118*AP118</f>
        <v>0</v>
      </c>
      <c r="BJ118" s="15">
        <f>F118*G118</f>
        <v>0</v>
      </c>
      <c r="BK118" s="15"/>
      <c r="BL118" s="15"/>
      <c r="BW118" s="15">
        <v>12</v>
      </c>
      <c r="BX118" s="4" t="s">
        <v>455</v>
      </c>
    </row>
    <row r="119" spans="1:76" x14ac:dyDescent="0.25">
      <c r="A119" s="1" t="s">
        <v>456</v>
      </c>
      <c r="B119" s="2" t="s">
        <v>457</v>
      </c>
      <c r="C119" s="78" t="s">
        <v>458</v>
      </c>
      <c r="D119" s="73"/>
      <c r="E119" s="2" t="s">
        <v>204</v>
      </c>
      <c r="F119" s="15">
        <v>1</v>
      </c>
      <c r="G119" s="61"/>
      <c r="H119" s="15">
        <f>F119*AO119</f>
        <v>0</v>
      </c>
      <c r="I119" s="15">
        <f>F119*AP119</f>
        <v>0</v>
      </c>
      <c r="J119" s="15">
        <f>F119*G119</f>
        <v>0</v>
      </c>
      <c r="K119" s="62" t="s">
        <v>231</v>
      </c>
      <c r="Z119" s="15">
        <f>IF(AQ119="5",BJ119,0)</f>
        <v>0</v>
      </c>
      <c r="AB119" s="15">
        <f>IF(AQ119="1",BH119,0)</f>
        <v>0</v>
      </c>
      <c r="AC119" s="15">
        <f>IF(AQ119="1",BI119,0)</f>
        <v>0</v>
      </c>
      <c r="AD119" s="15">
        <f>IF(AQ119="7",BH119,0)</f>
        <v>0</v>
      </c>
      <c r="AE119" s="15">
        <f>IF(AQ119="7",BI119,0)</f>
        <v>0</v>
      </c>
      <c r="AF119" s="15">
        <f>IF(AQ119="2",BH119,0)</f>
        <v>0</v>
      </c>
      <c r="AG119" s="15">
        <f>IF(AQ119="2",BI119,0)</f>
        <v>0</v>
      </c>
      <c r="AH119" s="15">
        <f>IF(AQ119="0",BJ119,0)</f>
        <v>0</v>
      </c>
      <c r="AI119" s="46" t="s">
        <v>20</v>
      </c>
      <c r="AJ119" s="15">
        <f>IF(AN119=0,J119,0)</f>
        <v>0</v>
      </c>
      <c r="AK119" s="15">
        <f>IF(AN119=12,J119,0)</f>
        <v>0</v>
      </c>
      <c r="AL119" s="15">
        <f>IF(AN119=21,J119,0)</f>
        <v>0</v>
      </c>
      <c r="AN119" s="15">
        <v>12</v>
      </c>
      <c r="AO119" s="15">
        <f>G119*1</f>
        <v>0</v>
      </c>
      <c r="AP119" s="15">
        <f>G119*(1-1)</f>
        <v>0</v>
      </c>
      <c r="AQ119" s="14" t="s">
        <v>162</v>
      </c>
      <c r="AV119" s="15">
        <f>AW119+AX119</f>
        <v>0</v>
      </c>
      <c r="AW119" s="15">
        <f>F119*AO119</f>
        <v>0</v>
      </c>
      <c r="AX119" s="15">
        <f>F119*AP119</f>
        <v>0</v>
      </c>
      <c r="AY119" s="14" t="s">
        <v>452</v>
      </c>
      <c r="AZ119" s="14" t="s">
        <v>433</v>
      </c>
      <c r="BA119" s="46" t="s">
        <v>169</v>
      </c>
      <c r="BC119" s="15">
        <f>AW119+AX119</f>
        <v>0</v>
      </c>
      <c r="BD119" s="15">
        <f>G119/(100-BE119)*100</f>
        <v>0</v>
      </c>
      <c r="BE119" s="15">
        <v>0</v>
      </c>
      <c r="BF119" s="15">
        <f>119</f>
        <v>119</v>
      </c>
      <c r="BH119" s="15">
        <f>F119*AO119</f>
        <v>0</v>
      </c>
      <c r="BI119" s="15">
        <f>F119*AP119</f>
        <v>0</v>
      </c>
      <c r="BJ119" s="15">
        <f>F119*G119</f>
        <v>0</v>
      </c>
      <c r="BK119" s="15"/>
      <c r="BL119" s="15"/>
      <c r="BW119" s="15">
        <v>12</v>
      </c>
      <c r="BX119" s="4" t="s">
        <v>458</v>
      </c>
    </row>
    <row r="120" spans="1:76" x14ac:dyDescent="0.25">
      <c r="A120" s="63" t="s">
        <v>20</v>
      </c>
      <c r="B120" s="64" t="s">
        <v>58</v>
      </c>
      <c r="C120" s="150" t="s">
        <v>59</v>
      </c>
      <c r="D120" s="151"/>
      <c r="E120" s="65" t="s">
        <v>3</v>
      </c>
      <c r="F120" s="65" t="s">
        <v>3</v>
      </c>
      <c r="G120" s="66"/>
      <c r="H120" s="40">
        <f>SUM(H121:H127)</f>
        <v>0</v>
      </c>
      <c r="I120" s="40">
        <f>SUM(I121:I127)</f>
        <v>0</v>
      </c>
      <c r="J120" s="40">
        <f>SUM(J121:J127)</f>
        <v>0</v>
      </c>
      <c r="K120" s="67" t="s">
        <v>20</v>
      </c>
      <c r="AI120" s="46" t="s">
        <v>20</v>
      </c>
      <c r="AS120" s="40">
        <f>SUM(AJ121:AJ127)</f>
        <v>0</v>
      </c>
      <c r="AT120" s="40">
        <f>SUM(AK121:AK127)</f>
        <v>0</v>
      </c>
      <c r="AU120" s="40">
        <f>SUM(AL121:AL127)</f>
        <v>0</v>
      </c>
    </row>
    <row r="121" spans="1:76" x14ac:dyDescent="0.25">
      <c r="A121" s="1" t="s">
        <v>459</v>
      </c>
      <c r="B121" s="2" t="s">
        <v>460</v>
      </c>
      <c r="C121" s="78" t="s">
        <v>461</v>
      </c>
      <c r="D121" s="73"/>
      <c r="E121" s="2" t="s">
        <v>212</v>
      </c>
      <c r="F121" s="15">
        <v>3.7944100000000001</v>
      </c>
      <c r="G121" s="61"/>
      <c r="H121" s="15">
        <f t="shared" ref="H121:H127" si="132">F121*AO121</f>
        <v>0</v>
      </c>
      <c r="I121" s="15">
        <f t="shared" ref="I121:I127" si="133">F121*AP121</f>
        <v>0</v>
      </c>
      <c r="J121" s="15">
        <f t="shared" ref="J121:J127" si="134">F121*G121</f>
        <v>0</v>
      </c>
      <c r="K121" s="62" t="s">
        <v>166</v>
      </c>
      <c r="Z121" s="15">
        <f t="shared" ref="Z121:Z127" si="135">IF(AQ121="5",BJ121,0)</f>
        <v>0</v>
      </c>
      <c r="AB121" s="15">
        <f t="shared" ref="AB121:AB127" si="136">IF(AQ121="1",BH121,0)</f>
        <v>0</v>
      </c>
      <c r="AC121" s="15">
        <f t="shared" ref="AC121:AC127" si="137">IF(AQ121="1",BI121,0)</f>
        <v>0</v>
      </c>
      <c r="AD121" s="15">
        <f t="shared" ref="AD121:AD127" si="138">IF(AQ121="7",BH121,0)</f>
        <v>0</v>
      </c>
      <c r="AE121" s="15">
        <f t="shared" ref="AE121:AE127" si="139">IF(AQ121="7",BI121,0)</f>
        <v>0</v>
      </c>
      <c r="AF121" s="15">
        <f t="shared" ref="AF121:AF127" si="140">IF(AQ121="2",BH121,0)</f>
        <v>0</v>
      </c>
      <c r="AG121" s="15">
        <f t="shared" ref="AG121:AG127" si="141">IF(AQ121="2",BI121,0)</f>
        <v>0</v>
      </c>
      <c r="AH121" s="15">
        <f t="shared" ref="AH121:AH127" si="142">IF(AQ121="0",BJ121,0)</f>
        <v>0</v>
      </c>
      <c r="AI121" s="46" t="s">
        <v>20</v>
      </c>
      <c r="AJ121" s="15">
        <f t="shared" ref="AJ121:AJ127" si="143">IF(AN121=0,J121,0)</f>
        <v>0</v>
      </c>
      <c r="AK121" s="15">
        <f t="shared" ref="AK121:AK127" si="144">IF(AN121=12,J121,0)</f>
        <v>0</v>
      </c>
      <c r="AL121" s="15">
        <f t="shared" ref="AL121:AL127" si="145">IF(AN121=21,J121,0)</f>
        <v>0</v>
      </c>
      <c r="AN121" s="15">
        <v>12</v>
      </c>
      <c r="AO121" s="15">
        <f t="shared" ref="AO121:AO127" si="146">G121*0</f>
        <v>0</v>
      </c>
      <c r="AP121" s="15">
        <f t="shared" ref="AP121:AP127" si="147">G121*(1-0)</f>
        <v>0</v>
      </c>
      <c r="AQ121" s="14" t="s">
        <v>181</v>
      </c>
      <c r="AV121" s="15">
        <f t="shared" ref="AV121:AV127" si="148">AW121+AX121</f>
        <v>0</v>
      </c>
      <c r="AW121" s="15">
        <f t="shared" ref="AW121:AW127" si="149">F121*AO121</f>
        <v>0</v>
      </c>
      <c r="AX121" s="15">
        <f t="shared" ref="AX121:AX127" si="150">F121*AP121</f>
        <v>0</v>
      </c>
      <c r="AY121" s="14" t="s">
        <v>462</v>
      </c>
      <c r="AZ121" s="14" t="s">
        <v>433</v>
      </c>
      <c r="BA121" s="46" t="s">
        <v>169</v>
      </c>
      <c r="BC121" s="15">
        <f t="shared" ref="BC121:BC127" si="151">AW121+AX121</f>
        <v>0</v>
      </c>
      <c r="BD121" s="15">
        <f t="shared" ref="BD121:BD127" si="152">G121/(100-BE121)*100</f>
        <v>0</v>
      </c>
      <c r="BE121" s="15">
        <v>0</v>
      </c>
      <c r="BF121" s="15">
        <f>121</f>
        <v>121</v>
      </c>
      <c r="BH121" s="15">
        <f t="shared" ref="BH121:BH127" si="153">F121*AO121</f>
        <v>0</v>
      </c>
      <c r="BI121" s="15">
        <f t="shared" ref="BI121:BI127" si="154">F121*AP121</f>
        <v>0</v>
      </c>
      <c r="BJ121" s="15">
        <f t="shared" ref="BJ121:BJ127" si="155">F121*G121</f>
        <v>0</v>
      </c>
      <c r="BK121" s="15"/>
      <c r="BL121" s="15"/>
      <c r="BW121" s="15">
        <v>12</v>
      </c>
      <c r="BX121" s="4" t="s">
        <v>461</v>
      </c>
    </row>
    <row r="122" spans="1:76" x14ac:dyDescent="0.25">
      <c r="A122" s="1" t="s">
        <v>463</v>
      </c>
      <c r="B122" s="2" t="s">
        <v>464</v>
      </c>
      <c r="C122" s="78" t="s">
        <v>465</v>
      </c>
      <c r="D122" s="73"/>
      <c r="E122" s="2" t="s">
        <v>212</v>
      </c>
      <c r="F122" s="15">
        <v>3.7944100000000001</v>
      </c>
      <c r="G122" s="61"/>
      <c r="H122" s="15">
        <f t="shared" si="132"/>
        <v>0</v>
      </c>
      <c r="I122" s="15">
        <f t="shared" si="133"/>
        <v>0</v>
      </c>
      <c r="J122" s="15">
        <f t="shared" si="134"/>
        <v>0</v>
      </c>
      <c r="K122" s="62" t="s">
        <v>166</v>
      </c>
      <c r="Z122" s="15">
        <f t="shared" si="135"/>
        <v>0</v>
      </c>
      <c r="AB122" s="15">
        <f t="shared" si="136"/>
        <v>0</v>
      </c>
      <c r="AC122" s="15">
        <f t="shared" si="137"/>
        <v>0</v>
      </c>
      <c r="AD122" s="15">
        <f t="shared" si="138"/>
        <v>0</v>
      </c>
      <c r="AE122" s="15">
        <f t="shared" si="139"/>
        <v>0</v>
      </c>
      <c r="AF122" s="15">
        <f t="shared" si="140"/>
        <v>0</v>
      </c>
      <c r="AG122" s="15">
        <f t="shared" si="141"/>
        <v>0</v>
      </c>
      <c r="AH122" s="15">
        <f t="shared" si="142"/>
        <v>0</v>
      </c>
      <c r="AI122" s="46" t="s">
        <v>20</v>
      </c>
      <c r="AJ122" s="15">
        <f t="shared" si="143"/>
        <v>0</v>
      </c>
      <c r="AK122" s="15">
        <f t="shared" si="144"/>
        <v>0</v>
      </c>
      <c r="AL122" s="15">
        <f t="shared" si="145"/>
        <v>0</v>
      </c>
      <c r="AN122" s="15">
        <v>12</v>
      </c>
      <c r="AO122" s="15">
        <f t="shared" si="146"/>
        <v>0</v>
      </c>
      <c r="AP122" s="15">
        <f t="shared" si="147"/>
        <v>0</v>
      </c>
      <c r="AQ122" s="14" t="s">
        <v>181</v>
      </c>
      <c r="AV122" s="15">
        <f t="shared" si="148"/>
        <v>0</v>
      </c>
      <c r="AW122" s="15">
        <f t="shared" si="149"/>
        <v>0</v>
      </c>
      <c r="AX122" s="15">
        <f t="shared" si="150"/>
        <v>0</v>
      </c>
      <c r="AY122" s="14" t="s">
        <v>462</v>
      </c>
      <c r="AZ122" s="14" t="s">
        <v>433</v>
      </c>
      <c r="BA122" s="46" t="s">
        <v>169</v>
      </c>
      <c r="BC122" s="15">
        <f t="shared" si="151"/>
        <v>0</v>
      </c>
      <c r="BD122" s="15">
        <f t="shared" si="152"/>
        <v>0</v>
      </c>
      <c r="BE122" s="15">
        <v>0</v>
      </c>
      <c r="BF122" s="15">
        <f>122</f>
        <v>122</v>
      </c>
      <c r="BH122" s="15">
        <f t="shared" si="153"/>
        <v>0</v>
      </c>
      <c r="BI122" s="15">
        <f t="shared" si="154"/>
        <v>0</v>
      </c>
      <c r="BJ122" s="15">
        <f t="shared" si="155"/>
        <v>0</v>
      </c>
      <c r="BK122" s="15"/>
      <c r="BL122" s="15"/>
      <c r="BW122" s="15">
        <v>12</v>
      </c>
      <c r="BX122" s="4" t="s">
        <v>465</v>
      </c>
    </row>
    <row r="123" spans="1:76" x14ac:dyDescent="0.25">
      <c r="A123" s="1" t="s">
        <v>466</v>
      </c>
      <c r="B123" s="2" t="s">
        <v>467</v>
      </c>
      <c r="C123" s="78" t="s">
        <v>468</v>
      </c>
      <c r="D123" s="73"/>
      <c r="E123" s="2" t="s">
        <v>212</v>
      </c>
      <c r="F123" s="15">
        <v>3.7944100000000001</v>
      </c>
      <c r="G123" s="61"/>
      <c r="H123" s="15">
        <f t="shared" si="132"/>
        <v>0</v>
      </c>
      <c r="I123" s="15">
        <f t="shared" si="133"/>
        <v>0</v>
      </c>
      <c r="J123" s="15">
        <f t="shared" si="134"/>
        <v>0</v>
      </c>
      <c r="K123" s="62" t="s">
        <v>166</v>
      </c>
      <c r="Z123" s="15">
        <f t="shared" si="135"/>
        <v>0</v>
      </c>
      <c r="AB123" s="15">
        <f t="shared" si="136"/>
        <v>0</v>
      </c>
      <c r="AC123" s="15">
        <f t="shared" si="137"/>
        <v>0</v>
      </c>
      <c r="AD123" s="15">
        <f t="shared" si="138"/>
        <v>0</v>
      </c>
      <c r="AE123" s="15">
        <f t="shared" si="139"/>
        <v>0</v>
      </c>
      <c r="AF123" s="15">
        <f t="shared" si="140"/>
        <v>0</v>
      </c>
      <c r="AG123" s="15">
        <f t="shared" si="141"/>
        <v>0</v>
      </c>
      <c r="AH123" s="15">
        <f t="shared" si="142"/>
        <v>0</v>
      </c>
      <c r="AI123" s="46" t="s">
        <v>20</v>
      </c>
      <c r="AJ123" s="15">
        <f t="shared" si="143"/>
        <v>0</v>
      </c>
      <c r="AK123" s="15">
        <f t="shared" si="144"/>
        <v>0</v>
      </c>
      <c r="AL123" s="15">
        <f t="shared" si="145"/>
        <v>0</v>
      </c>
      <c r="AN123" s="15">
        <v>12</v>
      </c>
      <c r="AO123" s="15">
        <f t="shared" si="146"/>
        <v>0</v>
      </c>
      <c r="AP123" s="15">
        <f t="shared" si="147"/>
        <v>0</v>
      </c>
      <c r="AQ123" s="14" t="s">
        <v>181</v>
      </c>
      <c r="AV123" s="15">
        <f t="shared" si="148"/>
        <v>0</v>
      </c>
      <c r="AW123" s="15">
        <f t="shared" si="149"/>
        <v>0</v>
      </c>
      <c r="AX123" s="15">
        <f t="shared" si="150"/>
        <v>0</v>
      </c>
      <c r="AY123" s="14" t="s">
        <v>462</v>
      </c>
      <c r="AZ123" s="14" t="s">
        <v>433</v>
      </c>
      <c r="BA123" s="46" t="s">
        <v>169</v>
      </c>
      <c r="BC123" s="15">
        <f t="shared" si="151"/>
        <v>0</v>
      </c>
      <c r="BD123" s="15">
        <f t="shared" si="152"/>
        <v>0</v>
      </c>
      <c r="BE123" s="15">
        <v>0</v>
      </c>
      <c r="BF123" s="15">
        <f>123</f>
        <v>123</v>
      </c>
      <c r="BH123" s="15">
        <f t="shared" si="153"/>
        <v>0</v>
      </c>
      <c r="BI123" s="15">
        <f t="shared" si="154"/>
        <v>0</v>
      </c>
      <c r="BJ123" s="15">
        <f t="shared" si="155"/>
        <v>0</v>
      </c>
      <c r="BK123" s="15"/>
      <c r="BL123" s="15"/>
      <c r="BW123" s="15">
        <v>12</v>
      </c>
      <c r="BX123" s="4" t="s">
        <v>468</v>
      </c>
    </row>
    <row r="124" spans="1:76" x14ac:dyDescent="0.25">
      <c r="A124" s="1" t="s">
        <v>469</v>
      </c>
      <c r="B124" s="2" t="s">
        <v>470</v>
      </c>
      <c r="C124" s="78" t="s">
        <v>471</v>
      </c>
      <c r="D124" s="73"/>
      <c r="E124" s="2" t="s">
        <v>212</v>
      </c>
      <c r="F124" s="15">
        <v>3.7944100000000001</v>
      </c>
      <c r="G124" s="61"/>
      <c r="H124" s="15">
        <f t="shared" si="132"/>
        <v>0</v>
      </c>
      <c r="I124" s="15">
        <f t="shared" si="133"/>
        <v>0</v>
      </c>
      <c r="J124" s="15">
        <f t="shared" si="134"/>
        <v>0</v>
      </c>
      <c r="K124" s="62" t="s">
        <v>166</v>
      </c>
      <c r="Z124" s="15">
        <f t="shared" si="135"/>
        <v>0</v>
      </c>
      <c r="AB124" s="15">
        <f t="shared" si="136"/>
        <v>0</v>
      </c>
      <c r="AC124" s="15">
        <f t="shared" si="137"/>
        <v>0</v>
      </c>
      <c r="AD124" s="15">
        <f t="shared" si="138"/>
        <v>0</v>
      </c>
      <c r="AE124" s="15">
        <f t="shared" si="139"/>
        <v>0</v>
      </c>
      <c r="AF124" s="15">
        <f t="shared" si="140"/>
        <v>0</v>
      </c>
      <c r="AG124" s="15">
        <f t="shared" si="141"/>
        <v>0</v>
      </c>
      <c r="AH124" s="15">
        <f t="shared" si="142"/>
        <v>0</v>
      </c>
      <c r="AI124" s="46" t="s">
        <v>20</v>
      </c>
      <c r="AJ124" s="15">
        <f t="shared" si="143"/>
        <v>0</v>
      </c>
      <c r="AK124" s="15">
        <f t="shared" si="144"/>
        <v>0</v>
      </c>
      <c r="AL124" s="15">
        <f t="shared" si="145"/>
        <v>0</v>
      </c>
      <c r="AN124" s="15">
        <v>12</v>
      </c>
      <c r="AO124" s="15">
        <f t="shared" si="146"/>
        <v>0</v>
      </c>
      <c r="AP124" s="15">
        <f t="shared" si="147"/>
        <v>0</v>
      </c>
      <c r="AQ124" s="14" t="s">
        <v>181</v>
      </c>
      <c r="AV124" s="15">
        <f t="shared" si="148"/>
        <v>0</v>
      </c>
      <c r="AW124" s="15">
        <f t="shared" si="149"/>
        <v>0</v>
      </c>
      <c r="AX124" s="15">
        <f t="shared" si="150"/>
        <v>0</v>
      </c>
      <c r="AY124" s="14" t="s">
        <v>462</v>
      </c>
      <c r="AZ124" s="14" t="s">
        <v>433</v>
      </c>
      <c r="BA124" s="46" t="s">
        <v>169</v>
      </c>
      <c r="BC124" s="15">
        <f t="shared" si="151"/>
        <v>0</v>
      </c>
      <c r="BD124" s="15">
        <f t="shared" si="152"/>
        <v>0</v>
      </c>
      <c r="BE124" s="15">
        <v>0</v>
      </c>
      <c r="BF124" s="15">
        <f>124</f>
        <v>124</v>
      </c>
      <c r="BH124" s="15">
        <f t="shared" si="153"/>
        <v>0</v>
      </c>
      <c r="BI124" s="15">
        <f t="shared" si="154"/>
        <v>0</v>
      </c>
      <c r="BJ124" s="15">
        <f t="shared" si="155"/>
        <v>0</v>
      </c>
      <c r="BK124" s="15"/>
      <c r="BL124" s="15"/>
      <c r="BW124" s="15">
        <v>12</v>
      </c>
      <c r="BX124" s="4" t="s">
        <v>471</v>
      </c>
    </row>
    <row r="125" spans="1:76" x14ac:dyDescent="0.25">
      <c r="A125" s="1" t="s">
        <v>472</v>
      </c>
      <c r="B125" s="2" t="s">
        <v>473</v>
      </c>
      <c r="C125" s="78" t="s">
        <v>474</v>
      </c>
      <c r="D125" s="73"/>
      <c r="E125" s="2" t="s">
        <v>212</v>
      </c>
      <c r="F125" s="15">
        <v>72.2</v>
      </c>
      <c r="G125" s="61"/>
      <c r="H125" s="15">
        <f t="shared" si="132"/>
        <v>0</v>
      </c>
      <c r="I125" s="15">
        <f t="shared" si="133"/>
        <v>0</v>
      </c>
      <c r="J125" s="15">
        <f t="shared" si="134"/>
        <v>0</v>
      </c>
      <c r="K125" s="62" t="s">
        <v>166</v>
      </c>
      <c r="Z125" s="15">
        <f t="shared" si="135"/>
        <v>0</v>
      </c>
      <c r="AB125" s="15">
        <f t="shared" si="136"/>
        <v>0</v>
      </c>
      <c r="AC125" s="15">
        <f t="shared" si="137"/>
        <v>0</v>
      </c>
      <c r="AD125" s="15">
        <f t="shared" si="138"/>
        <v>0</v>
      </c>
      <c r="AE125" s="15">
        <f t="shared" si="139"/>
        <v>0</v>
      </c>
      <c r="AF125" s="15">
        <f t="shared" si="140"/>
        <v>0</v>
      </c>
      <c r="AG125" s="15">
        <f t="shared" si="141"/>
        <v>0</v>
      </c>
      <c r="AH125" s="15">
        <f t="shared" si="142"/>
        <v>0</v>
      </c>
      <c r="AI125" s="46" t="s">
        <v>20</v>
      </c>
      <c r="AJ125" s="15">
        <f t="shared" si="143"/>
        <v>0</v>
      </c>
      <c r="AK125" s="15">
        <f t="shared" si="144"/>
        <v>0</v>
      </c>
      <c r="AL125" s="15">
        <f t="shared" si="145"/>
        <v>0</v>
      </c>
      <c r="AN125" s="15">
        <v>12</v>
      </c>
      <c r="AO125" s="15">
        <f t="shared" si="146"/>
        <v>0</v>
      </c>
      <c r="AP125" s="15">
        <f t="shared" si="147"/>
        <v>0</v>
      </c>
      <c r="AQ125" s="14" t="s">
        <v>181</v>
      </c>
      <c r="AV125" s="15">
        <f t="shared" si="148"/>
        <v>0</v>
      </c>
      <c r="AW125" s="15">
        <f t="shared" si="149"/>
        <v>0</v>
      </c>
      <c r="AX125" s="15">
        <f t="shared" si="150"/>
        <v>0</v>
      </c>
      <c r="AY125" s="14" t="s">
        <v>462</v>
      </c>
      <c r="AZ125" s="14" t="s">
        <v>433</v>
      </c>
      <c r="BA125" s="46" t="s">
        <v>169</v>
      </c>
      <c r="BC125" s="15">
        <f t="shared" si="151"/>
        <v>0</v>
      </c>
      <c r="BD125" s="15">
        <f t="shared" si="152"/>
        <v>0</v>
      </c>
      <c r="BE125" s="15">
        <v>0</v>
      </c>
      <c r="BF125" s="15">
        <f>125</f>
        <v>125</v>
      </c>
      <c r="BH125" s="15">
        <f t="shared" si="153"/>
        <v>0</v>
      </c>
      <c r="BI125" s="15">
        <f t="shared" si="154"/>
        <v>0</v>
      </c>
      <c r="BJ125" s="15">
        <f t="shared" si="155"/>
        <v>0</v>
      </c>
      <c r="BK125" s="15"/>
      <c r="BL125" s="15"/>
      <c r="BW125" s="15">
        <v>12</v>
      </c>
      <c r="BX125" s="4" t="s">
        <v>474</v>
      </c>
    </row>
    <row r="126" spans="1:76" x14ac:dyDescent="0.25">
      <c r="A126" s="1" t="s">
        <v>54</v>
      </c>
      <c r="B126" s="2" t="s">
        <v>475</v>
      </c>
      <c r="C126" s="78" t="s">
        <v>476</v>
      </c>
      <c r="D126" s="73"/>
      <c r="E126" s="2" t="s">
        <v>212</v>
      </c>
      <c r="F126" s="15">
        <v>6.3030000000000003E-2</v>
      </c>
      <c r="G126" s="61"/>
      <c r="H126" s="15">
        <f t="shared" si="132"/>
        <v>0</v>
      </c>
      <c r="I126" s="15">
        <f t="shared" si="133"/>
        <v>0</v>
      </c>
      <c r="J126" s="15">
        <f t="shared" si="134"/>
        <v>0</v>
      </c>
      <c r="K126" s="62" t="s">
        <v>166</v>
      </c>
      <c r="Z126" s="15">
        <f t="shared" si="135"/>
        <v>0</v>
      </c>
      <c r="AB126" s="15">
        <f t="shared" si="136"/>
        <v>0</v>
      </c>
      <c r="AC126" s="15">
        <f t="shared" si="137"/>
        <v>0</v>
      </c>
      <c r="AD126" s="15">
        <f t="shared" si="138"/>
        <v>0</v>
      </c>
      <c r="AE126" s="15">
        <f t="shared" si="139"/>
        <v>0</v>
      </c>
      <c r="AF126" s="15">
        <f t="shared" si="140"/>
        <v>0</v>
      </c>
      <c r="AG126" s="15">
        <f t="shared" si="141"/>
        <v>0</v>
      </c>
      <c r="AH126" s="15">
        <f t="shared" si="142"/>
        <v>0</v>
      </c>
      <c r="AI126" s="46" t="s">
        <v>20</v>
      </c>
      <c r="AJ126" s="15">
        <f t="shared" si="143"/>
        <v>0</v>
      </c>
      <c r="AK126" s="15">
        <f t="shared" si="144"/>
        <v>0</v>
      </c>
      <c r="AL126" s="15">
        <f t="shared" si="145"/>
        <v>0</v>
      </c>
      <c r="AN126" s="15">
        <v>12</v>
      </c>
      <c r="AO126" s="15">
        <f t="shared" si="146"/>
        <v>0</v>
      </c>
      <c r="AP126" s="15">
        <f t="shared" si="147"/>
        <v>0</v>
      </c>
      <c r="AQ126" s="14" t="s">
        <v>181</v>
      </c>
      <c r="AV126" s="15">
        <f t="shared" si="148"/>
        <v>0</v>
      </c>
      <c r="AW126" s="15">
        <f t="shared" si="149"/>
        <v>0</v>
      </c>
      <c r="AX126" s="15">
        <f t="shared" si="150"/>
        <v>0</v>
      </c>
      <c r="AY126" s="14" t="s">
        <v>462</v>
      </c>
      <c r="AZ126" s="14" t="s">
        <v>433</v>
      </c>
      <c r="BA126" s="46" t="s">
        <v>169</v>
      </c>
      <c r="BC126" s="15">
        <f t="shared" si="151"/>
        <v>0</v>
      </c>
      <c r="BD126" s="15">
        <f t="shared" si="152"/>
        <v>0</v>
      </c>
      <c r="BE126" s="15">
        <v>0</v>
      </c>
      <c r="BF126" s="15">
        <f>126</f>
        <v>126</v>
      </c>
      <c r="BH126" s="15">
        <f t="shared" si="153"/>
        <v>0</v>
      </c>
      <c r="BI126" s="15">
        <f t="shared" si="154"/>
        <v>0</v>
      </c>
      <c r="BJ126" s="15">
        <f t="shared" si="155"/>
        <v>0</v>
      </c>
      <c r="BK126" s="15"/>
      <c r="BL126" s="15"/>
      <c r="BW126" s="15">
        <v>12</v>
      </c>
      <c r="BX126" s="4" t="s">
        <v>476</v>
      </c>
    </row>
    <row r="127" spans="1:76" x14ac:dyDescent="0.25">
      <c r="A127" s="1" t="s">
        <v>477</v>
      </c>
      <c r="B127" s="2" t="s">
        <v>478</v>
      </c>
      <c r="C127" s="78" t="s">
        <v>479</v>
      </c>
      <c r="D127" s="73"/>
      <c r="E127" s="2" t="s">
        <v>212</v>
      </c>
      <c r="F127" s="15">
        <v>5.3596199999999996</v>
      </c>
      <c r="G127" s="61"/>
      <c r="H127" s="15">
        <f t="shared" si="132"/>
        <v>0</v>
      </c>
      <c r="I127" s="15">
        <f t="shared" si="133"/>
        <v>0</v>
      </c>
      <c r="J127" s="15">
        <f t="shared" si="134"/>
        <v>0</v>
      </c>
      <c r="K127" s="62" t="s">
        <v>166</v>
      </c>
      <c r="Z127" s="15">
        <f t="shared" si="135"/>
        <v>0</v>
      </c>
      <c r="AB127" s="15">
        <f t="shared" si="136"/>
        <v>0</v>
      </c>
      <c r="AC127" s="15">
        <f t="shared" si="137"/>
        <v>0</v>
      </c>
      <c r="AD127" s="15">
        <f t="shared" si="138"/>
        <v>0</v>
      </c>
      <c r="AE127" s="15">
        <f t="shared" si="139"/>
        <v>0</v>
      </c>
      <c r="AF127" s="15">
        <f t="shared" si="140"/>
        <v>0</v>
      </c>
      <c r="AG127" s="15">
        <f t="shared" si="141"/>
        <v>0</v>
      </c>
      <c r="AH127" s="15">
        <f t="shared" si="142"/>
        <v>0</v>
      </c>
      <c r="AI127" s="46" t="s">
        <v>20</v>
      </c>
      <c r="AJ127" s="15">
        <f t="shared" si="143"/>
        <v>0</v>
      </c>
      <c r="AK127" s="15">
        <f t="shared" si="144"/>
        <v>0</v>
      </c>
      <c r="AL127" s="15">
        <f t="shared" si="145"/>
        <v>0</v>
      </c>
      <c r="AN127" s="15">
        <v>12</v>
      </c>
      <c r="AO127" s="15">
        <f t="shared" si="146"/>
        <v>0</v>
      </c>
      <c r="AP127" s="15">
        <f t="shared" si="147"/>
        <v>0</v>
      </c>
      <c r="AQ127" s="14" t="s">
        <v>181</v>
      </c>
      <c r="AV127" s="15">
        <f t="shared" si="148"/>
        <v>0</v>
      </c>
      <c r="AW127" s="15">
        <f t="shared" si="149"/>
        <v>0</v>
      </c>
      <c r="AX127" s="15">
        <f t="shared" si="150"/>
        <v>0</v>
      </c>
      <c r="AY127" s="14" t="s">
        <v>462</v>
      </c>
      <c r="AZ127" s="14" t="s">
        <v>433</v>
      </c>
      <c r="BA127" s="46" t="s">
        <v>169</v>
      </c>
      <c r="BC127" s="15">
        <f t="shared" si="151"/>
        <v>0</v>
      </c>
      <c r="BD127" s="15">
        <f t="shared" si="152"/>
        <v>0</v>
      </c>
      <c r="BE127" s="15">
        <v>0</v>
      </c>
      <c r="BF127" s="15">
        <f>127</f>
        <v>127</v>
      </c>
      <c r="BH127" s="15">
        <f t="shared" si="153"/>
        <v>0</v>
      </c>
      <c r="BI127" s="15">
        <f t="shared" si="154"/>
        <v>0</v>
      </c>
      <c r="BJ127" s="15">
        <f t="shared" si="155"/>
        <v>0</v>
      </c>
      <c r="BK127" s="15"/>
      <c r="BL127" s="15"/>
      <c r="BW127" s="15">
        <v>12</v>
      </c>
      <c r="BX127" s="4" t="s">
        <v>479</v>
      </c>
    </row>
    <row r="128" spans="1:76" x14ac:dyDescent="0.25">
      <c r="A128" s="63" t="s">
        <v>20</v>
      </c>
      <c r="B128" s="64" t="s">
        <v>61</v>
      </c>
      <c r="C128" s="150" t="s">
        <v>62</v>
      </c>
      <c r="D128" s="151"/>
      <c r="E128" s="65" t="s">
        <v>3</v>
      </c>
      <c r="F128" s="65" t="s">
        <v>3</v>
      </c>
      <c r="G128" s="66"/>
      <c r="H128" s="40">
        <f>SUM(H129:H129)</f>
        <v>0</v>
      </c>
      <c r="I128" s="40">
        <f>SUM(I129:I129)</f>
        <v>0</v>
      </c>
      <c r="J128" s="40">
        <f>SUM(J129:J129)</f>
        <v>0</v>
      </c>
      <c r="K128" s="67" t="s">
        <v>20</v>
      </c>
      <c r="AI128" s="46" t="s">
        <v>20</v>
      </c>
      <c r="AS128" s="40">
        <f>SUM(AJ129:AJ129)</f>
        <v>0</v>
      </c>
      <c r="AT128" s="40">
        <f>SUM(AK129:AK129)</f>
        <v>0</v>
      </c>
      <c r="AU128" s="40">
        <f>SUM(AL129:AL129)</f>
        <v>0</v>
      </c>
    </row>
    <row r="129" spans="1:76" x14ac:dyDescent="0.25">
      <c r="A129" s="17" t="s">
        <v>480</v>
      </c>
      <c r="B129" s="5" t="s">
        <v>481</v>
      </c>
      <c r="C129" s="148" t="s">
        <v>62</v>
      </c>
      <c r="D129" s="86"/>
      <c r="E129" s="5" t="s">
        <v>482</v>
      </c>
      <c r="F129" s="68">
        <v>1</v>
      </c>
      <c r="G129" s="69"/>
      <c r="H129" s="68">
        <f>F129*AO129</f>
        <v>0</v>
      </c>
      <c r="I129" s="68">
        <f>F129*AP129</f>
        <v>0</v>
      </c>
      <c r="J129" s="68">
        <f>F129*G129</f>
        <v>0</v>
      </c>
      <c r="K129" s="70" t="s">
        <v>166</v>
      </c>
      <c r="Z129" s="15">
        <f>IF(AQ129="5",BJ129,0)</f>
        <v>0</v>
      </c>
      <c r="AB129" s="15">
        <f>IF(AQ129="1",BH129,0)</f>
        <v>0</v>
      </c>
      <c r="AC129" s="15">
        <f>IF(AQ129="1",BI129,0)</f>
        <v>0</v>
      </c>
      <c r="AD129" s="15">
        <f>IF(AQ129="7",BH129,0)</f>
        <v>0</v>
      </c>
      <c r="AE129" s="15">
        <f>IF(AQ129="7",BI129,0)</f>
        <v>0</v>
      </c>
      <c r="AF129" s="15">
        <f>IF(AQ129="2",BH129,0)</f>
        <v>0</v>
      </c>
      <c r="AG129" s="15">
        <f>IF(AQ129="2",BI129,0)</f>
        <v>0</v>
      </c>
      <c r="AH129" s="15">
        <f>IF(AQ129="0",BJ129,0)</f>
        <v>0</v>
      </c>
      <c r="AI129" s="46" t="s">
        <v>20</v>
      </c>
      <c r="AJ129" s="15">
        <f>IF(AN129=0,J129,0)</f>
        <v>0</v>
      </c>
      <c r="AK129" s="15">
        <f>IF(AN129=12,J129,0)</f>
        <v>0</v>
      </c>
      <c r="AL129" s="15">
        <f>IF(AN129=21,J129,0)</f>
        <v>0</v>
      </c>
      <c r="AN129" s="15">
        <v>12</v>
      </c>
      <c r="AO129" s="15">
        <f>G129*0</f>
        <v>0</v>
      </c>
      <c r="AP129" s="15">
        <f>G129*(1-0)</f>
        <v>0</v>
      </c>
      <c r="AQ129" s="14" t="s">
        <v>483</v>
      </c>
      <c r="AV129" s="15">
        <f>AW129+AX129</f>
        <v>0</v>
      </c>
      <c r="AW129" s="15">
        <f>F129*AO129</f>
        <v>0</v>
      </c>
      <c r="AX129" s="15">
        <f>F129*AP129</f>
        <v>0</v>
      </c>
      <c r="AY129" s="14" t="s">
        <v>484</v>
      </c>
      <c r="AZ129" s="14" t="s">
        <v>485</v>
      </c>
      <c r="BA129" s="46" t="s">
        <v>169</v>
      </c>
      <c r="BC129" s="15">
        <f>AW129+AX129</f>
        <v>0</v>
      </c>
      <c r="BD129" s="15">
        <f>G129/(100-BE129)*100</f>
        <v>0</v>
      </c>
      <c r="BE129" s="15">
        <v>0</v>
      </c>
      <c r="BF129" s="15">
        <f>130</f>
        <v>130</v>
      </c>
      <c r="BH129" s="15">
        <f>F129*AO129</f>
        <v>0</v>
      </c>
      <c r="BI129" s="15">
        <f>F129*AP129</f>
        <v>0</v>
      </c>
      <c r="BJ129" s="15">
        <f>F129*G129</f>
        <v>0</v>
      </c>
      <c r="BK129" s="15"/>
      <c r="BL129" s="15"/>
      <c r="BO129" s="15">
        <f>F129*G129</f>
        <v>0</v>
      </c>
      <c r="BW129" s="15">
        <v>12</v>
      </c>
      <c r="BX129" s="4" t="s">
        <v>62</v>
      </c>
    </row>
    <row r="130" spans="1:76" x14ac:dyDescent="0.25">
      <c r="H130" s="149" t="s">
        <v>63</v>
      </c>
      <c r="I130" s="149"/>
      <c r="J130" s="71">
        <f>J12+J15+J21+J25+J29+J34+J38+J40+J42+J57+J73+J80+J89+J94+J103+J106+J109+J116+J120+J128</f>
        <v>0</v>
      </c>
    </row>
    <row r="131" spans="1:76" x14ac:dyDescent="0.25">
      <c r="A131" s="72" t="s">
        <v>109</v>
      </c>
    </row>
    <row r="132" spans="1:76" ht="12.75" customHeight="1" x14ac:dyDescent="0.25">
      <c r="A132" s="78" t="s">
        <v>20</v>
      </c>
      <c r="B132" s="73"/>
      <c r="C132" s="73"/>
      <c r="D132" s="73"/>
      <c r="E132" s="73"/>
      <c r="F132" s="73"/>
      <c r="G132" s="73"/>
      <c r="H132" s="73"/>
      <c r="I132" s="73"/>
      <c r="J132" s="73"/>
      <c r="K132" s="73"/>
    </row>
  </sheetData>
  <sheetProtection algorithmName="SHA-512" hashValue="u0sPHZVPsHg/U1emK7dwv1R0kruBgecX2s52GMHhB9GU5TjzBqnS0S5QYUYnam0/nWBuIIpaKZLNB0ZmM8DUzg==" saltValue="hcNN7nXnYXN2IcwR9zrZoQ==" spinCount="100000" sheet="1"/>
  <mergeCells count="148"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  <mergeCell ref="I2:K3"/>
    <mergeCell ref="I4:K5"/>
    <mergeCell ref="I6:K7"/>
    <mergeCell ref="I8:K9"/>
    <mergeCell ref="C10:D10"/>
    <mergeCell ref="C8:D9"/>
    <mergeCell ref="G2:G3"/>
    <mergeCell ref="G4:G5"/>
    <mergeCell ref="G6:G7"/>
    <mergeCell ref="G8:G9"/>
    <mergeCell ref="C15:D15"/>
    <mergeCell ref="C16:D16"/>
    <mergeCell ref="C17:D17"/>
    <mergeCell ref="C18:D18"/>
    <mergeCell ref="C19:D19"/>
    <mergeCell ref="C11:D11"/>
    <mergeCell ref="H10:J10"/>
    <mergeCell ref="C12:D12"/>
    <mergeCell ref="C13:D13"/>
    <mergeCell ref="C14:D14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C35:D35"/>
    <mergeCell ref="C36:D36"/>
    <mergeCell ref="C37:D37"/>
    <mergeCell ref="C38:D38"/>
    <mergeCell ref="C39:D39"/>
    <mergeCell ref="C30:D30"/>
    <mergeCell ref="C31:D31"/>
    <mergeCell ref="C32:D32"/>
    <mergeCell ref="C33:D33"/>
    <mergeCell ref="C34:D34"/>
    <mergeCell ref="C45:D45"/>
    <mergeCell ref="C46:D46"/>
    <mergeCell ref="C47:D47"/>
    <mergeCell ref="C48:D48"/>
    <mergeCell ref="C49:D49"/>
    <mergeCell ref="C40:D40"/>
    <mergeCell ref="C41:D41"/>
    <mergeCell ref="C42:D42"/>
    <mergeCell ref="C43:D43"/>
    <mergeCell ref="C44:D44"/>
    <mergeCell ref="C55:D55"/>
    <mergeCell ref="C56:D56"/>
    <mergeCell ref="C57:D57"/>
    <mergeCell ref="C58:D58"/>
    <mergeCell ref="C59:D59"/>
    <mergeCell ref="C50:D50"/>
    <mergeCell ref="C51:D51"/>
    <mergeCell ref="C52:D52"/>
    <mergeCell ref="C53:D53"/>
    <mergeCell ref="C54:D54"/>
    <mergeCell ref="C65:D65"/>
    <mergeCell ref="C66:D66"/>
    <mergeCell ref="C67:D67"/>
    <mergeCell ref="C68:D68"/>
    <mergeCell ref="C69:D69"/>
    <mergeCell ref="C60:D60"/>
    <mergeCell ref="C61:D61"/>
    <mergeCell ref="C62:D62"/>
    <mergeCell ref="C63:D63"/>
    <mergeCell ref="C64:D64"/>
    <mergeCell ref="C75:D75"/>
    <mergeCell ref="C76:D76"/>
    <mergeCell ref="C77:D77"/>
    <mergeCell ref="C78:D78"/>
    <mergeCell ref="C79:D79"/>
    <mergeCell ref="C70:D70"/>
    <mergeCell ref="C71:D71"/>
    <mergeCell ref="C72:D72"/>
    <mergeCell ref="C73:D73"/>
    <mergeCell ref="C74:D74"/>
    <mergeCell ref="C85:D85"/>
    <mergeCell ref="C86:D86"/>
    <mergeCell ref="C87:D87"/>
    <mergeCell ref="C88:D88"/>
    <mergeCell ref="C89:D89"/>
    <mergeCell ref="C80:D80"/>
    <mergeCell ref="C81:D81"/>
    <mergeCell ref="C82:D82"/>
    <mergeCell ref="C83:D83"/>
    <mergeCell ref="C84:D84"/>
    <mergeCell ref="C95:D95"/>
    <mergeCell ref="C96:D96"/>
    <mergeCell ref="C97:D97"/>
    <mergeCell ref="C98:D98"/>
    <mergeCell ref="C99:D99"/>
    <mergeCell ref="C90:D90"/>
    <mergeCell ref="C91:D91"/>
    <mergeCell ref="C92:D92"/>
    <mergeCell ref="C93:D93"/>
    <mergeCell ref="C94:D94"/>
    <mergeCell ref="C105:D105"/>
    <mergeCell ref="C106:D106"/>
    <mergeCell ref="C107:D107"/>
    <mergeCell ref="C108:D108"/>
    <mergeCell ref="C109:D109"/>
    <mergeCell ref="C100:D100"/>
    <mergeCell ref="C101:D101"/>
    <mergeCell ref="C102:D102"/>
    <mergeCell ref="C103:D103"/>
    <mergeCell ref="C104:D104"/>
    <mergeCell ref="C115:D115"/>
    <mergeCell ref="C116:D116"/>
    <mergeCell ref="C117:D117"/>
    <mergeCell ref="C118:D118"/>
    <mergeCell ref="C119:D119"/>
    <mergeCell ref="C110:D110"/>
    <mergeCell ref="C111:D111"/>
    <mergeCell ref="C112:D112"/>
    <mergeCell ref="C113:D113"/>
    <mergeCell ref="C114:D114"/>
    <mergeCell ref="C129:D129"/>
    <mergeCell ref="H130:I130"/>
    <mergeCell ref="A132:K132"/>
    <mergeCell ref="C125:D125"/>
    <mergeCell ref="C126:D126"/>
    <mergeCell ref="C127:D127"/>
    <mergeCell ref="C128:D128"/>
    <mergeCell ref="C120:D120"/>
    <mergeCell ref="C121:D121"/>
    <mergeCell ref="C122:D122"/>
    <mergeCell ref="C123:D123"/>
    <mergeCell ref="C124:D124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Stavební rozpočet - součet</vt:lpstr>
      <vt:lpstr>Krycí list rozpočtu</vt:lpstr>
      <vt:lpstr>VORN</vt:lpstr>
      <vt:lpstr>Stavební rozpočet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Veselý Vojtěch Ing.</cp:lastModifiedBy>
  <dcterms:created xsi:type="dcterms:W3CDTF">2021-06-10T20:06:38Z</dcterms:created>
  <dcterms:modified xsi:type="dcterms:W3CDTF">2026-01-14T15:04:12Z</dcterms:modified>
</cp:coreProperties>
</file>